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oma\Documents\URBAN ODYSSEY\OUTILS EXCEL\"/>
    </mc:Choice>
  </mc:AlternateContent>
  <bookViews>
    <workbookView xWindow="0" yWindow="0" windowWidth="9600" windowHeight="4020" tabRatio="766" activeTab="1"/>
  </bookViews>
  <sheets>
    <sheet name="Tables de production employées" sheetId="23" r:id="rId1"/>
    <sheet name="Récapitulatif des résultats" sheetId="24" r:id="rId2"/>
    <sheet name="Pin Laricio" sheetId="13" r:id="rId3"/>
    <sheet name="Pin Maritime" sheetId="18" r:id="rId4"/>
    <sheet name="C" sheetId="19" r:id="rId5"/>
    <sheet name="D" sheetId="20" r:id="rId6"/>
    <sheet name="E" sheetId="26" r:id="rId7"/>
    <sheet name="F" sheetId="21" r:id="rId8"/>
    <sheet name="VAN" sheetId="27" r:id="rId9"/>
  </sheets>
  <definedNames>
    <definedName name="_xlnm.Print_Area" localSheetId="1">'Récapitulatif des résultats'!#REF!</definedName>
    <definedName name="_xlnm.Print_Area" localSheetId="0">'Tables de production employées'!$B$2:$R$45,'Tables de production employées'!$B$47:$R$90,'Tables de production employées'!$B$93:$R$136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9" i="23" l="1"/>
  <c r="L70" i="23"/>
  <c r="L71" i="23"/>
  <c r="L72" i="23"/>
  <c r="L73" i="23"/>
  <c r="L74" i="23"/>
  <c r="L75" i="23"/>
  <c r="L76" i="23"/>
  <c r="L77" i="23"/>
  <c r="L78" i="23"/>
  <c r="L79" i="23"/>
  <c r="L80" i="23"/>
  <c r="L81" i="23"/>
  <c r="L82" i="23"/>
  <c r="L83" i="23"/>
  <c r="C29" i="18"/>
  <c r="C31" i="18" s="1"/>
  <c r="C33" i="18" s="1"/>
  <c r="C35" i="18" s="1"/>
  <c r="C37" i="18" s="1"/>
  <c r="C39" i="18" s="1"/>
  <c r="C27" i="18"/>
  <c r="B28" i="18" s="1"/>
  <c r="C26" i="18"/>
  <c r="C28" i="18" s="1"/>
  <c r="C30" i="18" s="1"/>
  <c r="C32" i="18" s="1"/>
  <c r="C34" i="18" s="1"/>
  <c r="C36" i="18" s="1"/>
  <c r="C38" i="18" s="1"/>
  <c r="C40" i="18" s="1"/>
  <c r="E39" i="19"/>
  <c r="F39" i="19"/>
  <c r="E40" i="19"/>
  <c r="F40" i="19"/>
  <c r="G40" i="19"/>
  <c r="B38" i="19"/>
  <c r="B39" i="19"/>
  <c r="B40" i="19"/>
  <c r="C38" i="19"/>
  <c r="C39" i="19"/>
  <c r="C40" i="19"/>
  <c r="C35" i="19"/>
  <c r="C36" i="19"/>
  <c r="I60" i="23"/>
  <c r="H60" i="23" s="1"/>
  <c r="I61" i="23"/>
  <c r="K61" i="23" s="1"/>
  <c r="I62" i="23"/>
  <c r="I63" i="23"/>
  <c r="H63" i="23" s="1"/>
  <c r="I64" i="23"/>
  <c r="H64" i="23" s="1"/>
  <c r="I65" i="23"/>
  <c r="K65" i="23" s="1"/>
  <c r="I66" i="23"/>
  <c r="H66" i="23" s="1"/>
  <c r="I59" i="23"/>
  <c r="K59" i="23" s="1"/>
  <c r="O61" i="23"/>
  <c r="L61" i="23" s="1"/>
  <c r="H62" i="23"/>
  <c r="O62" i="23"/>
  <c r="L62" i="23" s="1"/>
  <c r="O63" i="23"/>
  <c r="L63" i="23" s="1"/>
  <c r="O64" i="23"/>
  <c r="L64" i="23" s="1"/>
  <c r="O65" i="23"/>
  <c r="L65" i="23" s="1"/>
  <c r="O66" i="23"/>
  <c r="L66" i="23" s="1"/>
  <c r="O60" i="23"/>
  <c r="L60" i="23" s="1"/>
  <c r="O59" i="23"/>
  <c r="L59" i="23" s="1"/>
  <c r="B26" i="18"/>
  <c r="C27" i="19"/>
  <c r="C29" i="19" s="1"/>
  <c r="B26" i="19"/>
  <c r="C26" i="19" s="1"/>
  <c r="B30" i="18" l="1"/>
  <c r="K64" i="23"/>
  <c r="N64" i="23"/>
  <c r="M64" i="23" s="1"/>
  <c r="K66" i="23"/>
  <c r="N66" i="23"/>
  <c r="M66" i="23" s="1"/>
  <c r="N65" i="23"/>
  <c r="M65" i="23" s="1"/>
  <c r="N63" i="23"/>
  <c r="M63" i="23" s="1"/>
  <c r="N62" i="23"/>
  <c r="M62" i="23" s="1"/>
  <c r="K62" i="23"/>
  <c r="N61" i="23"/>
  <c r="M61" i="23" s="1"/>
  <c r="K60" i="23"/>
  <c r="J60" i="23" s="1"/>
  <c r="J61" i="23"/>
  <c r="J65" i="23"/>
  <c r="H65" i="23"/>
  <c r="H61" i="23"/>
  <c r="K63" i="23"/>
  <c r="N59" i="23"/>
  <c r="M59" i="23" s="1"/>
  <c r="N60" i="23"/>
  <c r="M60" i="23" s="1"/>
  <c r="J59" i="23"/>
  <c r="H59" i="23"/>
  <c r="B27" i="18"/>
  <c r="B27" i="19"/>
  <c r="C28" i="19"/>
  <c r="B30" i="19"/>
  <c r="C31" i="19"/>
  <c r="B28" i="19"/>
  <c r="Q64" i="23" l="1"/>
  <c r="P64" i="23" s="1"/>
  <c r="J64" i="23"/>
  <c r="Q66" i="23"/>
  <c r="P66" i="23" s="1"/>
  <c r="Q62" i="23"/>
  <c r="P62" i="23" s="1"/>
  <c r="J66" i="23"/>
  <c r="Q65" i="23"/>
  <c r="P65" i="23" s="1"/>
  <c r="J62" i="23"/>
  <c r="Q61" i="23"/>
  <c r="P61" i="23" s="1"/>
  <c r="Q63" i="23"/>
  <c r="P63" i="23" s="1"/>
  <c r="J63" i="23"/>
  <c r="Q60" i="23"/>
  <c r="P60" i="23" s="1"/>
  <c r="Q59" i="23"/>
  <c r="P59" i="23" s="1"/>
  <c r="B32" i="18"/>
  <c r="B29" i="18"/>
  <c r="C33" i="19"/>
  <c r="C37" i="19" s="1"/>
  <c r="B32" i="19"/>
  <c r="C30" i="19"/>
  <c r="B29" i="19"/>
  <c r="B31" i="18" l="1"/>
  <c r="B34" i="18"/>
  <c r="C32" i="19"/>
  <c r="B31" i="19"/>
  <c r="B34" i="19"/>
  <c r="B36" i="18" l="1"/>
  <c r="B33" i="18"/>
  <c r="C34" i="19"/>
  <c r="B33" i="19"/>
  <c r="B36" i="19"/>
  <c r="B35" i="18" l="1"/>
  <c r="B38" i="18"/>
  <c r="B35" i="19"/>
  <c r="B40" i="18" l="1"/>
  <c r="B37" i="18"/>
  <c r="B37" i="19"/>
  <c r="B39" i="18" l="1"/>
  <c r="G108" i="18" l="1"/>
  <c r="C27" i="13"/>
  <c r="C29" i="13"/>
  <c r="C31" i="13"/>
  <c r="C33" i="13"/>
  <c r="C35" i="13"/>
  <c r="C37" i="13"/>
  <c r="C39" i="13"/>
  <c r="C41" i="13"/>
  <c r="C43" i="13"/>
  <c r="C45" i="13"/>
  <c r="B46" i="13"/>
  <c r="C46" i="13"/>
  <c r="D45" i="13"/>
  <c r="B44" i="13"/>
  <c r="C44" i="13"/>
  <c r="B45" i="13"/>
  <c r="D43" i="13"/>
  <c r="B42" i="13"/>
  <c r="C42" i="13"/>
  <c r="B43" i="13"/>
  <c r="D41" i="13"/>
  <c r="B40" i="13"/>
  <c r="C40" i="13"/>
  <c r="B41" i="13"/>
  <c r="D39" i="13"/>
  <c r="B38" i="13"/>
  <c r="C38" i="13"/>
  <c r="B39" i="13"/>
  <c r="D37" i="13"/>
  <c r="B36" i="13"/>
  <c r="C36" i="13"/>
  <c r="B37" i="13"/>
  <c r="D35" i="13"/>
  <c r="B34" i="13"/>
  <c r="C34" i="13"/>
  <c r="B35" i="13"/>
  <c r="D33" i="13"/>
  <c r="B32" i="13"/>
  <c r="C32" i="13"/>
  <c r="B33" i="13"/>
  <c r="D31" i="13"/>
  <c r="B30" i="13"/>
  <c r="C30" i="13"/>
  <c r="B31" i="13"/>
  <c r="D29" i="13"/>
  <c r="B28" i="13"/>
  <c r="C28" i="13"/>
  <c r="B29" i="13"/>
  <c r="D27" i="13"/>
  <c r="B26" i="13"/>
  <c r="C26" i="13"/>
  <c r="B27" i="13"/>
  <c r="R9" i="27"/>
  <c r="U9" i="27"/>
  <c r="X9" i="27"/>
  <c r="AA9" i="27"/>
  <c r="E48" i="26"/>
  <c r="F48" i="26"/>
  <c r="E49" i="26"/>
  <c r="F49" i="26"/>
  <c r="E50" i="26"/>
  <c r="F50" i="26"/>
  <c r="G50" i="26"/>
  <c r="E51" i="26"/>
  <c r="F51" i="26"/>
  <c r="G51" i="26"/>
  <c r="E52" i="26"/>
  <c r="F52" i="26"/>
  <c r="G52" i="26"/>
  <c r="E53" i="26"/>
  <c r="F53" i="26"/>
  <c r="G53" i="26"/>
  <c r="E54" i="26"/>
  <c r="F54" i="26"/>
  <c r="E55" i="26"/>
  <c r="F55" i="26"/>
  <c r="E56" i="26"/>
  <c r="F56" i="26"/>
  <c r="G56" i="26"/>
  <c r="E57" i="26"/>
  <c r="F57" i="26"/>
  <c r="G57" i="26"/>
  <c r="E58" i="26"/>
  <c r="F58" i="26"/>
  <c r="G58" i="26"/>
  <c r="E59" i="26"/>
  <c r="F59" i="26"/>
  <c r="G59" i="26"/>
  <c r="E60" i="26"/>
  <c r="F60" i="26"/>
  <c r="G60" i="26"/>
  <c r="E61" i="26"/>
  <c r="F61" i="26"/>
  <c r="G61" i="26"/>
  <c r="E62" i="26"/>
  <c r="F62" i="26"/>
  <c r="G62" i="26"/>
  <c r="E63" i="26"/>
  <c r="F63" i="26"/>
  <c r="G63" i="26"/>
  <c r="E64" i="26"/>
  <c r="F64" i="26"/>
  <c r="G64" i="26"/>
  <c r="E65" i="26"/>
  <c r="F65" i="26"/>
  <c r="G65" i="26"/>
  <c r="E66" i="26"/>
  <c r="F66" i="26"/>
  <c r="G66" i="26"/>
  <c r="E67" i="26"/>
  <c r="F67" i="26"/>
  <c r="G67" i="26"/>
  <c r="E68" i="26"/>
  <c r="F68" i="26"/>
  <c r="G68" i="26"/>
  <c r="E69" i="26"/>
  <c r="F69" i="26"/>
  <c r="G69" i="26"/>
  <c r="E70" i="26"/>
  <c r="F70" i="26"/>
  <c r="E71" i="26"/>
  <c r="F71" i="26"/>
  <c r="E72" i="26"/>
  <c r="F72" i="26"/>
  <c r="G72" i="26"/>
  <c r="E73" i="26"/>
  <c r="F73" i="26"/>
  <c r="G73" i="26"/>
  <c r="E74" i="26"/>
  <c r="F74" i="26"/>
  <c r="G74" i="26"/>
  <c r="E75" i="26"/>
  <c r="F75" i="26"/>
  <c r="G75" i="26"/>
  <c r="E76" i="26"/>
  <c r="F76" i="26"/>
  <c r="G76" i="26"/>
  <c r="E77" i="26"/>
  <c r="F77" i="26"/>
  <c r="G77" i="26"/>
  <c r="E78" i="26"/>
  <c r="F78" i="26"/>
  <c r="D77" i="26"/>
  <c r="D75" i="26"/>
  <c r="D73" i="26"/>
  <c r="D71" i="26"/>
  <c r="D69" i="26"/>
  <c r="D67" i="26"/>
  <c r="D65" i="26"/>
  <c r="D63" i="26"/>
  <c r="D61" i="26"/>
  <c r="D59" i="26"/>
  <c r="D57" i="26"/>
  <c r="D55" i="26"/>
  <c r="D53" i="26"/>
  <c r="D51" i="26"/>
  <c r="D49" i="26"/>
  <c r="D47" i="26"/>
  <c r="D45" i="26"/>
  <c r="D43" i="26"/>
  <c r="D41" i="26"/>
  <c r="D39" i="26"/>
  <c r="D37" i="26"/>
  <c r="D35" i="26"/>
  <c r="D33" i="26"/>
  <c r="D31" i="26"/>
  <c r="D29" i="26"/>
  <c r="D27" i="26"/>
  <c r="C27" i="26"/>
  <c r="C29" i="26"/>
  <c r="B26" i="26"/>
  <c r="C26" i="26"/>
  <c r="D25" i="26"/>
  <c r="D51" i="20"/>
  <c r="D49" i="20"/>
  <c r="D47" i="20"/>
  <c r="D45" i="20"/>
  <c r="D43" i="20"/>
  <c r="D41" i="20"/>
  <c r="D39" i="20"/>
  <c r="D37" i="20"/>
  <c r="D35" i="20"/>
  <c r="D33" i="20"/>
  <c r="D31" i="20"/>
  <c r="D29" i="20"/>
  <c r="D27" i="20"/>
  <c r="C27" i="20"/>
  <c r="C29" i="20"/>
  <c r="B26" i="20"/>
  <c r="C26" i="20"/>
  <c r="D25" i="20"/>
  <c r="G78" i="26"/>
  <c r="G70" i="26"/>
  <c r="G71" i="26"/>
  <c r="G54" i="26"/>
  <c r="G55" i="26"/>
  <c r="G48" i="26"/>
  <c r="G49" i="26"/>
  <c r="B27" i="26"/>
  <c r="C28" i="26"/>
  <c r="B30" i="26"/>
  <c r="C31" i="26"/>
  <c r="B28" i="26"/>
  <c r="B27" i="20"/>
  <c r="C28" i="20"/>
  <c r="B30" i="20"/>
  <c r="C31" i="20"/>
  <c r="B28" i="20"/>
  <c r="C33" i="26"/>
  <c r="B32" i="26"/>
  <c r="C30" i="26"/>
  <c r="B29" i="26"/>
  <c r="C30" i="20"/>
  <c r="B29" i="20"/>
  <c r="C33" i="20"/>
  <c r="B32" i="20"/>
  <c r="B34" i="26"/>
  <c r="C35" i="26"/>
  <c r="C32" i="26"/>
  <c r="B31" i="26"/>
  <c r="C35" i="20"/>
  <c r="B34" i="20"/>
  <c r="C32" i="20"/>
  <c r="B31" i="20"/>
  <c r="B33" i="26"/>
  <c r="C34" i="26"/>
  <c r="B36" i="26"/>
  <c r="C37" i="26"/>
  <c r="B36" i="20"/>
  <c r="C37" i="20"/>
  <c r="B33" i="20"/>
  <c r="C34" i="20"/>
  <c r="C39" i="26"/>
  <c r="B38" i="26"/>
  <c r="C36" i="26"/>
  <c r="B35" i="26"/>
  <c r="C39" i="20"/>
  <c r="B38" i="20"/>
  <c r="C36" i="20"/>
  <c r="B35" i="20"/>
  <c r="B37" i="26"/>
  <c r="C38" i="26"/>
  <c r="B40" i="26"/>
  <c r="C41" i="26"/>
  <c r="C41" i="20"/>
  <c r="B40" i="20"/>
  <c r="C38" i="20"/>
  <c r="B37" i="20"/>
  <c r="C40" i="26"/>
  <c r="B39" i="26"/>
  <c r="C43" i="26"/>
  <c r="B42" i="26"/>
  <c r="B42" i="20"/>
  <c r="C43" i="20"/>
  <c r="B39" i="20"/>
  <c r="C40" i="20"/>
  <c r="C45" i="26"/>
  <c r="B44" i="26"/>
  <c r="C42" i="26"/>
  <c r="B41" i="26"/>
  <c r="C45" i="20"/>
  <c r="B44" i="20"/>
  <c r="C42" i="20"/>
  <c r="B41" i="20"/>
  <c r="B43" i="26"/>
  <c r="C44" i="26"/>
  <c r="B46" i="26"/>
  <c r="C47" i="26"/>
  <c r="B46" i="20"/>
  <c r="C47" i="20"/>
  <c r="B43" i="20"/>
  <c r="C44" i="20"/>
  <c r="C49" i="26"/>
  <c r="B48" i="26"/>
  <c r="C46" i="26"/>
  <c r="B45" i="26"/>
  <c r="B45" i="20"/>
  <c r="C46" i="20"/>
  <c r="C49" i="20"/>
  <c r="B48" i="20"/>
  <c r="C48" i="26"/>
  <c r="B47" i="26"/>
  <c r="C51" i="26"/>
  <c r="B50" i="26"/>
  <c r="C48" i="20"/>
  <c r="B47" i="20"/>
  <c r="C51" i="20"/>
  <c r="B52" i="20"/>
  <c r="B50" i="20"/>
  <c r="B52" i="26"/>
  <c r="C53" i="26"/>
  <c r="B49" i="26"/>
  <c r="C50" i="26"/>
  <c r="B49" i="20"/>
  <c r="C50" i="20"/>
  <c r="C52" i="26"/>
  <c r="B51" i="26"/>
  <c r="C55" i="26"/>
  <c r="B54" i="26"/>
  <c r="C52" i="20"/>
  <c r="B51" i="20"/>
  <c r="B56" i="26"/>
  <c r="C57" i="26"/>
  <c r="B53" i="26"/>
  <c r="C54" i="26"/>
  <c r="C56" i="26"/>
  <c r="B55" i="26"/>
  <c r="C59" i="26"/>
  <c r="B58" i="26"/>
  <c r="C61" i="26"/>
  <c r="B60" i="26"/>
  <c r="C58" i="26"/>
  <c r="B57" i="26"/>
  <c r="B59" i="26"/>
  <c r="C60" i="26"/>
  <c r="B62" i="26"/>
  <c r="C63" i="26"/>
  <c r="C65" i="26"/>
  <c r="B64" i="26"/>
  <c r="C62" i="26"/>
  <c r="B61" i="26"/>
  <c r="B63" i="26"/>
  <c r="C64" i="26"/>
  <c r="B66" i="26"/>
  <c r="C67" i="26"/>
  <c r="B68" i="26"/>
  <c r="C69" i="26"/>
  <c r="B65" i="26"/>
  <c r="C66" i="26"/>
  <c r="C68" i="26"/>
  <c r="B67" i="26"/>
  <c r="C71" i="26"/>
  <c r="B70" i="26"/>
  <c r="G94" i="26"/>
  <c r="G93" i="26"/>
  <c r="G92" i="26"/>
  <c r="G91" i="26"/>
  <c r="G90" i="26"/>
  <c r="G89" i="26"/>
  <c r="G88" i="26"/>
  <c r="G87" i="26"/>
  <c r="G86" i="26"/>
  <c r="G85" i="26"/>
  <c r="G84" i="26"/>
  <c r="G83" i="26"/>
  <c r="G82" i="26"/>
  <c r="B72" i="26"/>
  <c r="C73" i="26"/>
  <c r="B69" i="26"/>
  <c r="C70" i="26"/>
  <c r="B71" i="26"/>
  <c r="C72" i="26"/>
  <c r="C75" i="26"/>
  <c r="B74" i="26"/>
  <c r="C77" i="26"/>
  <c r="B78" i="26"/>
  <c r="B76" i="26"/>
  <c r="C74" i="26"/>
  <c r="B73" i="26"/>
  <c r="B75" i="26"/>
  <c r="C76" i="26"/>
  <c r="C78" i="26"/>
  <c r="B77" i="26"/>
  <c r="R8" i="27"/>
  <c r="U8" i="27"/>
  <c r="X8" i="27"/>
  <c r="AA8" i="27"/>
  <c r="AD8" i="27"/>
  <c r="AD7" i="27"/>
  <c r="R7" i="27"/>
  <c r="U7" i="27"/>
  <c r="X7" i="27"/>
  <c r="AI205" i="20"/>
  <c r="AH205" i="20"/>
  <c r="AG205" i="20"/>
  <c r="AF205" i="20"/>
  <c r="AE205" i="20"/>
  <c r="AD205" i="20"/>
  <c r="AC205" i="20"/>
  <c r="AB205" i="20"/>
  <c r="Y205" i="20"/>
  <c r="V205" i="20"/>
  <c r="U205" i="20"/>
  <c r="R205" i="20"/>
  <c r="Q205" i="20"/>
  <c r="N205" i="20"/>
  <c r="AI204" i="20"/>
  <c r="AH204" i="20"/>
  <c r="AG204" i="20"/>
  <c r="AF204" i="20"/>
  <c r="AE204" i="20"/>
  <c r="AD204" i="20"/>
  <c r="AC204" i="20"/>
  <c r="AB204" i="20"/>
  <c r="Y204" i="20"/>
  <c r="V204" i="20"/>
  <c r="U204" i="20"/>
  <c r="R204" i="20"/>
  <c r="Q204" i="20"/>
  <c r="N204" i="20"/>
  <c r="AI203" i="20"/>
  <c r="AH203" i="20"/>
  <c r="AG203" i="20"/>
  <c r="AF203" i="20"/>
  <c r="AE203" i="20"/>
  <c r="AD203" i="20"/>
  <c r="AC203" i="20"/>
  <c r="AB203" i="20"/>
  <c r="Y203" i="20"/>
  <c r="V203" i="20"/>
  <c r="U203" i="20"/>
  <c r="R203" i="20"/>
  <c r="Q203" i="20"/>
  <c r="N203" i="20"/>
  <c r="AI202" i="20"/>
  <c r="AH202" i="20"/>
  <c r="AG202" i="20"/>
  <c r="AF202" i="20"/>
  <c r="AE202" i="20"/>
  <c r="AD202" i="20"/>
  <c r="AC202" i="20"/>
  <c r="AB202" i="20"/>
  <c r="Y202" i="20"/>
  <c r="V202" i="20"/>
  <c r="U202" i="20"/>
  <c r="R202" i="20"/>
  <c r="Q202" i="20"/>
  <c r="N202" i="20"/>
  <c r="AI201" i="20"/>
  <c r="AH201" i="20"/>
  <c r="AG201" i="20"/>
  <c r="AF201" i="20"/>
  <c r="AE201" i="20"/>
  <c r="AD201" i="20"/>
  <c r="AC201" i="20"/>
  <c r="AB201" i="20"/>
  <c r="Y201" i="20"/>
  <c r="V201" i="20"/>
  <c r="U201" i="20"/>
  <c r="R201" i="20"/>
  <c r="Q201" i="20"/>
  <c r="N201" i="20"/>
  <c r="AI200" i="20"/>
  <c r="AH200" i="20"/>
  <c r="AG200" i="20"/>
  <c r="AF200" i="20"/>
  <c r="AE200" i="20"/>
  <c r="AD200" i="20"/>
  <c r="AC200" i="20"/>
  <c r="AB200" i="20"/>
  <c r="Y200" i="20"/>
  <c r="V200" i="20"/>
  <c r="U200" i="20"/>
  <c r="R200" i="20"/>
  <c r="Q200" i="20"/>
  <c r="N200" i="20"/>
  <c r="AI199" i="20"/>
  <c r="AH199" i="20"/>
  <c r="AG199" i="20"/>
  <c r="AF199" i="20"/>
  <c r="AE199" i="20"/>
  <c r="AD199" i="20"/>
  <c r="AC199" i="20"/>
  <c r="AB199" i="20"/>
  <c r="Y199" i="20"/>
  <c r="V199" i="20"/>
  <c r="U199" i="20"/>
  <c r="R199" i="20"/>
  <c r="Q199" i="20"/>
  <c r="N199" i="20"/>
  <c r="AI198" i="20"/>
  <c r="AH198" i="20"/>
  <c r="AG198" i="20"/>
  <c r="AF198" i="20"/>
  <c r="AE198" i="20"/>
  <c r="AD198" i="20"/>
  <c r="AC198" i="20"/>
  <c r="AB198" i="20"/>
  <c r="Y198" i="20"/>
  <c r="V198" i="20"/>
  <c r="U198" i="20"/>
  <c r="R198" i="20"/>
  <c r="Q198" i="20"/>
  <c r="N198" i="20"/>
  <c r="AI197" i="20"/>
  <c r="AH197" i="20"/>
  <c r="AG197" i="20"/>
  <c r="AF197" i="20"/>
  <c r="AE197" i="20"/>
  <c r="AD197" i="20"/>
  <c r="AC197" i="20"/>
  <c r="AB197" i="20"/>
  <c r="Y197" i="20"/>
  <c r="V197" i="20"/>
  <c r="U197" i="20"/>
  <c r="R197" i="20"/>
  <c r="Q197" i="20"/>
  <c r="N197" i="20"/>
  <c r="AI196" i="20"/>
  <c r="AH196" i="20"/>
  <c r="AG196" i="20"/>
  <c r="AF196" i="20"/>
  <c r="AE196" i="20"/>
  <c r="AD196" i="20"/>
  <c r="AC196" i="20"/>
  <c r="AB196" i="20"/>
  <c r="Y196" i="20"/>
  <c r="V196" i="20"/>
  <c r="U196" i="20"/>
  <c r="R196" i="20"/>
  <c r="Q196" i="20"/>
  <c r="N196" i="20"/>
  <c r="F196" i="20"/>
  <c r="AI195" i="20"/>
  <c r="AH195" i="20"/>
  <c r="AG195" i="20"/>
  <c r="AF195" i="20"/>
  <c r="AE195" i="20"/>
  <c r="AD195" i="20"/>
  <c r="AC195" i="20"/>
  <c r="AB195" i="20"/>
  <c r="Y195" i="20"/>
  <c r="V195" i="20"/>
  <c r="U195" i="20"/>
  <c r="R195" i="20"/>
  <c r="Q195" i="20"/>
  <c r="N195" i="20"/>
  <c r="F195" i="20"/>
  <c r="AI194" i="20"/>
  <c r="AH194" i="20"/>
  <c r="AG194" i="20"/>
  <c r="AF194" i="20"/>
  <c r="AE194" i="20"/>
  <c r="AD194" i="20"/>
  <c r="AC194" i="20"/>
  <c r="AB194" i="20"/>
  <c r="Y194" i="20"/>
  <c r="V194" i="20"/>
  <c r="U194" i="20"/>
  <c r="R194" i="20"/>
  <c r="Q194" i="20"/>
  <c r="N194" i="20"/>
  <c r="F194" i="20"/>
  <c r="AI193" i="20"/>
  <c r="AH193" i="20"/>
  <c r="AG193" i="20"/>
  <c r="AF193" i="20"/>
  <c r="AE193" i="20"/>
  <c r="AD193" i="20"/>
  <c r="AC193" i="20"/>
  <c r="AB193" i="20"/>
  <c r="Y193" i="20"/>
  <c r="V193" i="20"/>
  <c r="U193" i="20"/>
  <c r="R193" i="20"/>
  <c r="Q193" i="20"/>
  <c r="N193" i="20"/>
  <c r="F193" i="20"/>
  <c r="AI192" i="20"/>
  <c r="AH192" i="20"/>
  <c r="AG192" i="20"/>
  <c r="AF192" i="20"/>
  <c r="AE192" i="20"/>
  <c r="AD192" i="20"/>
  <c r="AC192" i="20"/>
  <c r="AB192" i="20"/>
  <c r="Y192" i="20"/>
  <c r="V192" i="20"/>
  <c r="U192" i="20"/>
  <c r="R192" i="20"/>
  <c r="Q192" i="20"/>
  <c r="N192" i="20"/>
  <c r="F192" i="20"/>
  <c r="AI191" i="20"/>
  <c r="AH191" i="20"/>
  <c r="AG191" i="20"/>
  <c r="AF191" i="20"/>
  <c r="AE191" i="20"/>
  <c r="AD191" i="20"/>
  <c r="AC191" i="20"/>
  <c r="AB191" i="20"/>
  <c r="Y191" i="20"/>
  <c r="V191" i="20"/>
  <c r="U191" i="20"/>
  <c r="R191" i="20"/>
  <c r="Q191" i="20"/>
  <c r="N191" i="20"/>
  <c r="F191" i="20"/>
  <c r="AI190" i="20"/>
  <c r="AH190" i="20"/>
  <c r="AG190" i="20"/>
  <c r="AF190" i="20"/>
  <c r="AE190" i="20"/>
  <c r="AD190" i="20"/>
  <c r="AC190" i="20"/>
  <c r="AB190" i="20"/>
  <c r="Y190" i="20"/>
  <c r="V190" i="20"/>
  <c r="U190" i="20"/>
  <c r="R190" i="20"/>
  <c r="Q190" i="20"/>
  <c r="N190" i="20"/>
  <c r="F190" i="20"/>
  <c r="AI189" i="20"/>
  <c r="AH189" i="20"/>
  <c r="AG189" i="20"/>
  <c r="AF189" i="20"/>
  <c r="AE189" i="20"/>
  <c r="AD189" i="20"/>
  <c r="AC189" i="20"/>
  <c r="AB189" i="20"/>
  <c r="Y189" i="20"/>
  <c r="V189" i="20"/>
  <c r="U189" i="20"/>
  <c r="R189" i="20"/>
  <c r="Q189" i="20"/>
  <c r="N189" i="20"/>
  <c r="F189" i="20"/>
  <c r="AI188" i="20"/>
  <c r="AH188" i="20"/>
  <c r="AG188" i="20"/>
  <c r="AF188" i="20"/>
  <c r="AE188" i="20"/>
  <c r="AD188" i="20"/>
  <c r="AC188" i="20"/>
  <c r="AB188" i="20"/>
  <c r="Y188" i="20"/>
  <c r="V188" i="20"/>
  <c r="U188" i="20"/>
  <c r="R188" i="20"/>
  <c r="Q188" i="20"/>
  <c r="N188" i="20"/>
  <c r="F188" i="20"/>
  <c r="AI187" i="20"/>
  <c r="AH187" i="20"/>
  <c r="AG187" i="20"/>
  <c r="AF187" i="20"/>
  <c r="AE187" i="20"/>
  <c r="AD187" i="20"/>
  <c r="AC187" i="20"/>
  <c r="AB187" i="20"/>
  <c r="Y187" i="20"/>
  <c r="V187" i="20"/>
  <c r="U187" i="20"/>
  <c r="R187" i="20"/>
  <c r="Q187" i="20"/>
  <c r="N187" i="20"/>
  <c r="F187" i="20"/>
  <c r="AI186" i="20"/>
  <c r="AH186" i="20"/>
  <c r="AG186" i="20"/>
  <c r="AF186" i="20"/>
  <c r="AE186" i="20"/>
  <c r="AD186" i="20"/>
  <c r="AC186" i="20"/>
  <c r="AB186" i="20"/>
  <c r="Y186" i="20"/>
  <c r="V186" i="20"/>
  <c r="U186" i="20"/>
  <c r="R186" i="20"/>
  <c r="Q186" i="20"/>
  <c r="N186" i="20"/>
  <c r="F186" i="20"/>
  <c r="AI185" i="20"/>
  <c r="AH185" i="20"/>
  <c r="AG185" i="20"/>
  <c r="AF185" i="20"/>
  <c r="AE185" i="20"/>
  <c r="AD185" i="20"/>
  <c r="AC185" i="20"/>
  <c r="AB185" i="20"/>
  <c r="Y185" i="20"/>
  <c r="V185" i="20"/>
  <c r="U185" i="20"/>
  <c r="R185" i="20"/>
  <c r="Q185" i="20"/>
  <c r="N185" i="20"/>
  <c r="F185" i="20"/>
  <c r="AI184" i="20"/>
  <c r="AH184" i="20"/>
  <c r="AG184" i="20"/>
  <c r="AF184" i="20"/>
  <c r="AE184" i="20"/>
  <c r="AD184" i="20"/>
  <c r="AC184" i="20"/>
  <c r="AB184" i="20"/>
  <c r="Y184" i="20"/>
  <c r="V184" i="20"/>
  <c r="U184" i="20"/>
  <c r="R184" i="20"/>
  <c r="Q184" i="20"/>
  <c r="N184" i="20"/>
  <c r="F184" i="20"/>
  <c r="AI183" i="20"/>
  <c r="AH183" i="20"/>
  <c r="AG183" i="20"/>
  <c r="AF183" i="20"/>
  <c r="AE183" i="20"/>
  <c r="AD183" i="20"/>
  <c r="AC183" i="20"/>
  <c r="AB183" i="20"/>
  <c r="Y183" i="20"/>
  <c r="V183" i="20"/>
  <c r="U183" i="20"/>
  <c r="R183" i="20"/>
  <c r="Q183" i="20"/>
  <c r="N183" i="20"/>
  <c r="F183" i="20"/>
  <c r="AI182" i="20"/>
  <c r="AH182" i="20"/>
  <c r="AG182" i="20"/>
  <c r="AF182" i="20"/>
  <c r="AE182" i="20"/>
  <c r="AD182" i="20"/>
  <c r="AC182" i="20"/>
  <c r="AB182" i="20"/>
  <c r="Y182" i="20"/>
  <c r="V182" i="20"/>
  <c r="U182" i="20"/>
  <c r="R182" i="20"/>
  <c r="Q182" i="20"/>
  <c r="N182" i="20"/>
  <c r="F182" i="20"/>
  <c r="AI181" i="20"/>
  <c r="AH181" i="20"/>
  <c r="AG181" i="20"/>
  <c r="AF181" i="20"/>
  <c r="AE181" i="20"/>
  <c r="AD181" i="20"/>
  <c r="AC181" i="20"/>
  <c r="AB181" i="20"/>
  <c r="Y181" i="20"/>
  <c r="V181" i="20"/>
  <c r="U181" i="20"/>
  <c r="R181" i="20"/>
  <c r="Q181" i="20"/>
  <c r="N181" i="20"/>
  <c r="F181" i="20"/>
  <c r="AI180" i="20"/>
  <c r="AH180" i="20"/>
  <c r="AG180" i="20"/>
  <c r="AF180" i="20"/>
  <c r="AE180" i="20"/>
  <c r="AD180" i="20"/>
  <c r="AC180" i="20"/>
  <c r="AB180" i="20"/>
  <c r="Y180" i="20"/>
  <c r="V180" i="20"/>
  <c r="U180" i="20"/>
  <c r="R180" i="20"/>
  <c r="Q180" i="20"/>
  <c r="N180" i="20"/>
  <c r="F180" i="20"/>
  <c r="AI179" i="20"/>
  <c r="AH179" i="20"/>
  <c r="AG179" i="20"/>
  <c r="AF179" i="20"/>
  <c r="AE179" i="20"/>
  <c r="AD179" i="20"/>
  <c r="AC179" i="20"/>
  <c r="AB179" i="20"/>
  <c r="Y179" i="20"/>
  <c r="V179" i="20"/>
  <c r="U179" i="20"/>
  <c r="R179" i="20"/>
  <c r="Q179" i="20"/>
  <c r="N179" i="20"/>
  <c r="F179" i="20"/>
  <c r="AI178" i="20"/>
  <c r="AH178" i="20"/>
  <c r="AG178" i="20"/>
  <c r="AF178" i="20"/>
  <c r="AE178" i="20"/>
  <c r="AD178" i="20"/>
  <c r="AC178" i="20"/>
  <c r="AB178" i="20"/>
  <c r="Y178" i="20"/>
  <c r="V178" i="20"/>
  <c r="U178" i="20"/>
  <c r="R178" i="20"/>
  <c r="Q178" i="20"/>
  <c r="N178" i="20"/>
  <c r="F178" i="20"/>
  <c r="AI177" i="20"/>
  <c r="AH177" i="20"/>
  <c r="AG177" i="20"/>
  <c r="AF177" i="20"/>
  <c r="AE177" i="20"/>
  <c r="AD177" i="20"/>
  <c r="AC177" i="20"/>
  <c r="AB177" i="20"/>
  <c r="Y177" i="20"/>
  <c r="V177" i="20"/>
  <c r="U177" i="20"/>
  <c r="R177" i="20"/>
  <c r="Q177" i="20"/>
  <c r="N177" i="20"/>
  <c r="F177" i="20"/>
  <c r="AI176" i="20"/>
  <c r="AH176" i="20"/>
  <c r="AG176" i="20"/>
  <c r="AF176" i="20"/>
  <c r="AE176" i="20"/>
  <c r="AD176" i="20"/>
  <c r="AC176" i="20"/>
  <c r="AB176" i="20"/>
  <c r="Y176" i="20"/>
  <c r="V176" i="20"/>
  <c r="U176" i="20"/>
  <c r="R176" i="20"/>
  <c r="Q176" i="20"/>
  <c r="N176" i="20"/>
  <c r="F176" i="20"/>
  <c r="AI175" i="20"/>
  <c r="AH175" i="20"/>
  <c r="AG175" i="20"/>
  <c r="AF175" i="20"/>
  <c r="AE175" i="20"/>
  <c r="AD175" i="20"/>
  <c r="AC175" i="20"/>
  <c r="AB175" i="20"/>
  <c r="Y175" i="20"/>
  <c r="V175" i="20"/>
  <c r="U175" i="20"/>
  <c r="R175" i="20"/>
  <c r="Q175" i="20"/>
  <c r="N175" i="20"/>
  <c r="F175" i="20"/>
  <c r="AI174" i="20"/>
  <c r="AH174" i="20"/>
  <c r="AG174" i="20"/>
  <c r="AF174" i="20"/>
  <c r="AE174" i="20"/>
  <c r="AD174" i="20"/>
  <c r="AC174" i="20"/>
  <c r="AB174" i="20"/>
  <c r="Y174" i="20"/>
  <c r="V174" i="20"/>
  <c r="U174" i="20"/>
  <c r="R174" i="20"/>
  <c r="Q174" i="20"/>
  <c r="N174" i="20"/>
  <c r="F174" i="20"/>
  <c r="AI173" i="20"/>
  <c r="AH173" i="20"/>
  <c r="AG173" i="20"/>
  <c r="AF173" i="20"/>
  <c r="AE173" i="20"/>
  <c r="AD173" i="20"/>
  <c r="AC173" i="20"/>
  <c r="AB173" i="20"/>
  <c r="Y173" i="20"/>
  <c r="V173" i="20"/>
  <c r="U173" i="20"/>
  <c r="R173" i="20"/>
  <c r="Q173" i="20"/>
  <c r="N173" i="20"/>
  <c r="F173" i="20"/>
  <c r="AI172" i="20"/>
  <c r="AH172" i="20"/>
  <c r="AG172" i="20"/>
  <c r="AF172" i="20"/>
  <c r="AE172" i="20"/>
  <c r="AD172" i="20"/>
  <c r="AC172" i="20"/>
  <c r="AB172" i="20"/>
  <c r="Y172" i="20"/>
  <c r="V172" i="20"/>
  <c r="U172" i="20"/>
  <c r="R172" i="20"/>
  <c r="Q172" i="20"/>
  <c r="N172" i="20"/>
  <c r="F172" i="20"/>
  <c r="AI171" i="20"/>
  <c r="AH171" i="20"/>
  <c r="AG171" i="20"/>
  <c r="AF171" i="20"/>
  <c r="AE171" i="20"/>
  <c r="AD171" i="20"/>
  <c r="AC171" i="20"/>
  <c r="AB171" i="20"/>
  <c r="Y171" i="20"/>
  <c r="V171" i="20"/>
  <c r="U171" i="20"/>
  <c r="R171" i="20"/>
  <c r="Q171" i="20"/>
  <c r="N171" i="20"/>
  <c r="F171" i="20"/>
  <c r="AI170" i="20"/>
  <c r="AH170" i="20"/>
  <c r="AG170" i="20"/>
  <c r="AF170" i="20"/>
  <c r="AE170" i="20"/>
  <c r="AD170" i="20"/>
  <c r="AC170" i="20"/>
  <c r="AB170" i="20"/>
  <c r="Y170" i="20"/>
  <c r="V170" i="20"/>
  <c r="U170" i="20"/>
  <c r="R170" i="20"/>
  <c r="Q170" i="20"/>
  <c r="N170" i="20"/>
  <c r="F170" i="20"/>
  <c r="AI169" i="20"/>
  <c r="AH169" i="20"/>
  <c r="AG169" i="20"/>
  <c r="AF169" i="20"/>
  <c r="AE169" i="20"/>
  <c r="AD169" i="20"/>
  <c r="AC169" i="20"/>
  <c r="AB169" i="20"/>
  <c r="Y169" i="20"/>
  <c r="V169" i="20"/>
  <c r="U169" i="20"/>
  <c r="R169" i="20"/>
  <c r="Q169" i="20"/>
  <c r="N169" i="20"/>
  <c r="F169" i="20"/>
  <c r="AI168" i="20"/>
  <c r="AH168" i="20"/>
  <c r="AG168" i="20"/>
  <c r="AF168" i="20"/>
  <c r="AE168" i="20"/>
  <c r="AD168" i="20"/>
  <c r="AC168" i="20"/>
  <c r="AB168" i="20"/>
  <c r="Y168" i="20"/>
  <c r="V168" i="20"/>
  <c r="U168" i="20"/>
  <c r="R168" i="20"/>
  <c r="Q168" i="20"/>
  <c r="N168" i="20"/>
  <c r="F168" i="20"/>
  <c r="AI167" i="20"/>
  <c r="AH167" i="20"/>
  <c r="AG167" i="20"/>
  <c r="AF167" i="20"/>
  <c r="AE167" i="20"/>
  <c r="AD167" i="20"/>
  <c r="AC167" i="20"/>
  <c r="AB167" i="20"/>
  <c r="Y167" i="20"/>
  <c r="V167" i="20"/>
  <c r="U167" i="20"/>
  <c r="R167" i="20"/>
  <c r="Q167" i="20"/>
  <c r="N167" i="20"/>
  <c r="F167" i="20"/>
  <c r="AI166" i="20"/>
  <c r="AH166" i="20"/>
  <c r="AG166" i="20"/>
  <c r="AF166" i="20"/>
  <c r="AE166" i="20"/>
  <c r="AD166" i="20"/>
  <c r="AC166" i="20"/>
  <c r="AB166" i="20"/>
  <c r="Y166" i="20"/>
  <c r="V166" i="20"/>
  <c r="U166" i="20"/>
  <c r="R166" i="20"/>
  <c r="Q166" i="20"/>
  <c r="N166" i="20"/>
  <c r="F166" i="20"/>
  <c r="AI165" i="20"/>
  <c r="AH165" i="20"/>
  <c r="AG165" i="20"/>
  <c r="AF165" i="20"/>
  <c r="AE165" i="20"/>
  <c r="AD165" i="20"/>
  <c r="AC165" i="20"/>
  <c r="AB165" i="20"/>
  <c r="Y165" i="20"/>
  <c r="V165" i="20"/>
  <c r="U165" i="20"/>
  <c r="R165" i="20"/>
  <c r="Q165" i="20"/>
  <c r="N165" i="20"/>
  <c r="F165" i="20"/>
  <c r="AI164" i="20"/>
  <c r="AH164" i="20"/>
  <c r="AG164" i="20"/>
  <c r="AF164" i="20"/>
  <c r="AE164" i="20"/>
  <c r="AD164" i="20"/>
  <c r="AC164" i="20"/>
  <c r="AB164" i="20"/>
  <c r="Y164" i="20"/>
  <c r="V164" i="20"/>
  <c r="U164" i="20"/>
  <c r="R164" i="20"/>
  <c r="Q164" i="20"/>
  <c r="N164" i="20"/>
  <c r="F164" i="20"/>
  <c r="AI163" i="20"/>
  <c r="AH163" i="20"/>
  <c r="AG163" i="20"/>
  <c r="AF163" i="20"/>
  <c r="AE163" i="20"/>
  <c r="AD163" i="20"/>
  <c r="AC163" i="20"/>
  <c r="AB163" i="20"/>
  <c r="Y163" i="20"/>
  <c r="V163" i="20"/>
  <c r="U163" i="20"/>
  <c r="R163" i="20"/>
  <c r="Q163" i="20"/>
  <c r="N163" i="20"/>
  <c r="F163" i="20"/>
  <c r="AI162" i="20"/>
  <c r="AH162" i="20"/>
  <c r="AG162" i="20"/>
  <c r="AF162" i="20"/>
  <c r="AE162" i="20"/>
  <c r="AD162" i="20"/>
  <c r="AC162" i="20"/>
  <c r="AB162" i="20"/>
  <c r="Y162" i="20"/>
  <c r="V162" i="20"/>
  <c r="U162" i="20"/>
  <c r="R162" i="20"/>
  <c r="Q162" i="20"/>
  <c r="N162" i="20"/>
  <c r="F162" i="20"/>
  <c r="AI161" i="20"/>
  <c r="AH161" i="20"/>
  <c r="AG161" i="20"/>
  <c r="AF161" i="20"/>
  <c r="AE161" i="20"/>
  <c r="AD161" i="20"/>
  <c r="AC161" i="20"/>
  <c r="AB161" i="20"/>
  <c r="Y161" i="20"/>
  <c r="V161" i="20"/>
  <c r="U161" i="20"/>
  <c r="R161" i="20"/>
  <c r="Q161" i="20"/>
  <c r="N161" i="20"/>
  <c r="F161" i="20"/>
  <c r="AI160" i="20"/>
  <c r="AH160" i="20"/>
  <c r="AG160" i="20"/>
  <c r="AF160" i="20"/>
  <c r="AE160" i="20"/>
  <c r="AD160" i="20"/>
  <c r="AC160" i="20"/>
  <c r="AB160" i="20"/>
  <c r="Y160" i="20"/>
  <c r="V160" i="20"/>
  <c r="U160" i="20"/>
  <c r="R160" i="20"/>
  <c r="Q160" i="20"/>
  <c r="N160" i="20"/>
  <c r="F160" i="20"/>
  <c r="AI159" i="20"/>
  <c r="AH159" i="20"/>
  <c r="AG159" i="20"/>
  <c r="AF159" i="20"/>
  <c r="AE159" i="20"/>
  <c r="AD159" i="20"/>
  <c r="AC159" i="20"/>
  <c r="AB159" i="20"/>
  <c r="Y159" i="20"/>
  <c r="V159" i="20"/>
  <c r="U159" i="20"/>
  <c r="R159" i="20"/>
  <c r="Q159" i="20"/>
  <c r="N159" i="20"/>
  <c r="F159" i="20"/>
  <c r="AI158" i="20"/>
  <c r="AH158" i="20"/>
  <c r="AG158" i="20"/>
  <c r="AF158" i="20"/>
  <c r="AE158" i="20"/>
  <c r="AD158" i="20"/>
  <c r="AC158" i="20"/>
  <c r="AB158" i="20"/>
  <c r="Y158" i="20"/>
  <c r="V158" i="20"/>
  <c r="U158" i="20"/>
  <c r="R158" i="20"/>
  <c r="Q158" i="20"/>
  <c r="N158" i="20"/>
  <c r="F158" i="20"/>
  <c r="AI157" i="20"/>
  <c r="AH157" i="20"/>
  <c r="AG157" i="20"/>
  <c r="AF157" i="20"/>
  <c r="AE157" i="20"/>
  <c r="AD157" i="20"/>
  <c r="AC157" i="20"/>
  <c r="AB157" i="20"/>
  <c r="Y157" i="20"/>
  <c r="V157" i="20"/>
  <c r="U157" i="20"/>
  <c r="R157" i="20"/>
  <c r="Q157" i="20"/>
  <c r="N157" i="20"/>
  <c r="F157" i="20"/>
  <c r="AI156" i="20"/>
  <c r="AH156" i="20"/>
  <c r="AG156" i="20"/>
  <c r="AF156" i="20"/>
  <c r="AE156" i="20"/>
  <c r="AD156" i="20"/>
  <c r="AC156" i="20"/>
  <c r="AB156" i="20"/>
  <c r="Y156" i="20"/>
  <c r="V156" i="20"/>
  <c r="U156" i="20"/>
  <c r="R156" i="20"/>
  <c r="Q156" i="20"/>
  <c r="N156" i="20"/>
  <c r="F156" i="20"/>
  <c r="AI155" i="20"/>
  <c r="AH155" i="20"/>
  <c r="AG155" i="20"/>
  <c r="AF155" i="20"/>
  <c r="AE155" i="20"/>
  <c r="AD155" i="20"/>
  <c r="AC155" i="20"/>
  <c r="AB155" i="20"/>
  <c r="Y155" i="20"/>
  <c r="V155" i="20"/>
  <c r="U155" i="20"/>
  <c r="R155" i="20"/>
  <c r="Q155" i="20"/>
  <c r="N155" i="20"/>
  <c r="F155" i="20"/>
  <c r="AI154" i="20"/>
  <c r="AH154" i="20"/>
  <c r="AG154" i="20"/>
  <c r="AF154" i="20"/>
  <c r="AE154" i="20"/>
  <c r="AD154" i="20"/>
  <c r="AC154" i="20"/>
  <c r="AB154" i="20"/>
  <c r="Y154" i="20"/>
  <c r="V154" i="20"/>
  <c r="U154" i="20"/>
  <c r="R154" i="20"/>
  <c r="Q154" i="20"/>
  <c r="N154" i="20"/>
  <c r="F154" i="20"/>
  <c r="AI153" i="20"/>
  <c r="AH153" i="20"/>
  <c r="AG153" i="20"/>
  <c r="AF153" i="20"/>
  <c r="AE153" i="20"/>
  <c r="AD153" i="20"/>
  <c r="AC153" i="20"/>
  <c r="AB153" i="20"/>
  <c r="Y153" i="20"/>
  <c r="V153" i="20"/>
  <c r="U153" i="20"/>
  <c r="R153" i="20"/>
  <c r="Q153" i="20"/>
  <c r="N153" i="20"/>
  <c r="F153" i="20"/>
  <c r="AI152" i="20"/>
  <c r="AH152" i="20"/>
  <c r="AG152" i="20"/>
  <c r="AF152" i="20"/>
  <c r="AE152" i="20"/>
  <c r="AD152" i="20"/>
  <c r="AC152" i="20"/>
  <c r="AB152" i="20"/>
  <c r="Y152" i="20"/>
  <c r="V152" i="20"/>
  <c r="U152" i="20"/>
  <c r="R152" i="20"/>
  <c r="Q152" i="20"/>
  <c r="N152" i="20"/>
  <c r="F152" i="20"/>
  <c r="AI151" i="20"/>
  <c r="AH151" i="20"/>
  <c r="AG151" i="20"/>
  <c r="AF151" i="20"/>
  <c r="AE151" i="20"/>
  <c r="AD151" i="20"/>
  <c r="AC151" i="20"/>
  <c r="AB151" i="20"/>
  <c r="Y151" i="20"/>
  <c r="V151" i="20"/>
  <c r="U151" i="20"/>
  <c r="R151" i="20"/>
  <c r="Q151" i="20"/>
  <c r="N151" i="20"/>
  <c r="F151" i="20"/>
  <c r="AI150" i="20"/>
  <c r="AH150" i="20"/>
  <c r="AG150" i="20"/>
  <c r="AF150" i="20"/>
  <c r="AE150" i="20"/>
  <c r="AD150" i="20"/>
  <c r="AC150" i="20"/>
  <c r="AB150" i="20"/>
  <c r="Y150" i="20"/>
  <c r="V150" i="20"/>
  <c r="U150" i="20"/>
  <c r="R150" i="20"/>
  <c r="Q150" i="20"/>
  <c r="N150" i="20"/>
  <c r="F150" i="20"/>
  <c r="AI149" i="20"/>
  <c r="AH149" i="20"/>
  <c r="AG149" i="20"/>
  <c r="AF149" i="20"/>
  <c r="AE149" i="20"/>
  <c r="AD149" i="20"/>
  <c r="AC149" i="20"/>
  <c r="AB149" i="20"/>
  <c r="Y149" i="20"/>
  <c r="V149" i="20"/>
  <c r="U149" i="20"/>
  <c r="R149" i="20"/>
  <c r="Q149" i="20"/>
  <c r="N149" i="20"/>
  <c r="F149" i="20"/>
  <c r="AI148" i="20"/>
  <c r="AH148" i="20"/>
  <c r="AG148" i="20"/>
  <c r="AF148" i="20"/>
  <c r="AE148" i="20"/>
  <c r="AD148" i="20"/>
  <c r="AC148" i="20"/>
  <c r="AB148" i="20"/>
  <c r="Y148" i="20"/>
  <c r="V148" i="20"/>
  <c r="U148" i="20"/>
  <c r="R148" i="20"/>
  <c r="Q148" i="20"/>
  <c r="N148" i="20"/>
  <c r="F148" i="20"/>
  <c r="AI147" i="20"/>
  <c r="AH147" i="20"/>
  <c r="AG147" i="20"/>
  <c r="AF147" i="20"/>
  <c r="AE147" i="20"/>
  <c r="AD147" i="20"/>
  <c r="AC147" i="20"/>
  <c r="AB147" i="20"/>
  <c r="Y147" i="20"/>
  <c r="V147" i="20"/>
  <c r="U147" i="20"/>
  <c r="R147" i="20"/>
  <c r="Q147" i="20"/>
  <c r="N147" i="20"/>
  <c r="F147" i="20"/>
  <c r="AI146" i="20"/>
  <c r="AH146" i="20"/>
  <c r="AG146" i="20"/>
  <c r="AF146" i="20"/>
  <c r="AE146" i="20"/>
  <c r="AD146" i="20"/>
  <c r="AC146" i="20"/>
  <c r="AB146" i="20"/>
  <c r="Y146" i="20"/>
  <c r="V146" i="20"/>
  <c r="U146" i="20"/>
  <c r="R146" i="20"/>
  <c r="Q146" i="20"/>
  <c r="N146" i="20"/>
  <c r="F146" i="20"/>
  <c r="AI145" i="20"/>
  <c r="AH145" i="20"/>
  <c r="AG145" i="20"/>
  <c r="AF145" i="20"/>
  <c r="AE145" i="20"/>
  <c r="AD145" i="20"/>
  <c r="AC145" i="20"/>
  <c r="AB145" i="20"/>
  <c r="Y145" i="20"/>
  <c r="V145" i="20"/>
  <c r="U145" i="20"/>
  <c r="R145" i="20"/>
  <c r="Q145" i="20"/>
  <c r="N145" i="20"/>
  <c r="F145" i="20"/>
  <c r="AI144" i="20"/>
  <c r="AH144" i="20"/>
  <c r="AG144" i="20"/>
  <c r="AF144" i="20"/>
  <c r="AE144" i="20"/>
  <c r="AD144" i="20"/>
  <c r="AC144" i="20"/>
  <c r="AB144" i="20"/>
  <c r="Y144" i="20"/>
  <c r="V144" i="20"/>
  <c r="U144" i="20"/>
  <c r="R144" i="20"/>
  <c r="Q144" i="20"/>
  <c r="N144" i="20"/>
  <c r="F144" i="20"/>
  <c r="AI143" i="20"/>
  <c r="AH143" i="20"/>
  <c r="AG143" i="20"/>
  <c r="AF143" i="20"/>
  <c r="AE143" i="20"/>
  <c r="AD143" i="20"/>
  <c r="AC143" i="20"/>
  <c r="AB143" i="20"/>
  <c r="Y143" i="20"/>
  <c r="V143" i="20"/>
  <c r="U143" i="20"/>
  <c r="R143" i="20"/>
  <c r="Q143" i="20"/>
  <c r="N143" i="20"/>
  <c r="F143" i="20"/>
  <c r="AI142" i="20"/>
  <c r="AH142" i="20"/>
  <c r="AG142" i="20"/>
  <c r="AF142" i="20"/>
  <c r="AE142" i="20"/>
  <c r="AD142" i="20"/>
  <c r="AC142" i="20"/>
  <c r="AB142" i="20"/>
  <c r="Y142" i="20"/>
  <c r="V142" i="20"/>
  <c r="U142" i="20"/>
  <c r="R142" i="20"/>
  <c r="Q142" i="20"/>
  <c r="N142" i="20"/>
  <c r="F142" i="20"/>
  <c r="AI141" i="20"/>
  <c r="AH141" i="20"/>
  <c r="AG141" i="20"/>
  <c r="AF141" i="20"/>
  <c r="AE141" i="20"/>
  <c r="AD141" i="20"/>
  <c r="AC141" i="20"/>
  <c r="AB141" i="20"/>
  <c r="Y141" i="20"/>
  <c r="V141" i="20"/>
  <c r="U141" i="20"/>
  <c r="R141" i="20"/>
  <c r="Q141" i="20"/>
  <c r="N141" i="20"/>
  <c r="F141" i="20"/>
  <c r="AI140" i="20"/>
  <c r="AH140" i="20"/>
  <c r="AG140" i="20"/>
  <c r="AF140" i="20"/>
  <c r="AE140" i="20"/>
  <c r="AD140" i="20"/>
  <c r="AC140" i="20"/>
  <c r="AB140" i="20"/>
  <c r="Y140" i="20"/>
  <c r="V140" i="20"/>
  <c r="U140" i="20"/>
  <c r="R140" i="20"/>
  <c r="Q140" i="20"/>
  <c r="N140" i="20"/>
  <c r="F140" i="20"/>
  <c r="AI139" i="20"/>
  <c r="AH139" i="20"/>
  <c r="AG139" i="20"/>
  <c r="AF139" i="20"/>
  <c r="AE139" i="20"/>
  <c r="AD139" i="20"/>
  <c r="AC139" i="20"/>
  <c r="AB139" i="20"/>
  <c r="Y139" i="20"/>
  <c r="V139" i="20"/>
  <c r="U139" i="20"/>
  <c r="R139" i="20"/>
  <c r="Q139" i="20"/>
  <c r="N139" i="20"/>
  <c r="F139" i="20"/>
  <c r="AI138" i="20"/>
  <c r="AH138" i="20"/>
  <c r="AG138" i="20"/>
  <c r="AF138" i="20"/>
  <c r="AE138" i="20"/>
  <c r="AD138" i="20"/>
  <c r="AC138" i="20"/>
  <c r="AB138" i="20"/>
  <c r="Y138" i="20"/>
  <c r="V138" i="20"/>
  <c r="U138" i="20"/>
  <c r="R138" i="20"/>
  <c r="Q138" i="20"/>
  <c r="N138" i="20"/>
  <c r="F138" i="20"/>
  <c r="AI137" i="20"/>
  <c r="AH137" i="20"/>
  <c r="AG137" i="20"/>
  <c r="AF137" i="20"/>
  <c r="AE137" i="20"/>
  <c r="AD137" i="20"/>
  <c r="AC137" i="20"/>
  <c r="AB137" i="20"/>
  <c r="Y137" i="20"/>
  <c r="V137" i="20"/>
  <c r="U137" i="20"/>
  <c r="R137" i="20"/>
  <c r="Q137" i="20"/>
  <c r="N137" i="20"/>
  <c r="F137" i="20"/>
  <c r="AI136" i="20"/>
  <c r="AH136" i="20"/>
  <c r="AG136" i="20"/>
  <c r="AF136" i="20"/>
  <c r="AE136" i="20"/>
  <c r="AD136" i="20"/>
  <c r="AC136" i="20"/>
  <c r="AB136" i="20"/>
  <c r="Y136" i="20"/>
  <c r="V136" i="20"/>
  <c r="U136" i="20"/>
  <c r="R136" i="20"/>
  <c r="Q136" i="20"/>
  <c r="N136" i="20"/>
  <c r="F136" i="20"/>
  <c r="AI135" i="20"/>
  <c r="AH135" i="20"/>
  <c r="AG135" i="20"/>
  <c r="AF135" i="20"/>
  <c r="AE135" i="20"/>
  <c r="AD135" i="20"/>
  <c r="AC135" i="20"/>
  <c r="AB135" i="20"/>
  <c r="Y135" i="20"/>
  <c r="V135" i="20"/>
  <c r="U135" i="20"/>
  <c r="R135" i="20"/>
  <c r="Q135" i="20"/>
  <c r="N135" i="20"/>
  <c r="F135" i="20"/>
  <c r="AI134" i="20"/>
  <c r="AH134" i="20"/>
  <c r="AG134" i="20"/>
  <c r="AF134" i="20"/>
  <c r="AE134" i="20"/>
  <c r="AD134" i="20"/>
  <c r="AC134" i="20"/>
  <c r="AB134" i="20"/>
  <c r="Y134" i="20"/>
  <c r="V134" i="20"/>
  <c r="U134" i="20"/>
  <c r="R134" i="20"/>
  <c r="Q134" i="20"/>
  <c r="N134" i="20"/>
  <c r="F134" i="20"/>
  <c r="AI133" i="20"/>
  <c r="AH133" i="20"/>
  <c r="AG133" i="20"/>
  <c r="AF133" i="20"/>
  <c r="AE133" i="20"/>
  <c r="AD133" i="20"/>
  <c r="AC133" i="20"/>
  <c r="AB133" i="20"/>
  <c r="Y133" i="20"/>
  <c r="V133" i="20"/>
  <c r="U133" i="20"/>
  <c r="R133" i="20"/>
  <c r="Q133" i="20"/>
  <c r="N133" i="20"/>
  <c r="F133" i="20"/>
  <c r="AI132" i="20"/>
  <c r="AH132" i="20"/>
  <c r="AG132" i="20"/>
  <c r="AF132" i="20"/>
  <c r="AE132" i="20"/>
  <c r="AD132" i="20"/>
  <c r="AC132" i="20"/>
  <c r="AB132" i="20"/>
  <c r="Y132" i="20"/>
  <c r="V132" i="20"/>
  <c r="U132" i="20"/>
  <c r="R132" i="20"/>
  <c r="Q132" i="20"/>
  <c r="N132" i="20"/>
  <c r="F132" i="20"/>
  <c r="AI131" i="20"/>
  <c r="AH131" i="20"/>
  <c r="AG131" i="20"/>
  <c r="AF131" i="20"/>
  <c r="AE131" i="20"/>
  <c r="AD131" i="20"/>
  <c r="AC131" i="20"/>
  <c r="AB131" i="20"/>
  <c r="Y131" i="20"/>
  <c r="V131" i="20"/>
  <c r="U131" i="20"/>
  <c r="R131" i="20"/>
  <c r="Q131" i="20"/>
  <c r="N131" i="20"/>
  <c r="F131" i="20"/>
  <c r="AI130" i="20"/>
  <c r="AH130" i="20"/>
  <c r="AG130" i="20"/>
  <c r="AF130" i="20"/>
  <c r="AE130" i="20"/>
  <c r="AD130" i="20"/>
  <c r="AC130" i="20"/>
  <c r="AB130" i="20"/>
  <c r="Y130" i="20"/>
  <c r="V130" i="20"/>
  <c r="U130" i="20"/>
  <c r="R130" i="20"/>
  <c r="Q130" i="20"/>
  <c r="N130" i="20"/>
  <c r="AI129" i="20"/>
  <c r="AH129" i="20"/>
  <c r="AG129" i="20"/>
  <c r="AF129" i="20"/>
  <c r="AE129" i="20"/>
  <c r="AD129" i="20"/>
  <c r="AC129" i="20"/>
  <c r="AB129" i="20"/>
  <c r="Y129" i="20"/>
  <c r="V129" i="20"/>
  <c r="U129" i="20"/>
  <c r="R129" i="20"/>
  <c r="Q129" i="20"/>
  <c r="N129" i="20"/>
  <c r="AI128" i="20"/>
  <c r="AH128" i="20"/>
  <c r="AG128" i="20"/>
  <c r="AF128" i="20"/>
  <c r="AE128" i="20"/>
  <c r="AD128" i="20"/>
  <c r="AC128" i="20"/>
  <c r="AB128" i="20"/>
  <c r="Y128" i="20"/>
  <c r="V128" i="20"/>
  <c r="U128" i="20"/>
  <c r="R128" i="20"/>
  <c r="Q128" i="20"/>
  <c r="N128" i="20"/>
  <c r="AI127" i="20"/>
  <c r="AH127" i="20"/>
  <c r="AG127" i="20"/>
  <c r="AF127" i="20"/>
  <c r="AE127" i="20"/>
  <c r="AD127" i="20"/>
  <c r="AC127" i="20"/>
  <c r="AB127" i="20"/>
  <c r="Y127" i="20"/>
  <c r="V127" i="20"/>
  <c r="U127" i="20"/>
  <c r="R127" i="20"/>
  <c r="Q127" i="20"/>
  <c r="N127" i="20"/>
  <c r="AI126" i="20"/>
  <c r="AH126" i="20"/>
  <c r="AG126" i="20"/>
  <c r="AF126" i="20"/>
  <c r="AE126" i="20"/>
  <c r="AD126" i="20"/>
  <c r="AC126" i="20"/>
  <c r="AB126" i="20"/>
  <c r="Y126" i="20"/>
  <c r="V126" i="20"/>
  <c r="U126" i="20"/>
  <c r="R126" i="20"/>
  <c r="Q126" i="20"/>
  <c r="N126" i="20"/>
  <c r="AI125" i="20"/>
  <c r="AH125" i="20"/>
  <c r="AG125" i="20"/>
  <c r="AF125" i="20"/>
  <c r="AE125" i="20"/>
  <c r="AD125" i="20"/>
  <c r="AC125" i="20"/>
  <c r="AB125" i="20"/>
  <c r="Y125" i="20"/>
  <c r="V125" i="20"/>
  <c r="U125" i="20"/>
  <c r="R125" i="20"/>
  <c r="Q125" i="20"/>
  <c r="N125" i="20"/>
  <c r="AI124" i="20"/>
  <c r="AH124" i="20"/>
  <c r="AG124" i="20"/>
  <c r="AF124" i="20"/>
  <c r="AE124" i="20"/>
  <c r="AD124" i="20"/>
  <c r="AC124" i="20"/>
  <c r="AB124" i="20"/>
  <c r="Y124" i="20"/>
  <c r="V124" i="20"/>
  <c r="U124" i="20"/>
  <c r="R124" i="20"/>
  <c r="Q124" i="20"/>
  <c r="N124" i="20"/>
  <c r="AI123" i="20"/>
  <c r="AH123" i="20"/>
  <c r="AG123" i="20"/>
  <c r="AF123" i="20"/>
  <c r="AE123" i="20"/>
  <c r="AD123" i="20"/>
  <c r="AC123" i="20"/>
  <c r="AB123" i="20"/>
  <c r="Y123" i="20"/>
  <c r="V123" i="20"/>
  <c r="U123" i="20"/>
  <c r="R123" i="20"/>
  <c r="Q123" i="20"/>
  <c r="N123" i="20"/>
  <c r="D123" i="20"/>
  <c r="AI122" i="20"/>
  <c r="AH122" i="20"/>
  <c r="AG122" i="20"/>
  <c r="AF122" i="20"/>
  <c r="AE122" i="20"/>
  <c r="AD122" i="20"/>
  <c r="AC122" i="20"/>
  <c r="AB122" i="20"/>
  <c r="Y122" i="20"/>
  <c r="V122" i="20"/>
  <c r="U122" i="20"/>
  <c r="R122" i="20"/>
  <c r="Q122" i="20"/>
  <c r="N122" i="20"/>
  <c r="AI121" i="20"/>
  <c r="AH121" i="20"/>
  <c r="AG121" i="20"/>
  <c r="AF121" i="20"/>
  <c r="AE121" i="20"/>
  <c r="AD121" i="20"/>
  <c r="AC121" i="20"/>
  <c r="AB121" i="20"/>
  <c r="Y121" i="20"/>
  <c r="V121" i="20"/>
  <c r="U121" i="20"/>
  <c r="R121" i="20"/>
  <c r="Q121" i="20"/>
  <c r="N121" i="20"/>
  <c r="AI120" i="20"/>
  <c r="AH120" i="20"/>
  <c r="AG120" i="20"/>
  <c r="AF120" i="20"/>
  <c r="AE120" i="20"/>
  <c r="AD120" i="20"/>
  <c r="AC120" i="20"/>
  <c r="AB120" i="20"/>
  <c r="Y120" i="20"/>
  <c r="V120" i="20"/>
  <c r="U120" i="20"/>
  <c r="R120" i="20"/>
  <c r="Q120" i="20"/>
  <c r="N120" i="20"/>
  <c r="AI119" i="20"/>
  <c r="AH119" i="20"/>
  <c r="AG119" i="20"/>
  <c r="AF119" i="20"/>
  <c r="AE119" i="20"/>
  <c r="AD119" i="20"/>
  <c r="AC119" i="20"/>
  <c r="AB119" i="20"/>
  <c r="Y119" i="20"/>
  <c r="V119" i="20"/>
  <c r="U119" i="20"/>
  <c r="R119" i="20"/>
  <c r="Q119" i="20"/>
  <c r="N119" i="20"/>
  <c r="AI118" i="20"/>
  <c r="AH118" i="20"/>
  <c r="AG118" i="20"/>
  <c r="AF118" i="20"/>
  <c r="AE118" i="20"/>
  <c r="AD118" i="20"/>
  <c r="AC118" i="20"/>
  <c r="AB118" i="20"/>
  <c r="Y118" i="20"/>
  <c r="V118" i="20"/>
  <c r="U118" i="20"/>
  <c r="R118" i="20"/>
  <c r="Q118" i="20"/>
  <c r="N118" i="20"/>
  <c r="AI117" i="20"/>
  <c r="AH117" i="20"/>
  <c r="AG117" i="20"/>
  <c r="AF117" i="20"/>
  <c r="AE117" i="20"/>
  <c r="AD117" i="20"/>
  <c r="AC117" i="20"/>
  <c r="AB117" i="20"/>
  <c r="Y117" i="20"/>
  <c r="V117" i="20"/>
  <c r="U117" i="20"/>
  <c r="R117" i="20"/>
  <c r="Q117" i="20"/>
  <c r="N117" i="20"/>
  <c r="AI116" i="20"/>
  <c r="AH116" i="20"/>
  <c r="AG116" i="20"/>
  <c r="AF116" i="20"/>
  <c r="AE116" i="20"/>
  <c r="AD116" i="20"/>
  <c r="AC116" i="20"/>
  <c r="AB116" i="20"/>
  <c r="Y116" i="20"/>
  <c r="V116" i="20"/>
  <c r="U116" i="20"/>
  <c r="R116" i="20"/>
  <c r="Q116" i="20"/>
  <c r="N116" i="20"/>
  <c r="AI115" i="20"/>
  <c r="AH115" i="20"/>
  <c r="AG115" i="20"/>
  <c r="AF115" i="20"/>
  <c r="AE115" i="20"/>
  <c r="AD115" i="20"/>
  <c r="AC115" i="20"/>
  <c r="AB115" i="20"/>
  <c r="Y115" i="20"/>
  <c r="V115" i="20"/>
  <c r="U115" i="20"/>
  <c r="R115" i="20"/>
  <c r="Q115" i="20"/>
  <c r="N115" i="20"/>
  <c r="AI114" i="20"/>
  <c r="AH114" i="20"/>
  <c r="AG114" i="20"/>
  <c r="AF114" i="20"/>
  <c r="AE114" i="20"/>
  <c r="AD114" i="20"/>
  <c r="AC114" i="20"/>
  <c r="AB114" i="20"/>
  <c r="Y114" i="20"/>
  <c r="V114" i="20"/>
  <c r="U114" i="20"/>
  <c r="R114" i="20"/>
  <c r="Q114" i="20"/>
  <c r="N114" i="20"/>
  <c r="AI113" i="20"/>
  <c r="AH113" i="20"/>
  <c r="AG113" i="20"/>
  <c r="AF113" i="20"/>
  <c r="AE113" i="20"/>
  <c r="AD113" i="20"/>
  <c r="AC113" i="20"/>
  <c r="AB113" i="20"/>
  <c r="Y113" i="20"/>
  <c r="V113" i="20"/>
  <c r="U113" i="20"/>
  <c r="R113" i="20"/>
  <c r="Q113" i="20"/>
  <c r="N113" i="20"/>
  <c r="AI112" i="20"/>
  <c r="AH112" i="20"/>
  <c r="AG112" i="20"/>
  <c r="AF112" i="20"/>
  <c r="AE112" i="20"/>
  <c r="AD112" i="20"/>
  <c r="AC112" i="20"/>
  <c r="AB112" i="20"/>
  <c r="Y112" i="20"/>
  <c r="V112" i="20"/>
  <c r="U112" i="20"/>
  <c r="R112" i="20"/>
  <c r="Q112" i="20"/>
  <c r="N112" i="20"/>
  <c r="AI111" i="20"/>
  <c r="AH111" i="20"/>
  <c r="AG111" i="20"/>
  <c r="AF111" i="20"/>
  <c r="AE111" i="20"/>
  <c r="AD111" i="20"/>
  <c r="AC111" i="20"/>
  <c r="AB111" i="20"/>
  <c r="Y111" i="20"/>
  <c r="V111" i="20"/>
  <c r="U111" i="20"/>
  <c r="R111" i="20"/>
  <c r="Q111" i="20"/>
  <c r="N111" i="20"/>
  <c r="AI110" i="20"/>
  <c r="AH110" i="20"/>
  <c r="AG110" i="20"/>
  <c r="AF110" i="20"/>
  <c r="AE110" i="20"/>
  <c r="AD110" i="20"/>
  <c r="AC110" i="20"/>
  <c r="AB110" i="20"/>
  <c r="Y110" i="20"/>
  <c r="V110" i="20"/>
  <c r="U110" i="20"/>
  <c r="R110" i="20"/>
  <c r="Q110" i="20"/>
  <c r="N110" i="20"/>
  <c r="AI109" i="20"/>
  <c r="AH109" i="20"/>
  <c r="AG109" i="20"/>
  <c r="AF109" i="20"/>
  <c r="AE109" i="20"/>
  <c r="AD109" i="20"/>
  <c r="AC109" i="20"/>
  <c r="AB109" i="20"/>
  <c r="Y109" i="20"/>
  <c r="V109" i="20"/>
  <c r="U109" i="20"/>
  <c r="R109" i="20"/>
  <c r="Q109" i="20"/>
  <c r="N109" i="20"/>
  <c r="AI108" i="20"/>
  <c r="AH108" i="20"/>
  <c r="AG108" i="20"/>
  <c r="AF108" i="20"/>
  <c r="AE108" i="20"/>
  <c r="AD108" i="20"/>
  <c r="AC108" i="20"/>
  <c r="AB108" i="20"/>
  <c r="Y108" i="20"/>
  <c r="V108" i="20"/>
  <c r="U108" i="20"/>
  <c r="R108" i="20"/>
  <c r="Q108" i="20"/>
  <c r="N108" i="20"/>
  <c r="G108" i="20"/>
  <c r="AI107" i="20"/>
  <c r="AH107" i="20"/>
  <c r="AG107" i="20"/>
  <c r="AF107" i="20"/>
  <c r="AE107" i="20"/>
  <c r="AD107" i="20"/>
  <c r="AC107" i="20"/>
  <c r="AB107" i="20"/>
  <c r="Y107" i="20"/>
  <c r="V107" i="20"/>
  <c r="U107" i="20"/>
  <c r="R107" i="20"/>
  <c r="Q107" i="20"/>
  <c r="N107" i="20"/>
  <c r="D107" i="20"/>
  <c r="C107" i="20"/>
  <c r="AI106" i="20"/>
  <c r="AH106" i="20"/>
  <c r="AG106" i="20"/>
  <c r="AF106" i="20"/>
  <c r="AE106" i="20"/>
  <c r="AD106" i="20"/>
  <c r="AC106" i="20"/>
  <c r="AB106" i="20"/>
  <c r="Y106" i="20"/>
  <c r="V106" i="20"/>
  <c r="U106" i="20"/>
  <c r="R106" i="20"/>
  <c r="Q106" i="20"/>
  <c r="N106" i="20"/>
  <c r="AI105" i="20"/>
  <c r="AH105" i="20"/>
  <c r="AG105" i="20"/>
  <c r="AF105" i="20"/>
  <c r="AE105" i="20"/>
  <c r="AD105" i="20"/>
  <c r="AC105" i="20"/>
  <c r="AB105" i="20"/>
  <c r="Y105" i="20"/>
  <c r="V105" i="20"/>
  <c r="U105" i="20"/>
  <c r="R105" i="20"/>
  <c r="Q105" i="20"/>
  <c r="N105" i="20"/>
  <c r="AI104" i="20"/>
  <c r="AH104" i="20"/>
  <c r="AG104" i="20"/>
  <c r="AF104" i="20"/>
  <c r="AE104" i="20"/>
  <c r="AD104" i="20"/>
  <c r="AC104" i="20"/>
  <c r="AB104" i="20"/>
  <c r="Y104" i="20"/>
  <c r="V104" i="20"/>
  <c r="U104" i="20"/>
  <c r="R104" i="20"/>
  <c r="Q104" i="20"/>
  <c r="N104" i="20"/>
  <c r="AI103" i="20"/>
  <c r="AH103" i="20"/>
  <c r="AG103" i="20"/>
  <c r="AF103" i="20"/>
  <c r="AE103" i="20"/>
  <c r="AD103" i="20"/>
  <c r="AC103" i="20"/>
  <c r="AB103" i="20"/>
  <c r="Y103" i="20"/>
  <c r="V103" i="20"/>
  <c r="U103" i="20"/>
  <c r="R103" i="20"/>
  <c r="Q103" i="20"/>
  <c r="N103" i="20"/>
  <c r="AI102" i="20"/>
  <c r="AH102" i="20"/>
  <c r="AG102" i="20"/>
  <c r="AF102" i="20"/>
  <c r="AE102" i="20"/>
  <c r="AD102" i="20"/>
  <c r="AC102" i="20"/>
  <c r="AB102" i="20"/>
  <c r="Y102" i="20"/>
  <c r="V102" i="20"/>
  <c r="U102" i="20"/>
  <c r="R102" i="20"/>
  <c r="Q102" i="20"/>
  <c r="N102" i="20"/>
  <c r="AI101" i="20"/>
  <c r="AH101" i="20"/>
  <c r="AG101" i="20"/>
  <c r="AF101" i="20"/>
  <c r="AE101" i="20"/>
  <c r="AD101" i="20"/>
  <c r="AC101" i="20"/>
  <c r="AB101" i="20"/>
  <c r="Y101" i="20"/>
  <c r="V101" i="20"/>
  <c r="U101" i="20"/>
  <c r="R101" i="20"/>
  <c r="Q101" i="20"/>
  <c r="N101" i="20"/>
  <c r="AI100" i="20"/>
  <c r="AH100" i="20"/>
  <c r="AG100" i="20"/>
  <c r="AF100" i="20"/>
  <c r="AE100" i="20"/>
  <c r="AD100" i="20"/>
  <c r="AC100" i="20"/>
  <c r="AB100" i="20"/>
  <c r="Y100" i="20"/>
  <c r="V100" i="20"/>
  <c r="U100" i="20"/>
  <c r="R100" i="20"/>
  <c r="Q100" i="20"/>
  <c r="N100" i="20"/>
  <c r="AI99" i="20"/>
  <c r="AH99" i="20"/>
  <c r="AG99" i="20"/>
  <c r="AF99" i="20"/>
  <c r="AE99" i="20"/>
  <c r="AD99" i="20"/>
  <c r="AC99" i="20"/>
  <c r="AB99" i="20"/>
  <c r="Y99" i="20"/>
  <c r="V99" i="20"/>
  <c r="U99" i="20"/>
  <c r="R99" i="20"/>
  <c r="Q99" i="20"/>
  <c r="N99" i="20"/>
  <c r="AI98" i="20"/>
  <c r="AH98" i="20"/>
  <c r="AG98" i="20"/>
  <c r="AF98" i="20"/>
  <c r="AE98" i="20"/>
  <c r="AD98" i="20"/>
  <c r="AC98" i="20"/>
  <c r="AB98" i="20"/>
  <c r="Y98" i="20"/>
  <c r="V98" i="20"/>
  <c r="U98" i="20"/>
  <c r="R98" i="20"/>
  <c r="Q98" i="20"/>
  <c r="N98" i="20"/>
  <c r="AI97" i="20"/>
  <c r="AH97" i="20"/>
  <c r="AG97" i="20"/>
  <c r="AF97" i="20"/>
  <c r="AE97" i="20"/>
  <c r="AD97" i="20"/>
  <c r="AC97" i="20"/>
  <c r="AB97" i="20"/>
  <c r="Y97" i="20"/>
  <c r="V97" i="20"/>
  <c r="U97" i="20"/>
  <c r="R97" i="20"/>
  <c r="Q97" i="20"/>
  <c r="N97" i="20"/>
  <c r="AI96" i="20"/>
  <c r="AH96" i="20"/>
  <c r="AG96" i="20"/>
  <c r="AF96" i="20"/>
  <c r="AE96" i="20"/>
  <c r="AD96" i="20"/>
  <c r="AC96" i="20"/>
  <c r="AB96" i="20"/>
  <c r="Y96" i="20"/>
  <c r="V96" i="20"/>
  <c r="U96" i="20"/>
  <c r="R96" i="20"/>
  <c r="Q96" i="20"/>
  <c r="N96" i="20"/>
  <c r="N95" i="20"/>
  <c r="N94" i="20"/>
  <c r="F94" i="20"/>
  <c r="E94" i="20"/>
  <c r="B94" i="20"/>
  <c r="N93" i="20"/>
  <c r="F93" i="20"/>
  <c r="E93" i="20"/>
  <c r="N92" i="20"/>
  <c r="F92" i="20"/>
  <c r="E92" i="20"/>
  <c r="N91" i="20"/>
  <c r="F91" i="20"/>
  <c r="E91" i="20"/>
  <c r="N90" i="20"/>
  <c r="F90" i="20"/>
  <c r="E90" i="20"/>
  <c r="N89" i="20"/>
  <c r="F89" i="20"/>
  <c r="E89" i="20"/>
  <c r="N88" i="20"/>
  <c r="F88" i="20"/>
  <c r="E88" i="20"/>
  <c r="N87" i="20"/>
  <c r="F87" i="20"/>
  <c r="E87" i="20"/>
  <c r="N86" i="20"/>
  <c r="F86" i="20"/>
  <c r="E86" i="20"/>
  <c r="N85" i="20"/>
  <c r="F85" i="20"/>
  <c r="E85" i="20"/>
  <c r="N84" i="20"/>
  <c r="F84" i="20"/>
  <c r="E84" i="20"/>
  <c r="N83" i="20"/>
  <c r="F83" i="20"/>
  <c r="E83" i="20"/>
  <c r="N82" i="20"/>
  <c r="F82" i="20"/>
  <c r="E82" i="20"/>
  <c r="B82" i="20"/>
  <c r="AP21" i="20"/>
  <c r="N81" i="20"/>
  <c r="N80" i="20"/>
  <c r="N79" i="20"/>
  <c r="N78" i="20"/>
  <c r="N77" i="20"/>
  <c r="N76" i="20"/>
  <c r="N75" i="20"/>
  <c r="N74" i="20"/>
  <c r="N73" i="20"/>
  <c r="N72" i="20"/>
  <c r="N71" i="20"/>
  <c r="N70" i="20"/>
  <c r="N69" i="20"/>
  <c r="N68" i="20"/>
  <c r="N67" i="20"/>
  <c r="N66" i="20"/>
  <c r="N65" i="20"/>
  <c r="N64" i="20"/>
  <c r="N63" i="20"/>
  <c r="N62" i="20"/>
  <c r="N61" i="20"/>
  <c r="N60" i="20"/>
  <c r="N59" i="20"/>
  <c r="N58" i="20"/>
  <c r="N57" i="20"/>
  <c r="N56" i="20"/>
  <c r="N55" i="20"/>
  <c r="N54" i="20"/>
  <c r="N53" i="20"/>
  <c r="N52" i="20"/>
  <c r="N51" i="20"/>
  <c r="N50" i="20"/>
  <c r="N49" i="20"/>
  <c r="N48" i="20"/>
  <c r="N47" i="20"/>
  <c r="C93" i="20"/>
  <c r="H93" i="20"/>
  <c r="N46" i="20"/>
  <c r="N45" i="20"/>
  <c r="C92" i="20"/>
  <c r="N44" i="20"/>
  <c r="E44" i="20"/>
  <c r="F44" i="20"/>
  <c r="N43" i="20"/>
  <c r="C91" i="20"/>
  <c r="H91" i="20"/>
  <c r="N42" i="20"/>
  <c r="N41" i="20"/>
  <c r="C90" i="20"/>
  <c r="H90" i="20"/>
  <c r="N40" i="20"/>
  <c r="N39" i="20"/>
  <c r="E39" i="20"/>
  <c r="C89" i="20"/>
  <c r="H89" i="20"/>
  <c r="N38" i="20"/>
  <c r="N37" i="20"/>
  <c r="N36" i="20"/>
  <c r="N35" i="20"/>
  <c r="C87" i="20"/>
  <c r="N34" i="20"/>
  <c r="N33" i="20"/>
  <c r="C86" i="20"/>
  <c r="H86" i="20"/>
  <c r="N32" i="20"/>
  <c r="N31" i="20"/>
  <c r="N30" i="20"/>
  <c r="N29" i="20"/>
  <c r="C84" i="20"/>
  <c r="H84" i="20"/>
  <c r="N28" i="20"/>
  <c r="N27" i="20"/>
  <c r="C83" i="20"/>
  <c r="B83" i="20"/>
  <c r="N26" i="20"/>
  <c r="N25" i="20"/>
  <c r="C82" i="20"/>
  <c r="N24" i="20"/>
  <c r="N23" i="20"/>
  <c r="N22" i="20"/>
  <c r="N21" i="20"/>
  <c r="N20" i="20"/>
  <c r="F20" i="20"/>
  <c r="N19" i="20"/>
  <c r="F19" i="20"/>
  <c r="N18" i="20"/>
  <c r="N17" i="20"/>
  <c r="N16" i="20"/>
  <c r="V15" i="20"/>
  <c r="U15" i="20"/>
  <c r="N15" i="20"/>
  <c r="F15" i="20"/>
  <c r="U7" i="20"/>
  <c r="N14" i="20"/>
  <c r="V13" i="20"/>
  <c r="N13" i="20"/>
  <c r="F13" i="20"/>
  <c r="N12" i="20"/>
  <c r="N11" i="20"/>
  <c r="F11" i="20"/>
  <c r="U10" i="20"/>
  <c r="N10" i="20"/>
  <c r="F10" i="20"/>
  <c r="M16" i="20"/>
  <c r="N9" i="20"/>
  <c r="F9" i="20"/>
  <c r="D9" i="20"/>
  <c r="N8" i="20"/>
  <c r="F8" i="20"/>
  <c r="V7" i="20"/>
  <c r="N7" i="20"/>
  <c r="V6" i="20"/>
  <c r="N6" i="20"/>
  <c r="J6" i="20"/>
  <c r="K6" i="20"/>
  <c r="F6" i="20"/>
  <c r="V16" i="20"/>
  <c r="AI5" i="20"/>
  <c r="T5" i="20"/>
  <c r="S5" i="20"/>
  <c r="N5" i="20"/>
  <c r="F5" i="20"/>
  <c r="F20" i="21"/>
  <c r="F20" i="26"/>
  <c r="F20" i="19"/>
  <c r="E38" i="19" s="1"/>
  <c r="F38" i="19" s="1"/>
  <c r="G39" i="19" s="1"/>
  <c r="F20" i="18"/>
  <c r="F131" i="21"/>
  <c r="F132" i="21"/>
  <c r="F133" i="21"/>
  <c r="F134" i="21"/>
  <c r="F135" i="21"/>
  <c r="F136" i="21"/>
  <c r="F137" i="21"/>
  <c r="F138" i="21"/>
  <c r="F139" i="21"/>
  <c r="F140" i="21"/>
  <c r="F141" i="21"/>
  <c r="F142" i="21"/>
  <c r="F143" i="21"/>
  <c r="F144" i="21"/>
  <c r="F145" i="21"/>
  <c r="F146" i="21"/>
  <c r="F147" i="21"/>
  <c r="F148" i="21"/>
  <c r="F149" i="21"/>
  <c r="F150" i="21"/>
  <c r="F151" i="21"/>
  <c r="F152" i="21"/>
  <c r="F153" i="21"/>
  <c r="F154" i="21"/>
  <c r="F155" i="21"/>
  <c r="F156" i="21"/>
  <c r="F157" i="21"/>
  <c r="F158" i="21"/>
  <c r="F159" i="21"/>
  <c r="F160" i="21"/>
  <c r="F161" i="21"/>
  <c r="F162" i="21"/>
  <c r="F163" i="21"/>
  <c r="F164" i="21"/>
  <c r="F165" i="21"/>
  <c r="F166" i="21"/>
  <c r="F167" i="21"/>
  <c r="F168" i="21"/>
  <c r="F169" i="21"/>
  <c r="F170" i="21"/>
  <c r="F171" i="21"/>
  <c r="F172" i="21"/>
  <c r="F173" i="21"/>
  <c r="F174" i="21"/>
  <c r="F175" i="21"/>
  <c r="F176" i="21"/>
  <c r="F177" i="21"/>
  <c r="F178" i="21"/>
  <c r="F179" i="21"/>
  <c r="F180" i="21"/>
  <c r="F181" i="21"/>
  <c r="F182" i="21"/>
  <c r="F183" i="21"/>
  <c r="F184" i="21"/>
  <c r="F185" i="21"/>
  <c r="F186" i="21"/>
  <c r="F187" i="21"/>
  <c r="F188" i="21"/>
  <c r="F189" i="21"/>
  <c r="F190" i="21"/>
  <c r="F191" i="21"/>
  <c r="F192" i="21"/>
  <c r="F193" i="21"/>
  <c r="F194" i="21"/>
  <c r="F195" i="21"/>
  <c r="F196" i="21"/>
  <c r="F131" i="26"/>
  <c r="F132" i="26"/>
  <c r="F133" i="26"/>
  <c r="F134" i="26"/>
  <c r="F135" i="26"/>
  <c r="F136" i="26"/>
  <c r="F137" i="26"/>
  <c r="F138" i="26"/>
  <c r="F139" i="26"/>
  <c r="F140" i="26"/>
  <c r="F141" i="26"/>
  <c r="F142" i="26"/>
  <c r="F143" i="26"/>
  <c r="F144" i="26"/>
  <c r="F145" i="26"/>
  <c r="F146" i="26"/>
  <c r="F147" i="26"/>
  <c r="F148" i="26"/>
  <c r="F149" i="26"/>
  <c r="F150" i="26"/>
  <c r="F151" i="26"/>
  <c r="F152" i="26"/>
  <c r="F153" i="26"/>
  <c r="F154" i="26"/>
  <c r="F155" i="26"/>
  <c r="F156" i="26"/>
  <c r="F157" i="26"/>
  <c r="F158" i="26"/>
  <c r="F159" i="26"/>
  <c r="F160" i="26"/>
  <c r="F161" i="26"/>
  <c r="F162" i="26"/>
  <c r="F163" i="26"/>
  <c r="F164" i="26"/>
  <c r="F165" i="26"/>
  <c r="F166" i="26"/>
  <c r="F167" i="26"/>
  <c r="F168" i="26"/>
  <c r="F169" i="26"/>
  <c r="F170" i="26"/>
  <c r="F171" i="26"/>
  <c r="F172" i="26"/>
  <c r="F173" i="26"/>
  <c r="F174" i="26"/>
  <c r="F175" i="26"/>
  <c r="F176" i="26"/>
  <c r="F177" i="26"/>
  <c r="F178" i="26"/>
  <c r="F179" i="26"/>
  <c r="F180" i="26"/>
  <c r="F181" i="26"/>
  <c r="F182" i="26"/>
  <c r="F183" i="26"/>
  <c r="F184" i="26"/>
  <c r="F185" i="26"/>
  <c r="F186" i="26"/>
  <c r="F187" i="26"/>
  <c r="F188" i="26"/>
  <c r="F189" i="26"/>
  <c r="F190" i="26"/>
  <c r="F191" i="26"/>
  <c r="F192" i="26"/>
  <c r="F193" i="26"/>
  <c r="F194" i="26"/>
  <c r="F195" i="26"/>
  <c r="F196" i="26"/>
  <c r="F131" i="19"/>
  <c r="F132" i="19"/>
  <c r="F133" i="19"/>
  <c r="F134" i="19"/>
  <c r="F135" i="19"/>
  <c r="F136" i="19"/>
  <c r="F137" i="19"/>
  <c r="F138" i="19"/>
  <c r="F139" i="19"/>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AC21" i="20"/>
  <c r="AM21" i="20"/>
  <c r="AC26" i="20"/>
  <c r="AE26" i="20"/>
  <c r="L6" i="20"/>
  <c r="H87" i="20"/>
  <c r="H92" i="20"/>
  <c r="M6" i="20"/>
  <c r="L42" i="20"/>
  <c r="AD21" i="20"/>
  <c r="AM26" i="20"/>
  <c r="L8" i="20"/>
  <c r="AE21" i="20"/>
  <c r="AO26" i="20"/>
  <c r="M19" i="20"/>
  <c r="J7" i="20"/>
  <c r="AN21" i="20"/>
  <c r="M9" i="20"/>
  <c r="AO21" i="20"/>
  <c r="M11" i="20"/>
  <c r="L7" i="20"/>
  <c r="U23" i="20"/>
  <c r="U19" i="20"/>
  <c r="U34" i="20"/>
  <c r="U22" i="20"/>
  <c r="U13" i="20"/>
  <c r="U6" i="20"/>
  <c r="U17" i="20"/>
  <c r="U8" i="20"/>
  <c r="U18" i="20"/>
  <c r="U47" i="20"/>
  <c r="U16" i="20"/>
  <c r="U14" i="20"/>
  <c r="U20" i="20"/>
  <c r="U21" i="20"/>
  <c r="U24" i="20"/>
  <c r="M81" i="20"/>
  <c r="M7" i="20"/>
  <c r="M204" i="20"/>
  <c r="M200" i="20"/>
  <c r="M196" i="20"/>
  <c r="L195" i="20"/>
  <c r="J193" i="20"/>
  <c r="M188" i="20"/>
  <c r="L187" i="20"/>
  <c r="J185" i="20"/>
  <c r="M180" i="20"/>
  <c r="L179" i="20"/>
  <c r="J177" i="20"/>
  <c r="M172" i="20"/>
  <c r="L171" i="20"/>
  <c r="J169" i="20"/>
  <c r="M164" i="20"/>
  <c r="L163" i="20"/>
  <c r="J161" i="20"/>
  <c r="M156" i="20"/>
  <c r="L155" i="20"/>
  <c r="J153" i="20"/>
  <c r="M148" i="20"/>
  <c r="L147" i="20"/>
  <c r="J145" i="20"/>
  <c r="M140" i="20"/>
  <c r="L139" i="20"/>
  <c r="J137" i="20"/>
  <c r="L204" i="20"/>
  <c r="J203" i="20"/>
  <c r="L200" i="20"/>
  <c r="J199" i="20"/>
  <c r="L196" i="20"/>
  <c r="J194" i="20"/>
  <c r="M189" i="20"/>
  <c r="L188" i="20"/>
  <c r="J186" i="20"/>
  <c r="M181" i="20"/>
  <c r="L180" i="20"/>
  <c r="J178" i="20"/>
  <c r="M173" i="20"/>
  <c r="L172" i="20"/>
  <c r="J170" i="20"/>
  <c r="M165" i="20"/>
  <c r="L164" i="20"/>
  <c r="J162" i="20"/>
  <c r="M157" i="20"/>
  <c r="L156" i="20"/>
  <c r="J154" i="20"/>
  <c r="M149" i="20"/>
  <c r="L148" i="20"/>
  <c r="M205" i="20"/>
  <c r="M201" i="20"/>
  <c r="M197" i="20"/>
  <c r="J195" i="20"/>
  <c r="M190" i="20"/>
  <c r="L189" i="20"/>
  <c r="J187" i="20"/>
  <c r="M182" i="20"/>
  <c r="L181" i="20"/>
  <c r="J179" i="20"/>
  <c r="M174" i="20"/>
  <c r="L173" i="20"/>
  <c r="J171" i="20"/>
  <c r="M166" i="20"/>
  <c r="L165" i="20"/>
  <c r="J163" i="20"/>
  <c r="M158" i="20"/>
  <c r="L157" i="20"/>
  <c r="J155" i="20"/>
  <c r="M150" i="20"/>
  <c r="L149" i="20"/>
  <c r="J147" i="20"/>
  <c r="M142" i="20"/>
  <c r="L141" i="20"/>
  <c r="J139" i="20"/>
  <c r="L205" i="20"/>
  <c r="J204" i="20"/>
  <c r="L201" i="20"/>
  <c r="J200" i="20"/>
  <c r="L197" i="20"/>
  <c r="J196" i="20"/>
  <c r="M191" i="20"/>
  <c r="L190" i="20"/>
  <c r="J188" i="20"/>
  <c r="M183" i="20"/>
  <c r="L182" i="20"/>
  <c r="J180" i="20"/>
  <c r="M175" i="20"/>
  <c r="L174" i="20"/>
  <c r="J172" i="20"/>
  <c r="M167" i="20"/>
  <c r="L166" i="20"/>
  <c r="J164" i="20"/>
  <c r="M159" i="20"/>
  <c r="L158" i="20"/>
  <c r="J156" i="20"/>
  <c r="M151" i="20"/>
  <c r="L150" i="20"/>
  <c r="J148" i="20"/>
  <c r="M143" i="20"/>
  <c r="L142" i="20"/>
  <c r="J140" i="20"/>
  <c r="M135" i="20"/>
  <c r="M202" i="20"/>
  <c r="M198" i="20"/>
  <c r="M192" i="20"/>
  <c r="L191" i="20"/>
  <c r="J189" i="20"/>
  <c r="M184" i="20"/>
  <c r="L183" i="20"/>
  <c r="J181" i="20"/>
  <c r="M176" i="20"/>
  <c r="L175" i="20"/>
  <c r="J173" i="20"/>
  <c r="M168" i="20"/>
  <c r="L167" i="20"/>
  <c r="J165" i="20"/>
  <c r="M160" i="20"/>
  <c r="L159" i="20"/>
  <c r="J157" i="20"/>
  <c r="M152" i="20"/>
  <c r="L151" i="20"/>
  <c r="J149" i="20"/>
  <c r="M144" i="20"/>
  <c r="L143" i="20"/>
  <c r="J141" i="20"/>
  <c r="M136" i="20"/>
  <c r="L135" i="20"/>
  <c r="J133" i="20"/>
  <c r="M129" i="20"/>
  <c r="M123" i="20"/>
  <c r="L121" i="20"/>
  <c r="M203" i="20"/>
  <c r="M199" i="20"/>
  <c r="M194" i="20"/>
  <c r="L193" i="20"/>
  <c r="J191" i="20"/>
  <c r="M186" i="20"/>
  <c r="L185" i="20"/>
  <c r="J183" i="20"/>
  <c r="M178" i="20"/>
  <c r="L177" i="20"/>
  <c r="J175" i="20"/>
  <c r="M170" i="20"/>
  <c r="L169" i="20"/>
  <c r="J167" i="20"/>
  <c r="M162" i="20"/>
  <c r="L161" i="20"/>
  <c r="J159" i="20"/>
  <c r="M154" i="20"/>
  <c r="L153" i="20"/>
  <c r="J151" i="20"/>
  <c r="M146" i="20"/>
  <c r="L145" i="20"/>
  <c r="J143" i="20"/>
  <c r="M138" i="20"/>
  <c r="L137" i="20"/>
  <c r="J135" i="20"/>
  <c r="M130" i="20"/>
  <c r="M124" i="20"/>
  <c r="L194" i="20"/>
  <c r="L186" i="20"/>
  <c r="L178" i="20"/>
  <c r="L170" i="20"/>
  <c r="L162" i="20"/>
  <c r="L154" i="20"/>
  <c r="M147" i="20"/>
  <c r="J144" i="20"/>
  <c r="M139" i="20"/>
  <c r="L136" i="20"/>
  <c r="J134" i="20"/>
  <c r="L132" i="20"/>
  <c r="J131" i="20"/>
  <c r="J129" i="20"/>
  <c r="J124" i="20"/>
  <c r="M122" i="20"/>
  <c r="J121" i="20"/>
  <c r="L118" i="20"/>
  <c r="L117" i="20"/>
  <c r="J116" i="20"/>
  <c r="L110" i="20"/>
  <c r="J109" i="20"/>
  <c r="M105" i="20"/>
  <c r="M101" i="20"/>
  <c r="M97" i="20"/>
  <c r="M92" i="20"/>
  <c r="M193" i="20"/>
  <c r="M185" i="20"/>
  <c r="M177" i="20"/>
  <c r="M169" i="20"/>
  <c r="M161" i="20"/>
  <c r="M153" i="20"/>
  <c r="J136" i="20"/>
  <c r="J127" i="20"/>
  <c r="M125" i="20"/>
  <c r="L122" i="20"/>
  <c r="M119" i="20"/>
  <c r="M114" i="20"/>
  <c r="M111" i="20"/>
  <c r="L105" i="20"/>
  <c r="J104" i="20"/>
  <c r="L101" i="20"/>
  <c r="J100" i="20"/>
  <c r="L97" i="20"/>
  <c r="J96" i="20"/>
  <c r="L92" i="20"/>
  <c r="M133" i="20"/>
  <c r="J132" i="20"/>
  <c r="M128" i="20"/>
  <c r="L125" i="20"/>
  <c r="L123" i="20"/>
  <c r="L119" i="20"/>
  <c r="J118" i="20"/>
  <c r="J117" i="20"/>
  <c r="L114" i="20"/>
  <c r="M113" i="20"/>
  <c r="L111" i="20"/>
  <c r="J110" i="20"/>
  <c r="M107" i="20"/>
  <c r="M106" i="20"/>
  <c r="M102" i="20"/>
  <c r="M98" i="20"/>
  <c r="M94" i="20"/>
  <c r="L192" i="20"/>
  <c r="L184" i="20"/>
  <c r="L176" i="20"/>
  <c r="L168" i="20"/>
  <c r="L160" i="20"/>
  <c r="L152" i="20"/>
  <c r="L146" i="20"/>
  <c r="L138" i="20"/>
  <c r="L133" i="20"/>
  <c r="L130" i="20"/>
  <c r="L128" i="20"/>
  <c r="J123" i="20"/>
  <c r="J122" i="20"/>
  <c r="M120" i="20"/>
  <c r="M115" i="20"/>
  <c r="L113" i="20"/>
  <c r="M112" i="20"/>
  <c r="M108" i="20"/>
  <c r="L107" i="20"/>
  <c r="L106" i="20"/>
  <c r="J105" i="20"/>
  <c r="L102" i="20"/>
  <c r="J101" i="20"/>
  <c r="L98" i="20"/>
  <c r="J97" i="20"/>
  <c r="L94" i="20"/>
  <c r="M91" i="20"/>
  <c r="J192" i="20"/>
  <c r="J184" i="20"/>
  <c r="J176" i="20"/>
  <c r="J168" i="20"/>
  <c r="J160" i="20"/>
  <c r="J152" i="20"/>
  <c r="J146" i="20"/>
  <c r="J142" i="20"/>
  <c r="J138" i="20"/>
  <c r="J128" i="20"/>
  <c r="J125" i="20"/>
  <c r="L120" i="20"/>
  <c r="J119" i="20"/>
  <c r="L115" i="20"/>
  <c r="J114" i="20"/>
  <c r="L112" i="20"/>
  <c r="J111" i="20"/>
  <c r="L108" i="20"/>
  <c r="M103" i="20"/>
  <c r="M99" i="20"/>
  <c r="M95" i="20"/>
  <c r="L91" i="20"/>
  <c r="M145" i="20"/>
  <c r="M141" i="20"/>
  <c r="M137" i="20"/>
  <c r="M131" i="20"/>
  <c r="J130" i="20"/>
  <c r="M126" i="20"/>
  <c r="M116" i="20"/>
  <c r="J113" i="20"/>
  <c r="M109" i="20"/>
  <c r="J107" i="20"/>
  <c r="J106" i="20"/>
  <c r="L103" i="20"/>
  <c r="J102" i="20"/>
  <c r="L99" i="20"/>
  <c r="J98" i="20"/>
  <c r="L95" i="20"/>
  <c r="M93" i="20"/>
  <c r="L203" i="20"/>
  <c r="L202" i="20"/>
  <c r="L199" i="20"/>
  <c r="L198" i="20"/>
  <c r="J190" i="20"/>
  <c r="J182" i="20"/>
  <c r="J174" i="20"/>
  <c r="J166" i="20"/>
  <c r="J158" i="20"/>
  <c r="J150" i="20"/>
  <c r="L140" i="20"/>
  <c r="M134" i="20"/>
  <c r="L131" i="20"/>
  <c r="M127" i="20"/>
  <c r="L126" i="20"/>
  <c r="L124" i="20"/>
  <c r="M121" i="20"/>
  <c r="J120" i="20"/>
  <c r="L116" i="20"/>
  <c r="J115" i="20"/>
  <c r="J112" i="20"/>
  <c r="L109" i="20"/>
  <c r="J108" i="20"/>
  <c r="M104" i="20"/>
  <c r="M100" i="20"/>
  <c r="M96" i="20"/>
  <c r="L93" i="20"/>
  <c r="J201" i="20"/>
  <c r="M195" i="20"/>
  <c r="M163" i="20"/>
  <c r="M87" i="20"/>
  <c r="L82" i="20"/>
  <c r="M80" i="20"/>
  <c r="M76" i="20"/>
  <c r="J197" i="20"/>
  <c r="M187" i="20"/>
  <c r="M155" i="20"/>
  <c r="L144" i="20"/>
  <c r="L127" i="20"/>
  <c r="M89" i="20"/>
  <c r="L84" i="20"/>
  <c r="J198" i="20"/>
  <c r="M90" i="20"/>
  <c r="L89" i="20"/>
  <c r="M86" i="20"/>
  <c r="L81" i="20"/>
  <c r="L77" i="20"/>
  <c r="L73" i="20"/>
  <c r="L69" i="20"/>
  <c r="L65" i="20"/>
  <c r="M179" i="20"/>
  <c r="L134" i="20"/>
  <c r="M132" i="20"/>
  <c r="L90" i="20"/>
  <c r="L86" i="20"/>
  <c r="M83" i="20"/>
  <c r="M78" i="20"/>
  <c r="M74" i="20"/>
  <c r="M70" i="20"/>
  <c r="M66" i="20"/>
  <c r="L129" i="20"/>
  <c r="M117" i="20"/>
  <c r="J205" i="20"/>
  <c r="M171" i="20"/>
  <c r="M118" i="20"/>
  <c r="M110" i="20"/>
  <c r="L88" i="20"/>
  <c r="M85" i="20"/>
  <c r="M79" i="20"/>
  <c r="M75" i="20"/>
  <c r="M71" i="20"/>
  <c r="M67" i="20"/>
  <c r="J202" i="20"/>
  <c r="L74" i="20"/>
  <c r="L71" i="20"/>
  <c r="L67" i="20"/>
  <c r="J103" i="20"/>
  <c r="L96" i="20"/>
  <c r="L104" i="20"/>
  <c r="L85" i="20"/>
  <c r="M82" i="20"/>
  <c r="L87" i="20"/>
  <c r="L78" i="20"/>
  <c r="L72" i="20"/>
  <c r="L68" i="20"/>
  <c r="L64" i="20"/>
  <c r="L61" i="20"/>
  <c r="L57" i="20"/>
  <c r="L53" i="20"/>
  <c r="M51" i="20"/>
  <c r="L49" i="20"/>
  <c r="L83" i="20"/>
  <c r="L80" i="20"/>
  <c r="L75" i="20"/>
  <c r="M62" i="20"/>
  <c r="M58" i="20"/>
  <c r="M54" i="20"/>
  <c r="L51" i="20"/>
  <c r="L100" i="20"/>
  <c r="J99" i="20"/>
  <c r="M73" i="20"/>
  <c r="M69" i="20"/>
  <c r="M65" i="20"/>
  <c r="L62" i="20"/>
  <c r="M88" i="20"/>
  <c r="M77" i="20"/>
  <c r="M63" i="20"/>
  <c r="M59" i="20"/>
  <c r="M55" i="20"/>
  <c r="M48" i="20"/>
  <c r="M84" i="20"/>
  <c r="L76" i="20"/>
  <c r="L70" i="20"/>
  <c r="L60" i="20"/>
  <c r="L56" i="20"/>
  <c r="L52" i="20"/>
  <c r="M46" i="20"/>
  <c r="L44" i="20"/>
  <c r="M39" i="20"/>
  <c r="L37" i="20"/>
  <c r="M35" i="20"/>
  <c r="L79" i="20"/>
  <c r="L46" i="20"/>
  <c r="M41" i="20"/>
  <c r="L39" i="20"/>
  <c r="L35" i="20"/>
  <c r="M32" i="20"/>
  <c r="M29" i="20"/>
  <c r="J126" i="20"/>
  <c r="M57" i="20"/>
  <c r="M53" i="20"/>
  <c r="M50" i="20"/>
  <c r="M64" i="20"/>
  <c r="L63" i="20"/>
  <c r="L50" i="20"/>
  <c r="M45" i="20"/>
  <c r="L43" i="20"/>
  <c r="M36" i="20"/>
  <c r="M33" i="20"/>
  <c r="M68" i="20"/>
  <c r="L58" i="20"/>
  <c r="L54" i="20"/>
  <c r="M49" i="20"/>
  <c r="M47" i="20"/>
  <c r="L45" i="20"/>
  <c r="M38" i="20"/>
  <c r="L36" i="20"/>
  <c r="L33" i="20"/>
  <c r="M30" i="20"/>
  <c r="M27" i="20"/>
  <c r="L66" i="20"/>
  <c r="M42" i="20"/>
  <c r="M31" i="20"/>
  <c r="M28" i="20"/>
  <c r="L27" i="20"/>
  <c r="L19" i="20"/>
  <c r="M18" i="20"/>
  <c r="M72" i="20"/>
  <c r="L47" i="20"/>
  <c r="L32" i="20"/>
  <c r="M25" i="20"/>
  <c r="M56" i="20"/>
  <c r="L48" i="20"/>
  <c r="L38" i="20"/>
  <c r="L25" i="20"/>
  <c r="L12" i="20"/>
  <c r="L11" i="20"/>
  <c r="M10" i="20"/>
  <c r="M34" i="20"/>
  <c r="M61" i="20"/>
  <c r="L59" i="20"/>
  <c r="M52" i="20"/>
  <c r="M44" i="20"/>
  <c r="L34" i="20"/>
  <c r="M26" i="20"/>
  <c r="L9" i="20"/>
  <c r="M5" i="20"/>
  <c r="O5" i="20"/>
  <c r="M40" i="20"/>
  <c r="L26" i="20"/>
  <c r="M24" i="20"/>
  <c r="M23" i="20"/>
  <c r="M22" i="20"/>
  <c r="M21" i="20"/>
  <c r="M20" i="20"/>
  <c r="M8" i="20"/>
  <c r="V12" i="20"/>
  <c r="L13" i="20"/>
  <c r="L17" i="20"/>
  <c r="L18" i="20"/>
  <c r="V44" i="20"/>
  <c r="M13" i="20"/>
  <c r="L15" i="20"/>
  <c r="M17" i="20"/>
  <c r="E48" i="20"/>
  <c r="F48" i="20"/>
  <c r="E52" i="20"/>
  <c r="F52" i="20"/>
  <c r="E50" i="20"/>
  <c r="F50" i="20"/>
  <c r="E46" i="20"/>
  <c r="F46" i="20"/>
  <c r="E43" i="20"/>
  <c r="F43" i="20"/>
  <c r="E45" i="20"/>
  <c r="E36" i="20"/>
  <c r="F36" i="20"/>
  <c r="E33" i="20"/>
  <c r="F33" i="20"/>
  <c r="E47" i="20"/>
  <c r="F47" i="20"/>
  <c r="E40" i="20"/>
  <c r="F40" i="20"/>
  <c r="E51" i="20"/>
  <c r="E42" i="20"/>
  <c r="F42" i="20"/>
  <c r="E34" i="20"/>
  <c r="F34" i="20"/>
  <c r="E31" i="20"/>
  <c r="E25" i="20"/>
  <c r="F25" i="20"/>
  <c r="G25" i="20"/>
  <c r="E41" i="20"/>
  <c r="F41" i="20"/>
  <c r="E37" i="20"/>
  <c r="F37" i="20"/>
  <c r="E28" i="20"/>
  <c r="F28" i="20"/>
  <c r="E26" i="20"/>
  <c r="F26" i="20"/>
  <c r="G26" i="20"/>
  <c r="E35" i="20"/>
  <c r="E29" i="20"/>
  <c r="F29" i="20"/>
  <c r="E32" i="20"/>
  <c r="F32" i="20"/>
  <c r="E30" i="20"/>
  <c r="F30" i="20"/>
  <c r="E27" i="20"/>
  <c r="F27" i="20"/>
  <c r="E49" i="20"/>
  <c r="F49" i="20"/>
  <c r="E38" i="20"/>
  <c r="F38" i="20"/>
  <c r="L30" i="20"/>
  <c r="L31" i="20"/>
  <c r="L41" i="20"/>
  <c r="L10" i="20"/>
  <c r="V5" i="20"/>
  <c r="X5" i="20"/>
  <c r="V9" i="20"/>
  <c r="V14" i="20"/>
  <c r="M15" i="20"/>
  <c r="V19" i="20"/>
  <c r="L22" i="20"/>
  <c r="AN26" i="20"/>
  <c r="AD26" i="20"/>
  <c r="AL26" i="20"/>
  <c r="AB26" i="20"/>
  <c r="AP26" i="20"/>
  <c r="L29" i="20"/>
  <c r="M43" i="20"/>
  <c r="L20" i="20"/>
  <c r="L55" i="20"/>
  <c r="V92" i="20"/>
  <c r="V94" i="20"/>
  <c r="V91" i="20"/>
  <c r="V95" i="20"/>
  <c r="V93" i="20"/>
  <c r="V90" i="20"/>
  <c r="V87" i="20"/>
  <c r="V80" i="20"/>
  <c r="V76" i="20"/>
  <c r="V89" i="20"/>
  <c r="V86" i="20"/>
  <c r="V83" i="20"/>
  <c r="V78" i="20"/>
  <c r="V74" i="20"/>
  <c r="V70" i="20"/>
  <c r="V66" i="20"/>
  <c r="V85" i="20"/>
  <c r="V79" i="20"/>
  <c r="V75" i="20"/>
  <c r="V71" i="20"/>
  <c r="V67" i="20"/>
  <c r="V73" i="20"/>
  <c r="V69" i="20"/>
  <c r="V65" i="20"/>
  <c r="V88" i="20"/>
  <c r="V84" i="20"/>
  <c r="V51" i="20"/>
  <c r="V62" i="20"/>
  <c r="V58" i="20"/>
  <c r="V54" i="20"/>
  <c r="V82" i="20"/>
  <c r="V81" i="20"/>
  <c r="V72" i="20"/>
  <c r="V68" i="20"/>
  <c r="V64" i="20"/>
  <c r="V63" i="20"/>
  <c r="V59" i="20"/>
  <c r="V55" i="20"/>
  <c r="V48" i="20"/>
  <c r="V46" i="20"/>
  <c r="V39" i="20"/>
  <c r="V35" i="20"/>
  <c r="V77" i="20"/>
  <c r="V41" i="20"/>
  <c r="V32" i="20"/>
  <c r="V29" i="20"/>
  <c r="V61" i="20"/>
  <c r="V60" i="20"/>
  <c r="V56" i="20"/>
  <c r="V52" i="20"/>
  <c r="V45" i="20"/>
  <c r="V36" i="20"/>
  <c r="V33" i="20"/>
  <c r="V50" i="20"/>
  <c r="V47" i="20"/>
  <c r="V38" i="20"/>
  <c r="V30" i="20"/>
  <c r="V27" i="20"/>
  <c r="V34" i="20"/>
  <c r="V18" i="20"/>
  <c r="V25" i="20"/>
  <c r="V49" i="20"/>
  <c r="V31" i="20"/>
  <c r="V28" i="20"/>
  <c r="V10" i="20"/>
  <c r="V57" i="20"/>
  <c r="V43" i="20"/>
  <c r="V42" i="20"/>
  <c r="V37" i="20"/>
  <c r="V26" i="20"/>
  <c r="V53" i="20"/>
  <c r="V24" i="20"/>
  <c r="V23" i="20"/>
  <c r="V22" i="20"/>
  <c r="V21" i="20"/>
  <c r="V20" i="20"/>
  <c r="V8" i="20"/>
  <c r="M12" i="20"/>
  <c r="L23" i="20"/>
  <c r="L28" i="20"/>
  <c r="L40" i="20"/>
  <c r="O6" i="20"/>
  <c r="V11" i="20"/>
  <c r="L14" i="20"/>
  <c r="L24" i="20"/>
  <c r="H82" i="20"/>
  <c r="AL21" i="20"/>
  <c r="AB21" i="20"/>
  <c r="M37" i="20"/>
  <c r="M60" i="20"/>
  <c r="M14" i="20"/>
  <c r="L16" i="20"/>
  <c r="V17" i="20"/>
  <c r="L21" i="20"/>
  <c r="V40" i="20"/>
  <c r="U92" i="20"/>
  <c r="U94" i="20"/>
  <c r="U91" i="20"/>
  <c r="U95" i="20"/>
  <c r="U93" i="20"/>
  <c r="U90" i="20"/>
  <c r="U82" i="20"/>
  <c r="U84" i="20"/>
  <c r="U89" i="20"/>
  <c r="U81" i="20"/>
  <c r="U77" i="20"/>
  <c r="U73" i="20"/>
  <c r="U69" i="20"/>
  <c r="U65" i="20"/>
  <c r="U86" i="20"/>
  <c r="U88" i="20"/>
  <c r="U87" i="20"/>
  <c r="U80" i="20"/>
  <c r="U75" i="20"/>
  <c r="U79" i="20"/>
  <c r="U74" i="20"/>
  <c r="U71" i="20"/>
  <c r="U67" i="20"/>
  <c r="U61" i="20"/>
  <c r="U57" i="20"/>
  <c r="U53" i="20"/>
  <c r="U49" i="20"/>
  <c r="U51" i="20"/>
  <c r="U76" i="20"/>
  <c r="U62" i="20"/>
  <c r="U78" i="20"/>
  <c r="U72" i="20"/>
  <c r="U68" i="20"/>
  <c r="U64" i="20"/>
  <c r="U58" i="20"/>
  <c r="U54" i="20"/>
  <c r="U59" i="20"/>
  <c r="U55" i="20"/>
  <c r="U48" i="20"/>
  <c r="U44" i="20"/>
  <c r="U37" i="20"/>
  <c r="U83" i="20"/>
  <c r="U46" i="20"/>
  <c r="U39" i="20"/>
  <c r="U35" i="20"/>
  <c r="U60" i="20"/>
  <c r="U56" i="20"/>
  <c r="U52" i="20"/>
  <c r="U43" i="20"/>
  <c r="U66" i="20"/>
  <c r="U45" i="20"/>
  <c r="U36" i="20"/>
  <c r="U33" i="20"/>
  <c r="U26" i="20"/>
  <c r="H83" i="20"/>
  <c r="U38" i="20"/>
  <c r="F39" i="20"/>
  <c r="U9" i="20"/>
  <c r="U32" i="20"/>
  <c r="U42" i="20"/>
  <c r="U50" i="20"/>
  <c r="U63" i="20"/>
  <c r="U70" i="20"/>
  <c r="U28" i="20"/>
  <c r="U29" i="20"/>
  <c r="C85" i="20"/>
  <c r="H85" i="20"/>
  <c r="F31" i="20"/>
  <c r="U31" i="20"/>
  <c r="C88" i="20"/>
  <c r="H88" i="20"/>
  <c r="U11" i="20"/>
  <c r="U12" i="20"/>
  <c r="S193" i="20"/>
  <c r="S185" i="20"/>
  <c r="S177" i="20"/>
  <c r="S169" i="20"/>
  <c r="S161" i="20"/>
  <c r="S153" i="20"/>
  <c r="S145" i="20"/>
  <c r="S137" i="20"/>
  <c r="S203" i="20"/>
  <c r="S199" i="20"/>
  <c r="S194" i="20"/>
  <c r="S186" i="20"/>
  <c r="S178" i="20"/>
  <c r="S170" i="20"/>
  <c r="S162" i="20"/>
  <c r="S154" i="20"/>
  <c r="S195" i="20"/>
  <c r="S187" i="20"/>
  <c r="S179" i="20"/>
  <c r="S171" i="20"/>
  <c r="S163" i="20"/>
  <c r="S155" i="20"/>
  <c r="S147" i="20"/>
  <c r="S139" i="20"/>
  <c r="S204" i="20"/>
  <c r="S200" i="20"/>
  <c r="S196" i="20"/>
  <c r="S188" i="20"/>
  <c r="S180" i="20"/>
  <c r="S172" i="20"/>
  <c r="S164" i="20"/>
  <c r="S156" i="20"/>
  <c r="S148" i="20"/>
  <c r="S140" i="20"/>
  <c r="S189" i="20"/>
  <c r="S181" i="20"/>
  <c r="S173" i="20"/>
  <c r="S165" i="20"/>
  <c r="S157" i="20"/>
  <c r="S149" i="20"/>
  <c r="S141" i="20"/>
  <c r="S133" i="20"/>
  <c r="S191" i="20"/>
  <c r="S183" i="20"/>
  <c r="S175" i="20"/>
  <c r="S167" i="20"/>
  <c r="S159" i="20"/>
  <c r="S151" i="20"/>
  <c r="S143" i="20"/>
  <c r="S135" i="20"/>
  <c r="S142" i="20"/>
  <c r="S131" i="20"/>
  <c r="S126" i="20"/>
  <c r="S116" i="20"/>
  <c r="S109" i="20"/>
  <c r="S121" i="20"/>
  <c r="S104" i="20"/>
  <c r="S100" i="20"/>
  <c r="S96" i="20"/>
  <c r="S202" i="20"/>
  <c r="S198" i="20"/>
  <c r="S190" i="20"/>
  <c r="S182" i="20"/>
  <c r="S174" i="20"/>
  <c r="S166" i="20"/>
  <c r="S158" i="20"/>
  <c r="S150" i="20"/>
  <c r="S134" i="20"/>
  <c r="S129" i="20"/>
  <c r="S127" i="20"/>
  <c r="S124" i="20"/>
  <c r="S118" i="20"/>
  <c r="S117" i="20"/>
  <c r="S110" i="20"/>
  <c r="S205" i="20"/>
  <c r="S201" i="20"/>
  <c r="S197" i="20"/>
  <c r="S144" i="20"/>
  <c r="S136" i="20"/>
  <c r="S132" i="20"/>
  <c r="S122" i="20"/>
  <c r="S105" i="20"/>
  <c r="S101" i="20"/>
  <c r="S97" i="20"/>
  <c r="S119" i="20"/>
  <c r="S114" i="20"/>
  <c r="S111" i="20"/>
  <c r="S128" i="20"/>
  <c r="S125" i="20"/>
  <c r="S123" i="20"/>
  <c r="S113" i="20"/>
  <c r="S107" i="20"/>
  <c r="S106" i="20"/>
  <c r="S102" i="20"/>
  <c r="S98" i="20"/>
  <c r="S120" i="20"/>
  <c r="S115" i="20"/>
  <c r="S112" i="20"/>
  <c r="S108" i="20"/>
  <c r="S146" i="20"/>
  <c r="S138" i="20"/>
  <c r="S130" i="20"/>
  <c r="S192" i="20"/>
  <c r="S160" i="20"/>
  <c r="S184" i="20"/>
  <c r="S152" i="20"/>
  <c r="S103" i="20"/>
  <c r="S99" i="20"/>
  <c r="S176" i="20"/>
  <c r="S168" i="20"/>
  <c r="U25" i="20"/>
  <c r="U30" i="20"/>
  <c r="F35" i="20"/>
  <c r="F51" i="20"/>
  <c r="U27" i="20"/>
  <c r="U40" i="20"/>
  <c r="U41" i="20"/>
  <c r="U85" i="20"/>
  <c r="F45" i="20"/>
  <c r="B94" i="21"/>
  <c r="B93" i="21"/>
  <c r="B92" i="21"/>
  <c r="B91" i="21"/>
  <c r="B90" i="21"/>
  <c r="B89" i="21"/>
  <c r="B88" i="21"/>
  <c r="B87" i="21"/>
  <c r="B86" i="21"/>
  <c r="B85" i="21"/>
  <c r="B84" i="21"/>
  <c r="B83" i="21"/>
  <c r="B82" i="21"/>
  <c r="J8" i="20"/>
  <c r="K7" i="20"/>
  <c r="O7" i="20"/>
  <c r="T135" i="20"/>
  <c r="X135" i="20"/>
  <c r="AT21" i="20"/>
  <c r="AS21" i="20"/>
  <c r="AR21" i="20"/>
  <c r="AQ21" i="20"/>
  <c r="K182" i="20"/>
  <c r="O182" i="20"/>
  <c r="K113" i="20"/>
  <c r="O113" i="20"/>
  <c r="K152" i="20"/>
  <c r="O152" i="20"/>
  <c r="K127" i="20"/>
  <c r="O127" i="20"/>
  <c r="K134" i="20"/>
  <c r="O134" i="20"/>
  <c r="K143" i="20"/>
  <c r="O143" i="20"/>
  <c r="K149" i="20"/>
  <c r="O149" i="20"/>
  <c r="K148" i="20"/>
  <c r="O148" i="20"/>
  <c r="K139" i="20"/>
  <c r="O139" i="20"/>
  <c r="T168" i="20"/>
  <c r="X168" i="20"/>
  <c r="T103" i="20"/>
  <c r="X103" i="20"/>
  <c r="T146" i="20"/>
  <c r="X146" i="20"/>
  <c r="T102" i="20"/>
  <c r="X102" i="20"/>
  <c r="T114" i="20"/>
  <c r="X114" i="20"/>
  <c r="T136" i="20"/>
  <c r="X136" i="20"/>
  <c r="T124" i="20"/>
  <c r="X124" i="20"/>
  <c r="T182" i="20"/>
  <c r="X182" i="20"/>
  <c r="T121" i="20"/>
  <c r="X121" i="20"/>
  <c r="T143" i="20"/>
  <c r="X143" i="20"/>
  <c r="T141" i="20"/>
  <c r="X141" i="20"/>
  <c r="T148" i="20"/>
  <c r="X148" i="20"/>
  <c r="T204" i="20"/>
  <c r="X204" i="20"/>
  <c r="T195" i="20"/>
  <c r="X195" i="20"/>
  <c r="T203" i="20"/>
  <c r="X203" i="20"/>
  <c r="T193" i="20"/>
  <c r="X193" i="20"/>
  <c r="G27" i="20"/>
  <c r="K198" i="20"/>
  <c r="O198" i="20"/>
  <c r="K197" i="20"/>
  <c r="O197" i="20"/>
  <c r="K201" i="20"/>
  <c r="O201" i="20"/>
  <c r="K112" i="20"/>
  <c r="O112" i="20"/>
  <c r="K190" i="20"/>
  <c r="O190" i="20"/>
  <c r="K98" i="20"/>
  <c r="O98" i="20"/>
  <c r="K119" i="20"/>
  <c r="O119" i="20"/>
  <c r="K160" i="20"/>
  <c r="O160" i="20"/>
  <c r="K97" i="20"/>
  <c r="O97" i="20"/>
  <c r="K132" i="20"/>
  <c r="O132" i="20"/>
  <c r="K104" i="20"/>
  <c r="O104" i="20"/>
  <c r="K136" i="20"/>
  <c r="O136" i="20"/>
  <c r="K167" i="20"/>
  <c r="O167" i="20"/>
  <c r="K173" i="20"/>
  <c r="O173" i="20"/>
  <c r="K172" i="20"/>
  <c r="O172" i="20"/>
  <c r="K163" i="20"/>
  <c r="O163" i="20"/>
  <c r="K170" i="20"/>
  <c r="O170" i="20"/>
  <c r="K161" i="20"/>
  <c r="O161" i="20"/>
  <c r="T111" i="20"/>
  <c r="X111" i="20"/>
  <c r="T140" i="20"/>
  <c r="X140" i="20"/>
  <c r="B84" i="20"/>
  <c r="T152" i="20"/>
  <c r="X152" i="20"/>
  <c r="T106" i="20"/>
  <c r="X106" i="20"/>
  <c r="T127" i="20"/>
  <c r="X127" i="20"/>
  <c r="T151" i="20"/>
  <c r="X151" i="20"/>
  <c r="T139" i="20"/>
  <c r="X139" i="20"/>
  <c r="K126" i="20"/>
  <c r="O126" i="20"/>
  <c r="K202" i="20"/>
  <c r="O202" i="20"/>
  <c r="K115" i="20"/>
  <c r="O115" i="20"/>
  <c r="K168" i="20"/>
  <c r="O168" i="20"/>
  <c r="K121" i="20"/>
  <c r="O121" i="20"/>
  <c r="K191" i="20"/>
  <c r="O191" i="20"/>
  <c r="K133" i="20"/>
  <c r="O133" i="20"/>
  <c r="K196" i="20"/>
  <c r="O196" i="20"/>
  <c r="K187" i="20"/>
  <c r="O187" i="20"/>
  <c r="K194" i="20"/>
  <c r="O194" i="20"/>
  <c r="K185" i="20"/>
  <c r="O185" i="20"/>
  <c r="T104" i="20"/>
  <c r="X104" i="20"/>
  <c r="T185" i="20"/>
  <c r="X185" i="20"/>
  <c r="K137" i="20"/>
  <c r="O137" i="20"/>
  <c r="T119" i="20"/>
  <c r="X119" i="20"/>
  <c r="T144" i="20"/>
  <c r="X144" i="20"/>
  <c r="T190" i="20"/>
  <c r="X190" i="20"/>
  <c r="T149" i="20"/>
  <c r="X149" i="20"/>
  <c r="T156" i="20"/>
  <c r="X156" i="20"/>
  <c r="T137" i="20"/>
  <c r="X137" i="20"/>
  <c r="T184" i="20"/>
  <c r="X184" i="20"/>
  <c r="T108" i="20"/>
  <c r="X108" i="20"/>
  <c r="T107" i="20"/>
  <c r="X107" i="20"/>
  <c r="T197" i="20"/>
  <c r="X197" i="20"/>
  <c r="T129" i="20"/>
  <c r="X129" i="20"/>
  <c r="T198" i="20"/>
  <c r="X198" i="20"/>
  <c r="T109" i="20"/>
  <c r="X109" i="20"/>
  <c r="T159" i="20"/>
  <c r="X159" i="20"/>
  <c r="T157" i="20"/>
  <c r="X157" i="20"/>
  <c r="T164" i="20"/>
  <c r="X164" i="20"/>
  <c r="T147" i="20"/>
  <c r="X147" i="20"/>
  <c r="T162" i="20"/>
  <c r="X162" i="20"/>
  <c r="T145" i="20"/>
  <c r="X145" i="20"/>
  <c r="G29" i="20"/>
  <c r="K103" i="20"/>
  <c r="O103" i="20"/>
  <c r="K102" i="20"/>
  <c r="O102" i="20"/>
  <c r="K130" i="20"/>
  <c r="O130" i="20"/>
  <c r="K125" i="20"/>
  <c r="O125" i="20"/>
  <c r="K176" i="20"/>
  <c r="O176" i="20"/>
  <c r="K101" i="20"/>
  <c r="O101" i="20"/>
  <c r="K117" i="20"/>
  <c r="O117" i="20"/>
  <c r="K144" i="20"/>
  <c r="O144" i="20"/>
  <c r="K151" i="20"/>
  <c r="O151" i="20"/>
  <c r="K157" i="20"/>
  <c r="O157" i="20"/>
  <c r="K156" i="20"/>
  <c r="O156" i="20"/>
  <c r="K147" i="20"/>
  <c r="O147" i="20"/>
  <c r="K154" i="20"/>
  <c r="O154" i="20"/>
  <c r="K145" i="20"/>
  <c r="O145" i="20"/>
  <c r="T98" i="20"/>
  <c r="X98" i="20"/>
  <c r="T187" i="20"/>
  <c r="X187" i="20"/>
  <c r="T176" i="20"/>
  <c r="X176" i="20"/>
  <c r="T154" i="20"/>
  <c r="X154" i="20"/>
  <c r="T99" i="20"/>
  <c r="X99" i="20"/>
  <c r="T160" i="20"/>
  <c r="X160" i="20"/>
  <c r="T112" i="20"/>
  <c r="X112" i="20"/>
  <c r="T113" i="20"/>
  <c r="X113" i="20"/>
  <c r="T97" i="20"/>
  <c r="X97" i="20"/>
  <c r="T201" i="20"/>
  <c r="X201" i="20"/>
  <c r="T134" i="20"/>
  <c r="X134" i="20"/>
  <c r="T202" i="20"/>
  <c r="X202" i="20"/>
  <c r="T116" i="20"/>
  <c r="X116" i="20"/>
  <c r="T167" i="20"/>
  <c r="X167" i="20"/>
  <c r="T165" i="20"/>
  <c r="X165" i="20"/>
  <c r="T172" i="20"/>
  <c r="X172" i="20"/>
  <c r="T155" i="20"/>
  <c r="X155" i="20"/>
  <c r="T170" i="20"/>
  <c r="X170" i="20"/>
  <c r="T153" i="20"/>
  <c r="X153" i="20"/>
  <c r="K99" i="20"/>
  <c r="O99" i="20"/>
  <c r="K120" i="20"/>
  <c r="O120" i="20"/>
  <c r="K150" i="20"/>
  <c r="O150" i="20"/>
  <c r="K128" i="20"/>
  <c r="O128" i="20"/>
  <c r="K184" i="20"/>
  <c r="O184" i="20"/>
  <c r="K118" i="20"/>
  <c r="O118" i="20"/>
  <c r="K124" i="20"/>
  <c r="O124" i="20"/>
  <c r="K175" i="20"/>
  <c r="O175" i="20"/>
  <c r="K181" i="20"/>
  <c r="O181" i="20"/>
  <c r="K180" i="20"/>
  <c r="O180" i="20"/>
  <c r="K200" i="20"/>
  <c r="O200" i="20"/>
  <c r="K171" i="20"/>
  <c r="O171" i="20"/>
  <c r="K178" i="20"/>
  <c r="O178" i="20"/>
  <c r="K199" i="20"/>
  <c r="O199" i="20"/>
  <c r="K169" i="20"/>
  <c r="O169" i="20"/>
  <c r="T118" i="20"/>
  <c r="X118" i="20"/>
  <c r="T133" i="20"/>
  <c r="X133" i="20"/>
  <c r="T199" i="20"/>
  <c r="X199" i="20"/>
  <c r="T192" i="20"/>
  <c r="X192" i="20"/>
  <c r="T115" i="20"/>
  <c r="X115" i="20"/>
  <c r="T123" i="20"/>
  <c r="X123" i="20"/>
  <c r="T101" i="20"/>
  <c r="X101" i="20"/>
  <c r="T205" i="20"/>
  <c r="X205" i="20"/>
  <c r="T150" i="20"/>
  <c r="X150" i="20"/>
  <c r="T126" i="20"/>
  <c r="X126" i="20"/>
  <c r="T175" i="20"/>
  <c r="X175" i="20"/>
  <c r="T173" i="20"/>
  <c r="X173" i="20"/>
  <c r="T180" i="20"/>
  <c r="X180" i="20"/>
  <c r="T163" i="20"/>
  <c r="X163" i="20"/>
  <c r="T178" i="20"/>
  <c r="X178" i="20"/>
  <c r="T161" i="20"/>
  <c r="X161" i="20"/>
  <c r="AT26" i="20"/>
  <c r="AS26" i="20"/>
  <c r="AR26" i="20"/>
  <c r="AQ26" i="20"/>
  <c r="K205" i="20"/>
  <c r="O205" i="20"/>
  <c r="K158" i="20"/>
  <c r="O158" i="20"/>
  <c r="K106" i="20"/>
  <c r="O106" i="20"/>
  <c r="K111" i="20"/>
  <c r="O111" i="20"/>
  <c r="K138" i="20"/>
  <c r="O138" i="20"/>
  <c r="K192" i="20"/>
  <c r="O192" i="20"/>
  <c r="K105" i="20"/>
  <c r="O105" i="20"/>
  <c r="K122" i="20"/>
  <c r="O122" i="20"/>
  <c r="K96" i="20"/>
  <c r="O96" i="20"/>
  <c r="K109" i="20"/>
  <c r="O109" i="20"/>
  <c r="K129" i="20"/>
  <c r="O129" i="20"/>
  <c r="K135" i="20"/>
  <c r="O135" i="20"/>
  <c r="K141" i="20"/>
  <c r="O141" i="20"/>
  <c r="K140" i="20"/>
  <c r="O140" i="20"/>
  <c r="K195" i="20"/>
  <c r="O195" i="20"/>
  <c r="K193" i="20"/>
  <c r="O193" i="20"/>
  <c r="T174" i="20"/>
  <c r="X174" i="20"/>
  <c r="T120" i="20"/>
  <c r="X120" i="20"/>
  <c r="T105" i="20"/>
  <c r="X105" i="20"/>
  <c r="T158" i="20"/>
  <c r="X158" i="20"/>
  <c r="T96" i="20"/>
  <c r="X96" i="20"/>
  <c r="T131" i="20"/>
  <c r="X131" i="20"/>
  <c r="T183" i="20"/>
  <c r="X183" i="20"/>
  <c r="T181" i="20"/>
  <c r="X181" i="20"/>
  <c r="T188" i="20"/>
  <c r="X188" i="20"/>
  <c r="T186" i="20"/>
  <c r="X186" i="20"/>
  <c r="T169" i="20"/>
  <c r="X169" i="20"/>
  <c r="K166" i="20"/>
  <c r="O166" i="20"/>
  <c r="K107" i="20"/>
  <c r="O107" i="20"/>
  <c r="K142" i="20"/>
  <c r="O142" i="20"/>
  <c r="K123" i="20"/>
  <c r="O123" i="20"/>
  <c r="K131" i="20"/>
  <c r="O131" i="20"/>
  <c r="K159" i="20"/>
  <c r="O159" i="20"/>
  <c r="K165" i="20"/>
  <c r="O165" i="20"/>
  <c r="K164" i="20"/>
  <c r="O164" i="20"/>
  <c r="K204" i="20"/>
  <c r="O204" i="20"/>
  <c r="K155" i="20"/>
  <c r="O155" i="20"/>
  <c r="K162" i="20"/>
  <c r="O162" i="20"/>
  <c r="K203" i="20"/>
  <c r="O203" i="20"/>
  <c r="K153" i="20"/>
  <c r="O153" i="20"/>
  <c r="T132" i="20"/>
  <c r="X132" i="20"/>
  <c r="T200" i="20"/>
  <c r="X200" i="20"/>
  <c r="T130" i="20"/>
  <c r="X130" i="20"/>
  <c r="T125" i="20"/>
  <c r="X125" i="20"/>
  <c r="T110" i="20"/>
  <c r="X110" i="20"/>
  <c r="T171" i="20"/>
  <c r="X171" i="20"/>
  <c r="T138" i="20"/>
  <c r="X138" i="20"/>
  <c r="T128" i="20"/>
  <c r="X128" i="20"/>
  <c r="T122" i="20"/>
  <c r="X122" i="20"/>
  <c r="T117" i="20"/>
  <c r="X117" i="20"/>
  <c r="T166" i="20"/>
  <c r="X166" i="20"/>
  <c r="T100" i="20"/>
  <c r="X100" i="20"/>
  <c r="T142" i="20"/>
  <c r="X142" i="20"/>
  <c r="T191" i="20"/>
  <c r="X191" i="20"/>
  <c r="T189" i="20"/>
  <c r="X189" i="20"/>
  <c r="T196" i="20"/>
  <c r="X196" i="20"/>
  <c r="T179" i="20"/>
  <c r="X179" i="20"/>
  <c r="T194" i="20"/>
  <c r="X194" i="20"/>
  <c r="T177" i="20"/>
  <c r="X177" i="20"/>
  <c r="Y5" i="20"/>
  <c r="G28" i="20"/>
  <c r="K108" i="20"/>
  <c r="O108" i="20"/>
  <c r="K174" i="20"/>
  <c r="O174" i="20"/>
  <c r="K114" i="20"/>
  <c r="O114" i="20"/>
  <c r="K146" i="20"/>
  <c r="O146" i="20"/>
  <c r="K110" i="20"/>
  <c r="O110" i="20"/>
  <c r="K100" i="20"/>
  <c r="O100" i="20"/>
  <c r="K116" i="20"/>
  <c r="O116" i="20"/>
  <c r="K183" i="20"/>
  <c r="O183" i="20"/>
  <c r="K189" i="20"/>
  <c r="O189" i="20"/>
  <c r="K188" i="20"/>
  <c r="O188" i="20"/>
  <c r="K179" i="20"/>
  <c r="O179" i="20"/>
  <c r="K186" i="20"/>
  <c r="O186" i="20"/>
  <c r="K177" i="20"/>
  <c r="O177" i="20"/>
  <c r="J9" i="20"/>
  <c r="K8" i="20"/>
  <c r="O8" i="20"/>
  <c r="G31" i="20"/>
  <c r="B85" i="20"/>
  <c r="AC36" i="20"/>
  <c r="AC31" i="20"/>
  <c r="AD31" i="20"/>
  <c r="AE31" i="20"/>
  <c r="AE36" i="20"/>
  <c r="AM31" i="20"/>
  <c r="AO31" i="20"/>
  <c r="AN31" i="20"/>
  <c r="AB31" i="20"/>
  <c r="AP31" i="20"/>
  <c r="AB36" i="20"/>
  <c r="AL31" i="20"/>
  <c r="G30" i="20"/>
  <c r="G83" i="21"/>
  <c r="G84" i="21"/>
  <c r="G85" i="21"/>
  <c r="G86" i="21"/>
  <c r="G87" i="21"/>
  <c r="G88" i="21"/>
  <c r="G89" i="21"/>
  <c r="G90" i="21"/>
  <c r="G91" i="21"/>
  <c r="G92" i="21"/>
  <c r="G93" i="21"/>
  <c r="G94" i="21"/>
  <c r="G82" i="21"/>
  <c r="B57" i="21"/>
  <c r="B58" i="21"/>
  <c r="B59" i="21"/>
  <c r="B60" i="21"/>
  <c r="B61" i="21"/>
  <c r="B62" i="21"/>
  <c r="B63" i="21"/>
  <c r="B64" i="21"/>
  <c r="B65" i="21"/>
  <c r="B66" i="21"/>
  <c r="B67" i="21"/>
  <c r="B68" i="21"/>
  <c r="D67" i="21"/>
  <c r="D65" i="21"/>
  <c r="D63" i="21"/>
  <c r="D61" i="21"/>
  <c r="D59" i="21"/>
  <c r="D57" i="21"/>
  <c r="D55" i="21"/>
  <c r="D53" i="21"/>
  <c r="D51" i="21"/>
  <c r="D49" i="21"/>
  <c r="D47" i="21"/>
  <c r="D45" i="21"/>
  <c r="D43" i="21"/>
  <c r="D41" i="21"/>
  <c r="D39" i="21"/>
  <c r="D37" i="21"/>
  <c r="D35" i="21"/>
  <c r="D33" i="21"/>
  <c r="D31" i="21"/>
  <c r="C57" i="21"/>
  <c r="E57" i="21"/>
  <c r="C58" i="21"/>
  <c r="E58" i="21"/>
  <c r="F58" i="21"/>
  <c r="C59" i="21"/>
  <c r="C61" i="21"/>
  <c r="C63" i="21"/>
  <c r="C65" i="21"/>
  <c r="C67" i="21"/>
  <c r="E59" i="21"/>
  <c r="C60" i="21"/>
  <c r="E60" i="21"/>
  <c r="F60" i="21"/>
  <c r="E61" i="21"/>
  <c r="C62" i="21"/>
  <c r="E62" i="21"/>
  <c r="F62" i="21"/>
  <c r="E63" i="21"/>
  <c r="C64" i="21"/>
  <c r="E64" i="21"/>
  <c r="F64" i="21"/>
  <c r="E65" i="21"/>
  <c r="C66" i="21"/>
  <c r="E66" i="21"/>
  <c r="F66" i="21"/>
  <c r="E67" i="21"/>
  <c r="C68" i="21"/>
  <c r="E68" i="21"/>
  <c r="F68" i="21"/>
  <c r="D29" i="21"/>
  <c r="AD36" i="20"/>
  <c r="J10" i="20"/>
  <c r="K9" i="20"/>
  <c r="O9" i="20"/>
  <c r="B86" i="20"/>
  <c r="AT31" i="20"/>
  <c r="AS31" i="20"/>
  <c r="AR31" i="20"/>
  <c r="AQ31" i="20"/>
  <c r="G33" i="20"/>
  <c r="G32" i="20"/>
  <c r="F63" i="21"/>
  <c r="G63" i="21"/>
  <c r="F65" i="21"/>
  <c r="G65" i="21"/>
  <c r="F67" i="21"/>
  <c r="G68" i="21"/>
  <c r="F57" i="21"/>
  <c r="G58" i="21"/>
  <c r="F59" i="21"/>
  <c r="G59" i="21"/>
  <c r="F61" i="21"/>
  <c r="G62" i="21"/>
  <c r="B82" i="13"/>
  <c r="B94" i="18"/>
  <c r="B82" i="18"/>
  <c r="B94" i="19"/>
  <c r="C94" i="19" s="1"/>
  <c r="B82" i="19"/>
  <c r="B94" i="26"/>
  <c r="B93" i="26"/>
  <c r="B92" i="26"/>
  <c r="B91" i="26"/>
  <c r="B90" i="26"/>
  <c r="B89" i="26"/>
  <c r="B88" i="26"/>
  <c r="B87" i="26"/>
  <c r="B86" i="26"/>
  <c r="B85" i="26"/>
  <c r="B84" i="26"/>
  <c r="B83" i="26"/>
  <c r="B82" i="26"/>
  <c r="F2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86" i="13"/>
  <c r="F187" i="13"/>
  <c r="F188" i="13"/>
  <c r="F189" i="13"/>
  <c r="F190" i="13"/>
  <c r="F191" i="13"/>
  <c r="F192" i="13"/>
  <c r="F193" i="13"/>
  <c r="F194" i="13"/>
  <c r="F195" i="13"/>
  <c r="F196" i="13"/>
  <c r="G60" i="21"/>
  <c r="G67" i="21"/>
  <c r="G64" i="21"/>
  <c r="G66" i="21"/>
  <c r="K10" i="20"/>
  <c r="O10" i="20"/>
  <c r="J11" i="20"/>
  <c r="AC41" i="20"/>
  <c r="AD41" i="20"/>
  <c r="AB41" i="20"/>
  <c r="AE41" i="20"/>
  <c r="B87" i="20"/>
  <c r="AC46" i="20"/>
  <c r="G35" i="20"/>
  <c r="G34" i="20"/>
  <c r="G61" i="21"/>
  <c r="AD46" i="20"/>
  <c r="K11" i="20"/>
  <c r="O11" i="20"/>
  <c r="J12" i="20"/>
  <c r="AC51" i="20"/>
  <c r="G36" i="20"/>
  <c r="AB46" i="20"/>
  <c r="B88" i="20"/>
  <c r="G37" i="20"/>
  <c r="AE46" i="20"/>
  <c r="B83" i="18"/>
  <c r="B84" i="13"/>
  <c r="B83" i="13"/>
  <c r="B85" i="13"/>
  <c r="F94" i="26"/>
  <c r="E94" i="26"/>
  <c r="F93" i="26"/>
  <c r="E93" i="26"/>
  <c r="F92" i="26"/>
  <c r="E92" i="26"/>
  <c r="F91" i="26"/>
  <c r="E91" i="26"/>
  <c r="C91" i="26"/>
  <c r="F90" i="26"/>
  <c r="E90" i="26"/>
  <c r="F89" i="26"/>
  <c r="E89" i="26"/>
  <c r="C89" i="26"/>
  <c r="F88" i="26"/>
  <c r="E88" i="26"/>
  <c r="F87" i="26"/>
  <c r="E87" i="26"/>
  <c r="F86" i="26"/>
  <c r="E86" i="26"/>
  <c r="F85" i="26"/>
  <c r="E85" i="26"/>
  <c r="F84" i="26"/>
  <c r="E84" i="26"/>
  <c r="F83" i="26"/>
  <c r="E83" i="26"/>
  <c r="C83" i="26"/>
  <c r="F82" i="26"/>
  <c r="E82" i="26"/>
  <c r="E47" i="26"/>
  <c r="F47" i="26"/>
  <c r="E46" i="26"/>
  <c r="F46" i="26"/>
  <c r="E45" i="26"/>
  <c r="C92" i="26"/>
  <c r="E44" i="26"/>
  <c r="F44" i="26"/>
  <c r="E43" i="26"/>
  <c r="F43" i="26"/>
  <c r="E42" i="26"/>
  <c r="F42" i="26"/>
  <c r="E41" i="26"/>
  <c r="F41" i="26"/>
  <c r="C90" i="26"/>
  <c r="E40" i="26"/>
  <c r="F40" i="26"/>
  <c r="E39" i="26"/>
  <c r="F39" i="26"/>
  <c r="E38" i="26"/>
  <c r="F38" i="26"/>
  <c r="E37" i="26"/>
  <c r="F37" i="26"/>
  <c r="C88" i="26"/>
  <c r="E36" i="26"/>
  <c r="F36" i="26"/>
  <c r="E35" i="26"/>
  <c r="C87" i="26"/>
  <c r="E34" i="26"/>
  <c r="F34" i="26"/>
  <c r="E33" i="26"/>
  <c r="F33" i="26"/>
  <c r="C86" i="26"/>
  <c r="E32" i="26"/>
  <c r="F32" i="26"/>
  <c r="E31" i="26"/>
  <c r="F31" i="26"/>
  <c r="E30" i="26"/>
  <c r="F30" i="26"/>
  <c r="E29" i="26"/>
  <c r="C84" i="26"/>
  <c r="E28" i="26"/>
  <c r="F28" i="26"/>
  <c r="E27" i="26"/>
  <c r="F27" i="26"/>
  <c r="E26" i="26"/>
  <c r="F26" i="26"/>
  <c r="E25" i="26"/>
  <c r="F25" i="26"/>
  <c r="G25" i="26"/>
  <c r="C82" i="26"/>
  <c r="F19" i="26"/>
  <c r="F15" i="26"/>
  <c r="F13" i="26"/>
  <c r="F11" i="26"/>
  <c r="F10" i="26"/>
  <c r="F9" i="26"/>
  <c r="D9" i="26"/>
  <c r="F8" i="26"/>
  <c r="F6" i="26"/>
  <c r="F5" i="26"/>
  <c r="K12" i="20"/>
  <c r="O12" i="20"/>
  <c r="J13" i="20"/>
  <c r="G38" i="20"/>
  <c r="AE51" i="20"/>
  <c r="AD51" i="20"/>
  <c r="AB51" i="20"/>
  <c r="B89" i="20"/>
  <c r="AD56" i="20"/>
  <c r="G39" i="20"/>
  <c r="B84" i="18"/>
  <c r="B41" i="27" s="1"/>
  <c r="B86" i="13"/>
  <c r="G27" i="26"/>
  <c r="G28" i="26"/>
  <c r="G26" i="26"/>
  <c r="F29" i="26"/>
  <c r="F45" i="26"/>
  <c r="F35" i="26"/>
  <c r="C85" i="26"/>
  <c r="C93" i="26"/>
  <c r="E53" i="21"/>
  <c r="F53" i="21"/>
  <c r="E54" i="21"/>
  <c r="F54" i="21"/>
  <c r="E55" i="21"/>
  <c r="F55" i="21"/>
  <c r="E56" i="21"/>
  <c r="F56" i="21"/>
  <c r="G57" i="21"/>
  <c r="E41" i="21"/>
  <c r="E42" i="21"/>
  <c r="F42" i="21"/>
  <c r="E43" i="21"/>
  <c r="E44" i="21"/>
  <c r="F44" i="21"/>
  <c r="E45" i="21"/>
  <c r="F45" i="21"/>
  <c r="E46" i="21"/>
  <c r="F46" i="21"/>
  <c r="E47" i="21"/>
  <c r="E48" i="21"/>
  <c r="F48" i="21"/>
  <c r="E49" i="21"/>
  <c r="E50" i="21"/>
  <c r="F50" i="21"/>
  <c r="E51" i="21"/>
  <c r="E52" i="21"/>
  <c r="F52" i="21"/>
  <c r="C27" i="21"/>
  <c r="C29" i="21"/>
  <c r="B26" i="21"/>
  <c r="C26" i="21"/>
  <c r="C93" i="19"/>
  <c r="C89" i="19"/>
  <c r="C62" i="27" s="1"/>
  <c r="C85" i="19"/>
  <c r="AB36" i="19" s="1"/>
  <c r="F93" i="19"/>
  <c r="E93" i="19"/>
  <c r="F92" i="19"/>
  <c r="E92" i="19"/>
  <c r="E91" i="18"/>
  <c r="F91" i="18"/>
  <c r="E92" i="18"/>
  <c r="F92" i="18"/>
  <c r="E93" i="18"/>
  <c r="F93" i="18"/>
  <c r="C93" i="18"/>
  <c r="C92" i="18"/>
  <c r="H92" i="18" s="1"/>
  <c r="C91" i="18"/>
  <c r="C90" i="18"/>
  <c r="C89" i="18"/>
  <c r="C88" i="18"/>
  <c r="C45" i="27" s="1"/>
  <c r="C87" i="18"/>
  <c r="C86" i="18"/>
  <c r="C85" i="18"/>
  <c r="C84" i="18"/>
  <c r="C83" i="18"/>
  <c r="C82" i="18"/>
  <c r="C92" i="19"/>
  <c r="C91" i="19"/>
  <c r="C90" i="19"/>
  <c r="C88" i="19"/>
  <c r="C87" i="19"/>
  <c r="C86" i="19"/>
  <c r="C84" i="19"/>
  <c r="C83" i="19"/>
  <c r="C82" i="19"/>
  <c r="H82" i="19" s="1"/>
  <c r="AE56" i="20"/>
  <c r="K13" i="20"/>
  <c r="O13" i="20"/>
  <c r="J14" i="20"/>
  <c r="AC56" i="20"/>
  <c r="AB56" i="20"/>
  <c r="B90" i="20"/>
  <c r="G41" i="20"/>
  <c r="G40" i="20"/>
  <c r="F51" i="21"/>
  <c r="F49" i="21"/>
  <c r="F47" i="21"/>
  <c r="F43" i="21"/>
  <c r="F41" i="21"/>
  <c r="B84" i="19"/>
  <c r="B57" i="27" s="1"/>
  <c r="B83" i="19"/>
  <c r="B85" i="18"/>
  <c r="AP41" i="18" s="1"/>
  <c r="B87" i="13"/>
  <c r="G29" i="26"/>
  <c r="B27" i="21"/>
  <c r="C28" i="21"/>
  <c r="B30" i="21"/>
  <c r="C31" i="21"/>
  <c r="B28" i="21"/>
  <c r="B85" i="19"/>
  <c r="K14" i="20"/>
  <c r="O14" i="20"/>
  <c r="J15" i="20"/>
  <c r="G42" i="20"/>
  <c r="B91" i="20"/>
  <c r="G43" i="20"/>
  <c r="B86" i="18"/>
  <c r="B88" i="13"/>
  <c r="G31" i="26"/>
  <c r="G30" i="26"/>
  <c r="C33" i="21"/>
  <c r="B32" i="21"/>
  <c r="C30" i="21"/>
  <c r="B29" i="21"/>
  <c r="B86" i="19"/>
  <c r="B59" i="27" s="1"/>
  <c r="K15" i="20"/>
  <c r="O15" i="20"/>
  <c r="J16" i="20"/>
  <c r="B92" i="20"/>
  <c r="G45" i="20"/>
  <c r="G44" i="20"/>
  <c r="B87" i="18"/>
  <c r="B89" i="13"/>
  <c r="G33" i="26"/>
  <c r="G32" i="26"/>
  <c r="C32" i="21"/>
  <c r="B31" i="21"/>
  <c r="C35" i="21"/>
  <c r="B34" i="21"/>
  <c r="B87" i="19"/>
  <c r="B60" i="27" s="1"/>
  <c r="F24" i="24"/>
  <c r="AI205" i="21"/>
  <c r="AH205" i="21"/>
  <c r="AG205" i="21"/>
  <c r="AF205" i="21"/>
  <c r="AE205" i="21"/>
  <c r="AD205" i="21"/>
  <c r="AC205" i="21"/>
  <c r="AB205" i="21"/>
  <c r="Y205" i="21"/>
  <c r="V205" i="21"/>
  <c r="U205" i="21"/>
  <c r="R205" i="21"/>
  <c r="Q205" i="21"/>
  <c r="N205" i="21"/>
  <c r="AI204" i="21"/>
  <c r="AH204" i="21"/>
  <c r="AG204" i="21"/>
  <c r="AF204" i="21"/>
  <c r="AE204" i="21"/>
  <c r="AD204" i="21"/>
  <c r="AC204" i="21"/>
  <c r="AB204" i="21"/>
  <c r="Y204" i="21"/>
  <c r="V204" i="21"/>
  <c r="U204" i="21"/>
  <c r="R204" i="21"/>
  <c r="Q204" i="21"/>
  <c r="N204" i="21"/>
  <c r="AI203" i="21"/>
  <c r="AH203" i="21"/>
  <c r="AG203" i="21"/>
  <c r="AF203" i="21"/>
  <c r="AE203" i="21"/>
  <c r="AD203" i="21"/>
  <c r="AC203" i="21"/>
  <c r="AB203" i="21"/>
  <c r="Y203" i="21"/>
  <c r="V203" i="21"/>
  <c r="U203" i="21"/>
  <c r="R203" i="21"/>
  <c r="Q203" i="21"/>
  <c r="N203" i="21"/>
  <c r="AI202" i="21"/>
  <c r="AH202" i="21"/>
  <c r="AG202" i="21"/>
  <c r="AF202" i="21"/>
  <c r="AE202" i="21"/>
  <c r="AD202" i="21"/>
  <c r="AC202" i="21"/>
  <c r="AB202" i="21"/>
  <c r="Y202" i="21"/>
  <c r="V202" i="21"/>
  <c r="U202" i="21"/>
  <c r="R202" i="21"/>
  <c r="Q202" i="21"/>
  <c r="N202" i="21"/>
  <c r="AI201" i="21"/>
  <c r="AH201" i="21"/>
  <c r="AG201" i="21"/>
  <c r="AF201" i="21"/>
  <c r="AE201" i="21"/>
  <c r="AD201" i="21"/>
  <c r="AC201" i="21"/>
  <c r="AB201" i="21"/>
  <c r="Y201" i="21"/>
  <c r="V201" i="21"/>
  <c r="U201" i="21"/>
  <c r="R201" i="21"/>
  <c r="Q201" i="21"/>
  <c r="N201" i="21"/>
  <c r="AI200" i="21"/>
  <c r="AH200" i="21"/>
  <c r="AG200" i="21"/>
  <c r="AF200" i="21"/>
  <c r="AE200" i="21"/>
  <c r="AD200" i="21"/>
  <c r="AC200" i="21"/>
  <c r="AB200" i="21"/>
  <c r="Y200" i="21"/>
  <c r="V200" i="21"/>
  <c r="U200" i="21"/>
  <c r="R200" i="21"/>
  <c r="Q200" i="21"/>
  <c r="N200" i="21"/>
  <c r="AI199" i="21"/>
  <c r="AH199" i="21"/>
  <c r="AG199" i="21"/>
  <c r="AF199" i="21"/>
  <c r="AE199" i="21"/>
  <c r="AD199" i="21"/>
  <c r="AC199" i="21"/>
  <c r="AB199" i="21"/>
  <c r="Y199" i="21"/>
  <c r="V199" i="21"/>
  <c r="U199" i="21"/>
  <c r="R199" i="21"/>
  <c r="Q199" i="21"/>
  <c r="N199" i="21"/>
  <c r="AI198" i="21"/>
  <c r="AH198" i="21"/>
  <c r="AG198" i="21"/>
  <c r="AF198" i="21"/>
  <c r="AE198" i="21"/>
  <c r="AD198" i="21"/>
  <c r="AC198" i="21"/>
  <c r="AB198" i="21"/>
  <c r="Y198" i="21"/>
  <c r="V198" i="21"/>
  <c r="U198" i="21"/>
  <c r="R198" i="21"/>
  <c r="Q198" i="21"/>
  <c r="N198" i="21"/>
  <c r="AI197" i="21"/>
  <c r="AH197" i="21"/>
  <c r="AG197" i="21"/>
  <c r="AF197" i="21"/>
  <c r="AE197" i="21"/>
  <c r="AD197" i="21"/>
  <c r="AC197" i="21"/>
  <c r="AB197" i="21"/>
  <c r="Y197" i="21"/>
  <c r="V197" i="21"/>
  <c r="U197" i="21"/>
  <c r="R197" i="21"/>
  <c r="Q197" i="21"/>
  <c r="N197" i="21"/>
  <c r="AI196" i="21"/>
  <c r="AH196" i="21"/>
  <c r="AG196" i="21"/>
  <c r="AF196" i="21"/>
  <c r="AE196" i="21"/>
  <c r="AD196" i="21"/>
  <c r="AC196" i="21"/>
  <c r="AB196" i="21"/>
  <c r="Y196" i="21"/>
  <c r="V196" i="21"/>
  <c r="U196" i="21"/>
  <c r="R196" i="21"/>
  <c r="Q196" i="21"/>
  <c r="N196" i="21"/>
  <c r="AI195" i="21"/>
  <c r="AH195" i="21"/>
  <c r="AG195" i="21"/>
  <c r="AF195" i="21"/>
  <c r="AE195" i="21"/>
  <c r="AD195" i="21"/>
  <c r="AC195" i="21"/>
  <c r="AB195" i="21"/>
  <c r="Y195" i="21"/>
  <c r="V195" i="21"/>
  <c r="U195" i="21"/>
  <c r="R195" i="21"/>
  <c r="Q195" i="21"/>
  <c r="N195" i="21"/>
  <c r="AI194" i="21"/>
  <c r="AH194" i="21"/>
  <c r="AG194" i="21"/>
  <c r="AF194" i="21"/>
  <c r="AE194" i="21"/>
  <c r="AD194" i="21"/>
  <c r="AC194" i="21"/>
  <c r="AB194" i="21"/>
  <c r="Y194" i="21"/>
  <c r="V194" i="21"/>
  <c r="U194" i="21"/>
  <c r="R194" i="21"/>
  <c r="Q194" i="21"/>
  <c r="N194" i="21"/>
  <c r="AI193" i="21"/>
  <c r="AH193" i="21"/>
  <c r="AG193" i="21"/>
  <c r="AF193" i="21"/>
  <c r="AE193" i="21"/>
  <c r="AD193" i="21"/>
  <c r="AC193" i="21"/>
  <c r="AB193" i="21"/>
  <c r="Y193" i="21"/>
  <c r="V193" i="21"/>
  <c r="U193" i="21"/>
  <c r="R193" i="21"/>
  <c r="Q193" i="21"/>
  <c r="N193" i="21"/>
  <c r="AI192" i="21"/>
  <c r="AH192" i="21"/>
  <c r="AG192" i="21"/>
  <c r="AF192" i="21"/>
  <c r="AE192" i="21"/>
  <c r="AD192" i="21"/>
  <c r="AC192" i="21"/>
  <c r="AB192" i="21"/>
  <c r="Y192" i="21"/>
  <c r="V192" i="21"/>
  <c r="U192" i="21"/>
  <c r="R192" i="21"/>
  <c r="Q192" i="21"/>
  <c r="N192" i="21"/>
  <c r="AI191" i="21"/>
  <c r="AH191" i="21"/>
  <c r="AG191" i="21"/>
  <c r="AF191" i="21"/>
  <c r="AE191" i="21"/>
  <c r="AD191" i="21"/>
  <c r="AC191" i="21"/>
  <c r="AB191" i="21"/>
  <c r="Y191" i="21"/>
  <c r="V191" i="21"/>
  <c r="U191" i="21"/>
  <c r="R191" i="21"/>
  <c r="Q191" i="21"/>
  <c r="N191" i="21"/>
  <c r="AI190" i="21"/>
  <c r="AH190" i="21"/>
  <c r="AG190" i="21"/>
  <c r="AF190" i="21"/>
  <c r="AE190" i="21"/>
  <c r="AD190" i="21"/>
  <c r="AC190" i="21"/>
  <c r="AB190" i="21"/>
  <c r="Y190" i="21"/>
  <c r="V190" i="21"/>
  <c r="U190" i="21"/>
  <c r="R190" i="21"/>
  <c r="Q190" i="21"/>
  <c r="N190" i="21"/>
  <c r="AI189" i="21"/>
  <c r="AH189" i="21"/>
  <c r="AG189" i="21"/>
  <c r="AF189" i="21"/>
  <c r="AE189" i="21"/>
  <c r="AD189" i="21"/>
  <c r="AC189" i="21"/>
  <c r="AB189" i="21"/>
  <c r="Y189" i="21"/>
  <c r="V189" i="21"/>
  <c r="U189" i="21"/>
  <c r="R189" i="21"/>
  <c r="Q189" i="21"/>
  <c r="N189" i="21"/>
  <c r="AI188" i="21"/>
  <c r="AH188" i="21"/>
  <c r="AG188" i="21"/>
  <c r="AF188" i="21"/>
  <c r="AE188" i="21"/>
  <c r="AD188" i="21"/>
  <c r="AC188" i="21"/>
  <c r="AB188" i="21"/>
  <c r="Y188" i="21"/>
  <c r="V188" i="21"/>
  <c r="U188" i="21"/>
  <c r="R188" i="21"/>
  <c r="Q188" i="21"/>
  <c r="N188" i="21"/>
  <c r="AI187" i="21"/>
  <c r="AH187" i="21"/>
  <c r="AG187" i="21"/>
  <c r="AF187" i="21"/>
  <c r="AE187" i="21"/>
  <c r="AD187" i="21"/>
  <c r="AC187" i="21"/>
  <c r="AB187" i="21"/>
  <c r="Y187" i="21"/>
  <c r="V187" i="21"/>
  <c r="U187" i="21"/>
  <c r="R187" i="21"/>
  <c r="Q187" i="21"/>
  <c r="N187" i="21"/>
  <c r="AI186" i="21"/>
  <c r="AH186" i="21"/>
  <c r="AG186" i="21"/>
  <c r="AF186" i="21"/>
  <c r="AE186" i="21"/>
  <c r="AD186" i="21"/>
  <c r="AC186" i="21"/>
  <c r="AB186" i="21"/>
  <c r="Y186" i="21"/>
  <c r="V186" i="21"/>
  <c r="U186" i="21"/>
  <c r="R186" i="21"/>
  <c r="Q186" i="21"/>
  <c r="N186" i="21"/>
  <c r="AI185" i="21"/>
  <c r="AH185" i="21"/>
  <c r="AG185" i="21"/>
  <c r="AF185" i="21"/>
  <c r="AE185" i="21"/>
  <c r="AD185" i="21"/>
  <c r="AC185" i="21"/>
  <c r="AB185" i="21"/>
  <c r="Y185" i="21"/>
  <c r="V185" i="21"/>
  <c r="U185" i="21"/>
  <c r="R185" i="21"/>
  <c r="Q185" i="21"/>
  <c r="N185" i="21"/>
  <c r="AI184" i="21"/>
  <c r="AH184" i="21"/>
  <c r="AG184" i="21"/>
  <c r="AF184" i="21"/>
  <c r="AE184" i="21"/>
  <c r="AD184" i="21"/>
  <c r="AC184" i="21"/>
  <c r="AB184" i="21"/>
  <c r="Y184" i="21"/>
  <c r="V184" i="21"/>
  <c r="U184" i="21"/>
  <c r="R184" i="21"/>
  <c r="Q184" i="21"/>
  <c r="N184" i="21"/>
  <c r="AI183" i="21"/>
  <c r="AH183" i="21"/>
  <c r="AG183" i="21"/>
  <c r="AF183" i="21"/>
  <c r="AE183" i="21"/>
  <c r="AD183" i="21"/>
  <c r="AC183" i="21"/>
  <c r="AB183" i="21"/>
  <c r="Y183" i="21"/>
  <c r="V183" i="21"/>
  <c r="U183" i="21"/>
  <c r="R183" i="21"/>
  <c r="Q183" i="21"/>
  <c r="N183" i="21"/>
  <c r="AI182" i="21"/>
  <c r="AH182" i="21"/>
  <c r="AG182" i="21"/>
  <c r="AF182" i="21"/>
  <c r="AE182" i="21"/>
  <c r="AD182" i="21"/>
  <c r="AC182" i="21"/>
  <c r="AB182" i="21"/>
  <c r="Y182" i="21"/>
  <c r="V182" i="21"/>
  <c r="U182" i="21"/>
  <c r="R182" i="21"/>
  <c r="Q182" i="21"/>
  <c r="N182" i="21"/>
  <c r="AI181" i="21"/>
  <c r="AH181" i="21"/>
  <c r="AG181" i="21"/>
  <c r="AF181" i="21"/>
  <c r="AE181" i="21"/>
  <c r="AD181" i="21"/>
  <c r="AC181" i="21"/>
  <c r="AB181" i="21"/>
  <c r="Y181" i="21"/>
  <c r="V181" i="21"/>
  <c r="U181" i="21"/>
  <c r="R181" i="21"/>
  <c r="Q181" i="21"/>
  <c r="N181" i="21"/>
  <c r="AI180" i="21"/>
  <c r="AH180" i="21"/>
  <c r="AG180" i="21"/>
  <c r="AF180" i="21"/>
  <c r="AE180" i="21"/>
  <c r="AD180" i="21"/>
  <c r="AC180" i="21"/>
  <c r="AB180" i="21"/>
  <c r="Y180" i="21"/>
  <c r="V180" i="21"/>
  <c r="U180" i="21"/>
  <c r="R180" i="21"/>
  <c r="Q180" i="21"/>
  <c r="N180" i="21"/>
  <c r="AI179" i="21"/>
  <c r="AH179" i="21"/>
  <c r="AG179" i="21"/>
  <c r="AF179" i="21"/>
  <c r="AE179" i="21"/>
  <c r="AD179" i="21"/>
  <c r="AC179" i="21"/>
  <c r="AB179" i="21"/>
  <c r="Y179" i="21"/>
  <c r="V179" i="21"/>
  <c r="U179" i="21"/>
  <c r="R179" i="21"/>
  <c r="Q179" i="21"/>
  <c r="N179" i="21"/>
  <c r="AI178" i="21"/>
  <c r="AH178" i="21"/>
  <c r="AG178" i="21"/>
  <c r="AF178" i="21"/>
  <c r="AE178" i="21"/>
  <c r="AD178" i="21"/>
  <c r="AC178" i="21"/>
  <c r="AB178" i="21"/>
  <c r="Y178" i="21"/>
  <c r="V178" i="21"/>
  <c r="U178" i="21"/>
  <c r="R178" i="21"/>
  <c r="Q178" i="21"/>
  <c r="N178" i="21"/>
  <c r="AI177" i="21"/>
  <c r="AH177" i="21"/>
  <c r="AG177" i="21"/>
  <c r="AF177" i="21"/>
  <c r="AE177" i="21"/>
  <c r="AD177" i="21"/>
  <c r="AC177" i="21"/>
  <c r="AB177" i="21"/>
  <c r="Y177" i="21"/>
  <c r="V177" i="21"/>
  <c r="U177" i="21"/>
  <c r="R177" i="21"/>
  <c r="Q177" i="21"/>
  <c r="N177" i="21"/>
  <c r="AI176" i="21"/>
  <c r="AH176" i="21"/>
  <c r="AG176" i="21"/>
  <c r="AF176" i="21"/>
  <c r="AE176" i="21"/>
  <c r="AD176" i="21"/>
  <c r="AC176" i="21"/>
  <c r="AB176" i="21"/>
  <c r="Y176" i="21"/>
  <c r="V176" i="21"/>
  <c r="U176" i="21"/>
  <c r="R176" i="21"/>
  <c r="Q176" i="21"/>
  <c r="N176" i="21"/>
  <c r="AI175" i="21"/>
  <c r="AH175" i="21"/>
  <c r="AG175" i="21"/>
  <c r="AF175" i="21"/>
  <c r="AE175" i="21"/>
  <c r="AD175" i="21"/>
  <c r="AC175" i="21"/>
  <c r="AB175" i="21"/>
  <c r="Y175" i="21"/>
  <c r="V175" i="21"/>
  <c r="U175" i="21"/>
  <c r="R175" i="21"/>
  <c r="Q175" i="21"/>
  <c r="N175" i="21"/>
  <c r="AI174" i="21"/>
  <c r="AH174" i="21"/>
  <c r="AG174" i="21"/>
  <c r="AF174" i="21"/>
  <c r="AE174" i="21"/>
  <c r="AD174" i="21"/>
  <c r="AC174" i="21"/>
  <c r="AB174" i="21"/>
  <c r="Y174" i="21"/>
  <c r="V174" i="21"/>
  <c r="U174" i="21"/>
  <c r="R174" i="21"/>
  <c r="Q174" i="21"/>
  <c r="N174" i="21"/>
  <c r="AI173" i="21"/>
  <c r="AH173" i="21"/>
  <c r="AG173" i="21"/>
  <c r="AF173" i="21"/>
  <c r="AE173" i="21"/>
  <c r="AD173" i="21"/>
  <c r="AC173" i="21"/>
  <c r="AB173" i="21"/>
  <c r="Y173" i="21"/>
  <c r="V173" i="21"/>
  <c r="U173" i="21"/>
  <c r="R173" i="21"/>
  <c r="Q173" i="21"/>
  <c r="N173" i="21"/>
  <c r="AI172" i="21"/>
  <c r="AH172" i="21"/>
  <c r="AG172" i="21"/>
  <c r="AF172" i="21"/>
  <c r="AE172" i="21"/>
  <c r="AD172" i="21"/>
  <c r="AC172" i="21"/>
  <c r="AB172" i="21"/>
  <c r="Y172" i="21"/>
  <c r="V172" i="21"/>
  <c r="U172" i="21"/>
  <c r="R172" i="21"/>
  <c r="Q172" i="21"/>
  <c r="N172" i="21"/>
  <c r="AI171" i="21"/>
  <c r="AH171" i="21"/>
  <c r="AG171" i="21"/>
  <c r="AF171" i="21"/>
  <c r="AE171" i="21"/>
  <c r="AD171" i="21"/>
  <c r="AC171" i="21"/>
  <c r="AB171" i="21"/>
  <c r="Y171" i="21"/>
  <c r="V171" i="21"/>
  <c r="U171" i="21"/>
  <c r="R171" i="21"/>
  <c r="Q171" i="21"/>
  <c r="N171" i="21"/>
  <c r="AI170" i="21"/>
  <c r="AH170" i="21"/>
  <c r="AG170" i="21"/>
  <c r="AF170" i="21"/>
  <c r="AE170" i="21"/>
  <c r="AD170" i="21"/>
  <c r="AC170" i="21"/>
  <c r="AB170" i="21"/>
  <c r="Y170" i="21"/>
  <c r="V170" i="21"/>
  <c r="U170" i="21"/>
  <c r="R170" i="21"/>
  <c r="Q170" i="21"/>
  <c r="N170" i="21"/>
  <c r="AI169" i="21"/>
  <c r="AH169" i="21"/>
  <c r="AG169" i="21"/>
  <c r="AF169" i="21"/>
  <c r="AE169" i="21"/>
  <c r="AD169" i="21"/>
  <c r="AC169" i="21"/>
  <c r="AB169" i="21"/>
  <c r="Y169" i="21"/>
  <c r="V169" i="21"/>
  <c r="U169" i="21"/>
  <c r="R169" i="21"/>
  <c r="Q169" i="21"/>
  <c r="N169" i="21"/>
  <c r="AI168" i="21"/>
  <c r="AH168" i="21"/>
  <c r="AG168" i="21"/>
  <c r="AF168" i="21"/>
  <c r="AE168" i="21"/>
  <c r="AD168" i="21"/>
  <c r="AC168" i="21"/>
  <c r="AB168" i="21"/>
  <c r="Y168" i="21"/>
  <c r="V168" i="21"/>
  <c r="U168" i="21"/>
  <c r="R168" i="21"/>
  <c r="Q168" i="21"/>
  <c r="N168" i="21"/>
  <c r="AI167" i="21"/>
  <c r="AH167" i="21"/>
  <c r="AG167" i="21"/>
  <c r="AF167" i="21"/>
  <c r="AE167" i="21"/>
  <c r="AD167" i="21"/>
  <c r="AC167" i="21"/>
  <c r="AB167" i="21"/>
  <c r="Y167" i="21"/>
  <c r="V167" i="21"/>
  <c r="U167" i="21"/>
  <c r="R167" i="21"/>
  <c r="Q167" i="21"/>
  <c r="N167" i="21"/>
  <c r="AI166" i="21"/>
  <c r="AH166" i="21"/>
  <c r="AG166" i="21"/>
  <c r="AF166" i="21"/>
  <c r="AE166" i="21"/>
  <c r="AD166" i="21"/>
  <c r="AC166" i="21"/>
  <c r="AB166" i="21"/>
  <c r="Y166" i="21"/>
  <c r="V166" i="21"/>
  <c r="U166" i="21"/>
  <c r="R166" i="21"/>
  <c r="Q166" i="21"/>
  <c r="N166" i="21"/>
  <c r="AI165" i="21"/>
  <c r="AH165" i="21"/>
  <c r="AG165" i="21"/>
  <c r="AF165" i="21"/>
  <c r="AE165" i="21"/>
  <c r="AD165" i="21"/>
  <c r="AC165" i="21"/>
  <c r="AB165" i="21"/>
  <c r="Y165" i="21"/>
  <c r="V165" i="21"/>
  <c r="U165" i="21"/>
  <c r="R165" i="21"/>
  <c r="Q165" i="21"/>
  <c r="N165" i="21"/>
  <c r="AI164" i="21"/>
  <c r="AH164" i="21"/>
  <c r="AG164" i="21"/>
  <c r="AF164" i="21"/>
  <c r="AE164" i="21"/>
  <c r="AD164" i="21"/>
  <c r="AC164" i="21"/>
  <c r="AB164" i="21"/>
  <c r="Y164" i="21"/>
  <c r="V164" i="21"/>
  <c r="U164" i="21"/>
  <c r="R164" i="21"/>
  <c r="Q164" i="21"/>
  <c r="N164" i="21"/>
  <c r="AI163" i="21"/>
  <c r="AH163" i="21"/>
  <c r="AG163" i="21"/>
  <c r="AF163" i="21"/>
  <c r="AE163" i="21"/>
  <c r="AD163" i="21"/>
  <c r="AC163" i="21"/>
  <c r="AB163" i="21"/>
  <c r="Y163" i="21"/>
  <c r="V163" i="21"/>
  <c r="U163" i="21"/>
  <c r="R163" i="21"/>
  <c r="Q163" i="21"/>
  <c r="N163" i="21"/>
  <c r="AI162" i="21"/>
  <c r="AH162" i="21"/>
  <c r="AG162" i="21"/>
  <c r="AF162" i="21"/>
  <c r="AE162" i="21"/>
  <c r="AD162" i="21"/>
  <c r="AC162" i="21"/>
  <c r="AB162" i="21"/>
  <c r="Y162" i="21"/>
  <c r="V162" i="21"/>
  <c r="U162" i="21"/>
  <c r="R162" i="21"/>
  <c r="Q162" i="21"/>
  <c r="N162" i="21"/>
  <c r="AI161" i="21"/>
  <c r="AH161" i="21"/>
  <c r="AG161" i="21"/>
  <c r="AF161" i="21"/>
  <c r="AE161" i="21"/>
  <c r="AD161" i="21"/>
  <c r="AC161" i="21"/>
  <c r="AB161" i="21"/>
  <c r="Y161" i="21"/>
  <c r="V161" i="21"/>
  <c r="U161" i="21"/>
  <c r="R161" i="21"/>
  <c r="Q161" i="21"/>
  <c r="N161" i="21"/>
  <c r="AI160" i="21"/>
  <c r="AH160" i="21"/>
  <c r="AG160" i="21"/>
  <c r="AF160" i="21"/>
  <c r="AE160" i="21"/>
  <c r="AD160" i="21"/>
  <c r="AC160" i="21"/>
  <c r="AB160" i="21"/>
  <c r="Y160" i="21"/>
  <c r="V160" i="21"/>
  <c r="U160" i="21"/>
  <c r="R160" i="21"/>
  <c r="Q160" i="21"/>
  <c r="N160" i="21"/>
  <c r="AI159" i="21"/>
  <c r="AH159" i="21"/>
  <c r="AG159" i="21"/>
  <c r="AF159" i="21"/>
  <c r="AE159" i="21"/>
  <c r="AD159" i="21"/>
  <c r="AC159" i="21"/>
  <c r="AB159" i="21"/>
  <c r="Y159" i="21"/>
  <c r="V159" i="21"/>
  <c r="U159" i="21"/>
  <c r="R159" i="21"/>
  <c r="Q159" i="21"/>
  <c r="N159" i="21"/>
  <c r="AI158" i="21"/>
  <c r="AH158" i="21"/>
  <c r="AG158" i="21"/>
  <c r="AF158" i="21"/>
  <c r="AE158" i="21"/>
  <c r="AD158" i="21"/>
  <c r="AC158" i="21"/>
  <c r="AB158" i="21"/>
  <c r="Y158" i="21"/>
  <c r="V158" i="21"/>
  <c r="U158" i="21"/>
  <c r="R158" i="21"/>
  <c r="Q158" i="21"/>
  <c r="N158" i="21"/>
  <c r="AI157" i="21"/>
  <c r="AH157" i="21"/>
  <c r="AG157" i="21"/>
  <c r="AF157" i="21"/>
  <c r="AE157" i="21"/>
  <c r="AD157" i="21"/>
  <c r="AC157" i="21"/>
  <c r="AB157" i="21"/>
  <c r="Y157" i="21"/>
  <c r="V157" i="21"/>
  <c r="U157" i="21"/>
  <c r="R157" i="21"/>
  <c r="Q157" i="21"/>
  <c r="N157" i="21"/>
  <c r="AI156" i="21"/>
  <c r="AH156" i="21"/>
  <c r="AG156" i="21"/>
  <c r="AF156" i="21"/>
  <c r="AE156" i="21"/>
  <c r="AD156" i="21"/>
  <c r="AC156" i="21"/>
  <c r="AB156" i="21"/>
  <c r="Y156" i="21"/>
  <c r="V156" i="21"/>
  <c r="U156" i="21"/>
  <c r="R156" i="21"/>
  <c r="Q156" i="21"/>
  <c r="N156" i="21"/>
  <c r="AI155" i="21"/>
  <c r="AH155" i="21"/>
  <c r="AG155" i="21"/>
  <c r="AF155" i="21"/>
  <c r="AE155" i="21"/>
  <c r="AD155" i="21"/>
  <c r="AC155" i="21"/>
  <c r="AB155" i="21"/>
  <c r="Y155" i="21"/>
  <c r="V155" i="21"/>
  <c r="U155" i="21"/>
  <c r="R155" i="21"/>
  <c r="Q155" i="21"/>
  <c r="N155" i="21"/>
  <c r="AI154" i="21"/>
  <c r="AH154" i="21"/>
  <c r="AG154" i="21"/>
  <c r="AF154" i="21"/>
  <c r="AE154" i="21"/>
  <c r="AD154" i="21"/>
  <c r="AC154" i="21"/>
  <c r="AB154" i="21"/>
  <c r="Y154" i="21"/>
  <c r="V154" i="21"/>
  <c r="U154" i="21"/>
  <c r="R154" i="21"/>
  <c r="Q154" i="21"/>
  <c r="N154" i="21"/>
  <c r="AI153" i="21"/>
  <c r="AH153" i="21"/>
  <c r="AG153" i="21"/>
  <c r="AF153" i="21"/>
  <c r="AE153" i="21"/>
  <c r="AD153" i="21"/>
  <c r="AC153" i="21"/>
  <c r="AB153" i="21"/>
  <c r="Y153" i="21"/>
  <c r="V153" i="21"/>
  <c r="U153" i="21"/>
  <c r="R153" i="21"/>
  <c r="Q153" i="21"/>
  <c r="N153" i="21"/>
  <c r="AI152" i="21"/>
  <c r="AH152" i="21"/>
  <c r="AG152" i="21"/>
  <c r="AF152" i="21"/>
  <c r="AE152" i="21"/>
  <c r="AD152" i="21"/>
  <c r="AC152" i="21"/>
  <c r="AB152" i="21"/>
  <c r="Y152" i="21"/>
  <c r="V152" i="21"/>
  <c r="U152" i="21"/>
  <c r="R152" i="21"/>
  <c r="Q152" i="21"/>
  <c r="N152" i="21"/>
  <c r="AI151" i="21"/>
  <c r="AH151" i="21"/>
  <c r="AG151" i="21"/>
  <c r="AF151" i="21"/>
  <c r="AE151" i="21"/>
  <c r="AD151" i="21"/>
  <c r="AC151" i="21"/>
  <c r="AB151" i="21"/>
  <c r="Y151" i="21"/>
  <c r="V151" i="21"/>
  <c r="U151" i="21"/>
  <c r="R151" i="21"/>
  <c r="Q151" i="21"/>
  <c r="N151" i="21"/>
  <c r="AI150" i="21"/>
  <c r="AH150" i="21"/>
  <c r="AG150" i="21"/>
  <c r="AF150" i="21"/>
  <c r="AE150" i="21"/>
  <c r="AD150" i="21"/>
  <c r="AC150" i="21"/>
  <c r="AB150" i="21"/>
  <c r="Y150" i="21"/>
  <c r="V150" i="21"/>
  <c r="U150" i="21"/>
  <c r="R150" i="21"/>
  <c r="Q150" i="21"/>
  <c r="N150" i="21"/>
  <c r="AI149" i="21"/>
  <c r="AH149" i="21"/>
  <c r="AG149" i="21"/>
  <c r="AF149" i="21"/>
  <c r="AE149" i="21"/>
  <c r="AD149" i="21"/>
  <c r="AC149" i="21"/>
  <c r="AB149" i="21"/>
  <c r="Y149" i="21"/>
  <c r="V149" i="21"/>
  <c r="U149" i="21"/>
  <c r="R149" i="21"/>
  <c r="Q149" i="21"/>
  <c r="N149" i="21"/>
  <c r="AI148" i="21"/>
  <c r="AH148" i="21"/>
  <c r="AG148" i="21"/>
  <c r="AF148" i="21"/>
  <c r="AE148" i="21"/>
  <c r="AD148" i="21"/>
  <c r="AC148" i="21"/>
  <c r="AB148" i="21"/>
  <c r="Y148" i="21"/>
  <c r="V148" i="21"/>
  <c r="U148" i="21"/>
  <c r="R148" i="21"/>
  <c r="Q148" i="21"/>
  <c r="N148" i="21"/>
  <c r="AI147" i="21"/>
  <c r="AH147" i="21"/>
  <c r="AG147" i="21"/>
  <c r="AF147" i="21"/>
  <c r="AE147" i="21"/>
  <c r="AD147" i="21"/>
  <c r="AC147" i="21"/>
  <c r="AB147" i="21"/>
  <c r="Y147" i="21"/>
  <c r="V147" i="21"/>
  <c r="U147" i="21"/>
  <c r="R147" i="21"/>
  <c r="Q147" i="21"/>
  <c r="N147" i="21"/>
  <c r="AI146" i="21"/>
  <c r="AH146" i="21"/>
  <c r="AG146" i="21"/>
  <c r="AF146" i="21"/>
  <c r="AE146" i="21"/>
  <c r="AD146" i="21"/>
  <c r="AC146" i="21"/>
  <c r="AB146" i="21"/>
  <c r="Y146" i="21"/>
  <c r="V146" i="21"/>
  <c r="U146" i="21"/>
  <c r="R146" i="21"/>
  <c r="Q146" i="21"/>
  <c r="N146" i="21"/>
  <c r="AI145" i="21"/>
  <c r="AH145" i="21"/>
  <c r="AG145" i="21"/>
  <c r="AF145" i="21"/>
  <c r="AE145" i="21"/>
  <c r="AD145" i="21"/>
  <c r="AC145" i="21"/>
  <c r="AB145" i="21"/>
  <c r="Y145" i="21"/>
  <c r="V145" i="21"/>
  <c r="U145" i="21"/>
  <c r="R145" i="21"/>
  <c r="Q145" i="21"/>
  <c r="N145" i="21"/>
  <c r="AI144" i="21"/>
  <c r="AH144" i="21"/>
  <c r="AG144" i="21"/>
  <c r="AF144" i="21"/>
  <c r="AE144" i="21"/>
  <c r="AD144" i="21"/>
  <c r="AC144" i="21"/>
  <c r="AB144" i="21"/>
  <c r="Y144" i="21"/>
  <c r="V144" i="21"/>
  <c r="U144" i="21"/>
  <c r="R144" i="21"/>
  <c r="Q144" i="21"/>
  <c r="N144" i="21"/>
  <c r="AI143" i="21"/>
  <c r="AH143" i="21"/>
  <c r="AG143" i="21"/>
  <c r="AF143" i="21"/>
  <c r="AE143" i="21"/>
  <c r="AD143" i="21"/>
  <c r="AC143" i="21"/>
  <c r="AB143" i="21"/>
  <c r="Y143" i="21"/>
  <c r="V143" i="21"/>
  <c r="U143" i="21"/>
  <c r="R143" i="21"/>
  <c r="Q143" i="21"/>
  <c r="N143" i="21"/>
  <c r="AI142" i="21"/>
  <c r="AH142" i="21"/>
  <c r="AG142" i="21"/>
  <c r="AF142" i="21"/>
  <c r="AE142" i="21"/>
  <c r="AD142" i="21"/>
  <c r="AC142" i="21"/>
  <c r="AB142" i="21"/>
  <c r="Y142" i="21"/>
  <c r="V142" i="21"/>
  <c r="U142" i="21"/>
  <c r="R142" i="21"/>
  <c r="Q142" i="21"/>
  <c r="N142" i="21"/>
  <c r="AI141" i="21"/>
  <c r="AH141" i="21"/>
  <c r="AG141" i="21"/>
  <c r="AF141" i="21"/>
  <c r="AE141" i="21"/>
  <c r="AD141" i="21"/>
  <c r="AC141" i="21"/>
  <c r="AB141" i="21"/>
  <c r="Y141" i="21"/>
  <c r="V141" i="21"/>
  <c r="U141" i="21"/>
  <c r="R141" i="21"/>
  <c r="Q141" i="21"/>
  <c r="N141" i="21"/>
  <c r="AI140" i="21"/>
  <c r="AH140" i="21"/>
  <c r="AG140" i="21"/>
  <c r="AF140" i="21"/>
  <c r="AE140" i="21"/>
  <c r="AD140" i="21"/>
  <c r="AC140" i="21"/>
  <c r="AB140" i="21"/>
  <c r="Y140" i="21"/>
  <c r="V140" i="21"/>
  <c r="U140" i="21"/>
  <c r="R140" i="21"/>
  <c r="Q140" i="21"/>
  <c r="N140" i="21"/>
  <c r="AI139" i="21"/>
  <c r="AH139" i="21"/>
  <c r="AG139" i="21"/>
  <c r="AF139" i="21"/>
  <c r="AE139" i="21"/>
  <c r="AD139" i="21"/>
  <c r="AC139" i="21"/>
  <c r="AB139" i="21"/>
  <c r="Y139" i="21"/>
  <c r="V139" i="21"/>
  <c r="U139" i="21"/>
  <c r="R139" i="21"/>
  <c r="Q139" i="21"/>
  <c r="N139" i="21"/>
  <c r="AI138" i="21"/>
  <c r="AH138" i="21"/>
  <c r="AG138" i="21"/>
  <c r="AF138" i="21"/>
  <c r="AE138" i="21"/>
  <c r="AD138" i="21"/>
  <c r="AC138" i="21"/>
  <c r="AB138" i="21"/>
  <c r="Y138" i="21"/>
  <c r="V138" i="21"/>
  <c r="U138" i="21"/>
  <c r="R138" i="21"/>
  <c r="Q138" i="21"/>
  <c r="N138" i="21"/>
  <c r="AI137" i="21"/>
  <c r="AH137" i="21"/>
  <c r="AG137" i="21"/>
  <c r="AF137" i="21"/>
  <c r="AE137" i="21"/>
  <c r="AD137" i="21"/>
  <c r="AC137" i="21"/>
  <c r="AB137" i="21"/>
  <c r="Y137" i="21"/>
  <c r="V137" i="21"/>
  <c r="U137" i="21"/>
  <c r="R137" i="21"/>
  <c r="Q137" i="21"/>
  <c r="N137" i="21"/>
  <c r="AI136" i="21"/>
  <c r="AH136" i="21"/>
  <c r="AG136" i="21"/>
  <c r="AF136" i="21"/>
  <c r="AE136" i="21"/>
  <c r="AD136" i="21"/>
  <c r="AC136" i="21"/>
  <c r="AB136" i="21"/>
  <c r="Y136" i="21"/>
  <c r="V136" i="21"/>
  <c r="U136" i="21"/>
  <c r="R136" i="21"/>
  <c r="Q136" i="21"/>
  <c r="N136" i="21"/>
  <c r="AI135" i="21"/>
  <c r="AH135" i="21"/>
  <c r="AG135" i="21"/>
  <c r="AF135" i="21"/>
  <c r="AE135" i="21"/>
  <c r="AD135" i="21"/>
  <c r="AC135" i="21"/>
  <c r="AB135" i="21"/>
  <c r="Y135" i="21"/>
  <c r="V135" i="21"/>
  <c r="U135" i="21"/>
  <c r="R135" i="21"/>
  <c r="Q135" i="21"/>
  <c r="N135" i="21"/>
  <c r="AI134" i="21"/>
  <c r="AH134" i="21"/>
  <c r="AG134" i="21"/>
  <c r="AF134" i="21"/>
  <c r="AE134" i="21"/>
  <c r="AD134" i="21"/>
  <c r="AC134" i="21"/>
  <c r="AB134" i="21"/>
  <c r="Y134" i="21"/>
  <c r="V134" i="21"/>
  <c r="U134" i="21"/>
  <c r="R134" i="21"/>
  <c r="Q134" i="21"/>
  <c r="N134" i="21"/>
  <c r="AI133" i="21"/>
  <c r="AH133" i="21"/>
  <c r="AG133" i="21"/>
  <c r="AF133" i="21"/>
  <c r="AE133" i="21"/>
  <c r="AD133" i="21"/>
  <c r="AC133" i="21"/>
  <c r="AB133" i="21"/>
  <c r="Y133" i="21"/>
  <c r="V133" i="21"/>
  <c r="U133" i="21"/>
  <c r="R133" i="21"/>
  <c r="Q133" i="21"/>
  <c r="N133" i="21"/>
  <c r="AI132" i="21"/>
  <c r="AH132" i="21"/>
  <c r="AG132" i="21"/>
  <c r="AF132" i="21"/>
  <c r="AE132" i="21"/>
  <c r="AD132" i="21"/>
  <c r="AC132" i="21"/>
  <c r="AB132" i="21"/>
  <c r="Y132" i="21"/>
  <c r="V132" i="21"/>
  <c r="U132" i="21"/>
  <c r="R132" i="21"/>
  <c r="Q132" i="21"/>
  <c r="N132" i="21"/>
  <c r="AI131" i="21"/>
  <c r="AH131" i="21"/>
  <c r="AG131" i="21"/>
  <c r="AF131" i="21"/>
  <c r="AE131" i="21"/>
  <c r="AD131" i="21"/>
  <c r="AC131" i="21"/>
  <c r="AB131" i="21"/>
  <c r="Y131" i="21"/>
  <c r="V131" i="21"/>
  <c r="U131" i="21"/>
  <c r="R131" i="21"/>
  <c r="Q131" i="21"/>
  <c r="N131" i="21"/>
  <c r="AI130" i="21"/>
  <c r="AH130" i="21"/>
  <c r="AG130" i="21"/>
  <c r="AF130" i="21"/>
  <c r="AE130" i="21"/>
  <c r="AD130" i="21"/>
  <c r="AC130" i="21"/>
  <c r="AB130" i="21"/>
  <c r="Y130" i="21"/>
  <c r="V130" i="21"/>
  <c r="U130" i="21"/>
  <c r="R130" i="21"/>
  <c r="Q130" i="21"/>
  <c r="N130" i="21"/>
  <c r="AI129" i="21"/>
  <c r="AH129" i="21"/>
  <c r="AG129" i="21"/>
  <c r="AF129" i="21"/>
  <c r="AE129" i="21"/>
  <c r="AD129" i="21"/>
  <c r="AC129" i="21"/>
  <c r="AB129" i="21"/>
  <c r="Y129" i="21"/>
  <c r="V129" i="21"/>
  <c r="U129" i="21"/>
  <c r="R129" i="21"/>
  <c r="Q129" i="21"/>
  <c r="N129" i="21"/>
  <c r="AI128" i="21"/>
  <c r="AH128" i="21"/>
  <c r="AG128" i="21"/>
  <c r="AF128" i="21"/>
  <c r="AE128" i="21"/>
  <c r="AD128" i="21"/>
  <c r="AC128" i="21"/>
  <c r="AB128" i="21"/>
  <c r="Y128" i="21"/>
  <c r="V128" i="21"/>
  <c r="U128" i="21"/>
  <c r="R128" i="21"/>
  <c r="Q128" i="21"/>
  <c r="N128" i="21"/>
  <c r="AI127" i="21"/>
  <c r="AH127" i="21"/>
  <c r="AG127" i="21"/>
  <c r="AF127" i="21"/>
  <c r="AE127" i="21"/>
  <c r="AD127" i="21"/>
  <c r="AC127" i="21"/>
  <c r="AB127" i="21"/>
  <c r="Y127" i="21"/>
  <c r="V127" i="21"/>
  <c r="U127" i="21"/>
  <c r="R127" i="21"/>
  <c r="Q127" i="21"/>
  <c r="N127" i="21"/>
  <c r="AI126" i="21"/>
  <c r="AH126" i="21"/>
  <c r="AG126" i="21"/>
  <c r="AF126" i="21"/>
  <c r="AE126" i="21"/>
  <c r="AD126" i="21"/>
  <c r="AC126" i="21"/>
  <c r="AB126" i="21"/>
  <c r="Y126" i="21"/>
  <c r="V126" i="21"/>
  <c r="U126" i="21"/>
  <c r="R126" i="21"/>
  <c r="Q126" i="21"/>
  <c r="N126" i="21"/>
  <c r="AI125" i="21"/>
  <c r="AH125" i="21"/>
  <c r="AG125" i="21"/>
  <c r="AF125" i="21"/>
  <c r="AE125" i="21"/>
  <c r="AD125" i="21"/>
  <c r="AC125" i="21"/>
  <c r="AB125" i="21"/>
  <c r="Y125" i="21"/>
  <c r="V125" i="21"/>
  <c r="U125" i="21"/>
  <c r="R125" i="21"/>
  <c r="Q125" i="21"/>
  <c r="N125" i="21"/>
  <c r="AI124" i="21"/>
  <c r="AH124" i="21"/>
  <c r="AG124" i="21"/>
  <c r="AF124" i="21"/>
  <c r="AE124" i="21"/>
  <c r="AD124" i="21"/>
  <c r="AC124" i="21"/>
  <c r="AB124" i="21"/>
  <c r="Y124" i="21"/>
  <c r="V124" i="21"/>
  <c r="U124" i="21"/>
  <c r="R124" i="21"/>
  <c r="Q124" i="21"/>
  <c r="N124" i="21"/>
  <c r="AI123" i="21"/>
  <c r="AH123" i="21"/>
  <c r="AG123" i="21"/>
  <c r="AF123" i="21"/>
  <c r="AE123" i="21"/>
  <c r="AD123" i="21"/>
  <c r="AC123" i="21"/>
  <c r="AB123" i="21"/>
  <c r="Y123" i="21"/>
  <c r="V123" i="21"/>
  <c r="U123" i="21"/>
  <c r="R123" i="21"/>
  <c r="Q123" i="21"/>
  <c r="N123" i="21"/>
  <c r="D123" i="21"/>
  <c r="AI122" i="21"/>
  <c r="AH122" i="21"/>
  <c r="AG122" i="21"/>
  <c r="AF122" i="21"/>
  <c r="AE122" i="21"/>
  <c r="AD122" i="21"/>
  <c r="AC122" i="21"/>
  <c r="AB122" i="21"/>
  <c r="Y122" i="21"/>
  <c r="V122" i="21"/>
  <c r="U122" i="21"/>
  <c r="R122" i="21"/>
  <c r="Q122" i="21"/>
  <c r="N122" i="21"/>
  <c r="AI121" i="21"/>
  <c r="AH121" i="21"/>
  <c r="AG121" i="21"/>
  <c r="AF121" i="21"/>
  <c r="AE121" i="21"/>
  <c r="AD121" i="21"/>
  <c r="AC121" i="21"/>
  <c r="AB121" i="21"/>
  <c r="Y121" i="21"/>
  <c r="V121" i="21"/>
  <c r="U121" i="21"/>
  <c r="R121" i="21"/>
  <c r="Q121" i="21"/>
  <c r="N121" i="21"/>
  <c r="AI120" i="21"/>
  <c r="AH120" i="21"/>
  <c r="AG120" i="21"/>
  <c r="AF120" i="21"/>
  <c r="AE120" i="21"/>
  <c r="AD120" i="21"/>
  <c r="AC120" i="21"/>
  <c r="AB120" i="21"/>
  <c r="Y120" i="21"/>
  <c r="V120" i="21"/>
  <c r="U120" i="21"/>
  <c r="R120" i="21"/>
  <c r="Q120" i="21"/>
  <c r="N120" i="21"/>
  <c r="AI119" i="21"/>
  <c r="AH119" i="21"/>
  <c r="AG119" i="21"/>
  <c r="AF119" i="21"/>
  <c r="AE119" i="21"/>
  <c r="AD119" i="21"/>
  <c r="AC119" i="21"/>
  <c r="AB119" i="21"/>
  <c r="Y119" i="21"/>
  <c r="V119" i="21"/>
  <c r="U119" i="21"/>
  <c r="R119" i="21"/>
  <c r="Q119" i="21"/>
  <c r="N119" i="21"/>
  <c r="AI118" i="21"/>
  <c r="AH118" i="21"/>
  <c r="AG118" i="21"/>
  <c r="AF118" i="21"/>
  <c r="AE118" i="21"/>
  <c r="AD118" i="21"/>
  <c r="AC118" i="21"/>
  <c r="AB118" i="21"/>
  <c r="Y118" i="21"/>
  <c r="V118" i="21"/>
  <c r="U118" i="21"/>
  <c r="R118" i="21"/>
  <c r="Q118" i="21"/>
  <c r="N118" i="21"/>
  <c r="AI117" i="21"/>
  <c r="AH117" i="21"/>
  <c r="AG117" i="21"/>
  <c r="AF117" i="21"/>
  <c r="AE117" i="21"/>
  <c r="AD117" i="21"/>
  <c r="AC117" i="21"/>
  <c r="AB117" i="21"/>
  <c r="Y117" i="21"/>
  <c r="V117" i="21"/>
  <c r="U117" i="21"/>
  <c r="R117" i="21"/>
  <c r="Q117" i="21"/>
  <c r="N117" i="21"/>
  <c r="AI116" i="21"/>
  <c r="AH116" i="21"/>
  <c r="AG116" i="21"/>
  <c r="AF116" i="21"/>
  <c r="AE116" i="21"/>
  <c r="AD116" i="21"/>
  <c r="AC116" i="21"/>
  <c r="AB116" i="21"/>
  <c r="Y116" i="21"/>
  <c r="V116" i="21"/>
  <c r="U116" i="21"/>
  <c r="R116" i="21"/>
  <c r="Q116" i="21"/>
  <c r="N116" i="21"/>
  <c r="AI115" i="21"/>
  <c r="AH115" i="21"/>
  <c r="AG115" i="21"/>
  <c r="AF115" i="21"/>
  <c r="AE115" i="21"/>
  <c r="AD115" i="21"/>
  <c r="AC115" i="21"/>
  <c r="AB115" i="21"/>
  <c r="Y115" i="21"/>
  <c r="V115" i="21"/>
  <c r="U115" i="21"/>
  <c r="R115" i="21"/>
  <c r="Q115" i="21"/>
  <c r="N115" i="21"/>
  <c r="AI114" i="21"/>
  <c r="AH114" i="21"/>
  <c r="AG114" i="21"/>
  <c r="AF114" i="21"/>
  <c r="AE114" i="21"/>
  <c r="AD114" i="21"/>
  <c r="AC114" i="21"/>
  <c r="AB114" i="21"/>
  <c r="Y114" i="21"/>
  <c r="V114" i="21"/>
  <c r="U114" i="21"/>
  <c r="R114" i="21"/>
  <c r="Q114" i="21"/>
  <c r="N114" i="21"/>
  <c r="AI113" i="21"/>
  <c r="AH113" i="21"/>
  <c r="AG113" i="21"/>
  <c r="AF113" i="21"/>
  <c r="AE113" i="21"/>
  <c r="AD113" i="21"/>
  <c r="AC113" i="21"/>
  <c r="AB113" i="21"/>
  <c r="Y113" i="21"/>
  <c r="V113" i="21"/>
  <c r="U113" i="21"/>
  <c r="R113" i="21"/>
  <c r="Q113" i="21"/>
  <c r="N113" i="21"/>
  <c r="AI112" i="21"/>
  <c r="AH112" i="21"/>
  <c r="AG112" i="21"/>
  <c r="AF112" i="21"/>
  <c r="AE112" i="21"/>
  <c r="AD112" i="21"/>
  <c r="AC112" i="21"/>
  <c r="AB112" i="21"/>
  <c r="Y112" i="21"/>
  <c r="V112" i="21"/>
  <c r="U112" i="21"/>
  <c r="R112" i="21"/>
  <c r="Q112" i="21"/>
  <c r="N112" i="21"/>
  <c r="AI111" i="21"/>
  <c r="AH111" i="21"/>
  <c r="AG111" i="21"/>
  <c r="AF111" i="21"/>
  <c r="AE111" i="21"/>
  <c r="AD111" i="21"/>
  <c r="AC111" i="21"/>
  <c r="AB111" i="21"/>
  <c r="Y111" i="21"/>
  <c r="V111" i="21"/>
  <c r="U111" i="21"/>
  <c r="R111" i="21"/>
  <c r="Q111" i="21"/>
  <c r="N111" i="21"/>
  <c r="AI110" i="21"/>
  <c r="AH110" i="21"/>
  <c r="AG110" i="21"/>
  <c r="AF110" i="21"/>
  <c r="AE110" i="21"/>
  <c r="AD110" i="21"/>
  <c r="AC110" i="21"/>
  <c r="AB110" i="21"/>
  <c r="Y110" i="21"/>
  <c r="V110" i="21"/>
  <c r="U110" i="21"/>
  <c r="R110" i="21"/>
  <c r="Q110" i="21"/>
  <c r="N110" i="21"/>
  <c r="AI109" i="21"/>
  <c r="AH109" i="21"/>
  <c r="AG109" i="21"/>
  <c r="AF109" i="21"/>
  <c r="AE109" i="21"/>
  <c r="AD109" i="21"/>
  <c r="AC109" i="21"/>
  <c r="AB109" i="21"/>
  <c r="Y109" i="21"/>
  <c r="V109" i="21"/>
  <c r="U109" i="21"/>
  <c r="R109" i="21"/>
  <c r="Q109" i="21"/>
  <c r="N109" i="21"/>
  <c r="AI108" i="21"/>
  <c r="AH108" i="21"/>
  <c r="AG108" i="21"/>
  <c r="AF108" i="21"/>
  <c r="AE108" i="21"/>
  <c r="AD108" i="21"/>
  <c r="AC108" i="21"/>
  <c r="AB108" i="21"/>
  <c r="Y108" i="21"/>
  <c r="V108" i="21"/>
  <c r="U108" i="21"/>
  <c r="R108" i="21"/>
  <c r="Q108" i="21"/>
  <c r="N108" i="21"/>
  <c r="G108" i="21"/>
  <c r="AI107" i="21"/>
  <c r="AH107" i="21"/>
  <c r="AG107" i="21"/>
  <c r="AF107" i="21"/>
  <c r="AE107" i="21"/>
  <c r="AD107" i="21"/>
  <c r="AC107" i="21"/>
  <c r="AB107" i="21"/>
  <c r="Y107" i="21"/>
  <c r="V107" i="21"/>
  <c r="U107" i="21"/>
  <c r="R107" i="21"/>
  <c r="Q107" i="21"/>
  <c r="N107" i="21"/>
  <c r="D107" i="21"/>
  <c r="C107" i="21"/>
  <c r="AI106" i="21"/>
  <c r="AH106" i="21"/>
  <c r="AG106" i="21"/>
  <c r="AF106" i="21"/>
  <c r="AE106" i="21"/>
  <c r="AD106" i="21"/>
  <c r="AC106" i="21"/>
  <c r="AB106" i="21"/>
  <c r="Y106" i="21"/>
  <c r="V106" i="21"/>
  <c r="U106" i="21"/>
  <c r="R106" i="21"/>
  <c r="Q106" i="21"/>
  <c r="N106" i="21"/>
  <c r="AI105" i="21"/>
  <c r="AH105" i="21"/>
  <c r="AG105" i="21"/>
  <c r="AF105" i="21"/>
  <c r="AE105" i="21"/>
  <c r="AD105" i="21"/>
  <c r="AC105" i="21"/>
  <c r="AB105" i="21"/>
  <c r="Y105" i="21"/>
  <c r="V105" i="21"/>
  <c r="U105" i="21"/>
  <c r="R105" i="21"/>
  <c r="Q105" i="21"/>
  <c r="N105" i="21"/>
  <c r="AI104" i="21"/>
  <c r="AH104" i="21"/>
  <c r="AG104" i="21"/>
  <c r="AF104" i="21"/>
  <c r="AE104" i="21"/>
  <c r="AD104" i="21"/>
  <c r="AC104" i="21"/>
  <c r="AB104" i="21"/>
  <c r="Y104" i="21"/>
  <c r="V104" i="21"/>
  <c r="U104" i="21"/>
  <c r="R104" i="21"/>
  <c r="Q104" i="21"/>
  <c r="N104" i="21"/>
  <c r="AI103" i="21"/>
  <c r="AH103" i="21"/>
  <c r="AG103" i="21"/>
  <c r="AF103" i="21"/>
  <c r="AE103" i="21"/>
  <c r="AD103" i="21"/>
  <c r="AC103" i="21"/>
  <c r="AB103" i="21"/>
  <c r="Y103" i="21"/>
  <c r="V103" i="21"/>
  <c r="U103" i="21"/>
  <c r="R103" i="21"/>
  <c r="Q103" i="21"/>
  <c r="N103" i="21"/>
  <c r="AI102" i="21"/>
  <c r="AH102" i="21"/>
  <c r="AG102" i="21"/>
  <c r="AF102" i="21"/>
  <c r="AE102" i="21"/>
  <c r="AD102" i="21"/>
  <c r="AC102" i="21"/>
  <c r="AB102" i="21"/>
  <c r="Y102" i="21"/>
  <c r="V102" i="21"/>
  <c r="U102" i="21"/>
  <c r="R102" i="21"/>
  <c r="Q102" i="21"/>
  <c r="N102" i="21"/>
  <c r="AI101" i="21"/>
  <c r="AH101" i="21"/>
  <c r="AG101" i="21"/>
  <c r="AF101" i="21"/>
  <c r="AE101" i="21"/>
  <c r="AD101" i="21"/>
  <c r="AC101" i="21"/>
  <c r="AB101" i="21"/>
  <c r="Y101" i="21"/>
  <c r="V101" i="21"/>
  <c r="U101" i="21"/>
  <c r="R101" i="21"/>
  <c r="Q101" i="21"/>
  <c r="N101" i="21"/>
  <c r="AI100" i="21"/>
  <c r="AH100" i="21"/>
  <c r="AG100" i="21"/>
  <c r="AF100" i="21"/>
  <c r="AE100" i="21"/>
  <c r="AD100" i="21"/>
  <c r="AC100" i="21"/>
  <c r="AB100" i="21"/>
  <c r="Y100" i="21"/>
  <c r="V100" i="21"/>
  <c r="U100" i="21"/>
  <c r="R100" i="21"/>
  <c r="Q100" i="21"/>
  <c r="N100" i="21"/>
  <c r="AI99" i="21"/>
  <c r="AH99" i="21"/>
  <c r="AG99" i="21"/>
  <c r="AF99" i="21"/>
  <c r="AE99" i="21"/>
  <c r="AD99" i="21"/>
  <c r="AC99" i="21"/>
  <c r="AB99" i="21"/>
  <c r="Y99" i="21"/>
  <c r="V99" i="21"/>
  <c r="U99" i="21"/>
  <c r="R99" i="21"/>
  <c r="Q99" i="21"/>
  <c r="N99" i="21"/>
  <c r="AI98" i="21"/>
  <c r="AH98" i="21"/>
  <c r="AG98" i="21"/>
  <c r="AF98" i="21"/>
  <c r="AE98" i="21"/>
  <c r="AD98" i="21"/>
  <c r="AC98" i="21"/>
  <c r="AB98" i="21"/>
  <c r="Y98" i="21"/>
  <c r="V98" i="21"/>
  <c r="U98" i="21"/>
  <c r="R98" i="21"/>
  <c r="Q98" i="21"/>
  <c r="N98" i="21"/>
  <c r="AI97" i="21"/>
  <c r="AH97" i="21"/>
  <c r="AG97" i="21"/>
  <c r="AF97" i="21"/>
  <c r="AE97" i="21"/>
  <c r="AD97" i="21"/>
  <c r="AC97" i="21"/>
  <c r="AB97" i="21"/>
  <c r="Y97" i="21"/>
  <c r="V97" i="21"/>
  <c r="U97" i="21"/>
  <c r="R97" i="21"/>
  <c r="Q97" i="21"/>
  <c r="N97" i="21"/>
  <c r="AI96" i="21"/>
  <c r="AH96" i="21"/>
  <c r="AG96" i="21"/>
  <c r="AF96" i="21"/>
  <c r="AE96" i="21"/>
  <c r="AD96" i="21"/>
  <c r="AC96" i="21"/>
  <c r="AB96" i="21"/>
  <c r="Y96" i="21"/>
  <c r="V96" i="21"/>
  <c r="U96" i="21"/>
  <c r="R96" i="21"/>
  <c r="Q96" i="21"/>
  <c r="N96" i="21"/>
  <c r="N95" i="21"/>
  <c r="N94" i="21"/>
  <c r="F94" i="21"/>
  <c r="E94" i="21"/>
  <c r="N93" i="21"/>
  <c r="F93" i="21"/>
  <c r="E93" i="21"/>
  <c r="C93" i="21"/>
  <c r="N92" i="21"/>
  <c r="F92" i="21"/>
  <c r="E92" i="21"/>
  <c r="C92" i="21"/>
  <c r="N91" i="21"/>
  <c r="F91" i="21"/>
  <c r="E91" i="21"/>
  <c r="C91" i="21"/>
  <c r="N90" i="21"/>
  <c r="F90" i="21"/>
  <c r="E90" i="21"/>
  <c r="C90" i="21"/>
  <c r="N89" i="21"/>
  <c r="F89" i="21"/>
  <c r="E89" i="21"/>
  <c r="C89" i="21"/>
  <c r="N88" i="21"/>
  <c r="F88" i="21"/>
  <c r="E88" i="21"/>
  <c r="C88" i="21"/>
  <c r="N87" i="21"/>
  <c r="F87" i="21"/>
  <c r="E87" i="21"/>
  <c r="C87" i="21"/>
  <c r="N86" i="21"/>
  <c r="F86" i="21"/>
  <c r="E86" i="21"/>
  <c r="C86" i="21"/>
  <c r="N85" i="21"/>
  <c r="F85" i="21"/>
  <c r="E85" i="21"/>
  <c r="C85" i="21"/>
  <c r="N84" i="21"/>
  <c r="F84" i="21"/>
  <c r="E84" i="21"/>
  <c r="C84" i="21"/>
  <c r="N83" i="21"/>
  <c r="F83" i="21"/>
  <c r="E83" i="21"/>
  <c r="C83" i="21"/>
  <c r="N82" i="21"/>
  <c r="F82" i="21"/>
  <c r="E82" i="21"/>
  <c r="C82" i="21"/>
  <c r="N81" i="21"/>
  <c r="N80" i="21"/>
  <c r="N79" i="21"/>
  <c r="N78" i="21"/>
  <c r="N77" i="21"/>
  <c r="N76" i="21"/>
  <c r="N75" i="21"/>
  <c r="N74" i="21"/>
  <c r="N73" i="21"/>
  <c r="N72" i="21"/>
  <c r="N71" i="21"/>
  <c r="N70" i="21"/>
  <c r="N69" i="21"/>
  <c r="N68" i="21"/>
  <c r="N67" i="21"/>
  <c r="N66" i="21"/>
  <c r="N65" i="21"/>
  <c r="U64" i="21"/>
  <c r="N64" i="21"/>
  <c r="N63" i="21"/>
  <c r="N62" i="21"/>
  <c r="N61" i="21"/>
  <c r="N60" i="21"/>
  <c r="N59" i="21"/>
  <c r="N58" i="21"/>
  <c r="N57" i="21"/>
  <c r="U56" i="21"/>
  <c r="N56" i="21"/>
  <c r="N55" i="21"/>
  <c r="N54" i="21"/>
  <c r="N53" i="21"/>
  <c r="N52" i="21"/>
  <c r="N51" i="21"/>
  <c r="N50" i="21"/>
  <c r="N49" i="21"/>
  <c r="N48" i="21"/>
  <c r="N47" i="21"/>
  <c r="N46" i="21"/>
  <c r="N45" i="21"/>
  <c r="N44" i="21"/>
  <c r="N43" i="21"/>
  <c r="N42" i="21"/>
  <c r="N41" i="21"/>
  <c r="N40" i="21"/>
  <c r="E40" i="21"/>
  <c r="F40" i="21"/>
  <c r="N39" i="21"/>
  <c r="E39" i="21"/>
  <c r="F39" i="21"/>
  <c r="N38" i="21"/>
  <c r="E38" i="21"/>
  <c r="F38" i="21"/>
  <c r="N37" i="21"/>
  <c r="E37" i="21"/>
  <c r="F37" i="21"/>
  <c r="N36" i="21"/>
  <c r="E36" i="21"/>
  <c r="F36" i="21"/>
  <c r="N35" i="21"/>
  <c r="E35" i="21"/>
  <c r="F35" i="21"/>
  <c r="N34" i="21"/>
  <c r="E34" i="21"/>
  <c r="F34" i="21"/>
  <c r="N33" i="21"/>
  <c r="E33" i="21"/>
  <c r="F33" i="21"/>
  <c r="N32" i="21"/>
  <c r="E32" i="21"/>
  <c r="F32" i="21"/>
  <c r="N31" i="21"/>
  <c r="E31" i="21"/>
  <c r="F31" i="21"/>
  <c r="N30" i="21"/>
  <c r="E30" i="21"/>
  <c r="F30" i="21"/>
  <c r="N29" i="21"/>
  <c r="E29" i="21"/>
  <c r="F29" i="21"/>
  <c r="N28" i="21"/>
  <c r="E28" i="21"/>
  <c r="F28" i="21"/>
  <c r="N27" i="21"/>
  <c r="E27" i="21"/>
  <c r="F27" i="21"/>
  <c r="N26" i="21"/>
  <c r="E26" i="21"/>
  <c r="F26" i="21"/>
  <c r="N25" i="21"/>
  <c r="E25" i="21"/>
  <c r="F25" i="21"/>
  <c r="G25" i="21"/>
  <c r="N24" i="21"/>
  <c r="N23" i="21"/>
  <c r="N22" i="21"/>
  <c r="N21" i="21"/>
  <c r="N20" i="21"/>
  <c r="N19" i="21"/>
  <c r="F19" i="21"/>
  <c r="S5" i="21"/>
  <c r="T5" i="21"/>
  <c r="N18" i="21"/>
  <c r="U17" i="21"/>
  <c r="N17" i="21"/>
  <c r="N16" i="21"/>
  <c r="N15" i="21"/>
  <c r="F15" i="21"/>
  <c r="N14" i="21"/>
  <c r="N13" i="21"/>
  <c r="F13" i="21"/>
  <c r="N12" i="21"/>
  <c r="N11" i="21"/>
  <c r="F11" i="21"/>
  <c r="N10" i="21"/>
  <c r="F10" i="21"/>
  <c r="N9" i="21"/>
  <c r="F9" i="21"/>
  <c r="D9" i="21"/>
  <c r="N8" i="21"/>
  <c r="F8" i="21"/>
  <c r="N7" i="21"/>
  <c r="N6" i="21"/>
  <c r="F6" i="21"/>
  <c r="V7" i="21"/>
  <c r="AI5" i="21"/>
  <c r="N5" i="21"/>
  <c r="F5" i="21"/>
  <c r="U19" i="21"/>
  <c r="K16" i="20"/>
  <c r="O16" i="20"/>
  <c r="J17" i="20"/>
  <c r="B93" i="20"/>
  <c r="G47" i="20"/>
  <c r="G46" i="20"/>
  <c r="H91" i="21"/>
  <c r="H87" i="21"/>
  <c r="H93" i="21"/>
  <c r="H92" i="21"/>
  <c r="B88" i="18"/>
  <c r="B90" i="13"/>
  <c r="G35" i="26"/>
  <c r="G34" i="26"/>
  <c r="V53" i="21"/>
  <c r="U48" i="21"/>
  <c r="V61" i="21"/>
  <c r="V77" i="21"/>
  <c r="U87" i="21"/>
  <c r="U6" i="21"/>
  <c r="U9" i="21"/>
  <c r="V48" i="21"/>
  <c r="U51" i="21"/>
  <c r="V56" i="21"/>
  <c r="U59" i="21"/>
  <c r="V64" i="21"/>
  <c r="U67" i="21"/>
  <c r="V72" i="21"/>
  <c r="U75" i="21"/>
  <c r="V80" i="21"/>
  <c r="V83" i="21"/>
  <c r="V87" i="21"/>
  <c r="V91" i="21"/>
  <c r="V69" i="21"/>
  <c r="L29" i="21"/>
  <c r="U46" i="21"/>
  <c r="V51" i="21"/>
  <c r="U54" i="21"/>
  <c r="V59" i="21"/>
  <c r="U62" i="21"/>
  <c r="V67" i="21"/>
  <c r="U70" i="21"/>
  <c r="V75" i="21"/>
  <c r="U78" i="21"/>
  <c r="U82" i="21"/>
  <c r="U86" i="21"/>
  <c r="U90" i="21"/>
  <c r="U94" i="21"/>
  <c r="U83" i="21"/>
  <c r="U91" i="21"/>
  <c r="U7" i="21"/>
  <c r="V46" i="21"/>
  <c r="U49" i="21"/>
  <c r="V54" i="21"/>
  <c r="U57" i="21"/>
  <c r="V62" i="21"/>
  <c r="U65" i="21"/>
  <c r="V70" i="21"/>
  <c r="U73" i="21"/>
  <c r="V78" i="21"/>
  <c r="U81" i="21"/>
  <c r="V82" i="21"/>
  <c r="V86" i="21"/>
  <c r="V90" i="21"/>
  <c r="V94" i="21"/>
  <c r="V15" i="21"/>
  <c r="V49" i="21"/>
  <c r="U52" i="21"/>
  <c r="V57" i="21"/>
  <c r="U60" i="21"/>
  <c r="V65" i="21"/>
  <c r="U68" i="21"/>
  <c r="V73" i="21"/>
  <c r="U76" i="21"/>
  <c r="V81" i="21"/>
  <c r="U85" i="21"/>
  <c r="U89" i="21"/>
  <c r="U93" i="21"/>
  <c r="U72" i="21"/>
  <c r="U20" i="21"/>
  <c r="U47" i="21"/>
  <c r="V52" i="21"/>
  <c r="U55" i="21"/>
  <c r="V60" i="21"/>
  <c r="U63" i="21"/>
  <c r="V68" i="21"/>
  <c r="U71" i="21"/>
  <c r="V76" i="21"/>
  <c r="U79" i="21"/>
  <c r="V85" i="21"/>
  <c r="V89" i="21"/>
  <c r="V93" i="21"/>
  <c r="U95" i="21"/>
  <c r="U80" i="21"/>
  <c r="U16" i="21"/>
  <c r="V47" i="21"/>
  <c r="U50" i="21"/>
  <c r="V55" i="21"/>
  <c r="U58" i="21"/>
  <c r="V63" i="21"/>
  <c r="U66" i="21"/>
  <c r="V71" i="21"/>
  <c r="U74" i="21"/>
  <c r="V79" i="21"/>
  <c r="U84" i="21"/>
  <c r="U88" i="21"/>
  <c r="U92" i="21"/>
  <c r="V95" i="21"/>
  <c r="V50" i="21"/>
  <c r="U53" i="21"/>
  <c r="V58" i="21"/>
  <c r="U61" i="21"/>
  <c r="V66" i="21"/>
  <c r="U69" i="21"/>
  <c r="V74" i="21"/>
  <c r="U77" i="21"/>
  <c r="V84" i="21"/>
  <c r="V88" i="21"/>
  <c r="V92" i="21"/>
  <c r="H90" i="21"/>
  <c r="H89" i="21"/>
  <c r="H83" i="21"/>
  <c r="G26" i="21"/>
  <c r="B36" i="21"/>
  <c r="C37" i="21"/>
  <c r="H85" i="21"/>
  <c r="B33" i="21"/>
  <c r="C34" i="21"/>
  <c r="L8" i="21"/>
  <c r="J6" i="21"/>
  <c r="K6" i="21"/>
  <c r="M15" i="21"/>
  <c r="L9" i="21"/>
  <c r="B88" i="19"/>
  <c r="H84" i="21"/>
  <c r="V5" i="21"/>
  <c r="X5" i="21"/>
  <c r="L6" i="21"/>
  <c r="V6" i="21"/>
  <c r="M8" i="21"/>
  <c r="M204" i="21"/>
  <c r="M200" i="21"/>
  <c r="M196" i="21"/>
  <c r="M192" i="21"/>
  <c r="M188" i="21"/>
  <c r="M184" i="21"/>
  <c r="M180" i="21"/>
  <c r="M176" i="21"/>
  <c r="M172" i="21"/>
  <c r="M168" i="21"/>
  <c r="M164" i="21"/>
  <c r="M160" i="21"/>
  <c r="M156" i="21"/>
  <c r="M152" i="21"/>
  <c r="L204" i="21"/>
  <c r="J203" i="21"/>
  <c r="L200" i="21"/>
  <c r="J199" i="21"/>
  <c r="L196" i="21"/>
  <c r="J195" i="21"/>
  <c r="L192" i="21"/>
  <c r="J191" i="21"/>
  <c r="L188" i="21"/>
  <c r="J187" i="21"/>
  <c r="L184" i="21"/>
  <c r="J183" i="21"/>
  <c r="L180" i="21"/>
  <c r="J179" i="21"/>
  <c r="L176" i="21"/>
  <c r="J175" i="21"/>
  <c r="L172" i="21"/>
  <c r="J171" i="21"/>
  <c r="L168" i="21"/>
  <c r="J167" i="21"/>
  <c r="L164" i="21"/>
  <c r="J163" i="21"/>
  <c r="L160" i="21"/>
  <c r="J159" i="21"/>
  <c r="L156" i="21"/>
  <c r="J155" i="21"/>
  <c r="M205" i="21"/>
  <c r="M201" i="21"/>
  <c r="M197" i="21"/>
  <c r="M193" i="21"/>
  <c r="M189" i="21"/>
  <c r="M185" i="21"/>
  <c r="M181" i="21"/>
  <c r="M177" i="21"/>
  <c r="M173" i="21"/>
  <c r="M169" i="21"/>
  <c r="M165" i="21"/>
  <c r="M161" i="21"/>
  <c r="M157" i="21"/>
  <c r="M153" i="21"/>
  <c r="L205" i="21"/>
  <c r="J204" i="21"/>
  <c r="L201" i="21"/>
  <c r="J200" i="21"/>
  <c r="L197" i="21"/>
  <c r="J196" i="21"/>
  <c r="L193" i="21"/>
  <c r="J192" i="21"/>
  <c r="L189" i="21"/>
  <c r="J188" i="21"/>
  <c r="L185" i="21"/>
  <c r="J184" i="21"/>
  <c r="L181" i="21"/>
  <c r="J180" i="21"/>
  <c r="L177" i="21"/>
  <c r="J176" i="21"/>
  <c r="L173" i="21"/>
  <c r="J172" i="21"/>
  <c r="L169" i="21"/>
  <c r="J168" i="21"/>
  <c r="L165" i="21"/>
  <c r="J164" i="21"/>
  <c r="L161" i="21"/>
  <c r="J160" i="21"/>
  <c r="L157" i="21"/>
  <c r="J156" i="21"/>
  <c r="L153" i="21"/>
  <c r="J152" i="21"/>
  <c r="L149" i="21"/>
  <c r="J148" i="21"/>
  <c r="L145" i="21"/>
  <c r="J144" i="21"/>
  <c r="L141" i="21"/>
  <c r="J140" i="21"/>
  <c r="L137" i="21"/>
  <c r="J136" i="21"/>
  <c r="L133" i="21"/>
  <c r="J132" i="21"/>
  <c r="L129" i="21"/>
  <c r="J128" i="21"/>
  <c r="J126" i="21"/>
  <c r="L123" i="21"/>
  <c r="M122" i="21"/>
  <c r="M202" i="21"/>
  <c r="M198" i="21"/>
  <c r="M194" i="21"/>
  <c r="M190" i="21"/>
  <c r="M186" i="21"/>
  <c r="M182" i="21"/>
  <c r="M178" i="21"/>
  <c r="M174" i="21"/>
  <c r="M170" i="21"/>
  <c r="M166" i="21"/>
  <c r="M162" i="21"/>
  <c r="M158" i="21"/>
  <c r="J205" i="21"/>
  <c r="L202" i="21"/>
  <c r="J201" i="21"/>
  <c r="L198" i="21"/>
  <c r="J197" i="21"/>
  <c r="L194" i="21"/>
  <c r="J193" i="21"/>
  <c r="L190" i="21"/>
  <c r="J189" i="21"/>
  <c r="L186" i="21"/>
  <c r="J185" i="21"/>
  <c r="L182" i="21"/>
  <c r="J181" i="21"/>
  <c r="L178" i="21"/>
  <c r="J177" i="21"/>
  <c r="L174" i="21"/>
  <c r="J173" i="21"/>
  <c r="L170" i="21"/>
  <c r="J169" i="21"/>
  <c r="L166" i="21"/>
  <c r="J165" i="21"/>
  <c r="L162" i="21"/>
  <c r="J161" i="21"/>
  <c r="L158" i="21"/>
  <c r="J157" i="21"/>
  <c r="L154" i="21"/>
  <c r="J153" i="21"/>
  <c r="L150" i="21"/>
  <c r="J149" i="21"/>
  <c r="L146" i="21"/>
  <c r="J145" i="21"/>
  <c r="L142" i="21"/>
  <c r="J141" i="21"/>
  <c r="L138" i="21"/>
  <c r="J137" i="21"/>
  <c r="M203" i="21"/>
  <c r="M199" i="21"/>
  <c r="M195" i="21"/>
  <c r="M191" i="21"/>
  <c r="M187" i="21"/>
  <c r="M183" i="21"/>
  <c r="M179" i="21"/>
  <c r="M175" i="21"/>
  <c r="M171" i="21"/>
  <c r="M167" i="21"/>
  <c r="M163" i="21"/>
  <c r="M159" i="21"/>
  <c r="M155" i="21"/>
  <c r="M151" i="21"/>
  <c r="M147" i="21"/>
  <c r="M143" i="21"/>
  <c r="M139" i="21"/>
  <c r="M135" i="21"/>
  <c r="M131" i="21"/>
  <c r="M127" i="21"/>
  <c r="M125" i="21"/>
  <c r="J122" i="21"/>
  <c r="L148" i="21"/>
  <c r="L140" i="21"/>
  <c r="L122" i="21"/>
  <c r="M119" i="21"/>
  <c r="M114" i="21"/>
  <c r="M111" i="21"/>
  <c r="L105" i="21"/>
  <c r="J104" i="21"/>
  <c r="L101" i="21"/>
  <c r="J100" i="21"/>
  <c r="L97" i="21"/>
  <c r="J96" i="21"/>
  <c r="J151" i="21"/>
  <c r="M145" i="21"/>
  <c r="J143" i="21"/>
  <c r="M137" i="21"/>
  <c r="J135" i="21"/>
  <c r="J133" i="21"/>
  <c r="J131" i="21"/>
  <c r="J129" i="21"/>
  <c r="J127" i="21"/>
  <c r="L119" i="21"/>
  <c r="J118" i="21"/>
  <c r="J117" i="21"/>
  <c r="L114" i="21"/>
  <c r="M113" i="21"/>
  <c r="L111" i="21"/>
  <c r="J110" i="21"/>
  <c r="M107" i="21"/>
  <c r="M106" i="21"/>
  <c r="M102" i="21"/>
  <c r="M98" i="21"/>
  <c r="M94" i="21"/>
  <c r="L89" i="21"/>
  <c r="M86" i="21"/>
  <c r="L81" i="21"/>
  <c r="L77" i="21"/>
  <c r="L73" i="21"/>
  <c r="L69" i="21"/>
  <c r="L203" i="21"/>
  <c r="J202" i="21"/>
  <c r="L195" i="21"/>
  <c r="J194" i="21"/>
  <c r="L187" i="21"/>
  <c r="J186" i="21"/>
  <c r="L179" i="21"/>
  <c r="J178" i="21"/>
  <c r="L171" i="21"/>
  <c r="J170" i="21"/>
  <c r="L163" i="21"/>
  <c r="J162" i="21"/>
  <c r="M150" i="21"/>
  <c r="M142" i="21"/>
  <c r="M134" i="21"/>
  <c r="M132" i="21"/>
  <c r="M130" i="21"/>
  <c r="M128" i="21"/>
  <c r="L125" i="21"/>
  <c r="M123" i="21"/>
  <c r="M120" i="21"/>
  <c r="M115" i="21"/>
  <c r="L113" i="21"/>
  <c r="M112" i="21"/>
  <c r="M108" i="21"/>
  <c r="L107" i="21"/>
  <c r="L106" i="21"/>
  <c r="J105" i="21"/>
  <c r="L102" i="21"/>
  <c r="J101" i="21"/>
  <c r="L98" i="21"/>
  <c r="J97" i="21"/>
  <c r="L94" i="21"/>
  <c r="L155" i="21"/>
  <c r="M154" i="21"/>
  <c r="J150" i="21"/>
  <c r="L147" i="21"/>
  <c r="M144" i="21"/>
  <c r="J142" i="21"/>
  <c r="L139" i="21"/>
  <c r="M136" i="21"/>
  <c r="L134" i="21"/>
  <c r="L132" i="21"/>
  <c r="L130" i="21"/>
  <c r="L128" i="21"/>
  <c r="L120" i="21"/>
  <c r="J119" i="21"/>
  <c r="L115" i="21"/>
  <c r="J114" i="21"/>
  <c r="L112" i="21"/>
  <c r="J111" i="21"/>
  <c r="L108" i="21"/>
  <c r="M103" i="21"/>
  <c r="M99" i="21"/>
  <c r="M95" i="21"/>
  <c r="L91" i="21"/>
  <c r="M88" i="21"/>
  <c r="L83" i="21"/>
  <c r="L78" i="21"/>
  <c r="L74" i="21"/>
  <c r="L70" i="21"/>
  <c r="J154" i="21"/>
  <c r="L144" i="21"/>
  <c r="L136" i="21"/>
  <c r="J134" i="21"/>
  <c r="J130" i="21"/>
  <c r="J125" i="21"/>
  <c r="J123" i="21"/>
  <c r="M121" i="21"/>
  <c r="M116" i="21"/>
  <c r="J113" i="21"/>
  <c r="M109" i="21"/>
  <c r="J107" i="21"/>
  <c r="J106" i="21"/>
  <c r="L103" i="21"/>
  <c r="J102" i="21"/>
  <c r="L99" i="21"/>
  <c r="J98" i="21"/>
  <c r="L95" i="21"/>
  <c r="M93" i="21"/>
  <c r="L88" i="21"/>
  <c r="M85" i="21"/>
  <c r="M79" i="21"/>
  <c r="L152" i="21"/>
  <c r="M149" i="21"/>
  <c r="J147" i="21"/>
  <c r="M141" i="21"/>
  <c r="J139" i="21"/>
  <c r="M126" i="21"/>
  <c r="M124" i="21"/>
  <c r="L121" i="21"/>
  <c r="J120" i="21"/>
  <c r="L116" i="21"/>
  <c r="J115" i="21"/>
  <c r="J112" i="21"/>
  <c r="L109" i="21"/>
  <c r="J108" i="21"/>
  <c r="M104" i="21"/>
  <c r="M100" i="21"/>
  <c r="M96" i="21"/>
  <c r="L93" i="21"/>
  <c r="M90" i="21"/>
  <c r="L85" i="21"/>
  <c r="M82" i="21"/>
  <c r="L79" i="21"/>
  <c r="L75" i="21"/>
  <c r="L71" i="21"/>
  <c r="L191" i="21"/>
  <c r="L175" i="21"/>
  <c r="L159" i="21"/>
  <c r="M146" i="21"/>
  <c r="M138" i="21"/>
  <c r="L127" i="21"/>
  <c r="L126" i="21"/>
  <c r="J121" i="21"/>
  <c r="J116" i="21"/>
  <c r="J109" i="21"/>
  <c r="J103" i="21"/>
  <c r="J99" i="21"/>
  <c r="L82" i="21"/>
  <c r="M81" i="21"/>
  <c r="M77" i="21"/>
  <c r="J146" i="21"/>
  <c r="J138" i="21"/>
  <c r="M129" i="21"/>
  <c r="M91" i="21"/>
  <c r="M87" i="21"/>
  <c r="L86" i="21"/>
  <c r="M80" i="21"/>
  <c r="M76" i="21"/>
  <c r="M71" i="21"/>
  <c r="M67" i="21"/>
  <c r="M63" i="21"/>
  <c r="M59" i="21"/>
  <c r="M55" i="21"/>
  <c r="M51" i="21"/>
  <c r="M47" i="21"/>
  <c r="M43" i="21"/>
  <c r="M148" i="21"/>
  <c r="M140" i="21"/>
  <c r="L87" i="21"/>
  <c r="M83" i="21"/>
  <c r="L80" i="21"/>
  <c r="L76" i="21"/>
  <c r="J198" i="21"/>
  <c r="J182" i="21"/>
  <c r="J166" i="21"/>
  <c r="L131" i="21"/>
  <c r="M92" i="21"/>
  <c r="M73" i="21"/>
  <c r="M68" i="21"/>
  <c r="M64" i="21"/>
  <c r="M60" i="21"/>
  <c r="M56" i="21"/>
  <c r="M52" i="21"/>
  <c r="M48" i="21"/>
  <c r="M44" i="21"/>
  <c r="M40" i="21"/>
  <c r="L199" i="21"/>
  <c r="L183" i="21"/>
  <c r="L167" i="21"/>
  <c r="M133" i="21"/>
  <c r="L92" i="21"/>
  <c r="M84" i="21"/>
  <c r="M70" i="21"/>
  <c r="L68" i="21"/>
  <c r="L64" i="21"/>
  <c r="L60" i="21"/>
  <c r="L56" i="21"/>
  <c r="L52" i="21"/>
  <c r="L48" i="21"/>
  <c r="L44" i="21"/>
  <c r="L40" i="21"/>
  <c r="M37" i="21"/>
  <c r="M118" i="21"/>
  <c r="M117" i="21"/>
  <c r="M110" i="21"/>
  <c r="L84" i="21"/>
  <c r="M75" i="21"/>
  <c r="M72" i="21"/>
  <c r="M65" i="21"/>
  <c r="M61" i="21"/>
  <c r="M57" i="21"/>
  <c r="M53" i="21"/>
  <c r="M49" i="21"/>
  <c r="M45" i="21"/>
  <c r="M41" i="21"/>
  <c r="L37" i="21"/>
  <c r="L151" i="21"/>
  <c r="L143" i="21"/>
  <c r="L135" i="21"/>
  <c r="L124" i="21"/>
  <c r="L118" i="21"/>
  <c r="L117" i="21"/>
  <c r="L110" i="21"/>
  <c r="M78" i="21"/>
  <c r="L72" i="21"/>
  <c r="L65" i="21"/>
  <c r="L61" i="21"/>
  <c r="L57" i="21"/>
  <c r="L53" i="21"/>
  <c r="L49" i="21"/>
  <c r="L45" i="21"/>
  <c r="L41" i="21"/>
  <c r="M39" i="21"/>
  <c r="M74" i="21"/>
  <c r="L67" i="21"/>
  <c r="M66" i="21"/>
  <c r="L59" i="21"/>
  <c r="M58" i="21"/>
  <c r="L51" i="21"/>
  <c r="M50" i="21"/>
  <c r="L42" i="21"/>
  <c r="L33" i="21"/>
  <c r="J190" i="21"/>
  <c r="L104" i="21"/>
  <c r="L66" i="21"/>
  <c r="L58" i="21"/>
  <c r="L50" i="21"/>
  <c r="M105" i="21"/>
  <c r="M89" i="21"/>
  <c r="J174" i="21"/>
  <c r="L100" i="21"/>
  <c r="L36" i="21"/>
  <c r="L34" i="21"/>
  <c r="M29" i="21"/>
  <c r="L26" i="21"/>
  <c r="L24" i="21"/>
  <c r="L23" i="21"/>
  <c r="L22" i="21"/>
  <c r="L21" i="21"/>
  <c r="M20" i="21"/>
  <c r="M19" i="21"/>
  <c r="M101" i="21"/>
  <c r="L63" i="21"/>
  <c r="M62" i="21"/>
  <c r="L55" i="21"/>
  <c r="M54" i="21"/>
  <c r="L47" i="21"/>
  <c r="M46" i="21"/>
  <c r="M32" i="21"/>
  <c r="J158" i="21"/>
  <c r="J124" i="21"/>
  <c r="L96" i="21"/>
  <c r="L62" i="21"/>
  <c r="L54" i="21"/>
  <c r="L46" i="21"/>
  <c r="M35" i="21"/>
  <c r="L32" i="21"/>
  <c r="M27" i="21"/>
  <c r="M97" i="21"/>
  <c r="L90" i="21"/>
  <c r="M38" i="21"/>
  <c r="L35" i="21"/>
  <c r="M30" i="21"/>
  <c r="L27" i="21"/>
  <c r="L28" i="21"/>
  <c r="M25" i="21"/>
  <c r="M24" i="21"/>
  <c r="L43" i="21"/>
  <c r="M36" i="21"/>
  <c r="M21" i="21"/>
  <c r="M69" i="21"/>
  <c r="L14" i="21"/>
  <c r="L13" i="21"/>
  <c r="M12" i="21"/>
  <c r="M11" i="21"/>
  <c r="M42" i="21"/>
  <c r="L39" i="21"/>
  <c r="L38" i="21"/>
  <c r="M33" i="21"/>
  <c r="M31" i="21"/>
  <c r="L20" i="21"/>
  <c r="L19" i="21"/>
  <c r="L12" i="21"/>
  <c r="L11" i="21"/>
  <c r="M10" i="21"/>
  <c r="M34" i="21"/>
  <c r="L31" i="21"/>
  <c r="M22" i="21"/>
  <c r="M18" i="21"/>
  <c r="L10" i="21"/>
  <c r="M9" i="21"/>
  <c r="M13" i="21"/>
  <c r="V17" i="21"/>
  <c r="U18" i="21"/>
  <c r="L30" i="21"/>
  <c r="V16" i="21"/>
  <c r="M6" i="21"/>
  <c r="V14" i="21"/>
  <c r="L15" i="21"/>
  <c r="V18" i="21"/>
  <c r="M23" i="21"/>
  <c r="L25" i="21"/>
  <c r="G27" i="21"/>
  <c r="U44" i="21"/>
  <c r="U40" i="21"/>
  <c r="U37" i="21"/>
  <c r="U45" i="21"/>
  <c r="U41" i="21"/>
  <c r="U33" i="21"/>
  <c r="U38" i="21"/>
  <c r="U34" i="21"/>
  <c r="U26" i="21"/>
  <c r="U24" i="21"/>
  <c r="U23" i="21"/>
  <c r="U22" i="21"/>
  <c r="U21" i="21"/>
  <c r="U43" i="21"/>
  <c r="U42" i="21"/>
  <c r="U32" i="21"/>
  <c r="U36" i="21"/>
  <c r="U35" i="21"/>
  <c r="U27" i="21"/>
  <c r="U39" i="21"/>
  <c r="U30" i="21"/>
  <c r="U28" i="21"/>
  <c r="U25" i="21"/>
  <c r="U15" i="21"/>
  <c r="U14" i="21"/>
  <c r="U13" i="21"/>
  <c r="U29" i="21"/>
  <c r="U12" i="21"/>
  <c r="U11" i="21"/>
  <c r="U10" i="21"/>
  <c r="L16" i="21"/>
  <c r="L17" i="21"/>
  <c r="M16" i="21"/>
  <c r="M17" i="21"/>
  <c r="L18" i="21"/>
  <c r="M26" i="21"/>
  <c r="M5" i="21"/>
  <c r="O5" i="21"/>
  <c r="S203" i="21"/>
  <c r="S199" i="21"/>
  <c r="S195" i="21"/>
  <c r="S191" i="21"/>
  <c r="S187" i="21"/>
  <c r="S183" i="21"/>
  <c r="S179" i="21"/>
  <c r="S175" i="21"/>
  <c r="S171" i="21"/>
  <c r="S167" i="21"/>
  <c r="S163" i="21"/>
  <c r="S159" i="21"/>
  <c r="S155" i="21"/>
  <c r="S204" i="21"/>
  <c r="S200" i="21"/>
  <c r="S196" i="21"/>
  <c r="S192" i="21"/>
  <c r="S188" i="21"/>
  <c r="S184" i="21"/>
  <c r="S180" i="21"/>
  <c r="S176" i="21"/>
  <c r="S172" i="21"/>
  <c r="S168" i="21"/>
  <c r="S164" i="21"/>
  <c r="S160" i="21"/>
  <c r="S156" i="21"/>
  <c r="S152" i="21"/>
  <c r="S148" i="21"/>
  <c r="S144" i="21"/>
  <c r="S140" i="21"/>
  <c r="S136" i="21"/>
  <c r="S132" i="21"/>
  <c r="S128" i="21"/>
  <c r="S126" i="21"/>
  <c r="S205" i="21"/>
  <c r="S201" i="21"/>
  <c r="S197" i="21"/>
  <c r="S193" i="21"/>
  <c r="S189" i="21"/>
  <c r="S185" i="21"/>
  <c r="S181" i="21"/>
  <c r="S177" i="21"/>
  <c r="S173" i="21"/>
  <c r="S169" i="21"/>
  <c r="S165" i="21"/>
  <c r="S161" i="21"/>
  <c r="S157" i="21"/>
  <c r="S153" i="21"/>
  <c r="S149" i="21"/>
  <c r="S145" i="21"/>
  <c r="S141" i="21"/>
  <c r="S137" i="21"/>
  <c r="S122" i="21"/>
  <c r="S124" i="21"/>
  <c r="S104" i="21"/>
  <c r="S100" i="21"/>
  <c r="S96" i="21"/>
  <c r="S146" i="21"/>
  <c r="S138" i="21"/>
  <c r="S118" i="21"/>
  <c r="S117" i="21"/>
  <c r="S110" i="21"/>
  <c r="S198" i="21"/>
  <c r="S190" i="21"/>
  <c r="S182" i="21"/>
  <c r="S174" i="21"/>
  <c r="S166" i="21"/>
  <c r="S158" i="21"/>
  <c r="S151" i="21"/>
  <c r="S143" i="21"/>
  <c r="S135" i="21"/>
  <c r="S133" i="21"/>
  <c r="S131" i="21"/>
  <c r="S129" i="21"/>
  <c r="S127" i="21"/>
  <c r="S105" i="21"/>
  <c r="S101" i="21"/>
  <c r="S97" i="21"/>
  <c r="S119" i="21"/>
  <c r="S114" i="21"/>
  <c r="S111" i="21"/>
  <c r="S113" i="21"/>
  <c r="S107" i="21"/>
  <c r="S106" i="21"/>
  <c r="S102" i="21"/>
  <c r="S98" i="21"/>
  <c r="S150" i="21"/>
  <c r="S142" i="21"/>
  <c r="S134" i="21"/>
  <c r="S130" i="21"/>
  <c r="S125" i="21"/>
  <c r="S123" i="21"/>
  <c r="S120" i="21"/>
  <c r="S115" i="21"/>
  <c r="S112" i="21"/>
  <c r="S108" i="21"/>
  <c r="S194" i="21"/>
  <c r="S178" i="21"/>
  <c r="S162" i="21"/>
  <c r="S121" i="21"/>
  <c r="S116" i="21"/>
  <c r="S109" i="21"/>
  <c r="S103" i="21"/>
  <c r="S99" i="21"/>
  <c r="S202" i="21"/>
  <c r="S186" i="21"/>
  <c r="S170" i="21"/>
  <c r="S154" i="21"/>
  <c r="S147" i="21"/>
  <c r="S139" i="21"/>
  <c r="U31" i="21"/>
  <c r="L7" i="21"/>
  <c r="U8" i="21"/>
  <c r="M14" i="21"/>
  <c r="M28" i="21"/>
  <c r="V43" i="21"/>
  <c r="V44" i="21"/>
  <c r="V40" i="21"/>
  <c r="V37" i="21"/>
  <c r="V45" i="21"/>
  <c r="V41" i="21"/>
  <c r="V39" i="21"/>
  <c r="V42" i="21"/>
  <c r="V29" i="21"/>
  <c r="V20" i="21"/>
  <c r="V19" i="21"/>
  <c r="V32" i="21"/>
  <c r="V36" i="21"/>
  <c r="V35" i="21"/>
  <c r="V27" i="21"/>
  <c r="V30" i="21"/>
  <c r="V33" i="21"/>
  <c r="V31" i="21"/>
  <c r="V22" i="21"/>
  <c r="V38" i="21"/>
  <c r="V34" i="21"/>
  <c r="V28" i="21"/>
  <c r="V25" i="21"/>
  <c r="V24" i="21"/>
  <c r="V12" i="21"/>
  <c r="V11" i="21"/>
  <c r="V26" i="21"/>
  <c r="V23" i="21"/>
  <c r="V21" i="21"/>
  <c r="V10" i="21"/>
  <c r="V9" i="21"/>
  <c r="M7" i="21"/>
  <c r="V8" i="21"/>
  <c r="V13" i="21"/>
  <c r="H88" i="21"/>
  <c r="H82" i="21"/>
  <c r="H86" i="21"/>
  <c r="J7" i="21"/>
  <c r="K17" i="20"/>
  <c r="O17" i="20"/>
  <c r="J18" i="20"/>
  <c r="G48" i="20"/>
  <c r="G49" i="20"/>
  <c r="B94" i="13"/>
  <c r="B89" i="18"/>
  <c r="B91" i="13"/>
  <c r="G37" i="26"/>
  <c r="G36" i="26"/>
  <c r="C36" i="21"/>
  <c r="B35" i="21"/>
  <c r="C39" i="21"/>
  <c r="B38" i="21"/>
  <c r="O6" i="21"/>
  <c r="B89" i="19"/>
  <c r="T154" i="21"/>
  <c r="X154" i="21"/>
  <c r="T103" i="21"/>
  <c r="X103" i="21"/>
  <c r="T134" i="21"/>
  <c r="X134" i="21"/>
  <c r="T107" i="21"/>
  <c r="X107" i="21"/>
  <c r="T114" i="21"/>
  <c r="X114" i="21"/>
  <c r="T133" i="21"/>
  <c r="X133" i="21"/>
  <c r="T190" i="21"/>
  <c r="X190" i="21"/>
  <c r="T118" i="21"/>
  <c r="X118" i="21"/>
  <c r="T137" i="21"/>
  <c r="X137" i="21"/>
  <c r="T169" i="21"/>
  <c r="X169" i="21"/>
  <c r="T201" i="21"/>
  <c r="X201" i="21"/>
  <c r="T148" i="21"/>
  <c r="X148" i="21"/>
  <c r="T180" i="21"/>
  <c r="X180" i="21"/>
  <c r="T159" i="21"/>
  <c r="X159" i="21"/>
  <c r="T191" i="21"/>
  <c r="X191" i="21"/>
  <c r="K190" i="21"/>
  <c r="O190" i="21"/>
  <c r="K121" i="21"/>
  <c r="O121" i="21"/>
  <c r="K139" i="21"/>
  <c r="O139" i="21"/>
  <c r="K106" i="21"/>
  <c r="O106" i="21"/>
  <c r="K130" i="21"/>
  <c r="O130" i="21"/>
  <c r="K119" i="21"/>
  <c r="O119" i="21"/>
  <c r="K142" i="21"/>
  <c r="O142" i="21"/>
  <c r="K133" i="21"/>
  <c r="O133" i="21"/>
  <c r="K100" i="21"/>
  <c r="O100" i="21"/>
  <c r="K137" i="21"/>
  <c r="O137" i="21"/>
  <c r="K153" i="21"/>
  <c r="O153" i="21"/>
  <c r="K169" i="21"/>
  <c r="O169" i="21"/>
  <c r="K185" i="21"/>
  <c r="O185" i="21"/>
  <c r="K201" i="21"/>
  <c r="O201" i="21"/>
  <c r="K140" i="21"/>
  <c r="O140" i="21"/>
  <c r="K156" i="21"/>
  <c r="O156" i="21"/>
  <c r="K172" i="21"/>
  <c r="O172" i="21"/>
  <c r="K188" i="21"/>
  <c r="O188" i="21"/>
  <c r="K204" i="21"/>
  <c r="O204" i="21"/>
  <c r="K155" i="21"/>
  <c r="O155" i="21"/>
  <c r="K171" i="21"/>
  <c r="O171" i="21"/>
  <c r="K187" i="21"/>
  <c r="O187" i="21"/>
  <c r="K203" i="21"/>
  <c r="O203" i="21"/>
  <c r="T147" i="21"/>
  <c r="X147" i="21"/>
  <c r="T130" i="21"/>
  <c r="X130" i="21"/>
  <c r="T122" i="21"/>
  <c r="X122" i="21"/>
  <c r="T176" i="21"/>
  <c r="X176" i="21"/>
  <c r="K146" i="21"/>
  <c r="O146" i="21"/>
  <c r="K108" i="21"/>
  <c r="O108" i="21"/>
  <c r="K125" i="21"/>
  <c r="O125" i="21"/>
  <c r="K178" i="21"/>
  <c r="O178" i="21"/>
  <c r="T170" i="21"/>
  <c r="X170" i="21"/>
  <c r="T108" i="21"/>
  <c r="X108" i="21"/>
  <c r="T142" i="21"/>
  <c r="X142" i="21"/>
  <c r="T113" i="21"/>
  <c r="X113" i="21"/>
  <c r="T119" i="21"/>
  <c r="X119" i="21"/>
  <c r="T135" i="21"/>
  <c r="X135" i="21"/>
  <c r="T198" i="21"/>
  <c r="X198" i="21"/>
  <c r="T138" i="21"/>
  <c r="X138" i="21"/>
  <c r="T141" i="21"/>
  <c r="X141" i="21"/>
  <c r="T173" i="21"/>
  <c r="X173" i="21"/>
  <c r="T205" i="21"/>
  <c r="X205" i="21"/>
  <c r="T152" i="21"/>
  <c r="X152" i="21"/>
  <c r="T184" i="21"/>
  <c r="X184" i="21"/>
  <c r="T163" i="21"/>
  <c r="X163" i="21"/>
  <c r="T195" i="21"/>
  <c r="X195" i="21"/>
  <c r="G28" i="21"/>
  <c r="K112" i="21"/>
  <c r="O112" i="21"/>
  <c r="K107" i="21"/>
  <c r="O107" i="21"/>
  <c r="K134" i="21"/>
  <c r="O134" i="21"/>
  <c r="K101" i="21"/>
  <c r="O101" i="21"/>
  <c r="K186" i="21"/>
  <c r="O186" i="21"/>
  <c r="K135" i="21"/>
  <c r="O135" i="21"/>
  <c r="K126" i="21"/>
  <c r="O126" i="21"/>
  <c r="T186" i="21"/>
  <c r="X186" i="21"/>
  <c r="T109" i="21"/>
  <c r="X109" i="21"/>
  <c r="T112" i="21"/>
  <c r="X112" i="21"/>
  <c r="T150" i="21"/>
  <c r="X150" i="21"/>
  <c r="T97" i="21"/>
  <c r="X97" i="21"/>
  <c r="T143" i="21"/>
  <c r="X143" i="21"/>
  <c r="T146" i="21"/>
  <c r="X146" i="21"/>
  <c r="T145" i="21"/>
  <c r="X145" i="21"/>
  <c r="T177" i="21"/>
  <c r="X177" i="21"/>
  <c r="T126" i="21"/>
  <c r="X126" i="21"/>
  <c r="T156" i="21"/>
  <c r="X156" i="21"/>
  <c r="T188" i="21"/>
  <c r="X188" i="21"/>
  <c r="T167" i="21"/>
  <c r="X167" i="21"/>
  <c r="T199" i="21"/>
  <c r="X199" i="21"/>
  <c r="K124" i="21"/>
  <c r="O124" i="21"/>
  <c r="K115" i="21"/>
  <c r="O115" i="21"/>
  <c r="K147" i="21"/>
  <c r="O147" i="21"/>
  <c r="K117" i="21"/>
  <c r="O117" i="21"/>
  <c r="K104" i="21"/>
  <c r="O104" i="21"/>
  <c r="K122" i="21"/>
  <c r="O122" i="21"/>
  <c r="K141" i="21"/>
  <c r="O141" i="21"/>
  <c r="K157" i="21"/>
  <c r="O157" i="21"/>
  <c r="K173" i="21"/>
  <c r="O173" i="21"/>
  <c r="K189" i="21"/>
  <c r="O189" i="21"/>
  <c r="K205" i="21"/>
  <c r="O205" i="21"/>
  <c r="K128" i="21"/>
  <c r="O128" i="21"/>
  <c r="K144" i="21"/>
  <c r="O144" i="21"/>
  <c r="K160" i="21"/>
  <c r="O160" i="21"/>
  <c r="K176" i="21"/>
  <c r="O176" i="21"/>
  <c r="K192" i="21"/>
  <c r="O192" i="21"/>
  <c r="K159" i="21"/>
  <c r="O159" i="21"/>
  <c r="K175" i="21"/>
  <c r="O175" i="21"/>
  <c r="K191" i="21"/>
  <c r="O191" i="21"/>
  <c r="T99" i="21"/>
  <c r="X99" i="21"/>
  <c r="T111" i="21"/>
  <c r="X111" i="21"/>
  <c r="T165" i="21"/>
  <c r="X165" i="21"/>
  <c r="T155" i="21"/>
  <c r="X155" i="21"/>
  <c r="T202" i="21"/>
  <c r="X202" i="21"/>
  <c r="T116" i="21"/>
  <c r="X116" i="21"/>
  <c r="T115" i="21"/>
  <c r="X115" i="21"/>
  <c r="T101" i="21"/>
  <c r="X101" i="21"/>
  <c r="T151" i="21"/>
  <c r="X151" i="21"/>
  <c r="T96" i="21"/>
  <c r="X96" i="21"/>
  <c r="T149" i="21"/>
  <c r="X149" i="21"/>
  <c r="T181" i="21"/>
  <c r="X181" i="21"/>
  <c r="T128" i="21"/>
  <c r="X128" i="21"/>
  <c r="T160" i="21"/>
  <c r="X160" i="21"/>
  <c r="T192" i="21"/>
  <c r="X192" i="21"/>
  <c r="T171" i="21"/>
  <c r="X171" i="21"/>
  <c r="T203" i="21"/>
  <c r="X203" i="21"/>
  <c r="K158" i="21"/>
  <c r="O158" i="21"/>
  <c r="K113" i="21"/>
  <c r="O113" i="21"/>
  <c r="K150" i="21"/>
  <c r="O150" i="21"/>
  <c r="K105" i="21"/>
  <c r="O105" i="21"/>
  <c r="K162" i="21"/>
  <c r="O162" i="21"/>
  <c r="K194" i="21"/>
  <c r="O194" i="21"/>
  <c r="K118" i="21"/>
  <c r="O118" i="21"/>
  <c r="K143" i="21"/>
  <c r="O143" i="21"/>
  <c r="T131" i="21"/>
  <c r="X131" i="21"/>
  <c r="T117" i="21"/>
  <c r="X117" i="21"/>
  <c r="T144" i="21"/>
  <c r="X144" i="21"/>
  <c r="T187" i="21"/>
  <c r="X187" i="21"/>
  <c r="K7" i="21"/>
  <c r="O7" i="21"/>
  <c r="K198" i="21"/>
  <c r="O198" i="21"/>
  <c r="K116" i="21"/>
  <c r="O116" i="21"/>
  <c r="K97" i="21"/>
  <c r="O97" i="21"/>
  <c r="K131" i="21"/>
  <c r="O131" i="21"/>
  <c r="T121" i="21"/>
  <c r="X121" i="21"/>
  <c r="T120" i="21"/>
  <c r="X120" i="21"/>
  <c r="T105" i="21"/>
  <c r="X105" i="21"/>
  <c r="T158" i="21"/>
  <c r="X158" i="21"/>
  <c r="T100" i="21"/>
  <c r="X100" i="21"/>
  <c r="T153" i="21"/>
  <c r="X153" i="21"/>
  <c r="T185" i="21"/>
  <c r="X185" i="21"/>
  <c r="T132" i="21"/>
  <c r="X132" i="21"/>
  <c r="T164" i="21"/>
  <c r="X164" i="21"/>
  <c r="T196" i="21"/>
  <c r="X196" i="21"/>
  <c r="T175" i="21"/>
  <c r="X175" i="21"/>
  <c r="K174" i="21"/>
  <c r="O174" i="21"/>
  <c r="K99" i="21"/>
  <c r="O99" i="21"/>
  <c r="K120" i="21"/>
  <c r="O120" i="21"/>
  <c r="K98" i="21"/>
  <c r="O98" i="21"/>
  <c r="K154" i="21"/>
  <c r="O154" i="21"/>
  <c r="K111" i="21"/>
  <c r="O111" i="21"/>
  <c r="K145" i="21"/>
  <c r="O145" i="21"/>
  <c r="K161" i="21"/>
  <c r="O161" i="21"/>
  <c r="K177" i="21"/>
  <c r="O177" i="21"/>
  <c r="K193" i="21"/>
  <c r="O193" i="21"/>
  <c r="K132" i="21"/>
  <c r="O132" i="21"/>
  <c r="K148" i="21"/>
  <c r="O148" i="21"/>
  <c r="K164" i="21"/>
  <c r="O164" i="21"/>
  <c r="K180" i="21"/>
  <c r="O180" i="21"/>
  <c r="K196" i="21"/>
  <c r="O196" i="21"/>
  <c r="K163" i="21"/>
  <c r="O163" i="21"/>
  <c r="K179" i="21"/>
  <c r="O179" i="21"/>
  <c r="K195" i="21"/>
  <c r="O195" i="21"/>
  <c r="G29" i="21"/>
  <c r="T162" i="21"/>
  <c r="X162" i="21"/>
  <c r="T123" i="21"/>
  <c r="X123" i="21"/>
  <c r="T98" i="21"/>
  <c r="X98" i="21"/>
  <c r="T127" i="21"/>
  <c r="X127" i="21"/>
  <c r="T166" i="21"/>
  <c r="X166" i="21"/>
  <c r="T104" i="21"/>
  <c r="X104" i="21"/>
  <c r="T157" i="21"/>
  <c r="X157" i="21"/>
  <c r="T189" i="21"/>
  <c r="X189" i="21"/>
  <c r="T136" i="21"/>
  <c r="X136" i="21"/>
  <c r="T168" i="21"/>
  <c r="X168" i="21"/>
  <c r="T200" i="21"/>
  <c r="X200" i="21"/>
  <c r="T179" i="21"/>
  <c r="X179" i="21"/>
  <c r="K166" i="21"/>
  <c r="O166" i="21"/>
  <c r="K103" i="21"/>
  <c r="O103" i="21"/>
  <c r="K170" i="21"/>
  <c r="O170" i="21"/>
  <c r="K202" i="21"/>
  <c r="O202" i="21"/>
  <c r="K127" i="21"/>
  <c r="O127" i="21"/>
  <c r="K151" i="21"/>
  <c r="O151" i="21"/>
  <c r="T194" i="21"/>
  <c r="X194" i="21"/>
  <c r="T106" i="21"/>
  <c r="X106" i="21"/>
  <c r="T182" i="21"/>
  <c r="X182" i="21"/>
  <c r="T197" i="21"/>
  <c r="X197" i="21"/>
  <c r="T139" i="21"/>
  <c r="X139" i="21"/>
  <c r="T178" i="21"/>
  <c r="X178" i="21"/>
  <c r="T125" i="21"/>
  <c r="X125" i="21"/>
  <c r="T102" i="21"/>
  <c r="X102" i="21"/>
  <c r="T129" i="21"/>
  <c r="X129" i="21"/>
  <c r="T174" i="21"/>
  <c r="X174" i="21"/>
  <c r="T110" i="21"/>
  <c r="X110" i="21"/>
  <c r="T124" i="21"/>
  <c r="X124" i="21"/>
  <c r="T161" i="21"/>
  <c r="X161" i="21"/>
  <c r="T193" i="21"/>
  <c r="X193" i="21"/>
  <c r="T140" i="21"/>
  <c r="X140" i="21"/>
  <c r="T172" i="21"/>
  <c r="X172" i="21"/>
  <c r="T204" i="21"/>
  <c r="X204" i="21"/>
  <c r="T183" i="21"/>
  <c r="X183" i="21"/>
  <c r="Y5" i="21"/>
  <c r="K182" i="21"/>
  <c r="O182" i="21"/>
  <c r="K138" i="21"/>
  <c r="O138" i="21"/>
  <c r="K109" i="21"/>
  <c r="O109" i="21"/>
  <c r="K102" i="21"/>
  <c r="O102" i="21"/>
  <c r="K123" i="21"/>
  <c r="O123" i="21"/>
  <c r="K114" i="21"/>
  <c r="O114" i="21"/>
  <c r="K110" i="21"/>
  <c r="O110" i="21"/>
  <c r="K129" i="21"/>
  <c r="O129" i="21"/>
  <c r="K96" i="21"/>
  <c r="O96" i="21"/>
  <c r="K149" i="21"/>
  <c r="O149" i="21"/>
  <c r="K165" i="21"/>
  <c r="O165" i="21"/>
  <c r="K181" i="21"/>
  <c r="O181" i="21"/>
  <c r="K197" i="21"/>
  <c r="O197" i="21"/>
  <c r="K136" i="21"/>
  <c r="O136" i="21"/>
  <c r="K152" i="21"/>
  <c r="O152" i="21"/>
  <c r="K168" i="21"/>
  <c r="O168" i="21"/>
  <c r="K184" i="21"/>
  <c r="O184" i="21"/>
  <c r="K200" i="21"/>
  <c r="O200" i="21"/>
  <c r="K167" i="21"/>
  <c r="O167" i="21"/>
  <c r="K183" i="21"/>
  <c r="O183" i="21"/>
  <c r="K199" i="21"/>
  <c r="O199" i="21"/>
  <c r="J8" i="21"/>
  <c r="J19" i="20"/>
  <c r="K18" i="20"/>
  <c r="O18" i="20"/>
  <c r="C94" i="20"/>
  <c r="G51" i="20"/>
  <c r="G52" i="20"/>
  <c r="G50" i="20"/>
  <c r="B90" i="18"/>
  <c r="B47" i="27" s="1"/>
  <c r="B92" i="13"/>
  <c r="G39" i="26"/>
  <c r="G38" i="26"/>
  <c r="B37" i="21"/>
  <c r="C38" i="21"/>
  <c r="B40" i="21"/>
  <c r="C41" i="21"/>
  <c r="B90" i="19"/>
  <c r="G30" i="21"/>
  <c r="G31" i="21"/>
  <c r="K8" i="21"/>
  <c r="O8" i="21"/>
  <c r="J9" i="21"/>
  <c r="K19" i="20"/>
  <c r="O19" i="20"/>
  <c r="J20" i="20"/>
  <c r="Q91" i="20"/>
  <c r="Q95" i="20"/>
  <c r="Q93" i="20"/>
  <c r="Q92" i="20"/>
  <c r="Q86" i="20"/>
  <c r="Q88" i="20"/>
  <c r="Q85" i="20"/>
  <c r="Q79" i="20"/>
  <c r="Q75" i="20"/>
  <c r="Q71" i="20"/>
  <c r="Q67" i="20"/>
  <c r="Q82" i="20"/>
  <c r="Q84" i="20"/>
  <c r="Q78" i="20"/>
  <c r="Q72" i="20"/>
  <c r="Q68" i="20"/>
  <c r="Q64" i="20"/>
  <c r="Q89" i="20"/>
  <c r="Q87" i="20"/>
  <c r="Q63" i="20"/>
  <c r="Q59" i="20"/>
  <c r="Q55" i="20"/>
  <c r="Q48" i="20"/>
  <c r="Q94" i="20"/>
  <c r="Q77" i="20"/>
  <c r="Q70" i="20"/>
  <c r="Q66" i="20"/>
  <c r="Q50" i="20"/>
  <c r="Q74" i="20"/>
  <c r="Q76" i="20"/>
  <c r="Q73" i="20"/>
  <c r="Q51" i="20"/>
  <c r="Q45" i="20"/>
  <c r="Q36" i="20"/>
  <c r="Q90" i="20"/>
  <c r="Q58" i="20"/>
  <c r="Q54" i="20"/>
  <c r="Q49" i="20"/>
  <c r="Q47" i="20"/>
  <c r="Q38" i="20"/>
  <c r="Q30" i="20"/>
  <c r="Q27" i="20"/>
  <c r="Q83" i="20"/>
  <c r="Q62" i="20"/>
  <c r="Q80" i="20"/>
  <c r="Q61" i="20"/>
  <c r="Q42" i="20"/>
  <c r="Q34" i="20"/>
  <c r="Q31" i="20"/>
  <c r="Q65" i="20"/>
  <c r="Q44" i="20"/>
  <c r="Q37" i="20"/>
  <c r="Q28" i="20"/>
  <c r="Q33" i="20"/>
  <c r="Q39" i="20"/>
  <c r="Q26" i="20"/>
  <c r="Q52" i="20"/>
  <c r="Q24" i="20"/>
  <c r="Q23" i="20"/>
  <c r="Q22" i="20"/>
  <c r="Q21" i="20"/>
  <c r="Q20" i="20"/>
  <c r="Q8" i="20"/>
  <c r="Q41" i="20"/>
  <c r="Q40" i="20"/>
  <c r="Q19" i="20"/>
  <c r="Q57" i="20"/>
  <c r="Q18" i="20"/>
  <c r="Q17" i="20"/>
  <c r="Q16" i="20"/>
  <c r="Q15" i="20"/>
  <c r="Q29" i="20"/>
  <c r="Q14" i="20"/>
  <c r="Q13" i="20"/>
  <c r="Q43" i="20"/>
  <c r="Q10" i="20"/>
  <c r="Q35" i="20"/>
  <c r="Q69" i="20"/>
  <c r="Q11" i="20"/>
  <c r="Q7" i="20"/>
  <c r="Q81" i="20"/>
  <c r="Q6" i="20"/>
  <c r="R6" i="20"/>
  <c r="S6" i="20"/>
  <c r="Q53" i="20"/>
  <c r="Q32" i="20"/>
  <c r="Q25" i="20"/>
  <c r="Q12" i="20"/>
  <c r="Q60" i="20"/>
  <c r="Q56" i="20"/>
  <c r="Q9" i="20"/>
  <c r="Q46" i="20"/>
  <c r="H94" i="20"/>
  <c r="AC84" i="20"/>
  <c r="AD44" i="20"/>
  <c r="AE42" i="20"/>
  <c r="AE67" i="20"/>
  <c r="AB69" i="20"/>
  <c r="AN30" i="20"/>
  <c r="AB63" i="20"/>
  <c r="AD70" i="20"/>
  <c r="AC12" i="20"/>
  <c r="AE61" i="20"/>
  <c r="AP35" i="20"/>
  <c r="AE14" i="20"/>
  <c r="AD84" i="20"/>
  <c r="AE23" i="20"/>
  <c r="AD50" i="20"/>
  <c r="AC77" i="20"/>
  <c r="AD82" i="20"/>
  <c r="AM29" i="20"/>
  <c r="AN10" i="20"/>
  <c r="AB60" i="20"/>
  <c r="AD75" i="20"/>
  <c r="AD71" i="20"/>
  <c r="AC58" i="20"/>
  <c r="AB76" i="20"/>
  <c r="AE38" i="20"/>
  <c r="AD72" i="20"/>
  <c r="AD35" i="20"/>
  <c r="AB33" i="20"/>
  <c r="AC38" i="20"/>
  <c r="AE53" i="20"/>
  <c r="AB18" i="20"/>
  <c r="AE50" i="20"/>
  <c r="AB32" i="20"/>
  <c r="AM30" i="20"/>
  <c r="AE73" i="20"/>
  <c r="AD80" i="20"/>
  <c r="AD16" i="20"/>
  <c r="AB29" i="20"/>
  <c r="AL13" i="20"/>
  <c r="AO34" i="20"/>
  <c r="AE71" i="20"/>
  <c r="AD92" i="20"/>
  <c r="AC13" i="20"/>
  <c r="AL32" i="20"/>
  <c r="AB94" i="20"/>
  <c r="AE77" i="20"/>
  <c r="AC73" i="20"/>
  <c r="AL24" i="20"/>
  <c r="AD12" i="20"/>
  <c r="AE68" i="20"/>
  <c r="AC14" i="20"/>
  <c r="AD60" i="20"/>
  <c r="AB40" i="20"/>
  <c r="AO9" i="20"/>
  <c r="AC69" i="20"/>
  <c r="AE63" i="20"/>
  <c r="AE70" i="20"/>
  <c r="AB45" i="20"/>
  <c r="AL16" i="20"/>
  <c r="AE76" i="20"/>
  <c r="AC88" i="20"/>
  <c r="AD48" i="20"/>
  <c r="AB23" i="20"/>
  <c r="AD67" i="20"/>
  <c r="AO24" i="20"/>
  <c r="AD68" i="20"/>
  <c r="AB82" i="20"/>
  <c r="AD54" i="20"/>
  <c r="AE13" i="20"/>
  <c r="AB37" i="20"/>
  <c r="AB49" i="20"/>
  <c r="AD42" i="20"/>
  <c r="AD29" i="20"/>
  <c r="AB93" i="20"/>
  <c r="AB95" i="20"/>
  <c r="AE74" i="20"/>
  <c r="AM19" i="20"/>
  <c r="AD33" i="20"/>
  <c r="AC72" i="20"/>
  <c r="AB20" i="20"/>
  <c r="AC45" i="20"/>
  <c r="AO13" i="20"/>
  <c r="AN16" i="20"/>
  <c r="AO30" i="20"/>
  <c r="AB80" i="20"/>
  <c r="AD38" i="20"/>
  <c r="AM17" i="20"/>
  <c r="AD15" i="20"/>
  <c r="AE34" i="20"/>
  <c r="AC18" i="20"/>
  <c r="AC23" i="20"/>
  <c r="AE44" i="20"/>
  <c r="AE49" i="20"/>
  <c r="AN14" i="20"/>
  <c r="AD59" i="20"/>
  <c r="AM13" i="20"/>
  <c r="AB47" i="20"/>
  <c r="AB83" i="20"/>
  <c r="AM25" i="20"/>
  <c r="AB73" i="20"/>
  <c r="AD28" i="20"/>
  <c r="AN25" i="20"/>
  <c r="AL27" i="20"/>
  <c r="AE22" i="20"/>
  <c r="AB34" i="20"/>
  <c r="AC89" i="20"/>
  <c r="AB87" i="20"/>
  <c r="AL18" i="20"/>
  <c r="AM18" i="20"/>
  <c r="AD78" i="20"/>
  <c r="AN12" i="20"/>
  <c r="AC55" i="20"/>
  <c r="AD76" i="20"/>
  <c r="AD91" i="20"/>
  <c r="AC53" i="20"/>
  <c r="AE95" i="20"/>
  <c r="AP29" i="20"/>
  <c r="AC29" i="20"/>
  <c r="AE29" i="20"/>
  <c r="AE80" i="20"/>
  <c r="AC68" i="20"/>
  <c r="AD40" i="20"/>
  <c r="AO14" i="20"/>
  <c r="AP27" i="20"/>
  <c r="AE64" i="20"/>
  <c r="AB19" i="20"/>
  <c r="AE52" i="20"/>
  <c r="AL22" i="20"/>
  <c r="AC20" i="20"/>
  <c r="AB65" i="20"/>
  <c r="AN34" i="20"/>
  <c r="AC59" i="20"/>
  <c r="AB55" i="20"/>
  <c r="AM28" i="20"/>
  <c r="AE15" i="20"/>
  <c r="AM14" i="20"/>
  <c r="AB92" i="20"/>
  <c r="AC39" i="20"/>
  <c r="AO8" i="20"/>
  <c r="AE48" i="20"/>
  <c r="AB54" i="20"/>
  <c r="AE55" i="20"/>
  <c r="AC42" i="20"/>
  <c r="AC76" i="20"/>
  <c r="AB81" i="20"/>
  <c r="AB70" i="20"/>
  <c r="AB17" i="20"/>
  <c r="AN17" i="20"/>
  <c r="AB57" i="20"/>
  <c r="AL29" i="20"/>
  <c r="AE75" i="20"/>
  <c r="AO22" i="20"/>
  <c r="AD85" i="20"/>
  <c r="AC70" i="20"/>
  <c r="AD90" i="20"/>
  <c r="AB71" i="20"/>
  <c r="AB78" i="20"/>
  <c r="AB88" i="20"/>
  <c r="AD88" i="20"/>
  <c r="AE94" i="20"/>
  <c r="AC52" i="20"/>
  <c r="AO29" i="20"/>
  <c r="AB38" i="20"/>
  <c r="AO35" i="20"/>
  <c r="AB22" i="20"/>
  <c r="AD58" i="20"/>
  <c r="AM20" i="20"/>
  <c r="AN29" i="20"/>
  <c r="AC24" i="20"/>
  <c r="AD45" i="20"/>
  <c r="AP19" i="20"/>
  <c r="AB35" i="20"/>
  <c r="AB6" i="20"/>
  <c r="AC27" i="20"/>
  <c r="AN32" i="20"/>
  <c r="AD65" i="20"/>
  <c r="AB14" i="20"/>
  <c r="AO5" i="20"/>
  <c r="AD43" i="20"/>
  <c r="AD77" i="20"/>
  <c r="AD74" i="20"/>
  <c r="AC65" i="20"/>
  <c r="AP28" i="20"/>
  <c r="AE65" i="20"/>
  <c r="AB50" i="20"/>
  <c r="AB89" i="20"/>
  <c r="AE87" i="20"/>
  <c r="AO16" i="20"/>
  <c r="AE58" i="20"/>
  <c r="AB86" i="20"/>
  <c r="AD66" i="20"/>
  <c r="AC91" i="20"/>
  <c r="AB39" i="20"/>
  <c r="AM12" i="20"/>
  <c r="AB79" i="20"/>
  <c r="AD89" i="20"/>
  <c r="AN28" i="20"/>
  <c r="AC81" i="20"/>
  <c r="AE88" i="20"/>
  <c r="AB5" i="20"/>
  <c r="AE89" i="20"/>
  <c r="AL17" i="20"/>
  <c r="AE27" i="20"/>
  <c r="AE45" i="20"/>
  <c r="AB24" i="20"/>
  <c r="AM11" i="20"/>
  <c r="AC35" i="20"/>
  <c r="AC62" i="20"/>
  <c r="AC92" i="20"/>
  <c r="AB77" i="20"/>
  <c r="AD69" i="20"/>
  <c r="AD61" i="20"/>
  <c r="AD55" i="20"/>
  <c r="AN6" i="20"/>
  <c r="AC57" i="20"/>
  <c r="AD18" i="20"/>
  <c r="AE54" i="20"/>
  <c r="AM32" i="20"/>
  <c r="AD57" i="20"/>
  <c r="AD73" i="20"/>
  <c r="AE79" i="20"/>
  <c r="AD32" i="20"/>
  <c r="AP25" i="20"/>
  <c r="AD53" i="20"/>
  <c r="AC78" i="20"/>
  <c r="AB52" i="20"/>
  <c r="AD34" i="20"/>
  <c r="AE20" i="20"/>
  <c r="AB43" i="20"/>
  <c r="AC93" i="20"/>
  <c r="AE35" i="20"/>
  <c r="AC17" i="20"/>
  <c r="AB8" i="20"/>
  <c r="AD94" i="20"/>
  <c r="AE47" i="20"/>
  <c r="AL34" i="20"/>
  <c r="AC47" i="20"/>
  <c r="AB44" i="20"/>
  <c r="AC48" i="20"/>
  <c r="AE91" i="20"/>
  <c r="AC28" i="20"/>
  <c r="AO32" i="20"/>
  <c r="AC50" i="20"/>
  <c r="AC54" i="20"/>
  <c r="AC37" i="20"/>
  <c r="AD11" i="20"/>
  <c r="AD6" i="20"/>
  <c r="AC43" i="20"/>
  <c r="AO23" i="20"/>
  <c r="AC67" i="20"/>
  <c r="AB84" i="20"/>
  <c r="AB61" i="20"/>
  <c r="AB74" i="20"/>
  <c r="AN27" i="20"/>
  <c r="AC32" i="20"/>
  <c r="AL14" i="20"/>
  <c r="AN35" i="20"/>
  <c r="AO25" i="20"/>
  <c r="AE92" i="20"/>
  <c r="AC64" i="20"/>
  <c r="AO28" i="20"/>
  <c r="AO20" i="20"/>
  <c r="AE57" i="20"/>
  <c r="AC49" i="20"/>
  <c r="AE39" i="20"/>
  <c r="AD93" i="20"/>
  <c r="AD17" i="20"/>
  <c r="AC44" i="20"/>
  <c r="AE83" i="20"/>
  <c r="AB91" i="20"/>
  <c r="AC61" i="20"/>
  <c r="AB68" i="20"/>
  <c r="AE84" i="20"/>
  <c r="AM7" i="20"/>
  <c r="AC80" i="20"/>
  <c r="AB75" i="20"/>
  <c r="AE10" i="20"/>
  <c r="AD39" i="20"/>
  <c r="AO10" i="20"/>
  <c r="AB16" i="20"/>
  <c r="AD52" i="20"/>
  <c r="AL20" i="20"/>
  <c r="AB28" i="20"/>
  <c r="AC85" i="20"/>
  <c r="AE32" i="20"/>
  <c r="AL23" i="20"/>
  <c r="AD47" i="20"/>
  <c r="AB90" i="20"/>
  <c r="AE25" i="20"/>
  <c r="AM24" i="20"/>
  <c r="AP9" i="20"/>
  <c r="AD25" i="20"/>
  <c r="AB62" i="20"/>
  <c r="AC63" i="20"/>
  <c r="AD86" i="20"/>
  <c r="AE24" i="20"/>
  <c r="AB85" i="20"/>
  <c r="AC94" i="20"/>
  <c r="AL15" i="20"/>
  <c r="AC34" i="20"/>
  <c r="AN33" i="20"/>
  <c r="AC95" i="20"/>
  <c r="AL19" i="20"/>
  <c r="AD87" i="20"/>
  <c r="AC11" i="20"/>
  <c r="AB72" i="20"/>
  <c r="AC71" i="20"/>
  <c r="AL33" i="20"/>
  <c r="AD63" i="20"/>
  <c r="AC75" i="20"/>
  <c r="AB64" i="20"/>
  <c r="AL8" i="20"/>
  <c r="AP32" i="20"/>
  <c r="AC79" i="20"/>
  <c r="AE82" i="20"/>
  <c r="AB48" i="20"/>
  <c r="AP12" i="20"/>
  <c r="AL28" i="20"/>
  <c r="AB53" i="20"/>
  <c r="AD62" i="20"/>
  <c r="AB13" i="20"/>
  <c r="AC82" i="20"/>
  <c r="AL30" i="20"/>
  <c r="AD83" i="20"/>
  <c r="AL11" i="20"/>
  <c r="AN5" i="20"/>
  <c r="AM22" i="20"/>
  <c r="AD79" i="20"/>
  <c r="AE78" i="20"/>
  <c r="AD81" i="20"/>
  <c r="AD37" i="20"/>
  <c r="AB59" i="20"/>
  <c r="AD8" i="20"/>
  <c r="AE5" i="20"/>
  <c r="AP14" i="20"/>
  <c r="AO19" i="20"/>
  <c r="AD95" i="20"/>
  <c r="AD5" i="20"/>
  <c r="AB67" i="20"/>
  <c r="AB27" i="20"/>
  <c r="AD64" i="20"/>
  <c r="AC66" i="20"/>
  <c r="AD10" i="20"/>
  <c r="AO33" i="20"/>
  <c r="AN15" i="20"/>
  <c r="AP22" i="20"/>
  <c r="AL6" i="20"/>
  <c r="AP17" i="20"/>
  <c r="AC5" i="20"/>
  <c r="AE11" i="20"/>
  <c r="AE93" i="20"/>
  <c r="AP18" i="20"/>
  <c r="AP8" i="20"/>
  <c r="AM6" i="20"/>
  <c r="AM23" i="20"/>
  <c r="AP10" i="20"/>
  <c r="AC60" i="20"/>
  <c r="AC83" i="20"/>
  <c r="AD49" i="20"/>
  <c r="AE86" i="20"/>
  <c r="AB11" i="20"/>
  <c r="AD14" i="20"/>
  <c r="AC10" i="20"/>
  <c r="AO27" i="20"/>
  <c r="AD13" i="20"/>
  <c r="AP20" i="20"/>
  <c r="AP5" i="20"/>
  <c r="AE43" i="20"/>
  <c r="AL12" i="20"/>
  <c r="AP23" i="20"/>
  <c r="AC30" i="20"/>
  <c r="AE40" i="20"/>
  <c r="AE60" i="20"/>
  <c r="AP34" i="20"/>
  <c r="AC22" i="20"/>
  <c r="AM34" i="20"/>
  <c r="AC90" i="20"/>
  <c r="AM27" i="20"/>
  <c r="AN8" i="20"/>
  <c r="AP7" i="20"/>
  <c r="AP15" i="20"/>
  <c r="AE17" i="20"/>
  <c r="AP24" i="20"/>
  <c r="AP6" i="20"/>
  <c r="AP30" i="20"/>
  <c r="AN18" i="20"/>
  <c r="AC33" i="20"/>
  <c r="AN23" i="20"/>
  <c r="AL10" i="20"/>
  <c r="AE12" i="20"/>
  <c r="AC9" i="20"/>
  <c r="AE69" i="20"/>
  <c r="AC74" i="20"/>
  <c r="AL25" i="20"/>
  <c r="AE85" i="20"/>
  <c r="AD30" i="20"/>
  <c r="AE37" i="20"/>
  <c r="AO15" i="20"/>
  <c r="AC8" i="20"/>
  <c r="AM10" i="20"/>
  <c r="AN13" i="20"/>
  <c r="AE72" i="20"/>
  <c r="AE6" i="20"/>
  <c r="AE19" i="20"/>
  <c r="AB25" i="20"/>
  <c r="AB12" i="20"/>
  <c r="AE90" i="20"/>
  <c r="AC19" i="20"/>
  <c r="AB66" i="20"/>
  <c r="AD9" i="20"/>
  <c r="AC25" i="20"/>
  <c r="AC86" i="20"/>
  <c r="AE33" i="20"/>
  <c r="AM33" i="20"/>
  <c r="AO17" i="20"/>
  <c r="AO11" i="20"/>
  <c r="AC16" i="20"/>
  <c r="AE7" i="20"/>
  <c r="AD20" i="20"/>
  <c r="AE16" i="20"/>
  <c r="AM9" i="20"/>
  <c r="AB58" i="20"/>
  <c r="AO6" i="20"/>
  <c r="AN19" i="20"/>
  <c r="AD24" i="20"/>
  <c r="AB42" i="20"/>
  <c r="AE66" i="20"/>
  <c r="AB30" i="20"/>
  <c r="AE59" i="20"/>
  <c r="AE18" i="20"/>
  <c r="AN24" i="20"/>
  <c r="AC40" i="20"/>
  <c r="AL9" i="20"/>
  <c r="AP16" i="20"/>
  <c r="AM16" i="20"/>
  <c r="AL5" i="20"/>
  <c r="AN9" i="20"/>
  <c r="AM35" i="20"/>
  <c r="AE30" i="20"/>
  <c r="AM15" i="20"/>
  <c r="AE62" i="20"/>
  <c r="AB15" i="20"/>
  <c r="AE28" i="20"/>
  <c r="AP11" i="20"/>
  <c r="AC87" i="20"/>
  <c r="AP33" i="20"/>
  <c r="AE81" i="20"/>
  <c r="AC7" i="20"/>
  <c r="AN11" i="20"/>
  <c r="AL35" i="20"/>
  <c r="AB10" i="20"/>
  <c r="AP13" i="20"/>
  <c r="AN20" i="20"/>
  <c r="AC6" i="20"/>
  <c r="AE9" i="20"/>
  <c r="AD7" i="20"/>
  <c r="AM5" i="20"/>
  <c r="AO7" i="20"/>
  <c r="AB9" i="20"/>
  <c r="AC15" i="20"/>
  <c r="AB7" i="20"/>
  <c r="AD19" i="20"/>
  <c r="AM8" i="20"/>
  <c r="AD22" i="20"/>
  <c r="AN7" i="20"/>
  <c r="AD27" i="20"/>
  <c r="AE8" i="20"/>
  <c r="AN22" i="20"/>
  <c r="AD23" i="20"/>
  <c r="AO12" i="20"/>
  <c r="AL7" i="20"/>
  <c r="AO18" i="20"/>
  <c r="B91" i="18"/>
  <c r="B93" i="13"/>
  <c r="G41" i="26"/>
  <c r="G40" i="26"/>
  <c r="B42" i="21"/>
  <c r="C43" i="21"/>
  <c r="B39" i="21"/>
  <c r="C40" i="21"/>
  <c r="B91" i="19"/>
  <c r="G33" i="21"/>
  <c r="G32" i="21"/>
  <c r="K9" i="21"/>
  <c r="O9" i="21"/>
  <c r="J10" i="21"/>
  <c r="AM35" i="21"/>
  <c r="AC35" i="21"/>
  <c r="AB35" i="21"/>
  <c r="AL35" i="21"/>
  <c r="AO35" i="21"/>
  <c r="K20" i="20"/>
  <c r="O20" i="20"/>
  <c r="J21" i="20"/>
  <c r="AT15" i="20"/>
  <c r="AS15" i="20"/>
  <c r="AR15" i="20"/>
  <c r="AQ15" i="20"/>
  <c r="AQ35" i="20"/>
  <c r="AT35" i="20"/>
  <c r="AS35" i="20"/>
  <c r="AR35" i="20"/>
  <c r="AT17" i="20"/>
  <c r="AS17" i="20"/>
  <c r="AQ17" i="20"/>
  <c r="AR17" i="20"/>
  <c r="AT12" i="20"/>
  <c r="AS12" i="20"/>
  <c r="AR12" i="20"/>
  <c r="AQ12" i="20"/>
  <c r="AS25" i="20"/>
  <c r="AQ25" i="20"/>
  <c r="AT25" i="20"/>
  <c r="AR25" i="20"/>
  <c r="AT8" i="20"/>
  <c r="AR8" i="20"/>
  <c r="AQ8" i="20"/>
  <c r="AS8" i="20"/>
  <c r="AT14" i="20"/>
  <c r="AR14" i="20"/>
  <c r="AQ14" i="20"/>
  <c r="AS14" i="20"/>
  <c r="AT22" i="20"/>
  <c r="AS22" i="20"/>
  <c r="AR22" i="20"/>
  <c r="AQ22" i="20"/>
  <c r="AT24" i="20"/>
  <c r="AS24" i="20"/>
  <c r="AR24" i="20"/>
  <c r="AQ24" i="20"/>
  <c r="AT20" i="20"/>
  <c r="AS20" i="20"/>
  <c r="AR20" i="20"/>
  <c r="AQ20" i="20"/>
  <c r="AR9" i="20"/>
  <c r="AS9" i="20"/>
  <c r="AQ9" i="20"/>
  <c r="AT9" i="20"/>
  <c r="AY7" i="20"/>
  <c r="AY8" i="20"/>
  <c r="AY9" i="20"/>
  <c r="AY10" i="20"/>
  <c r="AY11" i="20"/>
  <c r="AY12" i="20"/>
  <c r="AY13" i="20"/>
  <c r="AY14" i="20"/>
  <c r="AY15" i="20"/>
  <c r="AY16" i="20"/>
  <c r="AY17" i="20"/>
  <c r="AY18" i="20"/>
  <c r="AY19" i="20"/>
  <c r="AY20" i="20"/>
  <c r="AY21" i="20"/>
  <c r="AY22" i="20"/>
  <c r="AY23" i="20"/>
  <c r="AY24" i="20"/>
  <c r="AY25" i="20"/>
  <c r="AY26" i="20"/>
  <c r="AY27" i="20"/>
  <c r="AY28" i="20"/>
  <c r="AY29" i="20"/>
  <c r="AY30" i="20"/>
  <c r="AY31" i="20"/>
  <c r="AY32" i="20"/>
  <c r="AY33" i="20"/>
  <c r="AY34" i="20"/>
  <c r="AY35" i="20"/>
  <c r="C123" i="20"/>
  <c r="E123" i="20"/>
  <c r="E127" i="20"/>
  <c r="AS7" i="20"/>
  <c r="AR7" i="20"/>
  <c r="AT7" i="20"/>
  <c r="AQ7" i="20"/>
  <c r="AT19" i="20"/>
  <c r="AS19" i="20"/>
  <c r="AR19" i="20"/>
  <c r="AQ19" i="20"/>
  <c r="AT27" i="20"/>
  <c r="AR27" i="20"/>
  <c r="AQ27" i="20"/>
  <c r="AS27" i="20"/>
  <c r="AT13" i="20"/>
  <c r="AS13" i="20"/>
  <c r="AR13" i="20"/>
  <c r="AQ13" i="20"/>
  <c r="T6" i="20"/>
  <c r="X6" i="20"/>
  <c r="AS6" i="20"/>
  <c r="AR6" i="20"/>
  <c r="AY6" i="20"/>
  <c r="AT6" i="20"/>
  <c r="AQ6" i="20"/>
  <c r="AT28" i="20"/>
  <c r="AR28" i="20"/>
  <c r="AQ28" i="20"/>
  <c r="AS28" i="20"/>
  <c r="AT23" i="20"/>
  <c r="AS23" i="20"/>
  <c r="AR23" i="20"/>
  <c r="AQ23" i="20"/>
  <c r="AQ29" i="20"/>
  <c r="AS29" i="20"/>
  <c r="AR29" i="20"/>
  <c r="AT29" i="20"/>
  <c r="AQ10" i="20"/>
  <c r="AT10" i="20"/>
  <c r="AS10" i="20"/>
  <c r="AR10" i="20"/>
  <c r="AT11" i="20"/>
  <c r="AS11" i="20"/>
  <c r="AR11" i="20"/>
  <c r="AQ11" i="20"/>
  <c r="AH6" i="20"/>
  <c r="AH7" i="20"/>
  <c r="AH8" i="20"/>
  <c r="AH9" i="20"/>
  <c r="AH10" i="20"/>
  <c r="AH11" i="20"/>
  <c r="AH12" i="20"/>
  <c r="AH13" i="20"/>
  <c r="AH14" i="20"/>
  <c r="AH15" i="20"/>
  <c r="AH16" i="20"/>
  <c r="AH17" i="20"/>
  <c r="AH18" i="20"/>
  <c r="AH19" i="20"/>
  <c r="AH20" i="20"/>
  <c r="AH21" i="20"/>
  <c r="AH22" i="20"/>
  <c r="AH23" i="20"/>
  <c r="AH24" i="20"/>
  <c r="AH25" i="20"/>
  <c r="AH26" i="20"/>
  <c r="AH27" i="20"/>
  <c r="AH28" i="20"/>
  <c r="AH29" i="20"/>
  <c r="AH30" i="20"/>
  <c r="AH31" i="20"/>
  <c r="AH32" i="20"/>
  <c r="AH33" i="20"/>
  <c r="AH34" i="20"/>
  <c r="AH35" i="20"/>
  <c r="AH36" i="20"/>
  <c r="AH37" i="20"/>
  <c r="AH38" i="20"/>
  <c r="AH39" i="20"/>
  <c r="AH40" i="20"/>
  <c r="AH41" i="20"/>
  <c r="AH42" i="20"/>
  <c r="AH43" i="20"/>
  <c r="AH44" i="20"/>
  <c r="AH45" i="20"/>
  <c r="AH46" i="20"/>
  <c r="AH47" i="20"/>
  <c r="AH48" i="20"/>
  <c r="AH49" i="20"/>
  <c r="AH50" i="20"/>
  <c r="AH51" i="20"/>
  <c r="AH52" i="20"/>
  <c r="AH53" i="20"/>
  <c r="AH54" i="20"/>
  <c r="AH55" i="20"/>
  <c r="AH56" i="20"/>
  <c r="AH57" i="20"/>
  <c r="AH58" i="20"/>
  <c r="AH59" i="20"/>
  <c r="AH60" i="20"/>
  <c r="AH61" i="20"/>
  <c r="AH62" i="20"/>
  <c r="AH63" i="20"/>
  <c r="AH64" i="20"/>
  <c r="AH65" i="20"/>
  <c r="AH66" i="20"/>
  <c r="AH67" i="20"/>
  <c r="AH68" i="20"/>
  <c r="AH69" i="20"/>
  <c r="AH70" i="20"/>
  <c r="AH71" i="20"/>
  <c r="AH72" i="20"/>
  <c r="AH73" i="20"/>
  <c r="AH74" i="20"/>
  <c r="AH75" i="20"/>
  <c r="AH76" i="20"/>
  <c r="AH77" i="20"/>
  <c r="AH78" i="20"/>
  <c r="AH79" i="20"/>
  <c r="AH80" i="20"/>
  <c r="AH81" i="20"/>
  <c r="AH82" i="20"/>
  <c r="AH83" i="20"/>
  <c r="AH84" i="20"/>
  <c r="AH85" i="20"/>
  <c r="AH86" i="20"/>
  <c r="AH87" i="20"/>
  <c r="AH88" i="20"/>
  <c r="AH89" i="20"/>
  <c r="AH90" i="20"/>
  <c r="AH91" i="20"/>
  <c r="AH92" i="20"/>
  <c r="AH93" i="20"/>
  <c r="AH94" i="20"/>
  <c r="AH95" i="20"/>
  <c r="AG6" i="20"/>
  <c r="AG7" i="20"/>
  <c r="AG8" i="20"/>
  <c r="AG9" i="20"/>
  <c r="AG10" i="20"/>
  <c r="AG11" i="20"/>
  <c r="AG12" i="20"/>
  <c r="AG13" i="20"/>
  <c r="AG14" i="20"/>
  <c r="AG15" i="20"/>
  <c r="AG16" i="20"/>
  <c r="AG17" i="20"/>
  <c r="AG18" i="20"/>
  <c r="AG19" i="20"/>
  <c r="AG20" i="20"/>
  <c r="AG21" i="20"/>
  <c r="AG22" i="20"/>
  <c r="AG23" i="20"/>
  <c r="AG24" i="20"/>
  <c r="AG25" i="20"/>
  <c r="AG26" i="20"/>
  <c r="AG27" i="20"/>
  <c r="AG28" i="20"/>
  <c r="AG29" i="20"/>
  <c r="AG30" i="20"/>
  <c r="AG31" i="20"/>
  <c r="AG32" i="20"/>
  <c r="AG33" i="20"/>
  <c r="AG34" i="20"/>
  <c r="AG35" i="20"/>
  <c r="AG36" i="20"/>
  <c r="AG37" i="20"/>
  <c r="AG38" i="20"/>
  <c r="AG39" i="20"/>
  <c r="AG40" i="20"/>
  <c r="AG41" i="20"/>
  <c r="AG42" i="20"/>
  <c r="AG43" i="20"/>
  <c r="AG44" i="20"/>
  <c r="AG45" i="20"/>
  <c r="AG46" i="20"/>
  <c r="AG47" i="20"/>
  <c r="AG48" i="20"/>
  <c r="AG49" i="20"/>
  <c r="AG50" i="20"/>
  <c r="AG51" i="20"/>
  <c r="AG52" i="20"/>
  <c r="AG53" i="20"/>
  <c r="AG54" i="20"/>
  <c r="AG55" i="20"/>
  <c r="AG56" i="20"/>
  <c r="AG57" i="20"/>
  <c r="AG58" i="20"/>
  <c r="AG59" i="20"/>
  <c r="AG60" i="20"/>
  <c r="AG61" i="20"/>
  <c r="AG62" i="20"/>
  <c r="AG63" i="20"/>
  <c r="AG64" i="20"/>
  <c r="AG65" i="20"/>
  <c r="AG66" i="20"/>
  <c r="AG67" i="20"/>
  <c r="AG68" i="20"/>
  <c r="AG69" i="20"/>
  <c r="AG70" i="20"/>
  <c r="AG71" i="20"/>
  <c r="AG72" i="20"/>
  <c r="AG73" i="20"/>
  <c r="AG74" i="20"/>
  <c r="AG75" i="20"/>
  <c r="AG76" i="20"/>
  <c r="AG77" i="20"/>
  <c r="AG78" i="20"/>
  <c r="AG79" i="20"/>
  <c r="AG80" i="20"/>
  <c r="AG81" i="20"/>
  <c r="AG82" i="20"/>
  <c r="AG83" i="20"/>
  <c r="AG84" i="20"/>
  <c r="AG85" i="20"/>
  <c r="AG86" i="20"/>
  <c r="AG87" i="20"/>
  <c r="AG88" i="20"/>
  <c r="AG89" i="20"/>
  <c r="AG90" i="20"/>
  <c r="AG91" i="20"/>
  <c r="AG92" i="20"/>
  <c r="AG93" i="20"/>
  <c r="AG94" i="20"/>
  <c r="AG95" i="20"/>
  <c r="AF6" i="20"/>
  <c r="R7" i="20"/>
  <c r="S7" i="20"/>
  <c r="AT30" i="20"/>
  <c r="AR30" i="20"/>
  <c r="AQ30" i="20"/>
  <c r="AS30" i="20"/>
  <c r="AT33" i="20"/>
  <c r="AS33" i="20"/>
  <c r="AQ33" i="20"/>
  <c r="AR33" i="20"/>
  <c r="AT34" i="20"/>
  <c r="AS34" i="20"/>
  <c r="AQ34" i="20"/>
  <c r="AR34" i="20"/>
  <c r="AQ18" i="20"/>
  <c r="AT18" i="20"/>
  <c r="AS18" i="20"/>
  <c r="AR18" i="20"/>
  <c r="AQ32" i="20"/>
  <c r="AT32" i="20"/>
  <c r="AR32" i="20"/>
  <c r="AS32" i="20"/>
  <c r="AT16" i="20"/>
  <c r="AS16" i="20"/>
  <c r="AQ16" i="20"/>
  <c r="AR16" i="20"/>
  <c r="AN35" i="21"/>
  <c r="AR35" i="21"/>
  <c r="AP35" i="21"/>
  <c r="AT35" i="21"/>
  <c r="AD35" i="21"/>
  <c r="AE35" i="21"/>
  <c r="G43" i="26"/>
  <c r="G42" i="26"/>
  <c r="C42" i="21"/>
  <c r="G42" i="21"/>
  <c r="B41" i="21"/>
  <c r="G41" i="21"/>
  <c r="C45" i="21"/>
  <c r="B44" i="21"/>
  <c r="B92" i="19"/>
  <c r="G34" i="21"/>
  <c r="AQ35" i="21"/>
  <c r="AS35" i="21"/>
  <c r="G35" i="21"/>
  <c r="K10" i="21"/>
  <c r="O10" i="21"/>
  <c r="J11" i="21"/>
  <c r="J22" i="20"/>
  <c r="K21" i="20"/>
  <c r="O21" i="20"/>
  <c r="T7" i="20"/>
  <c r="X7" i="20"/>
  <c r="AI6" i="20"/>
  <c r="AF7" i="20"/>
  <c r="Y6" i="20"/>
  <c r="R8" i="20"/>
  <c r="G45" i="26"/>
  <c r="G44" i="26"/>
  <c r="B46" i="21"/>
  <c r="C47" i="21"/>
  <c r="B43" i="21"/>
  <c r="G43" i="21"/>
  <c r="C44" i="21"/>
  <c r="G44" i="21"/>
  <c r="B93" i="19"/>
  <c r="G36" i="21"/>
  <c r="K11" i="21"/>
  <c r="O11" i="21"/>
  <c r="J12" i="21"/>
  <c r="G37" i="21"/>
  <c r="K22" i="20"/>
  <c r="O22" i="20"/>
  <c r="J23" i="20"/>
  <c r="Y7" i="20"/>
  <c r="S8" i="20"/>
  <c r="R9" i="20"/>
  <c r="AI7" i="20"/>
  <c r="AF8" i="20"/>
  <c r="G47" i="26"/>
  <c r="G46" i="26"/>
  <c r="C49" i="21"/>
  <c r="B48" i="21"/>
  <c r="B45" i="21"/>
  <c r="G45" i="21"/>
  <c r="C46" i="21"/>
  <c r="G46" i="21"/>
  <c r="AD47" i="21"/>
  <c r="G39" i="21"/>
  <c r="G40" i="21"/>
  <c r="G38" i="21"/>
  <c r="K12" i="21"/>
  <c r="O12" i="21"/>
  <c r="J13" i="21"/>
  <c r="J24" i="20"/>
  <c r="K23" i="20"/>
  <c r="O23" i="20"/>
  <c r="T8" i="20"/>
  <c r="X8" i="20"/>
  <c r="S9" i="20"/>
  <c r="R10" i="20"/>
  <c r="AF9" i="20"/>
  <c r="AI8" i="20"/>
  <c r="AB47" i="21"/>
  <c r="AE41" i="21"/>
  <c r="AM23" i="21"/>
  <c r="AB41" i="21"/>
  <c r="AD53" i="21"/>
  <c r="AN26" i="21"/>
  <c r="AM29" i="21"/>
  <c r="AC29" i="21"/>
  <c r="C48" i="21"/>
  <c r="G48" i="21"/>
  <c r="B47" i="21"/>
  <c r="G47" i="21"/>
  <c r="C51" i="21"/>
  <c r="B50" i="21"/>
  <c r="AP26" i="21"/>
  <c r="AC41" i="21"/>
  <c r="AC53" i="21"/>
  <c r="AD78" i="21"/>
  <c r="AE47" i="21"/>
  <c r="AN29" i="21"/>
  <c r="AL29" i="21"/>
  <c r="AD29" i="21"/>
  <c r="AE26" i="21"/>
  <c r="AE53" i="21"/>
  <c r="AD41" i="21"/>
  <c r="AP29" i="21"/>
  <c r="AC26" i="21"/>
  <c r="AO29" i="21"/>
  <c r="AE29" i="21"/>
  <c r="AB53" i="21"/>
  <c r="AB26" i="21"/>
  <c r="AB29" i="21"/>
  <c r="AC47" i="21"/>
  <c r="AE31" i="21"/>
  <c r="AC58" i="21"/>
  <c r="AC57" i="21"/>
  <c r="AE74" i="21"/>
  <c r="AO13" i="21"/>
  <c r="AE76" i="21"/>
  <c r="AC83" i="21"/>
  <c r="AB78" i="21"/>
  <c r="AE88" i="21"/>
  <c r="AC60" i="21"/>
  <c r="AB90" i="21"/>
  <c r="AD80" i="21"/>
  <c r="AC74" i="21"/>
  <c r="AC75" i="21"/>
  <c r="AD34" i="21"/>
  <c r="AP31" i="21"/>
  <c r="AP19" i="21"/>
  <c r="AE28" i="21"/>
  <c r="AO31" i="21"/>
  <c r="AE5" i="21"/>
  <c r="AB65" i="21"/>
  <c r="AB66" i="21"/>
  <c r="AE90" i="21"/>
  <c r="AC93" i="21"/>
  <c r="AB91" i="21"/>
  <c r="AE71" i="21"/>
  <c r="AD69" i="21"/>
  <c r="AE87" i="21"/>
  <c r="AB77" i="21"/>
  <c r="AC86" i="21"/>
  <c r="AD95" i="21"/>
  <c r="AB59" i="21"/>
  <c r="AC87" i="21"/>
  <c r="AC94" i="21"/>
  <c r="AB57" i="21"/>
  <c r="AB74" i="21"/>
  <c r="AC95" i="21"/>
  <c r="AC40" i="21"/>
  <c r="AC27" i="21"/>
  <c r="AD92" i="21"/>
  <c r="AC62" i="21"/>
  <c r="AD94" i="21"/>
  <c r="AE95" i="21"/>
  <c r="AD83" i="21"/>
  <c r="AC71" i="21"/>
  <c r="AP8" i="21"/>
  <c r="AC67" i="21"/>
  <c r="AC63" i="21"/>
  <c r="AB86" i="21"/>
  <c r="AE92" i="21"/>
  <c r="AE58" i="21"/>
  <c r="AB88" i="21"/>
  <c r="AB62" i="21"/>
  <c r="AN15" i="21"/>
  <c r="AE45" i="21"/>
  <c r="AM12" i="21"/>
  <c r="AB36" i="21"/>
  <c r="AB17" i="21"/>
  <c r="AP25" i="21"/>
  <c r="AM8" i="21"/>
  <c r="AB9" i="21"/>
  <c r="AP17" i="21"/>
  <c r="AE64" i="21"/>
  <c r="AB83" i="21"/>
  <c r="AD86" i="21"/>
  <c r="AB85" i="21"/>
  <c r="AE89" i="21"/>
  <c r="AC78" i="21"/>
  <c r="AC79" i="21"/>
  <c r="AD67" i="21"/>
  <c r="AD60" i="21"/>
  <c r="AE84" i="21"/>
  <c r="AC61" i="21"/>
  <c r="AB67" i="21"/>
  <c r="AD72" i="21"/>
  <c r="AB69" i="21"/>
  <c r="AB60" i="21"/>
  <c r="AC77" i="21"/>
  <c r="AD84" i="21"/>
  <c r="AN9" i="21"/>
  <c r="AL33" i="21"/>
  <c r="AC76" i="21"/>
  <c r="AM6" i="21"/>
  <c r="AE33" i="21"/>
  <c r="AD22" i="21"/>
  <c r="AE15" i="21"/>
  <c r="AE65" i="21"/>
  <c r="AE75" i="21"/>
  <c r="AE73" i="21"/>
  <c r="AD81" i="21"/>
  <c r="AC66" i="21"/>
  <c r="AE30" i="21"/>
  <c r="AE8" i="21"/>
  <c r="AN21" i="21"/>
  <c r="AN27" i="21"/>
  <c r="AP6" i="21"/>
  <c r="AE52" i="21"/>
  <c r="AE69" i="21"/>
  <c r="AE61" i="21"/>
  <c r="AB58" i="21"/>
  <c r="AE72" i="21"/>
  <c r="AC68" i="21"/>
  <c r="AD68" i="21"/>
  <c r="AE94" i="21"/>
  <c r="AB68" i="21"/>
  <c r="AC65" i="21"/>
  <c r="AB81" i="21"/>
  <c r="AD63" i="21"/>
  <c r="AE68" i="21"/>
  <c r="AD87" i="21"/>
  <c r="AD82" i="21"/>
  <c r="AB70" i="21"/>
  <c r="AE83" i="21"/>
  <c r="AC90" i="21"/>
  <c r="AD50" i="21"/>
  <c r="AE91" i="21"/>
  <c r="AB63" i="21"/>
  <c r="AC85" i="21"/>
  <c r="AC89" i="21"/>
  <c r="AD62" i="21"/>
  <c r="AC69" i="21"/>
  <c r="AB56" i="21"/>
  <c r="AB72" i="21"/>
  <c r="AD58" i="21"/>
  <c r="AE70" i="21"/>
  <c r="AB82" i="21"/>
  <c r="AE59" i="21"/>
  <c r="AC56" i="21"/>
  <c r="AB93" i="21"/>
  <c r="AB64" i="21"/>
  <c r="AE56" i="21"/>
  <c r="AC82" i="21"/>
  <c r="AB94" i="21"/>
  <c r="AB79" i="21"/>
  <c r="AE93" i="21"/>
  <c r="AD71" i="21"/>
  <c r="AD59" i="21"/>
  <c r="AE66" i="21"/>
  <c r="AE80" i="21"/>
  <c r="AC24" i="21"/>
  <c r="AO22" i="21"/>
  <c r="AB20" i="21"/>
  <c r="AD44" i="21"/>
  <c r="AD73" i="21"/>
  <c r="AD76" i="21"/>
  <c r="AE81" i="21"/>
  <c r="AC91" i="21"/>
  <c r="AC73" i="21"/>
  <c r="AC88" i="21"/>
  <c r="AP15" i="21"/>
  <c r="AO28" i="21"/>
  <c r="AC44" i="21"/>
  <c r="AO17" i="21"/>
  <c r="AB31" i="21"/>
  <c r="AB52" i="21"/>
  <c r="AD70" i="21"/>
  <c r="AC80" i="21"/>
  <c r="AE77" i="21"/>
  <c r="AE63" i="21"/>
  <c r="AC81" i="21"/>
  <c r="AD65" i="21"/>
  <c r="AB89" i="21"/>
  <c r="AB71" i="21"/>
  <c r="AC84" i="21"/>
  <c r="AB92" i="21"/>
  <c r="AE82" i="21"/>
  <c r="AE86" i="21"/>
  <c r="AE62" i="21"/>
  <c r="AD77" i="21"/>
  <c r="AD74" i="21"/>
  <c r="AB73" i="21"/>
  <c r="AB61" i="21"/>
  <c r="AE79" i="21"/>
  <c r="AN11" i="21"/>
  <c r="AB87" i="21"/>
  <c r="AD91" i="21"/>
  <c r="AC92" i="21"/>
  <c r="AC6" i="21"/>
  <c r="AD24" i="21"/>
  <c r="AP5" i="21"/>
  <c r="AC46" i="21"/>
  <c r="AB76" i="21"/>
  <c r="AD88" i="21"/>
  <c r="AB80" i="21"/>
  <c r="AD61" i="21"/>
  <c r="AE57" i="21"/>
  <c r="AD56" i="21"/>
  <c r="AD64" i="21"/>
  <c r="AE12" i="21"/>
  <c r="AC38" i="21"/>
  <c r="AB40" i="21"/>
  <c r="AP20" i="21"/>
  <c r="AB8" i="21"/>
  <c r="AO24" i="21"/>
  <c r="AE48" i="21"/>
  <c r="AE67" i="21"/>
  <c r="AD57" i="21"/>
  <c r="AC72" i="21"/>
  <c r="AE60" i="21"/>
  <c r="AD93" i="21"/>
  <c r="AE85" i="21"/>
  <c r="AC70" i="21"/>
  <c r="AD79" i="21"/>
  <c r="AB84" i="21"/>
  <c r="AC59" i="21"/>
  <c r="AD89" i="21"/>
  <c r="AD90" i="21"/>
  <c r="AD66" i="21"/>
  <c r="AC64" i="21"/>
  <c r="AD85" i="21"/>
  <c r="AD75" i="21"/>
  <c r="AE78" i="21"/>
  <c r="AE18" i="21"/>
  <c r="AL13" i="21"/>
  <c r="AM19" i="21"/>
  <c r="AM13" i="21"/>
  <c r="AP9" i="21"/>
  <c r="AN30" i="21"/>
  <c r="AD51" i="21"/>
  <c r="AB43" i="21"/>
  <c r="AB37" i="21"/>
  <c r="AN6" i="21"/>
  <c r="AM17" i="21"/>
  <c r="AE13" i="21"/>
  <c r="AL27" i="21"/>
  <c r="AB22" i="21"/>
  <c r="AM20" i="21"/>
  <c r="AO8" i="21"/>
  <c r="AD10" i="21"/>
  <c r="AO15" i="21"/>
  <c r="AM31" i="21"/>
  <c r="AC21" i="21"/>
  <c r="AE7" i="21"/>
  <c r="AM25" i="21"/>
  <c r="AB32" i="21"/>
  <c r="AC39" i="21"/>
  <c r="AL9" i="21"/>
  <c r="AB11" i="21"/>
  <c r="AC8" i="21"/>
  <c r="AE25" i="21"/>
  <c r="AB13" i="21"/>
  <c r="AC10" i="21"/>
  <c r="AE50" i="21"/>
  <c r="AC49" i="21"/>
  <c r="AB46" i="21"/>
  <c r="AC25" i="21"/>
  <c r="AN34" i="21"/>
  <c r="AM18" i="21"/>
  <c r="AL28" i="21"/>
  <c r="AD27" i="21"/>
  <c r="AC50" i="21"/>
  <c r="AD25" i="21"/>
  <c r="AP10" i="21"/>
  <c r="AN18" i="21"/>
  <c r="AL15" i="21"/>
  <c r="AD40" i="21"/>
  <c r="AB45" i="21"/>
  <c r="AE20" i="21"/>
  <c r="AE34" i="21"/>
  <c r="AL8" i="21"/>
  <c r="AD19" i="21"/>
  <c r="AE21" i="21"/>
  <c r="AP32" i="21"/>
  <c r="AO14" i="21"/>
  <c r="AE37" i="21"/>
  <c r="AP24" i="21"/>
  <c r="AM15" i="21"/>
  <c r="AM24" i="21"/>
  <c r="AD45" i="21"/>
  <c r="AE14" i="21"/>
  <c r="AO25" i="21"/>
  <c r="AN25" i="21"/>
  <c r="AM30" i="21"/>
  <c r="AN28" i="21"/>
  <c r="AO6" i="21"/>
  <c r="AC48" i="21"/>
  <c r="AC55" i="21"/>
  <c r="AD6" i="21"/>
  <c r="AC16" i="21"/>
  <c r="AD31" i="21"/>
  <c r="AL18" i="21"/>
  <c r="AE11" i="21"/>
  <c r="AP27" i="21"/>
  <c r="AM32" i="21"/>
  <c r="AM34" i="21"/>
  <c r="AP13" i="21"/>
  <c r="AN31" i="21"/>
  <c r="AO33" i="21"/>
  <c r="AE9" i="21"/>
  <c r="AC13" i="21"/>
  <c r="AB12" i="21"/>
  <c r="AP34" i="21"/>
  <c r="AN19" i="21"/>
  <c r="AP12" i="21"/>
  <c r="AL12" i="21"/>
  <c r="AQ12" i="21"/>
  <c r="AN24" i="21"/>
  <c r="AO27" i="21"/>
  <c r="AC11" i="21"/>
  <c r="AM7" i="21"/>
  <c r="AN32" i="21"/>
  <c r="AE6" i="21"/>
  <c r="AB42" i="21"/>
  <c r="AM28" i="21"/>
  <c r="AP18" i="21"/>
  <c r="AP14" i="21"/>
  <c r="AD46" i="21"/>
  <c r="AB55" i="21"/>
  <c r="AM27" i="21"/>
  <c r="AC5" i="21"/>
  <c r="AL25" i="21"/>
  <c r="AC51" i="21"/>
  <c r="AL19" i="21"/>
  <c r="AE17" i="21"/>
  <c r="AD18" i="21"/>
  <c r="AE27" i="21"/>
  <c r="AC15" i="21"/>
  <c r="AL6" i="21"/>
  <c r="AE42" i="21"/>
  <c r="AC18" i="21"/>
  <c r="AC33" i="21"/>
  <c r="AB6" i="21"/>
  <c r="AC20" i="21"/>
  <c r="AD37" i="21"/>
  <c r="AC9" i="21"/>
  <c r="AO12" i="21"/>
  <c r="AC12" i="21"/>
  <c r="AC30" i="21"/>
  <c r="AE16" i="21"/>
  <c r="AP22" i="21"/>
  <c r="AE39" i="21"/>
  <c r="AE10" i="21"/>
  <c r="AL24" i="21"/>
  <c r="AN16" i="21"/>
  <c r="AE46" i="21"/>
  <c r="AB49" i="21"/>
  <c r="AC34" i="21"/>
  <c r="AD54" i="21"/>
  <c r="AD52" i="21"/>
  <c r="AB50" i="21"/>
  <c r="AC54" i="21"/>
  <c r="AB48" i="21"/>
  <c r="AD49" i="21"/>
  <c r="AE54" i="21"/>
  <c r="AB54" i="21"/>
  <c r="AO9" i="21"/>
  <c r="AO21" i="21"/>
  <c r="AC36" i="21"/>
  <c r="AB24" i="21"/>
  <c r="AL31" i="21"/>
  <c r="AC17" i="21"/>
  <c r="AD36" i="21"/>
  <c r="AD5" i="21"/>
  <c r="AB21" i="21"/>
  <c r="AN10" i="21"/>
  <c r="AO19" i="21"/>
  <c r="AD8" i="21"/>
  <c r="AD13" i="21"/>
  <c r="AD38" i="21"/>
  <c r="AE44" i="21"/>
  <c r="AL34" i="21"/>
  <c r="AP21" i="21"/>
  <c r="AO7" i="21"/>
  <c r="AE19" i="21"/>
  <c r="AN22" i="21"/>
  <c r="AD32" i="21"/>
  <c r="AB14" i="21"/>
  <c r="AD48" i="21"/>
  <c r="AB51" i="21"/>
  <c r="AC52" i="21"/>
  <c r="AD55" i="21"/>
  <c r="AE55" i="21"/>
  <c r="AE51" i="21"/>
  <c r="AE49" i="21"/>
  <c r="AB28" i="21"/>
  <c r="AM21" i="21"/>
  <c r="AM22" i="21"/>
  <c r="AL21" i="21"/>
  <c r="AB15" i="21"/>
  <c r="AM5" i="21"/>
  <c r="AE36" i="21"/>
  <c r="AM10" i="21"/>
  <c r="AN13" i="21"/>
  <c r="AM9" i="21"/>
  <c r="AE24" i="21"/>
  <c r="AP7" i="21"/>
  <c r="AL16" i="21"/>
  <c r="AL10" i="21"/>
  <c r="AN20" i="21"/>
  <c r="AD14" i="21"/>
  <c r="AB30" i="21"/>
  <c r="AN12" i="21"/>
  <c r="AO32" i="21"/>
  <c r="AE32" i="21"/>
  <c r="AE43" i="21"/>
  <c r="AB34" i="21"/>
  <c r="AC37" i="21"/>
  <c r="AM14" i="21"/>
  <c r="AD16" i="21"/>
  <c r="AO18" i="21"/>
  <c r="AP11" i="21"/>
  <c r="AL14" i="21"/>
  <c r="AP16" i="21"/>
  <c r="AC22" i="21"/>
  <c r="AB18" i="21"/>
  <c r="AL32" i="21"/>
  <c r="AM11" i="21"/>
  <c r="AD12" i="21"/>
  <c r="AN7" i="21"/>
  <c r="AB10" i="21"/>
  <c r="AM16" i="21"/>
  <c r="AN33" i="21"/>
  <c r="AB44" i="21"/>
  <c r="K13" i="21"/>
  <c r="O13" i="21"/>
  <c r="J14" i="21"/>
  <c r="AN5" i="21"/>
  <c r="AO16" i="21"/>
  <c r="AL22" i="21"/>
  <c r="AE40" i="21"/>
  <c r="AC7" i="21"/>
  <c r="AL17" i="21"/>
  <c r="AO5" i="21"/>
  <c r="AB16" i="21"/>
  <c r="AD7" i="21"/>
  <c r="AC42" i="21"/>
  <c r="AP33" i="21"/>
  <c r="AL11" i="21"/>
  <c r="AO20" i="21"/>
  <c r="AB39" i="21"/>
  <c r="AL30" i="21"/>
  <c r="AB19" i="21"/>
  <c r="AD28" i="21"/>
  <c r="AM33" i="21"/>
  <c r="AE22" i="21"/>
  <c r="AB33" i="21"/>
  <c r="AL20" i="21"/>
  <c r="AO11" i="21"/>
  <c r="AD11" i="21"/>
  <c r="AB25" i="21"/>
  <c r="AC43" i="21"/>
  <c r="AD43" i="21"/>
  <c r="AC19" i="21"/>
  <c r="AO34" i="21"/>
  <c r="AD33" i="21"/>
  <c r="AD15" i="21"/>
  <c r="AP30" i="21"/>
  <c r="AC14" i="21"/>
  <c r="AB7" i="21"/>
  <c r="AB38" i="21"/>
  <c r="AD9" i="21"/>
  <c r="AE38" i="21"/>
  <c r="AP28" i="21"/>
  <c r="AC31" i="21"/>
  <c r="AN8" i="21"/>
  <c r="AD30" i="21"/>
  <c r="AD17" i="21"/>
  <c r="AO10" i="21"/>
  <c r="AD20" i="21"/>
  <c r="AD21" i="21"/>
  <c r="AL7" i="21"/>
  <c r="AN14" i="21"/>
  <c r="AC32" i="21"/>
  <c r="AO30" i="21"/>
  <c r="AC45" i="21"/>
  <c r="AD39" i="21"/>
  <c r="AB27" i="21"/>
  <c r="AN17" i="21"/>
  <c r="AC28" i="21"/>
  <c r="AD42" i="21"/>
  <c r="AQ33" i="21"/>
  <c r="AS33" i="21"/>
  <c r="J25" i="20"/>
  <c r="K24" i="20"/>
  <c r="O24" i="20"/>
  <c r="Y8" i="20"/>
  <c r="T9" i="20"/>
  <c r="X9" i="20"/>
  <c r="S10" i="20"/>
  <c r="R11" i="20"/>
  <c r="AF10" i="20"/>
  <c r="AI9" i="20"/>
  <c r="AR33" i="21"/>
  <c r="AT19" i="21"/>
  <c r="AS25" i="21"/>
  <c r="AQ8" i="21"/>
  <c r="C53" i="21"/>
  <c r="AQ15" i="21"/>
  <c r="AR34" i="21"/>
  <c r="AR31" i="21"/>
  <c r="AT6" i="21"/>
  <c r="AS28" i="21"/>
  <c r="AT27" i="21"/>
  <c r="AT18" i="21"/>
  <c r="AS24" i="21"/>
  <c r="AF6" i="21"/>
  <c r="AF7" i="21"/>
  <c r="AR25" i="21"/>
  <c r="AQ18" i="21"/>
  <c r="AQ25" i="21"/>
  <c r="AS13" i="21"/>
  <c r="AQ31" i="21"/>
  <c r="AQ19" i="21"/>
  <c r="AQ27" i="21"/>
  <c r="AT29" i="21"/>
  <c r="AR29" i="21"/>
  <c r="AQ29" i="21"/>
  <c r="AS29" i="21"/>
  <c r="B52" i="21"/>
  <c r="B49" i="21"/>
  <c r="G49" i="21"/>
  <c r="C50" i="21"/>
  <c r="G50" i="21"/>
  <c r="AS12" i="21"/>
  <c r="AT12" i="21"/>
  <c r="AS34" i="21"/>
  <c r="AT25" i="21"/>
  <c r="AR19" i="21"/>
  <c r="AQ34" i="21"/>
  <c r="AS9" i="21"/>
  <c r="AT33" i="21"/>
  <c r="AT34" i="21"/>
  <c r="AT15" i="21"/>
  <c r="AR15" i="21"/>
  <c r="AT28" i="21"/>
  <c r="AR28" i="21"/>
  <c r="AR24" i="21"/>
  <c r="AR27" i="21"/>
  <c r="AT31" i="21"/>
  <c r="AQ28" i="21"/>
  <c r="AS27" i="21"/>
  <c r="AR12" i="21"/>
  <c r="AS18" i="21"/>
  <c r="AS19" i="21"/>
  <c r="AH6" i="21"/>
  <c r="AH7" i="21"/>
  <c r="AH8" i="21"/>
  <c r="AH9" i="21"/>
  <c r="AH10" i="21"/>
  <c r="AH11" i="21"/>
  <c r="AH12" i="21"/>
  <c r="AH13" i="21"/>
  <c r="AH14" i="21"/>
  <c r="AH15" i="21"/>
  <c r="AH16" i="21"/>
  <c r="AH17" i="21"/>
  <c r="AH18" i="21"/>
  <c r="AH19" i="21"/>
  <c r="AH20" i="21"/>
  <c r="AH21" i="21"/>
  <c r="AH22" i="21"/>
  <c r="AG6" i="21"/>
  <c r="AG7" i="21"/>
  <c r="AG8" i="21"/>
  <c r="AG9" i="21"/>
  <c r="AG10" i="21"/>
  <c r="AG11" i="21"/>
  <c r="AG12" i="21"/>
  <c r="AG13" i="21"/>
  <c r="AG14" i="21"/>
  <c r="AG15" i="21"/>
  <c r="AG16" i="21"/>
  <c r="AG17" i="21"/>
  <c r="AG18" i="21"/>
  <c r="AG19" i="21"/>
  <c r="AG20" i="21"/>
  <c r="AG21" i="21"/>
  <c r="AG22" i="21"/>
  <c r="AR18" i="21"/>
  <c r="AS15" i="21"/>
  <c r="AT13" i="21"/>
  <c r="AS8" i="21"/>
  <c r="AQ13" i="21"/>
  <c r="AS6" i="21"/>
  <c r="AT8" i="21"/>
  <c r="AS31" i="21"/>
  <c r="AQ9" i="21"/>
  <c r="AR6" i="21"/>
  <c r="AT9" i="21"/>
  <c r="AY6" i="21"/>
  <c r="AY7" i="21"/>
  <c r="AY8" i="21"/>
  <c r="AY9" i="21"/>
  <c r="AY10" i="21"/>
  <c r="AY11" i="21"/>
  <c r="AY12" i="21"/>
  <c r="AY13" i="21"/>
  <c r="AY14" i="21"/>
  <c r="AY15" i="21"/>
  <c r="AY16" i="21"/>
  <c r="AY17" i="21"/>
  <c r="AY18" i="21"/>
  <c r="AY19" i="21"/>
  <c r="AY20" i="21"/>
  <c r="AY21" i="21"/>
  <c r="AY22" i="21"/>
  <c r="AR9" i="21"/>
  <c r="AQ6" i="21"/>
  <c r="AT24" i="21"/>
  <c r="AR8" i="21"/>
  <c r="AR13" i="21"/>
  <c r="AQ24" i="21"/>
  <c r="AT22" i="21"/>
  <c r="AS22" i="21"/>
  <c r="AR22" i="21"/>
  <c r="AQ22" i="21"/>
  <c r="K14" i="21"/>
  <c r="O14" i="21"/>
  <c r="J15" i="21"/>
  <c r="AR32" i="21"/>
  <c r="AQ32" i="21"/>
  <c r="AT32" i="21"/>
  <c r="AS32" i="21"/>
  <c r="AR16" i="21"/>
  <c r="AS16" i="21"/>
  <c r="AQ16" i="21"/>
  <c r="AT16" i="21"/>
  <c r="AQ11" i="21"/>
  <c r="AT11" i="21"/>
  <c r="AR11" i="21"/>
  <c r="AS11" i="21"/>
  <c r="AS21" i="21"/>
  <c r="AQ21" i="21"/>
  <c r="AR21" i="21"/>
  <c r="AT21" i="21"/>
  <c r="AR10" i="21"/>
  <c r="AQ10" i="21"/>
  <c r="AT10" i="21"/>
  <c r="AS10" i="21"/>
  <c r="AT7" i="21"/>
  <c r="AS7" i="21"/>
  <c r="AR7" i="21"/>
  <c r="AQ7" i="21"/>
  <c r="AQ20" i="21"/>
  <c r="AS20" i="21"/>
  <c r="AR20" i="21"/>
  <c r="AT20" i="21"/>
  <c r="AR17" i="21"/>
  <c r="AQ17" i="21"/>
  <c r="AS17" i="21"/>
  <c r="AT17" i="21"/>
  <c r="AT30" i="21"/>
  <c r="AR30" i="21"/>
  <c r="AQ30" i="21"/>
  <c r="AS30" i="21"/>
  <c r="AS14" i="21"/>
  <c r="AR14" i="21"/>
  <c r="AQ14" i="21"/>
  <c r="AT14" i="21"/>
  <c r="K25" i="20"/>
  <c r="O25" i="20"/>
  <c r="J26" i="20"/>
  <c r="Y9" i="20"/>
  <c r="AF11" i="20"/>
  <c r="AI10" i="20"/>
  <c r="S11" i="20"/>
  <c r="R12" i="20"/>
  <c r="T10" i="20"/>
  <c r="X10" i="20"/>
  <c r="B54" i="21"/>
  <c r="C55" i="21"/>
  <c r="C52" i="21"/>
  <c r="B51" i="21"/>
  <c r="G51" i="21"/>
  <c r="AI6" i="21"/>
  <c r="AI7" i="21"/>
  <c r="AF8" i="21"/>
  <c r="K15" i="21"/>
  <c r="O15" i="21"/>
  <c r="J16" i="21"/>
  <c r="K26" i="20"/>
  <c r="O26" i="20"/>
  <c r="J27" i="20"/>
  <c r="Y10" i="20"/>
  <c r="T11" i="20"/>
  <c r="X11" i="20"/>
  <c r="Y11" i="20"/>
  <c r="S12" i="20"/>
  <c r="R13" i="20"/>
  <c r="AF12" i="20"/>
  <c r="AI11" i="20"/>
  <c r="B53" i="21"/>
  <c r="G53" i="21"/>
  <c r="Q82" i="21"/>
  <c r="C54" i="21"/>
  <c r="G52" i="21"/>
  <c r="B56" i="21"/>
  <c r="C94" i="26"/>
  <c r="Q81" i="21"/>
  <c r="Q79" i="21"/>
  <c r="Q77" i="21"/>
  <c r="Q75" i="21"/>
  <c r="Q73" i="21"/>
  <c r="Q71" i="21"/>
  <c r="Q69" i="21"/>
  <c r="Q67" i="21"/>
  <c r="Q65" i="21"/>
  <c r="Q63" i="21"/>
  <c r="Q61" i="21"/>
  <c r="Q59" i="21"/>
  <c r="Q57" i="21"/>
  <c r="Q55" i="21"/>
  <c r="Q53" i="21"/>
  <c r="Q51" i="21"/>
  <c r="Q49" i="21"/>
  <c r="Q47" i="21"/>
  <c r="Q83" i="21"/>
  <c r="Q85" i="21"/>
  <c r="Q84" i="21"/>
  <c r="Q80" i="21"/>
  <c r="Q78" i="21"/>
  <c r="Q76" i="21"/>
  <c r="Q74" i="21"/>
  <c r="Q72" i="21"/>
  <c r="Q70" i="21"/>
  <c r="Q68" i="21"/>
  <c r="Q66" i="21"/>
  <c r="Q64" i="21"/>
  <c r="Q62" i="21"/>
  <c r="Q60" i="21"/>
  <c r="Q58" i="21"/>
  <c r="Q56" i="21"/>
  <c r="Q54" i="21"/>
  <c r="Q52" i="21"/>
  <c r="Q50" i="21"/>
  <c r="Q48" i="21"/>
  <c r="Q46" i="21"/>
  <c r="Q30" i="21"/>
  <c r="Q34" i="21"/>
  <c r="Q6" i="21"/>
  <c r="R6" i="21"/>
  <c r="S6" i="21"/>
  <c r="T6" i="21"/>
  <c r="X6" i="21"/>
  <c r="Y6" i="21"/>
  <c r="Q13" i="21"/>
  <c r="Q29" i="21"/>
  <c r="Q18" i="21"/>
  <c r="Q44" i="21"/>
  <c r="Q11" i="21"/>
  <c r="Q16" i="21"/>
  <c r="Q45" i="21"/>
  <c r="Q32" i="21"/>
  <c r="Q20" i="21"/>
  <c r="Q19" i="21"/>
  <c r="Q12" i="21"/>
  <c r="Q21" i="21"/>
  <c r="Q35" i="21"/>
  <c r="Q28" i="21"/>
  <c r="Q27" i="21"/>
  <c r="Q39" i="21"/>
  <c r="Q33" i="21"/>
  <c r="Q17" i="21"/>
  <c r="Q42" i="21"/>
  <c r="Q15" i="21"/>
  <c r="Q36" i="21"/>
  <c r="Q43" i="21"/>
  <c r="Q31" i="21"/>
  <c r="Q8" i="21"/>
  <c r="Q23" i="21"/>
  <c r="Q14" i="21"/>
  <c r="Q26" i="21"/>
  <c r="Q40" i="21"/>
  <c r="Q9" i="21"/>
  <c r="Q10" i="21"/>
  <c r="Q38" i="21"/>
  <c r="Q37" i="21"/>
  <c r="Q24" i="21"/>
  <c r="Q25" i="21"/>
  <c r="Q22" i="21"/>
  <c r="Q7" i="21"/>
  <c r="Q41" i="21"/>
  <c r="AE23" i="21"/>
  <c r="AP23" i="21"/>
  <c r="AD26" i="21"/>
  <c r="AN23" i="21"/>
  <c r="AO23" i="21"/>
  <c r="AB23" i="21"/>
  <c r="AL26" i="21"/>
  <c r="AD23" i="21"/>
  <c r="AL23" i="21"/>
  <c r="AM26" i="21"/>
  <c r="AC23" i="21"/>
  <c r="AO26" i="21"/>
  <c r="AI8" i="21"/>
  <c r="AF9" i="21"/>
  <c r="K16" i="21"/>
  <c r="O16" i="21"/>
  <c r="J17" i="21"/>
  <c r="K27" i="20"/>
  <c r="O27" i="20"/>
  <c r="J28" i="20"/>
  <c r="AF13" i="20"/>
  <c r="AI12" i="20"/>
  <c r="T12" i="20"/>
  <c r="X12" i="20"/>
  <c r="Y12" i="20"/>
  <c r="S13" i="20"/>
  <c r="R14" i="20"/>
  <c r="R7" i="21"/>
  <c r="S7" i="21"/>
  <c r="T7" i="21"/>
  <c r="X7" i="21"/>
  <c r="Y7" i="21"/>
  <c r="C56" i="21"/>
  <c r="B55" i="21"/>
  <c r="G54" i="21"/>
  <c r="AS26" i="21"/>
  <c r="AT26" i="21"/>
  <c r="AQ26" i="21"/>
  <c r="AR26" i="21"/>
  <c r="AG23" i="21"/>
  <c r="AG24" i="21"/>
  <c r="AG25" i="21"/>
  <c r="AG26" i="21"/>
  <c r="AG27" i="21"/>
  <c r="AG28" i="21"/>
  <c r="AG29" i="21"/>
  <c r="AG30" i="21"/>
  <c r="AG31" i="21"/>
  <c r="AG32" i="21"/>
  <c r="AG33" i="21"/>
  <c r="AG34" i="21"/>
  <c r="AG35" i="21"/>
  <c r="AG36" i="21"/>
  <c r="AG37" i="21"/>
  <c r="AG38" i="21"/>
  <c r="AG39" i="21"/>
  <c r="AG40" i="21"/>
  <c r="AG41" i="21"/>
  <c r="AG42" i="21"/>
  <c r="AG43" i="21"/>
  <c r="AG44" i="21"/>
  <c r="AG45" i="21"/>
  <c r="AG46" i="21"/>
  <c r="AG47" i="21"/>
  <c r="AG48" i="21"/>
  <c r="AG49" i="21"/>
  <c r="AG50" i="21"/>
  <c r="AG51" i="21"/>
  <c r="AG52" i="21"/>
  <c r="AG53" i="21"/>
  <c r="AG54" i="21"/>
  <c r="AG55" i="21"/>
  <c r="AG56" i="21"/>
  <c r="AG57" i="21"/>
  <c r="AG58" i="21"/>
  <c r="AG59" i="21"/>
  <c r="AG60" i="21"/>
  <c r="AG61" i="21"/>
  <c r="AG62" i="21"/>
  <c r="AG63" i="21"/>
  <c r="AG64" i="21"/>
  <c r="AG65" i="21"/>
  <c r="AG66" i="21"/>
  <c r="AG67" i="21"/>
  <c r="AG68" i="21"/>
  <c r="AG69" i="21"/>
  <c r="AG70" i="21"/>
  <c r="AG71" i="21"/>
  <c r="AG72" i="21"/>
  <c r="AG73" i="21"/>
  <c r="AG74" i="21"/>
  <c r="AH23" i="21"/>
  <c r="AH24" i="21"/>
  <c r="AH25" i="21"/>
  <c r="AH26" i="21"/>
  <c r="AH27" i="21"/>
  <c r="AH28" i="21"/>
  <c r="AH29" i="21"/>
  <c r="AH30" i="21"/>
  <c r="AH31" i="21"/>
  <c r="AH32" i="21"/>
  <c r="AH33" i="21"/>
  <c r="AH34" i="21"/>
  <c r="AH35" i="21"/>
  <c r="AH36" i="21"/>
  <c r="AH37" i="21"/>
  <c r="AH38" i="21"/>
  <c r="AH39" i="21"/>
  <c r="AH40" i="21"/>
  <c r="AH41" i="21"/>
  <c r="AH42" i="21"/>
  <c r="AH43" i="21"/>
  <c r="AH44" i="21"/>
  <c r="AH45" i="21"/>
  <c r="AH46" i="21"/>
  <c r="AH47" i="21"/>
  <c r="AH48" i="21"/>
  <c r="AH49" i="21"/>
  <c r="AH50" i="21"/>
  <c r="AH51" i="21"/>
  <c r="AH52" i="21"/>
  <c r="AH53" i="21"/>
  <c r="AH54" i="21"/>
  <c r="AH55" i="21"/>
  <c r="AH56" i="21"/>
  <c r="AH57" i="21"/>
  <c r="AH58" i="21"/>
  <c r="AH59" i="21"/>
  <c r="AH60" i="21"/>
  <c r="AH61" i="21"/>
  <c r="AH62" i="21"/>
  <c r="AH63" i="21"/>
  <c r="AH64" i="21"/>
  <c r="AH65" i="21"/>
  <c r="AH66" i="21"/>
  <c r="AH67" i="21"/>
  <c r="AH68" i="21"/>
  <c r="AH69" i="21"/>
  <c r="AH70" i="21"/>
  <c r="AH71" i="21"/>
  <c r="AH72" i="21"/>
  <c r="AH73" i="21"/>
  <c r="AH74" i="21"/>
  <c r="AT23" i="21"/>
  <c r="AR23" i="21"/>
  <c r="AQ23" i="21"/>
  <c r="AS23" i="21"/>
  <c r="AY23" i="21"/>
  <c r="AY24" i="21"/>
  <c r="AY25" i="21"/>
  <c r="AY26" i="21"/>
  <c r="AY27" i="21"/>
  <c r="AY28" i="21"/>
  <c r="AY29" i="21"/>
  <c r="AY30" i="21"/>
  <c r="AY31" i="21"/>
  <c r="AY32" i="21"/>
  <c r="AY33" i="21"/>
  <c r="AY34" i="21"/>
  <c r="AY35" i="21"/>
  <c r="C123" i="21"/>
  <c r="E123" i="21"/>
  <c r="E127" i="21"/>
  <c r="AI9" i="21"/>
  <c r="AF10" i="21"/>
  <c r="K17" i="21"/>
  <c r="O17" i="21"/>
  <c r="J18" i="21"/>
  <c r="K28" i="20"/>
  <c r="J29" i="20"/>
  <c r="O28" i="20"/>
  <c r="T13" i="20"/>
  <c r="X13" i="20"/>
  <c r="Y13" i="20"/>
  <c r="S14" i="20"/>
  <c r="R15" i="20"/>
  <c r="AI13" i="20"/>
  <c r="AF14" i="20"/>
  <c r="R8" i="21"/>
  <c r="S8" i="21"/>
  <c r="T8" i="21"/>
  <c r="X8" i="21"/>
  <c r="Y8" i="21"/>
  <c r="G55" i="21"/>
  <c r="Q88" i="21"/>
  <c r="Q86" i="21"/>
  <c r="G56" i="21"/>
  <c r="C94" i="21"/>
  <c r="AB75" i="21"/>
  <c r="AG75" i="21"/>
  <c r="AG76" i="21"/>
  <c r="AG77" i="21"/>
  <c r="AG78" i="21"/>
  <c r="AG79" i="21"/>
  <c r="AG80" i="21"/>
  <c r="AG81" i="21"/>
  <c r="AG82" i="21"/>
  <c r="AG83" i="21"/>
  <c r="AG84" i="21"/>
  <c r="AG85" i="21"/>
  <c r="AG86" i="21"/>
  <c r="AG87" i="21"/>
  <c r="AG88" i="21"/>
  <c r="AG89" i="21"/>
  <c r="AG90" i="21"/>
  <c r="AG91" i="21"/>
  <c r="AG92" i="21"/>
  <c r="AG93" i="21"/>
  <c r="AG94" i="21"/>
  <c r="Q89" i="21"/>
  <c r="AF11" i="21"/>
  <c r="AI10" i="21"/>
  <c r="K18" i="21"/>
  <c r="O18" i="21"/>
  <c r="J19" i="21"/>
  <c r="AH75" i="21"/>
  <c r="AH76" i="21"/>
  <c r="AH77" i="21"/>
  <c r="AH78" i="21"/>
  <c r="AH79" i="21"/>
  <c r="AH80" i="21"/>
  <c r="AH81" i="21"/>
  <c r="AH82" i="21"/>
  <c r="AH83" i="21"/>
  <c r="AH84" i="21"/>
  <c r="AH85" i="21"/>
  <c r="AH86" i="21"/>
  <c r="AH87" i="21"/>
  <c r="AH88" i="21"/>
  <c r="AH89" i="21"/>
  <c r="AH90" i="21"/>
  <c r="AH91" i="21"/>
  <c r="AH92" i="21"/>
  <c r="AH93" i="21"/>
  <c r="AH94" i="21"/>
  <c r="AL5" i="21"/>
  <c r="AB5" i="21"/>
  <c r="J30" i="20"/>
  <c r="K29" i="20"/>
  <c r="O29" i="20"/>
  <c r="S15" i="20"/>
  <c r="R16" i="20"/>
  <c r="T14" i="20"/>
  <c r="X14" i="20"/>
  <c r="Y14" i="20"/>
  <c r="AF15" i="20"/>
  <c r="AI14" i="20"/>
  <c r="Q87" i="21"/>
  <c r="Q90" i="21"/>
  <c r="R9" i="21"/>
  <c r="S9" i="21"/>
  <c r="T9" i="21"/>
  <c r="X9" i="21"/>
  <c r="Y9" i="21"/>
  <c r="AB95" i="21"/>
  <c r="H94" i="21"/>
  <c r="Q91" i="21"/>
  <c r="Q92" i="21"/>
  <c r="Q95" i="21"/>
  <c r="Q93" i="21"/>
  <c r="Q94" i="21"/>
  <c r="K19" i="21"/>
  <c r="O19" i="21"/>
  <c r="J20" i="21"/>
  <c r="AF12" i="21"/>
  <c r="AI11" i="21"/>
  <c r="J31" i="20"/>
  <c r="K30" i="20"/>
  <c r="O30" i="20"/>
  <c r="AI15" i="20"/>
  <c r="AF16" i="20"/>
  <c r="S16" i="20"/>
  <c r="R17" i="20"/>
  <c r="T15" i="20"/>
  <c r="X15" i="20"/>
  <c r="Y15" i="20"/>
  <c r="R10" i="21"/>
  <c r="R11" i="21"/>
  <c r="AG95" i="21"/>
  <c r="AH95" i="21"/>
  <c r="K20" i="21"/>
  <c r="O20" i="21"/>
  <c r="J21" i="21"/>
  <c r="AF13" i="21"/>
  <c r="AI12" i="21"/>
  <c r="K31" i="20"/>
  <c r="O31" i="20"/>
  <c r="J32" i="20"/>
  <c r="S17" i="20"/>
  <c r="R18" i="20"/>
  <c r="T16" i="20"/>
  <c r="X16" i="20"/>
  <c r="Y16" i="20"/>
  <c r="AI16" i="20"/>
  <c r="AF17" i="20"/>
  <c r="S10" i="21"/>
  <c r="T10" i="21"/>
  <c r="X10" i="21"/>
  <c r="Y10" i="21"/>
  <c r="S11" i="21"/>
  <c r="T11" i="21"/>
  <c r="X11" i="21"/>
  <c r="Y11" i="21"/>
  <c r="R12" i="21"/>
  <c r="AF14" i="21"/>
  <c r="AI13" i="21"/>
  <c r="K21" i="21"/>
  <c r="O21" i="21"/>
  <c r="J22" i="21"/>
  <c r="J33" i="20"/>
  <c r="K32" i="20"/>
  <c r="O32" i="20"/>
  <c r="S18" i="20"/>
  <c r="R19" i="20"/>
  <c r="AI17" i="20"/>
  <c r="AF18" i="20"/>
  <c r="T17" i="20"/>
  <c r="X17" i="20"/>
  <c r="Y17" i="20"/>
  <c r="S12" i="21"/>
  <c r="T12" i="21"/>
  <c r="X12" i="21"/>
  <c r="Y12" i="21"/>
  <c r="R13" i="21"/>
  <c r="K22" i="21"/>
  <c r="O22" i="21"/>
  <c r="J23" i="21"/>
  <c r="AF15" i="21"/>
  <c r="AI14" i="21"/>
  <c r="K33" i="20"/>
  <c r="O33" i="20"/>
  <c r="J34" i="20"/>
  <c r="AF19" i="20"/>
  <c r="AI18" i="20"/>
  <c r="T18" i="20"/>
  <c r="X18" i="20"/>
  <c r="Y18" i="20"/>
  <c r="S19" i="20"/>
  <c r="R20" i="20"/>
  <c r="S13" i="21"/>
  <c r="T13" i="21"/>
  <c r="X13" i="21"/>
  <c r="Y13" i="21"/>
  <c r="R14" i="21"/>
  <c r="AF16" i="21"/>
  <c r="AI15" i="21"/>
  <c r="K23" i="21"/>
  <c r="O23" i="21"/>
  <c r="J24" i="21"/>
  <c r="J35" i="20"/>
  <c r="K34" i="20"/>
  <c r="O34" i="20"/>
  <c r="T19" i="20"/>
  <c r="X19" i="20"/>
  <c r="Y19" i="20"/>
  <c r="S20" i="20"/>
  <c r="R21" i="20"/>
  <c r="AI19" i="20"/>
  <c r="AF20" i="20"/>
  <c r="S14" i="21"/>
  <c r="T14" i="21"/>
  <c r="X14" i="21"/>
  <c r="Y14" i="21"/>
  <c r="R15" i="21"/>
  <c r="AI16" i="21"/>
  <c r="AF17" i="21"/>
  <c r="K24" i="21"/>
  <c r="O24" i="21"/>
  <c r="J25" i="21"/>
  <c r="K35" i="20"/>
  <c r="O35" i="20"/>
  <c r="D114" i="20"/>
  <c r="J36" i="20"/>
  <c r="S21" i="20"/>
  <c r="R22" i="20"/>
  <c r="T20" i="20"/>
  <c r="X20" i="20"/>
  <c r="Y20" i="20"/>
  <c r="AI20" i="20"/>
  <c r="AF21" i="20"/>
  <c r="R16" i="21"/>
  <c r="S15" i="21"/>
  <c r="T15" i="21"/>
  <c r="X15" i="21"/>
  <c r="Y15" i="21"/>
  <c r="AI17" i="21"/>
  <c r="AF18" i="21"/>
  <c r="K25" i="21"/>
  <c r="O25" i="21"/>
  <c r="J26" i="21"/>
  <c r="K36" i="20"/>
  <c r="O36" i="20"/>
  <c r="J37" i="20"/>
  <c r="S22" i="20"/>
  <c r="R23" i="20"/>
  <c r="AI21" i="20"/>
  <c r="AF22" i="20"/>
  <c r="T21" i="20"/>
  <c r="X21" i="20"/>
  <c r="Y21" i="20"/>
  <c r="R17" i="21"/>
  <c r="S16" i="21"/>
  <c r="T16" i="21"/>
  <c r="X16" i="21"/>
  <c r="Y16" i="21"/>
  <c r="K26" i="21"/>
  <c r="O26" i="21"/>
  <c r="J27" i="21"/>
  <c r="AI18" i="21"/>
  <c r="AF19" i="21"/>
  <c r="K37" i="20"/>
  <c r="O37" i="20"/>
  <c r="J38" i="20"/>
  <c r="S23" i="20"/>
  <c r="R24" i="20"/>
  <c r="AI22" i="20"/>
  <c r="AF23" i="20"/>
  <c r="T22" i="20"/>
  <c r="X22" i="20"/>
  <c r="Y22" i="20"/>
  <c r="S17" i="21"/>
  <c r="T17" i="21"/>
  <c r="X17" i="21"/>
  <c r="Y17" i="21"/>
  <c r="R18" i="21"/>
  <c r="AF20" i="21"/>
  <c r="AI19" i="21"/>
  <c r="K27" i="21"/>
  <c r="O27" i="21"/>
  <c r="J28" i="21"/>
  <c r="J39" i="20"/>
  <c r="K38" i="20"/>
  <c r="O38" i="20"/>
  <c r="AI23" i="20"/>
  <c r="AF24" i="20"/>
  <c r="S24" i="20"/>
  <c r="R25" i="20"/>
  <c r="T23" i="20"/>
  <c r="X23" i="20"/>
  <c r="Y23" i="20"/>
  <c r="S18" i="21"/>
  <c r="T18" i="21"/>
  <c r="X18" i="21"/>
  <c r="Y18" i="21"/>
  <c r="R19" i="21"/>
  <c r="AF21" i="21"/>
  <c r="AI20" i="21"/>
  <c r="K28" i="21"/>
  <c r="O28" i="21"/>
  <c r="J29" i="21"/>
  <c r="J40" i="20"/>
  <c r="K39" i="20"/>
  <c r="O39" i="20"/>
  <c r="S25" i="20"/>
  <c r="R26" i="20"/>
  <c r="T24" i="20"/>
  <c r="X24" i="20"/>
  <c r="Y24" i="20"/>
  <c r="AF25" i="20"/>
  <c r="AI24" i="20"/>
  <c r="S19" i="21"/>
  <c r="T19" i="21"/>
  <c r="X19" i="21"/>
  <c r="Y19" i="21"/>
  <c r="R20" i="21"/>
  <c r="K29" i="21"/>
  <c r="O29" i="21"/>
  <c r="J30" i="21"/>
  <c r="AF22" i="21"/>
  <c r="AI21" i="21"/>
  <c r="K40" i="20"/>
  <c r="O40" i="20"/>
  <c r="J41" i="20"/>
  <c r="T25" i="20"/>
  <c r="X25" i="20"/>
  <c r="Y25" i="20"/>
  <c r="S26" i="20"/>
  <c r="R27" i="20"/>
  <c r="AI25" i="20"/>
  <c r="AF26" i="20"/>
  <c r="S20" i="21"/>
  <c r="T20" i="21"/>
  <c r="X20" i="21"/>
  <c r="Y20" i="21"/>
  <c r="R21" i="21"/>
  <c r="AF23" i="21"/>
  <c r="AI22" i="21"/>
  <c r="K30" i="21"/>
  <c r="O30" i="21"/>
  <c r="J31" i="21"/>
  <c r="K41" i="20"/>
  <c r="O41" i="20"/>
  <c r="J42" i="20"/>
  <c r="S27" i="20"/>
  <c r="R28" i="20"/>
  <c r="T26" i="20"/>
  <c r="X26" i="20"/>
  <c r="Y26" i="20"/>
  <c r="AI26" i="20"/>
  <c r="AF27" i="20"/>
  <c r="S21" i="21"/>
  <c r="T21" i="21"/>
  <c r="X21" i="21"/>
  <c r="Y21" i="21"/>
  <c r="R22" i="21"/>
  <c r="K31" i="21"/>
  <c r="O31" i="21"/>
  <c r="J32" i="21"/>
  <c r="AF24" i="21"/>
  <c r="AI23" i="21"/>
  <c r="J43" i="20"/>
  <c r="K42" i="20"/>
  <c r="O42" i="20"/>
  <c r="S28" i="20"/>
  <c r="R29" i="20"/>
  <c r="T27" i="20"/>
  <c r="X27" i="20"/>
  <c r="Y27" i="20"/>
  <c r="AI27" i="20"/>
  <c r="AF28" i="20"/>
  <c r="S22" i="21"/>
  <c r="T22" i="21"/>
  <c r="X22" i="21"/>
  <c r="Y22" i="21"/>
  <c r="R23" i="21"/>
  <c r="AI24" i="21"/>
  <c r="AF25" i="21"/>
  <c r="K32" i="21"/>
  <c r="O32" i="21"/>
  <c r="J33" i="21"/>
  <c r="K43" i="20"/>
  <c r="O43" i="20"/>
  <c r="J44" i="20"/>
  <c r="S29" i="20"/>
  <c r="R30" i="20"/>
  <c r="AI28" i="20"/>
  <c r="AF29" i="20"/>
  <c r="T28" i="20"/>
  <c r="X28" i="20"/>
  <c r="Y28" i="20"/>
  <c r="R24" i="21"/>
  <c r="S23" i="21"/>
  <c r="T23" i="21"/>
  <c r="X23" i="21"/>
  <c r="Y23" i="21"/>
  <c r="K33" i="21"/>
  <c r="O33" i="21"/>
  <c r="J34" i="21"/>
  <c r="AF26" i="21"/>
  <c r="AI25" i="21"/>
  <c r="J45" i="20"/>
  <c r="K44" i="20"/>
  <c r="O44" i="20"/>
  <c r="S30" i="20"/>
  <c r="R31" i="20"/>
  <c r="AI29" i="20"/>
  <c r="AF30" i="20"/>
  <c r="T29" i="20"/>
  <c r="X29" i="20"/>
  <c r="Y29" i="20"/>
  <c r="R25" i="21"/>
  <c r="S24" i="21"/>
  <c r="T24" i="21"/>
  <c r="X24" i="21"/>
  <c r="Y24" i="21"/>
  <c r="AF27" i="21"/>
  <c r="AI26" i="21"/>
  <c r="K34" i="21"/>
  <c r="O34" i="21"/>
  <c r="J35" i="21"/>
  <c r="J46" i="20"/>
  <c r="K45" i="20"/>
  <c r="O45" i="20"/>
  <c r="AI30" i="20"/>
  <c r="AF31" i="20"/>
  <c r="S31" i="20"/>
  <c r="R32" i="20"/>
  <c r="T30" i="20"/>
  <c r="X30" i="20"/>
  <c r="Y30" i="20"/>
  <c r="R26" i="21"/>
  <c r="S25" i="21"/>
  <c r="T25" i="21"/>
  <c r="X25" i="21"/>
  <c r="Y25" i="21"/>
  <c r="K35" i="21"/>
  <c r="O35" i="21"/>
  <c r="D114" i="21"/>
  <c r="J36" i="21"/>
  <c r="AI27" i="21"/>
  <c r="AF28" i="21"/>
  <c r="K46" i="20"/>
  <c r="O46" i="20"/>
  <c r="J47" i="20"/>
  <c r="AI31" i="20"/>
  <c r="AF32" i="20"/>
  <c r="S32" i="20"/>
  <c r="R33" i="20"/>
  <c r="T31" i="20"/>
  <c r="X31" i="20"/>
  <c r="Y31" i="20"/>
  <c r="R27" i="21"/>
  <c r="S26" i="21"/>
  <c r="T26" i="21"/>
  <c r="X26" i="21"/>
  <c r="Y26" i="21"/>
  <c r="K36" i="21"/>
  <c r="O36" i="21"/>
  <c r="J37" i="21"/>
  <c r="AI28" i="21"/>
  <c r="AF29" i="21"/>
  <c r="K47" i="20"/>
  <c r="O47" i="20"/>
  <c r="J48" i="20"/>
  <c r="T32" i="20"/>
  <c r="X32" i="20"/>
  <c r="Y32" i="20"/>
  <c r="AF33" i="20"/>
  <c r="AI32" i="20"/>
  <c r="S33" i="20"/>
  <c r="R34" i="20"/>
  <c r="R28" i="21"/>
  <c r="S27" i="21"/>
  <c r="T27" i="21"/>
  <c r="X27" i="21"/>
  <c r="Y27" i="21"/>
  <c r="K37" i="21"/>
  <c r="O37" i="21"/>
  <c r="J38" i="21"/>
  <c r="AI29" i="21"/>
  <c r="AF30" i="21"/>
  <c r="K48" i="20"/>
  <c r="O48" i="20"/>
  <c r="J49" i="20"/>
  <c r="T33" i="20"/>
  <c r="X33" i="20"/>
  <c r="Y33" i="20"/>
  <c r="AI33" i="20"/>
  <c r="AF34" i="20"/>
  <c r="S34" i="20"/>
  <c r="R35" i="20"/>
  <c r="R29" i="21"/>
  <c r="S28" i="21"/>
  <c r="T28" i="21"/>
  <c r="X28" i="21"/>
  <c r="Y28" i="21"/>
  <c r="K38" i="21"/>
  <c r="O38" i="21"/>
  <c r="J39" i="21"/>
  <c r="AI30" i="21"/>
  <c r="AF31" i="21"/>
  <c r="K49" i="20"/>
  <c r="O49" i="20"/>
  <c r="J50" i="20"/>
  <c r="AF35" i="20"/>
  <c r="AI34" i="20"/>
  <c r="T34" i="20"/>
  <c r="X34" i="20"/>
  <c r="Y34" i="20"/>
  <c r="S35" i="20"/>
  <c r="R36" i="20"/>
  <c r="R30" i="21"/>
  <c r="S29" i="21"/>
  <c r="T29" i="21"/>
  <c r="X29" i="21"/>
  <c r="Y29" i="21"/>
  <c r="K39" i="21"/>
  <c r="O39" i="21"/>
  <c r="J40" i="21"/>
  <c r="AF32" i="21"/>
  <c r="AI31" i="21"/>
  <c r="K50" i="20"/>
  <c r="O50" i="20"/>
  <c r="J51" i="20"/>
  <c r="T35" i="20"/>
  <c r="X35" i="20"/>
  <c r="S36" i="20"/>
  <c r="R37" i="20"/>
  <c r="AF36" i="20"/>
  <c r="AI35" i="20"/>
  <c r="C118" i="20"/>
  <c r="E118" i="20"/>
  <c r="D127" i="20"/>
  <c r="S30" i="21"/>
  <c r="T30" i="21"/>
  <c r="X30" i="21"/>
  <c r="Y30" i="21"/>
  <c r="R31" i="21"/>
  <c r="AF33" i="21"/>
  <c r="AI32" i="21"/>
  <c r="K40" i="21"/>
  <c r="O40" i="21"/>
  <c r="J41" i="21"/>
  <c r="K51" i="20"/>
  <c r="O51" i="20"/>
  <c r="J52" i="20"/>
  <c r="C114" i="20"/>
  <c r="Y35" i="20"/>
  <c r="E114" i="20"/>
  <c r="AF37" i="20"/>
  <c r="AI36" i="20"/>
  <c r="S37" i="20"/>
  <c r="R38" i="20"/>
  <c r="T36" i="20"/>
  <c r="X36" i="20"/>
  <c r="Y36" i="20"/>
  <c r="S31" i="21"/>
  <c r="T31" i="21"/>
  <c r="X31" i="21"/>
  <c r="Y31" i="21"/>
  <c r="R32" i="21"/>
  <c r="K41" i="21"/>
  <c r="O41" i="21"/>
  <c r="J42" i="21"/>
  <c r="AF34" i="21"/>
  <c r="AI33" i="21"/>
  <c r="J53" i="20"/>
  <c r="K52" i="20"/>
  <c r="O52" i="20"/>
  <c r="S38" i="20"/>
  <c r="R39" i="20"/>
  <c r="T37" i="20"/>
  <c r="X37" i="20"/>
  <c r="Y37" i="20"/>
  <c r="AF38" i="20"/>
  <c r="AI37" i="20"/>
  <c r="R33" i="21"/>
  <c r="S32" i="21"/>
  <c r="T32" i="21"/>
  <c r="X32" i="21"/>
  <c r="Y32" i="21"/>
  <c r="AF35" i="21"/>
  <c r="AI34" i="21"/>
  <c r="K42" i="21"/>
  <c r="O42" i="21"/>
  <c r="J43" i="21"/>
  <c r="K53" i="20"/>
  <c r="O53" i="20"/>
  <c r="J54" i="20"/>
  <c r="AF39" i="20"/>
  <c r="AI38" i="20"/>
  <c r="S39" i="20"/>
  <c r="R40" i="20"/>
  <c r="T38" i="20"/>
  <c r="X38" i="20"/>
  <c r="Y38" i="20"/>
  <c r="S33" i="21"/>
  <c r="T33" i="21"/>
  <c r="X33" i="21"/>
  <c r="Y33" i="21"/>
  <c r="R34" i="21"/>
  <c r="K43" i="21"/>
  <c r="O43" i="21"/>
  <c r="J44" i="21"/>
  <c r="AI35" i="21"/>
  <c r="C118" i="21"/>
  <c r="E118" i="21"/>
  <c r="D127" i="21"/>
  <c r="AF36" i="21"/>
  <c r="K54" i="20"/>
  <c r="O54" i="20"/>
  <c r="J55" i="20"/>
  <c r="T39" i="20"/>
  <c r="X39" i="20"/>
  <c r="Y39" i="20"/>
  <c r="S40" i="20"/>
  <c r="R41" i="20"/>
  <c r="AI39" i="20"/>
  <c r="AF40" i="20"/>
  <c r="S34" i="21"/>
  <c r="T34" i="21"/>
  <c r="X34" i="21"/>
  <c r="Y34" i="21"/>
  <c r="R35" i="21"/>
  <c r="AF37" i="21"/>
  <c r="AI36" i="21"/>
  <c r="K44" i="21"/>
  <c r="O44" i="21"/>
  <c r="J45" i="21"/>
  <c r="J46" i="21"/>
  <c r="K55" i="20"/>
  <c r="O55" i="20"/>
  <c r="J56" i="20"/>
  <c r="T40" i="20"/>
  <c r="X40" i="20"/>
  <c r="Y40" i="20"/>
  <c r="S41" i="20"/>
  <c r="R42" i="20"/>
  <c r="AI40" i="20"/>
  <c r="AF41" i="20"/>
  <c r="S35" i="21"/>
  <c r="T35" i="21"/>
  <c r="X35" i="21"/>
  <c r="R36" i="21"/>
  <c r="J47" i="21"/>
  <c r="K46" i="21"/>
  <c r="O46" i="21"/>
  <c r="K45" i="21"/>
  <c r="O45" i="21"/>
  <c r="AI37" i="21"/>
  <c r="AF38" i="21"/>
  <c r="J57" i="20"/>
  <c r="K56" i="20"/>
  <c r="O56" i="20"/>
  <c r="S42" i="20"/>
  <c r="R43" i="20"/>
  <c r="T41" i="20"/>
  <c r="X41" i="20"/>
  <c r="Y41" i="20"/>
  <c r="AI41" i="20"/>
  <c r="AF42" i="20"/>
  <c r="S36" i="21"/>
  <c r="T36" i="21"/>
  <c r="X36" i="21"/>
  <c r="Y36" i="21"/>
  <c r="R37" i="21"/>
  <c r="Y35" i="21"/>
  <c r="E114" i="21"/>
  <c r="C114" i="21"/>
  <c r="J48" i="21"/>
  <c r="K47" i="21"/>
  <c r="O47" i="21"/>
  <c r="AI38" i="21"/>
  <c r="AF39" i="21"/>
  <c r="J58" i="20"/>
  <c r="K57" i="20"/>
  <c r="O57" i="20"/>
  <c r="S43" i="20"/>
  <c r="R44" i="20"/>
  <c r="AF43" i="20"/>
  <c r="AI42" i="20"/>
  <c r="T42" i="20"/>
  <c r="X42" i="20"/>
  <c r="Y42" i="20"/>
  <c r="S37" i="21"/>
  <c r="T37" i="21"/>
  <c r="X37" i="21"/>
  <c r="Y37" i="21"/>
  <c r="R38" i="21"/>
  <c r="J49" i="21"/>
  <c r="K48" i="21"/>
  <c r="O48" i="21"/>
  <c r="AF40" i="21"/>
  <c r="AI39" i="21"/>
  <c r="K58" i="20"/>
  <c r="O58" i="20"/>
  <c r="J59" i="20"/>
  <c r="AF44" i="20"/>
  <c r="AI43" i="20"/>
  <c r="S44" i="20"/>
  <c r="R45" i="20"/>
  <c r="T43" i="20"/>
  <c r="X43" i="20"/>
  <c r="Y43" i="20"/>
  <c r="R39" i="21"/>
  <c r="S38" i="21"/>
  <c r="T38" i="21"/>
  <c r="X38" i="21"/>
  <c r="Y38" i="21"/>
  <c r="J50" i="21"/>
  <c r="K49" i="21"/>
  <c r="O49" i="21"/>
  <c r="AI40" i="21"/>
  <c r="AF41" i="21"/>
  <c r="J60" i="20"/>
  <c r="K59" i="20"/>
  <c r="O59" i="20"/>
  <c r="S45" i="20"/>
  <c r="R46" i="20"/>
  <c r="T44" i="20"/>
  <c r="X44" i="20"/>
  <c r="Y44" i="20"/>
  <c r="AF45" i="20"/>
  <c r="AI44" i="20"/>
  <c r="R40" i="21"/>
  <c r="S39" i="21"/>
  <c r="T39" i="21"/>
  <c r="X39" i="21"/>
  <c r="Y39" i="21"/>
  <c r="J51" i="21"/>
  <c r="K50" i="21"/>
  <c r="O50" i="21"/>
  <c r="AI41" i="21"/>
  <c r="AF42" i="21"/>
  <c r="J61" i="20"/>
  <c r="K60" i="20"/>
  <c r="O60" i="20"/>
  <c r="S46" i="20"/>
  <c r="R47" i="20"/>
  <c r="AF46" i="20"/>
  <c r="AI45" i="20"/>
  <c r="T45" i="20"/>
  <c r="X45" i="20"/>
  <c r="Y45" i="20"/>
  <c r="S40" i="21"/>
  <c r="T40" i="21"/>
  <c r="X40" i="21"/>
  <c r="Y40" i="21"/>
  <c r="R41" i="21"/>
  <c r="J52" i="21"/>
  <c r="K51" i="21"/>
  <c r="O51" i="21"/>
  <c r="AI42" i="21"/>
  <c r="AF43" i="21"/>
  <c r="K61" i="20"/>
  <c r="J62" i="20"/>
  <c r="O61" i="20"/>
  <c r="AI46" i="20"/>
  <c r="AF47" i="20"/>
  <c r="S47" i="20"/>
  <c r="R48" i="20"/>
  <c r="T46" i="20"/>
  <c r="X46" i="20"/>
  <c r="Y46" i="20"/>
  <c r="R42" i="21"/>
  <c r="S41" i="21"/>
  <c r="T41" i="21"/>
  <c r="X41" i="21"/>
  <c r="Y41" i="21"/>
  <c r="J53" i="21"/>
  <c r="K52" i="21"/>
  <c r="O52" i="21"/>
  <c r="AF44" i="21"/>
  <c r="AI43" i="21"/>
  <c r="J63" i="20"/>
  <c r="K62" i="20"/>
  <c r="O62" i="20"/>
  <c r="S48" i="20"/>
  <c r="R49" i="20"/>
  <c r="T47" i="20"/>
  <c r="X47" i="20"/>
  <c r="Y47" i="20"/>
  <c r="AI47" i="20"/>
  <c r="AF48" i="20"/>
  <c r="S42" i="21"/>
  <c r="T42" i="21"/>
  <c r="X42" i="21"/>
  <c r="Y42" i="21"/>
  <c r="R43" i="21"/>
  <c r="J54" i="21"/>
  <c r="K53" i="21"/>
  <c r="O53" i="21"/>
  <c r="AI44" i="21"/>
  <c r="AF45" i="21"/>
  <c r="J64" i="20"/>
  <c r="K63" i="20"/>
  <c r="O63" i="20"/>
  <c r="S49" i="20"/>
  <c r="R50" i="20"/>
  <c r="T48" i="20"/>
  <c r="X48" i="20"/>
  <c r="Y48" i="20"/>
  <c r="AF49" i="20"/>
  <c r="AI48" i="20"/>
  <c r="S43" i="21"/>
  <c r="T43" i="21"/>
  <c r="X43" i="21"/>
  <c r="Y43" i="21"/>
  <c r="R44" i="21"/>
  <c r="J55" i="21"/>
  <c r="K54" i="21"/>
  <c r="O54" i="21"/>
  <c r="AI45" i="21"/>
  <c r="AF46" i="21"/>
  <c r="J65" i="20"/>
  <c r="K64" i="20"/>
  <c r="O64" i="20"/>
  <c r="AF50" i="20"/>
  <c r="AI49" i="20"/>
  <c r="S50" i="20"/>
  <c r="R51" i="20"/>
  <c r="T49" i="20"/>
  <c r="X49" i="20"/>
  <c r="Y49" i="20"/>
  <c r="S44" i="21"/>
  <c r="T44" i="21"/>
  <c r="X44" i="21"/>
  <c r="Y44" i="21"/>
  <c r="R45" i="21"/>
  <c r="K55" i="21"/>
  <c r="O55" i="21"/>
  <c r="J56" i="21"/>
  <c r="AF47" i="21"/>
  <c r="AI46" i="21"/>
  <c r="K65" i="20"/>
  <c r="O65" i="20"/>
  <c r="J66" i="20"/>
  <c r="S51" i="20"/>
  <c r="R52" i="20"/>
  <c r="T50" i="20"/>
  <c r="X50" i="20"/>
  <c r="Y50" i="20"/>
  <c r="AF51" i="20"/>
  <c r="AI50" i="20"/>
  <c r="S45" i="21"/>
  <c r="T45" i="21"/>
  <c r="X45" i="21"/>
  <c r="Y45" i="21"/>
  <c r="R46" i="21"/>
  <c r="J57" i="21"/>
  <c r="K56" i="21"/>
  <c r="O56" i="21"/>
  <c r="AI47" i="21"/>
  <c r="AF48" i="21"/>
  <c r="J67" i="20"/>
  <c r="K66" i="20"/>
  <c r="O66" i="20"/>
  <c r="S52" i="20"/>
  <c r="R53" i="20"/>
  <c r="AF52" i="20"/>
  <c r="AI51" i="20"/>
  <c r="T51" i="20"/>
  <c r="X51" i="20"/>
  <c r="Y51" i="20"/>
  <c r="S46" i="21"/>
  <c r="T46" i="21"/>
  <c r="X46" i="21"/>
  <c r="Y46" i="21"/>
  <c r="R47" i="21"/>
  <c r="J58" i="21"/>
  <c r="K57" i="21"/>
  <c r="O57" i="21"/>
  <c r="AF49" i="21"/>
  <c r="AI48" i="21"/>
  <c r="J68" i="20"/>
  <c r="K67" i="20"/>
  <c r="O67" i="20"/>
  <c r="AF53" i="20"/>
  <c r="AI52" i="20"/>
  <c r="T52" i="20"/>
  <c r="X52" i="20"/>
  <c r="Y52" i="20"/>
  <c r="S53" i="20"/>
  <c r="R54" i="20"/>
  <c r="R48" i="21"/>
  <c r="S47" i="21"/>
  <c r="T47" i="21"/>
  <c r="X47" i="21"/>
  <c r="Y47" i="21"/>
  <c r="J59" i="21"/>
  <c r="K58" i="21"/>
  <c r="O58" i="21"/>
  <c r="AF50" i="21"/>
  <c r="AI49" i="21"/>
  <c r="J69" i="20"/>
  <c r="K68" i="20"/>
  <c r="O68" i="20"/>
  <c r="T53" i="20"/>
  <c r="X53" i="20"/>
  <c r="Y53" i="20"/>
  <c r="S54" i="20"/>
  <c r="R55" i="20"/>
  <c r="AI53" i="20"/>
  <c r="AF54" i="20"/>
  <c r="R49" i="21"/>
  <c r="S48" i="21"/>
  <c r="T48" i="21"/>
  <c r="X48" i="21"/>
  <c r="Y48" i="21"/>
  <c r="J60" i="21"/>
  <c r="K59" i="21"/>
  <c r="O59" i="21"/>
  <c r="AI50" i="21"/>
  <c r="AF51" i="21"/>
  <c r="J70" i="20"/>
  <c r="K69" i="20"/>
  <c r="O69" i="20"/>
  <c r="S55" i="20"/>
  <c r="R56" i="20"/>
  <c r="T54" i="20"/>
  <c r="X54" i="20"/>
  <c r="Y54" i="20"/>
  <c r="AI54" i="20"/>
  <c r="AF55" i="20"/>
  <c r="S49" i="21"/>
  <c r="T49" i="21"/>
  <c r="X49" i="21"/>
  <c r="Y49" i="21"/>
  <c r="R50" i="21"/>
  <c r="J61" i="21"/>
  <c r="K60" i="21"/>
  <c r="O60" i="21"/>
  <c r="AI51" i="21"/>
  <c r="AF52" i="21"/>
  <c r="J71" i="20"/>
  <c r="K70" i="20"/>
  <c r="O70" i="20"/>
  <c r="S56" i="20"/>
  <c r="R57" i="20"/>
  <c r="AI55" i="20"/>
  <c r="AF56" i="20"/>
  <c r="T55" i="20"/>
  <c r="X55" i="20"/>
  <c r="Y55" i="20"/>
  <c r="R51" i="21"/>
  <c r="S50" i="21"/>
  <c r="T50" i="21"/>
  <c r="X50" i="21"/>
  <c r="Y50" i="21"/>
  <c r="J62" i="21"/>
  <c r="K61" i="21"/>
  <c r="O61" i="21"/>
  <c r="AF53" i="21"/>
  <c r="AI52" i="21"/>
  <c r="J72" i="20"/>
  <c r="K71" i="20"/>
  <c r="O71" i="20"/>
  <c r="S57" i="20"/>
  <c r="R58" i="20"/>
  <c r="AF57" i="20"/>
  <c r="AI56" i="20"/>
  <c r="T56" i="20"/>
  <c r="X56" i="20"/>
  <c r="Y56" i="20"/>
  <c r="S51" i="21"/>
  <c r="T51" i="21"/>
  <c r="X51" i="21"/>
  <c r="Y51" i="21"/>
  <c r="R52" i="21"/>
  <c r="J63" i="21"/>
  <c r="K62" i="21"/>
  <c r="O62" i="21"/>
  <c r="AF54" i="21"/>
  <c r="AI53" i="21"/>
  <c r="J73" i="20"/>
  <c r="K72" i="20"/>
  <c r="O72" i="20"/>
  <c r="S58" i="20"/>
  <c r="R59" i="20"/>
  <c r="J76" i="20"/>
  <c r="AI57" i="20"/>
  <c r="AF58" i="20"/>
  <c r="T57" i="20"/>
  <c r="X57" i="20"/>
  <c r="Y57" i="20"/>
  <c r="R53" i="21"/>
  <c r="S52" i="21"/>
  <c r="T52" i="21"/>
  <c r="X52" i="21"/>
  <c r="Y52" i="21"/>
  <c r="J64" i="21"/>
  <c r="K63" i="21"/>
  <c r="O63" i="21"/>
  <c r="AF55" i="21"/>
  <c r="AI54" i="21"/>
  <c r="J74" i="20"/>
  <c r="K73" i="20"/>
  <c r="O73" i="20"/>
  <c r="K76" i="20"/>
  <c r="O76" i="20"/>
  <c r="J77" i="20"/>
  <c r="AI58" i="20"/>
  <c r="AF59" i="20"/>
  <c r="S59" i="20"/>
  <c r="R60" i="20"/>
  <c r="T58" i="20"/>
  <c r="X58" i="20"/>
  <c r="Y58" i="20"/>
  <c r="R54" i="21"/>
  <c r="S53" i="21"/>
  <c r="T53" i="21"/>
  <c r="X53" i="21"/>
  <c r="Y53" i="21"/>
  <c r="AI55" i="21"/>
  <c r="AF56" i="21"/>
  <c r="J65" i="21"/>
  <c r="K64" i="21"/>
  <c r="O64" i="21"/>
  <c r="K74" i="20"/>
  <c r="O74" i="20"/>
  <c r="J75" i="20"/>
  <c r="S60" i="20"/>
  <c r="R61" i="20"/>
  <c r="T59" i="20"/>
  <c r="X59" i="20"/>
  <c r="Y59" i="20"/>
  <c r="AI59" i="20"/>
  <c r="AF60" i="20"/>
  <c r="K77" i="20"/>
  <c r="O77" i="20"/>
  <c r="J78" i="20"/>
  <c r="S54" i="21"/>
  <c r="T54" i="21"/>
  <c r="X54" i="21"/>
  <c r="Y54" i="21"/>
  <c r="R55" i="21"/>
  <c r="J66" i="21"/>
  <c r="K65" i="21"/>
  <c r="O65" i="21"/>
  <c r="AF57" i="21"/>
  <c r="AI56" i="21"/>
  <c r="K75" i="20"/>
  <c r="O75" i="20"/>
  <c r="S61" i="20"/>
  <c r="R62" i="20"/>
  <c r="AF61" i="20"/>
  <c r="AI60" i="20"/>
  <c r="K78" i="20"/>
  <c r="O78" i="20"/>
  <c r="J79" i="20"/>
  <c r="T60" i="20"/>
  <c r="X60" i="20"/>
  <c r="Y60" i="20"/>
  <c r="S55" i="21"/>
  <c r="T55" i="21"/>
  <c r="X55" i="21"/>
  <c r="Y55" i="21"/>
  <c r="R56" i="21"/>
  <c r="AI57" i="21"/>
  <c r="AF58" i="21"/>
  <c r="J67" i="21"/>
  <c r="K66" i="21"/>
  <c r="O66" i="21"/>
  <c r="AI61" i="20"/>
  <c r="AF62" i="20"/>
  <c r="K79" i="20"/>
  <c r="O79" i="20"/>
  <c r="J80" i="20"/>
  <c r="S62" i="20"/>
  <c r="R63" i="20"/>
  <c r="T61" i="20"/>
  <c r="X61" i="20"/>
  <c r="Y61" i="20"/>
  <c r="R57" i="21"/>
  <c r="S56" i="21"/>
  <c r="T56" i="21"/>
  <c r="X56" i="21"/>
  <c r="Y56" i="21"/>
  <c r="J68" i="21"/>
  <c r="K67" i="21"/>
  <c r="O67" i="21"/>
  <c r="AI58" i="21"/>
  <c r="AF59" i="21"/>
  <c r="S63" i="20"/>
  <c r="R64" i="20"/>
  <c r="AF63" i="20"/>
  <c r="AI62" i="20"/>
  <c r="T62" i="20"/>
  <c r="X62" i="20"/>
  <c r="Y62" i="20"/>
  <c r="K80" i="20"/>
  <c r="O80" i="20"/>
  <c r="J81" i="20"/>
  <c r="R58" i="21"/>
  <c r="S57" i="21"/>
  <c r="T57" i="21"/>
  <c r="X57" i="21"/>
  <c r="Y57" i="21"/>
  <c r="AF60" i="21"/>
  <c r="AI59" i="21"/>
  <c r="J69" i="21"/>
  <c r="K68" i="21"/>
  <c r="O68" i="21"/>
  <c r="AI63" i="20"/>
  <c r="AF64" i="20"/>
  <c r="S64" i="20"/>
  <c r="R65" i="20"/>
  <c r="K81" i="20"/>
  <c r="O81" i="20"/>
  <c r="J82" i="20"/>
  <c r="T63" i="20"/>
  <c r="X63" i="20"/>
  <c r="Y63" i="20"/>
  <c r="R59" i="21"/>
  <c r="S58" i="21"/>
  <c r="T58" i="21"/>
  <c r="X58" i="21"/>
  <c r="Y58" i="21"/>
  <c r="J70" i="21"/>
  <c r="K69" i="21"/>
  <c r="O69" i="21"/>
  <c r="AF61" i="21"/>
  <c r="AI60" i="21"/>
  <c r="K82" i="20"/>
  <c r="O82" i="20"/>
  <c r="J83" i="20"/>
  <c r="S65" i="20"/>
  <c r="R66" i="20"/>
  <c r="T64" i="20"/>
  <c r="X64" i="20"/>
  <c r="Y64" i="20"/>
  <c r="AF65" i="20"/>
  <c r="AI64" i="20"/>
  <c r="S59" i="21"/>
  <c r="T59" i="21"/>
  <c r="X59" i="21"/>
  <c r="Y59" i="21"/>
  <c r="R60" i="21"/>
  <c r="AI61" i="21"/>
  <c r="AF62" i="21"/>
  <c r="J71" i="21"/>
  <c r="K70" i="21"/>
  <c r="O70" i="21"/>
  <c r="K83" i="20"/>
  <c r="O83" i="20"/>
  <c r="J84" i="20"/>
  <c r="S66" i="20"/>
  <c r="R67" i="20"/>
  <c r="AF66" i="20"/>
  <c r="AI65" i="20"/>
  <c r="T65" i="20"/>
  <c r="X65" i="20"/>
  <c r="Y65" i="20"/>
  <c r="R61" i="21"/>
  <c r="S60" i="21"/>
  <c r="T60" i="21"/>
  <c r="X60" i="21"/>
  <c r="Y60" i="21"/>
  <c r="J72" i="21"/>
  <c r="K71" i="21"/>
  <c r="O71" i="21"/>
  <c r="AF63" i="21"/>
  <c r="AI62" i="21"/>
  <c r="T66" i="20"/>
  <c r="X66" i="20"/>
  <c r="Y66" i="20"/>
  <c r="AI66" i="20"/>
  <c r="AF67" i="20"/>
  <c r="K84" i="20"/>
  <c r="O84" i="20"/>
  <c r="J85" i="20"/>
  <c r="S67" i="20"/>
  <c r="R68" i="20"/>
  <c r="R62" i="21"/>
  <c r="S61" i="21"/>
  <c r="T61" i="21"/>
  <c r="X61" i="21"/>
  <c r="Y61" i="21"/>
  <c r="AF64" i="21"/>
  <c r="AI63" i="21"/>
  <c r="J73" i="21"/>
  <c r="K72" i="21"/>
  <c r="O72" i="21"/>
  <c r="K85" i="20"/>
  <c r="O85" i="20"/>
  <c r="J86" i="20"/>
  <c r="AI67" i="20"/>
  <c r="AF68" i="20"/>
  <c r="T67" i="20"/>
  <c r="X67" i="20"/>
  <c r="Y67" i="20"/>
  <c r="S68" i="20"/>
  <c r="R69" i="20"/>
  <c r="S62" i="21"/>
  <c r="T62" i="21"/>
  <c r="X62" i="21"/>
  <c r="Y62" i="21"/>
  <c r="R63" i="21"/>
  <c r="J74" i="21"/>
  <c r="K73" i="21"/>
  <c r="O73" i="21"/>
  <c r="AI64" i="21"/>
  <c r="AF65" i="21"/>
  <c r="AF69" i="20"/>
  <c r="AI68" i="20"/>
  <c r="T68" i="20"/>
  <c r="X68" i="20"/>
  <c r="Y68" i="20"/>
  <c r="K86" i="20"/>
  <c r="O86" i="20"/>
  <c r="J87" i="20"/>
  <c r="S69" i="20"/>
  <c r="R70" i="20"/>
  <c r="S63" i="21"/>
  <c r="T63" i="21"/>
  <c r="X63" i="21"/>
  <c r="Y63" i="21"/>
  <c r="R64" i="21"/>
  <c r="AI65" i="21"/>
  <c r="AF66" i="21"/>
  <c r="J75" i="21"/>
  <c r="K74" i="21"/>
  <c r="O74" i="21"/>
  <c r="K87" i="20"/>
  <c r="O87" i="20"/>
  <c r="J88" i="20"/>
  <c r="T69" i="20"/>
  <c r="X69" i="20"/>
  <c r="Y69" i="20"/>
  <c r="S70" i="20"/>
  <c r="R71" i="20"/>
  <c r="AF70" i="20"/>
  <c r="AI69" i="20"/>
  <c r="S64" i="21"/>
  <c r="T64" i="21"/>
  <c r="X64" i="21"/>
  <c r="Y64" i="21"/>
  <c r="R65" i="21"/>
  <c r="J76" i="21"/>
  <c r="K75" i="21"/>
  <c r="O75" i="21"/>
  <c r="AI66" i="21"/>
  <c r="AF67" i="21"/>
  <c r="T70" i="20"/>
  <c r="X70" i="20"/>
  <c r="Y70" i="20"/>
  <c r="S71" i="20"/>
  <c r="R72" i="20"/>
  <c r="K88" i="20"/>
  <c r="O88" i="20"/>
  <c r="J89" i="20"/>
  <c r="AI70" i="20"/>
  <c r="AF71" i="20"/>
  <c r="R66" i="21"/>
  <c r="S65" i="21"/>
  <c r="T65" i="21"/>
  <c r="X65" i="21"/>
  <c r="Y65" i="21"/>
  <c r="AF68" i="21"/>
  <c r="AI67" i="21"/>
  <c r="J77" i="21"/>
  <c r="K76" i="21"/>
  <c r="O76" i="21"/>
  <c r="K89" i="20"/>
  <c r="O89" i="20"/>
  <c r="J90" i="20"/>
  <c r="S72" i="20"/>
  <c r="R73" i="20"/>
  <c r="T71" i="20"/>
  <c r="X71" i="20"/>
  <c r="Y71" i="20"/>
  <c r="AI71" i="20"/>
  <c r="AF72" i="20"/>
  <c r="S66" i="21"/>
  <c r="T66" i="21"/>
  <c r="X66" i="21"/>
  <c r="Y66" i="21"/>
  <c r="R67" i="21"/>
  <c r="J78" i="21"/>
  <c r="K77" i="21"/>
  <c r="O77" i="21"/>
  <c r="AI68" i="21"/>
  <c r="AF69" i="21"/>
  <c r="S73" i="20"/>
  <c r="R74" i="20"/>
  <c r="T72" i="20"/>
  <c r="X72" i="20"/>
  <c r="Y72" i="20"/>
  <c r="K90" i="20"/>
  <c r="O90" i="20"/>
  <c r="J91" i="20"/>
  <c r="AF73" i="20"/>
  <c r="AI72" i="20"/>
  <c r="R68" i="21"/>
  <c r="S67" i="21"/>
  <c r="T67" i="21"/>
  <c r="X67" i="21"/>
  <c r="Y67" i="21"/>
  <c r="AI69" i="21"/>
  <c r="AF70" i="21"/>
  <c r="J79" i="21"/>
  <c r="K78" i="21"/>
  <c r="O78" i="21"/>
  <c r="J24" i="24"/>
  <c r="I24" i="24"/>
  <c r="H24" i="24"/>
  <c r="AI73" i="20"/>
  <c r="AF74" i="20"/>
  <c r="K91" i="20"/>
  <c r="O91" i="20"/>
  <c r="J92" i="20"/>
  <c r="S74" i="20"/>
  <c r="R75" i="20"/>
  <c r="T73" i="20"/>
  <c r="X73" i="20"/>
  <c r="Y73" i="20"/>
  <c r="S68" i="21"/>
  <c r="T68" i="21"/>
  <c r="X68" i="21"/>
  <c r="Y68" i="21"/>
  <c r="R69" i="21"/>
  <c r="J80" i="21"/>
  <c r="K79" i="21"/>
  <c r="O79" i="21"/>
  <c r="AI70" i="21"/>
  <c r="AF71" i="21"/>
  <c r="T74" i="20"/>
  <c r="X74" i="20"/>
  <c r="Y74" i="20"/>
  <c r="K92" i="20"/>
  <c r="O92" i="20"/>
  <c r="J93" i="20"/>
  <c r="AF75" i="20"/>
  <c r="AI74" i="20"/>
  <c r="S75" i="20"/>
  <c r="R76" i="20"/>
  <c r="S69" i="21"/>
  <c r="T69" i="21"/>
  <c r="X69" i="21"/>
  <c r="Y69" i="21"/>
  <c r="R70" i="21"/>
  <c r="AF72" i="21"/>
  <c r="AI71" i="21"/>
  <c r="J81" i="21"/>
  <c r="K80" i="21"/>
  <c r="O80" i="21"/>
  <c r="F94" i="13"/>
  <c r="E94" i="13"/>
  <c r="C94" i="13"/>
  <c r="AI75" i="20"/>
  <c r="AF76" i="20"/>
  <c r="T75" i="20"/>
  <c r="X75" i="20"/>
  <c r="Y75" i="20"/>
  <c r="K93" i="20"/>
  <c r="O93" i="20"/>
  <c r="J94" i="20"/>
  <c r="S76" i="20"/>
  <c r="R77" i="20"/>
  <c r="H94" i="13"/>
  <c r="S70" i="21"/>
  <c r="T70" i="21"/>
  <c r="X70" i="21"/>
  <c r="Y70" i="21"/>
  <c r="R71" i="21"/>
  <c r="J82" i="21"/>
  <c r="K81" i="21"/>
  <c r="O81" i="21"/>
  <c r="AF73" i="21"/>
  <c r="AI72" i="21"/>
  <c r="AD9" i="27"/>
  <c r="AT205" i="19"/>
  <c r="AS205" i="19"/>
  <c r="AR205" i="19"/>
  <c r="AQ205" i="19"/>
  <c r="AP205" i="19"/>
  <c r="AO205" i="19"/>
  <c r="AN205" i="19"/>
  <c r="AM205" i="19"/>
  <c r="AL205" i="19"/>
  <c r="AT204" i="19"/>
  <c r="AS204" i="19"/>
  <c r="AR204" i="19"/>
  <c r="AQ204" i="19"/>
  <c r="AP204" i="19"/>
  <c r="AO204" i="19"/>
  <c r="AN204" i="19"/>
  <c r="AM204" i="19"/>
  <c r="AL204" i="19"/>
  <c r="AT203" i="19"/>
  <c r="AS203" i="19"/>
  <c r="AR203" i="19"/>
  <c r="AQ203" i="19"/>
  <c r="AP203" i="19"/>
  <c r="AO203" i="19"/>
  <c r="AN203" i="19"/>
  <c r="AM203" i="19"/>
  <c r="AL203" i="19"/>
  <c r="AT202" i="19"/>
  <c r="AS202" i="19"/>
  <c r="AR202" i="19"/>
  <c r="AQ202" i="19"/>
  <c r="AP202" i="19"/>
  <c r="AO202" i="19"/>
  <c r="AN202" i="19"/>
  <c r="AM202" i="19"/>
  <c r="AL202" i="19"/>
  <c r="AT201" i="19"/>
  <c r="AS201" i="19"/>
  <c r="AR201" i="19"/>
  <c r="AQ201" i="19"/>
  <c r="AP201" i="19"/>
  <c r="AO201" i="19"/>
  <c r="AN201" i="19"/>
  <c r="AM201" i="19"/>
  <c r="AL201" i="19"/>
  <c r="AT200" i="19"/>
  <c r="AS200" i="19"/>
  <c r="AR200" i="19"/>
  <c r="AQ200" i="19"/>
  <c r="AP200" i="19"/>
  <c r="AO200" i="19"/>
  <c r="AN200" i="19"/>
  <c r="AM200" i="19"/>
  <c r="AL200" i="19"/>
  <c r="AT199" i="19"/>
  <c r="AS199" i="19"/>
  <c r="AR199" i="19"/>
  <c r="AQ199" i="19"/>
  <c r="AP199" i="19"/>
  <c r="AO199" i="19"/>
  <c r="AN199" i="19"/>
  <c r="AM199" i="19"/>
  <c r="AL199" i="19"/>
  <c r="AT198" i="19"/>
  <c r="AS198" i="19"/>
  <c r="AR198" i="19"/>
  <c r="AQ198" i="19"/>
  <c r="AP198" i="19"/>
  <c r="AO198" i="19"/>
  <c r="AN198" i="19"/>
  <c r="AM198" i="19"/>
  <c r="AL198" i="19"/>
  <c r="AT197" i="19"/>
  <c r="AS197" i="19"/>
  <c r="AR197" i="19"/>
  <c r="AQ197" i="19"/>
  <c r="AP197" i="19"/>
  <c r="AO197" i="19"/>
  <c r="AN197" i="19"/>
  <c r="AM197" i="19"/>
  <c r="AL197" i="19"/>
  <c r="AT196" i="19"/>
  <c r="AS196" i="19"/>
  <c r="AR196" i="19"/>
  <c r="AQ196" i="19"/>
  <c r="AP196" i="19"/>
  <c r="AO196" i="19"/>
  <c r="AN196" i="19"/>
  <c r="AM196" i="19"/>
  <c r="AL196" i="19"/>
  <c r="AT195" i="19"/>
  <c r="AS195" i="19"/>
  <c r="AR195" i="19"/>
  <c r="AQ195" i="19"/>
  <c r="AP195" i="19"/>
  <c r="AO195" i="19"/>
  <c r="AN195" i="19"/>
  <c r="AM195" i="19"/>
  <c r="AL195" i="19"/>
  <c r="AT194" i="19"/>
  <c r="AS194" i="19"/>
  <c r="AR194" i="19"/>
  <c r="AQ194" i="19"/>
  <c r="AP194" i="19"/>
  <c r="AO194" i="19"/>
  <c r="AN194" i="19"/>
  <c r="AM194" i="19"/>
  <c r="AL194" i="19"/>
  <c r="AT193" i="19"/>
  <c r="AS193" i="19"/>
  <c r="AR193" i="19"/>
  <c r="AQ193" i="19"/>
  <c r="AP193" i="19"/>
  <c r="AO193" i="19"/>
  <c r="AN193" i="19"/>
  <c r="AM193" i="19"/>
  <c r="AL193" i="19"/>
  <c r="AT192" i="19"/>
  <c r="AS192" i="19"/>
  <c r="AR192" i="19"/>
  <c r="AQ192" i="19"/>
  <c r="AP192" i="19"/>
  <c r="AO192" i="19"/>
  <c r="AN192" i="19"/>
  <c r="AM192" i="19"/>
  <c r="AL192" i="19"/>
  <c r="AT191" i="19"/>
  <c r="AS191" i="19"/>
  <c r="AR191" i="19"/>
  <c r="AQ191" i="19"/>
  <c r="AP191" i="19"/>
  <c r="AO191" i="19"/>
  <c r="AN191" i="19"/>
  <c r="AM191" i="19"/>
  <c r="AL191" i="19"/>
  <c r="AT190" i="19"/>
  <c r="AS190" i="19"/>
  <c r="AR190" i="19"/>
  <c r="AQ190" i="19"/>
  <c r="AP190" i="19"/>
  <c r="AO190" i="19"/>
  <c r="AN190" i="19"/>
  <c r="AM190" i="19"/>
  <c r="AL190" i="19"/>
  <c r="AT189" i="19"/>
  <c r="AS189" i="19"/>
  <c r="AR189" i="19"/>
  <c r="AQ189" i="19"/>
  <c r="AP189" i="19"/>
  <c r="AO189" i="19"/>
  <c r="AN189" i="19"/>
  <c r="AM189" i="19"/>
  <c r="AL189" i="19"/>
  <c r="AT188" i="19"/>
  <c r="AS188" i="19"/>
  <c r="AR188" i="19"/>
  <c r="AQ188" i="19"/>
  <c r="AP188" i="19"/>
  <c r="AO188" i="19"/>
  <c r="AN188" i="19"/>
  <c r="AM188" i="19"/>
  <c r="AL188" i="19"/>
  <c r="AT187" i="19"/>
  <c r="AS187" i="19"/>
  <c r="AR187" i="19"/>
  <c r="AQ187" i="19"/>
  <c r="AP187" i="19"/>
  <c r="AO187" i="19"/>
  <c r="AN187" i="19"/>
  <c r="AM187" i="19"/>
  <c r="AL187" i="19"/>
  <c r="AT186" i="19"/>
  <c r="AS186" i="19"/>
  <c r="AR186" i="19"/>
  <c r="AQ186" i="19"/>
  <c r="AP186" i="19"/>
  <c r="AO186" i="19"/>
  <c r="AN186" i="19"/>
  <c r="AM186" i="19"/>
  <c r="AL186" i="19"/>
  <c r="AT185" i="19"/>
  <c r="AS185" i="19"/>
  <c r="AR185" i="19"/>
  <c r="AQ185" i="19"/>
  <c r="AP185" i="19"/>
  <c r="AO185" i="19"/>
  <c r="AN185" i="19"/>
  <c r="AM185" i="19"/>
  <c r="AL185" i="19"/>
  <c r="AT184" i="19"/>
  <c r="AS184" i="19"/>
  <c r="AR184" i="19"/>
  <c r="AQ184" i="19"/>
  <c r="AP184" i="19"/>
  <c r="AO184" i="19"/>
  <c r="AN184" i="19"/>
  <c r="AM184" i="19"/>
  <c r="AL184" i="19"/>
  <c r="AT183" i="19"/>
  <c r="AS183" i="19"/>
  <c r="AR183" i="19"/>
  <c r="AQ183" i="19"/>
  <c r="AP183" i="19"/>
  <c r="AO183" i="19"/>
  <c r="AN183" i="19"/>
  <c r="AM183" i="19"/>
  <c r="AL183" i="19"/>
  <c r="AT182" i="19"/>
  <c r="AS182" i="19"/>
  <c r="AR182" i="19"/>
  <c r="AQ182" i="19"/>
  <c r="AP182" i="19"/>
  <c r="AO182" i="19"/>
  <c r="AN182" i="19"/>
  <c r="AM182" i="19"/>
  <c r="AL182" i="19"/>
  <c r="AT181" i="19"/>
  <c r="AS181" i="19"/>
  <c r="AR181" i="19"/>
  <c r="AQ181" i="19"/>
  <c r="AP181" i="19"/>
  <c r="AO181" i="19"/>
  <c r="AN181" i="19"/>
  <c r="AM181" i="19"/>
  <c r="AL181" i="19"/>
  <c r="AT180" i="19"/>
  <c r="AS180" i="19"/>
  <c r="AR180" i="19"/>
  <c r="AQ180" i="19"/>
  <c r="AP180" i="19"/>
  <c r="AO180" i="19"/>
  <c r="AN180" i="19"/>
  <c r="AM180" i="19"/>
  <c r="AL180" i="19"/>
  <c r="AT179" i="19"/>
  <c r="AS179" i="19"/>
  <c r="AR179" i="19"/>
  <c r="AQ179" i="19"/>
  <c r="AP179" i="19"/>
  <c r="AO179" i="19"/>
  <c r="AN179" i="19"/>
  <c r="AM179" i="19"/>
  <c r="AL179" i="19"/>
  <c r="AT178" i="19"/>
  <c r="AS178" i="19"/>
  <c r="AR178" i="19"/>
  <c r="AQ178" i="19"/>
  <c r="AP178" i="19"/>
  <c r="AO178" i="19"/>
  <c r="AN178" i="19"/>
  <c r="AM178" i="19"/>
  <c r="AL178" i="19"/>
  <c r="AT177" i="19"/>
  <c r="AS177" i="19"/>
  <c r="AR177" i="19"/>
  <c r="AQ177" i="19"/>
  <c r="AP177" i="19"/>
  <c r="AO177" i="19"/>
  <c r="AN177" i="19"/>
  <c r="AM177" i="19"/>
  <c r="AL177" i="19"/>
  <c r="AT176" i="19"/>
  <c r="AS176" i="19"/>
  <c r="AR176" i="19"/>
  <c r="AQ176" i="19"/>
  <c r="AP176" i="19"/>
  <c r="AO176" i="19"/>
  <c r="AN176" i="19"/>
  <c r="AM176" i="19"/>
  <c r="AL176" i="19"/>
  <c r="AT175" i="19"/>
  <c r="AS175" i="19"/>
  <c r="AR175" i="19"/>
  <c r="AQ175" i="19"/>
  <c r="AP175" i="19"/>
  <c r="AO175" i="19"/>
  <c r="AN175" i="19"/>
  <c r="AM175" i="19"/>
  <c r="AL175" i="19"/>
  <c r="AT174" i="19"/>
  <c r="AS174" i="19"/>
  <c r="AR174" i="19"/>
  <c r="AQ174" i="19"/>
  <c r="AP174" i="19"/>
  <c r="AO174" i="19"/>
  <c r="AN174" i="19"/>
  <c r="AM174" i="19"/>
  <c r="AL174" i="19"/>
  <c r="AT173" i="19"/>
  <c r="AS173" i="19"/>
  <c r="AR173" i="19"/>
  <c r="AQ173" i="19"/>
  <c r="AP173" i="19"/>
  <c r="AO173" i="19"/>
  <c r="AN173" i="19"/>
  <c r="AM173" i="19"/>
  <c r="AL173" i="19"/>
  <c r="AT172" i="19"/>
  <c r="AS172" i="19"/>
  <c r="AR172" i="19"/>
  <c r="AQ172" i="19"/>
  <c r="AP172" i="19"/>
  <c r="AO172" i="19"/>
  <c r="AN172" i="19"/>
  <c r="AM172" i="19"/>
  <c r="AL172" i="19"/>
  <c r="AT171" i="19"/>
  <c r="AS171" i="19"/>
  <c r="AR171" i="19"/>
  <c r="AQ171" i="19"/>
  <c r="AP171" i="19"/>
  <c r="AO171" i="19"/>
  <c r="AN171" i="19"/>
  <c r="AM171" i="19"/>
  <c r="AL171" i="19"/>
  <c r="AT170" i="19"/>
  <c r="AS170" i="19"/>
  <c r="AR170" i="19"/>
  <c r="AQ170" i="19"/>
  <c r="AP170" i="19"/>
  <c r="AO170" i="19"/>
  <c r="AN170" i="19"/>
  <c r="AM170" i="19"/>
  <c r="AL170" i="19"/>
  <c r="AT169" i="19"/>
  <c r="AS169" i="19"/>
  <c r="AR169" i="19"/>
  <c r="AQ169" i="19"/>
  <c r="AP169" i="19"/>
  <c r="AO169" i="19"/>
  <c r="AN169" i="19"/>
  <c r="AM169" i="19"/>
  <c r="AL169" i="19"/>
  <c r="AT168" i="19"/>
  <c r="AS168" i="19"/>
  <c r="AR168" i="19"/>
  <c r="AQ168" i="19"/>
  <c r="AP168" i="19"/>
  <c r="AO168" i="19"/>
  <c r="AN168" i="19"/>
  <c r="AM168" i="19"/>
  <c r="AL168" i="19"/>
  <c r="AT167" i="19"/>
  <c r="AS167" i="19"/>
  <c r="AR167" i="19"/>
  <c r="AQ167" i="19"/>
  <c r="AP167" i="19"/>
  <c r="AO167" i="19"/>
  <c r="AN167" i="19"/>
  <c r="AM167" i="19"/>
  <c r="AL167" i="19"/>
  <c r="AT166" i="19"/>
  <c r="AS166" i="19"/>
  <c r="AR166" i="19"/>
  <c r="AQ166" i="19"/>
  <c r="AP166" i="19"/>
  <c r="AO166" i="19"/>
  <c r="AN166" i="19"/>
  <c r="AM166" i="19"/>
  <c r="AL166" i="19"/>
  <c r="AT165" i="19"/>
  <c r="AS165" i="19"/>
  <c r="AR165" i="19"/>
  <c r="AQ165" i="19"/>
  <c r="AP165" i="19"/>
  <c r="AO165" i="19"/>
  <c r="AN165" i="19"/>
  <c r="AM165" i="19"/>
  <c r="AL165" i="19"/>
  <c r="AT164" i="19"/>
  <c r="AS164" i="19"/>
  <c r="AR164" i="19"/>
  <c r="AQ164" i="19"/>
  <c r="AP164" i="19"/>
  <c r="AO164" i="19"/>
  <c r="AN164" i="19"/>
  <c r="AM164" i="19"/>
  <c r="AL164" i="19"/>
  <c r="AT163" i="19"/>
  <c r="AS163" i="19"/>
  <c r="AR163" i="19"/>
  <c r="AQ163" i="19"/>
  <c r="AP163" i="19"/>
  <c r="AO163" i="19"/>
  <c r="AN163" i="19"/>
  <c r="AM163" i="19"/>
  <c r="AL163" i="19"/>
  <c r="AT162" i="19"/>
  <c r="AS162" i="19"/>
  <c r="AR162" i="19"/>
  <c r="AQ162" i="19"/>
  <c r="AP162" i="19"/>
  <c r="AO162" i="19"/>
  <c r="AN162" i="19"/>
  <c r="AM162" i="19"/>
  <c r="AL162" i="19"/>
  <c r="AT161" i="19"/>
  <c r="AS161" i="19"/>
  <c r="AR161" i="19"/>
  <c r="AQ161" i="19"/>
  <c r="AP161" i="19"/>
  <c r="AO161" i="19"/>
  <c r="AN161" i="19"/>
  <c r="AM161" i="19"/>
  <c r="AL161" i="19"/>
  <c r="AT160" i="19"/>
  <c r="AS160" i="19"/>
  <c r="AR160" i="19"/>
  <c r="AQ160" i="19"/>
  <c r="AP160" i="19"/>
  <c r="AO160" i="19"/>
  <c r="AN160" i="19"/>
  <c r="AM160" i="19"/>
  <c r="AL160" i="19"/>
  <c r="AT159" i="19"/>
  <c r="AS159" i="19"/>
  <c r="AR159" i="19"/>
  <c r="AQ159" i="19"/>
  <c r="AP159" i="19"/>
  <c r="AO159" i="19"/>
  <c r="AN159" i="19"/>
  <c r="AM159" i="19"/>
  <c r="AL159" i="19"/>
  <c r="AT158" i="19"/>
  <c r="AS158" i="19"/>
  <c r="AR158" i="19"/>
  <c r="AQ158" i="19"/>
  <c r="AP158" i="19"/>
  <c r="AO158" i="19"/>
  <c r="AN158" i="19"/>
  <c r="AM158" i="19"/>
  <c r="AL158" i="19"/>
  <c r="AT157" i="19"/>
  <c r="AS157" i="19"/>
  <c r="AR157" i="19"/>
  <c r="AQ157" i="19"/>
  <c r="AP157" i="19"/>
  <c r="AO157" i="19"/>
  <c r="AN157" i="19"/>
  <c r="AM157" i="19"/>
  <c r="AL157" i="19"/>
  <c r="AT156" i="19"/>
  <c r="AS156" i="19"/>
  <c r="AR156" i="19"/>
  <c r="AQ156" i="19"/>
  <c r="AP156" i="19"/>
  <c r="AO156" i="19"/>
  <c r="AN156" i="19"/>
  <c r="AM156" i="19"/>
  <c r="AL156" i="19"/>
  <c r="AT155" i="19"/>
  <c r="AS155" i="19"/>
  <c r="AR155" i="19"/>
  <c r="AQ155" i="19"/>
  <c r="AP155" i="19"/>
  <c r="AO155" i="19"/>
  <c r="AN155" i="19"/>
  <c r="AM155" i="19"/>
  <c r="AL155" i="19"/>
  <c r="AT154" i="19"/>
  <c r="AS154" i="19"/>
  <c r="AR154" i="19"/>
  <c r="AQ154" i="19"/>
  <c r="AP154" i="19"/>
  <c r="AO154" i="19"/>
  <c r="AN154" i="19"/>
  <c r="AM154" i="19"/>
  <c r="AL154" i="19"/>
  <c r="AT153" i="19"/>
  <c r="AS153" i="19"/>
  <c r="AR153" i="19"/>
  <c r="AQ153" i="19"/>
  <c r="AP153" i="19"/>
  <c r="AO153" i="19"/>
  <c r="AN153" i="19"/>
  <c r="AM153" i="19"/>
  <c r="AL153" i="19"/>
  <c r="AT152" i="19"/>
  <c r="AS152" i="19"/>
  <c r="AR152" i="19"/>
  <c r="AQ152" i="19"/>
  <c r="AP152" i="19"/>
  <c r="AO152" i="19"/>
  <c r="AN152" i="19"/>
  <c r="AM152" i="19"/>
  <c r="AL152" i="19"/>
  <c r="AT151" i="19"/>
  <c r="AS151" i="19"/>
  <c r="AR151" i="19"/>
  <c r="AQ151" i="19"/>
  <c r="AP151" i="19"/>
  <c r="AO151" i="19"/>
  <c r="AN151" i="19"/>
  <c r="AM151" i="19"/>
  <c r="AL151" i="19"/>
  <c r="AT150" i="19"/>
  <c r="AS150" i="19"/>
  <c r="AR150" i="19"/>
  <c r="AQ150" i="19"/>
  <c r="AP150" i="19"/>
  <c r="AO150" i="19"/>
  <c r="AN150" i="19"/>
  <c r="AM150" i="19"/>
  <c r="AL150" i="19"/>
  <c r="AT149" i="19"/>
  <c r="AS149" i="19"/>
  <c r="AR149" i="19"/>
  <c r="AQ149" i="19"/>
  <c r="AP149" i="19"/>
  <c r="AO149" i="19"/>
  <c r="AN149" i="19"/>
  <c r="AM149" i="19"/>
  <c r="AL149" i="19"/>
  <c r="AT148" i="19"/>
  <c r="AS148" i="19"/>
  <c r="AR148" i="19"/>
  <c r="AQ148" i="19"/>
  <c r="AP148" i="19"/>
  <c r="AO148" i="19"/>
  <c r="AN148" i="19"/>
  <c r="AM148" i="19"/>
  <c r="AL148" i="19"/>
  <c r="AT147" i="19"/>
  <c r="AS147" i="19"/>
  <c r="AR147" i="19"/>
  <c r="AQ147" i="19"/>
  <c r="AP147" i="19"/>
  <c r="AO147" i="19"/>
  <c r="AN147" i="19"/>
  <c r="AM147" i="19"/>
  <c r="AL147" i="19"/>
  <c r="AT146" i="19"/>
  <c r="AS146" i="19"/>
  <c r="AR146" i="19"/>
  <c r="AQ146" i="19"/>
  <c r="AP146" i="19"/>
  <c r="AO146" i="19"/>
  <c r="AN146" i="19"/>
  <c r="AM146" i="19"/>
  <c r="AL146" i="19"/>
  <c r="AT145" i="19"/>
  <c r="AS145" i="19"/>
  <c r="AR145" i="19"/>
  <c r="AQ145" i="19"/>
  <c r="AP145" i="19"/>
  <c r="AO145" i="19"/>
  <c r="AN145" i="19"/>
  <c r="AM145" i="19"/>
  <c r="AL145" i="19"/>
  <c r="AT144" i="19"/>
  <c r="AS144" i="19"/>
  <c r="AR144" i="19"/>
  <c r="AQ144" i="19"/>
  <c r="AP144" i="19"/>
  <c r="AO144" i="19"/>
  <c r="AN144" i="19"/>
  <c r="AM144" i="19"/>
  <c r="AL144" i="19"/>
  <c r="AT143" i="19"/>
  <c r="AS143" i="19"/>
  <c r="AR143" i="19"/>
  <c r="AQ143" i="19"/>
  <c r="AP143" i="19"/>
  <c r="AO143" i="19"/>
  <c r="AN143" i="19"/>
  <c r="AM143" i="19"/>
  <c r="AL143" i="19"/>
  <c r="AT142" i="19"/>
  <c r="AS142" i="19"/>
  <c r="AR142" i="19"/>
  <c r="AQ142" i="19"/>
  <c r="AP142" i="19"/>
  <c r="AO142" i="19"/>
  <c r="AN142" i="19"/>
  <c r="AM142" i="19"/>
  <c r="AL142" i="19"/>
  <c r="AT141" i="19"/>
  <c r="AS141" i="19"/>
  <c r="AR141" i="19"/>
  <c r="AQ141" i="19"/>
  <c r="AP141" i="19"/>
  <c r="AO141" i="19"/>
  <c r="AN141" i="19"/>
  <c r="AM141" i="19"/>
  <c r="AL141" i="19"/>
  <c r="AT140" i="19"/>
  <c r="AS140" i="19"/>
  <c r="AR140" i="19"/>
  <c r="AQ140" i="19"/>
  <c r="AP140" i="19"/>
  <c r="AO140" i="19"/>
  <c r="AN140" i="19"/>
  <c r="AM140" i="19"/>
  <c r="AL140" i="19"/>
  <c r="AT139" i="19"/>
  <c r="AS139" i="19"/>
  <c r="AR139" i="19"/>
  <c r="AQ139" i="19"/>
  <c r="AP139" i="19"/>
  <c r="AO139" i="19"/>
  <c r="AN139" i="19"/>
  <c r="AM139" i="19"/>
  <c r="AL139" i="19"/>
  <c r="AT138" i="19"/>
  <c r="AS138" i="19"/>
  <c r="AR138" i="19"/>
  <c r="AQ138" i="19"/>
  <c r="AP138" i="19"/>
  <c r="AO138" i="19"/>
  <c r="AN138" i="19"/>
  <c r="AM138" i="19"/>
  <c r="AL138" i="19"/>
  <c r="AT137" i="19"/>
  <c r="AS137" i="19"/>
  <c r="AR137" i="19"/>
  <c r="AQ137" i="19"/>
  <c r="AP137" i="19"/>
  <c r="AO137" i="19"/>
  <c r="AN137" i="19"/>
  <c r="AM137" i="19"/>
  <c r="AL137" i="19"/>
  <c r="AT136" i="19"/>
  <c r="AS136" i="19"/>
  <c r="AR136" i="19"/>
  <c r="AQ136" i="19"/>
  <c r="AP136" i="19"/>
  <c r="AO136" i="19"/>
  <c r="AN136" i="19"/>
  <c r="AM136" i="19"/>
  <c r="AL136" i="19"/>
  <c r="AT135" i="19"/>
  <c r="AS135" i="19"/>
  <c r="AR135" i="19"/>
  <c r="AQ135" i="19"/>
  <c r="AP135" i="19"/>
  <c r="AO135" i="19"/>
  <c r="AN135" i="19"/>
  <c r="AM135" i="19"/>
  <c r="AL135" i="19"/>
  <c r="AT134" i="19"/>
  <c r="AS134" i="19"/>
  <c r="AR134" i="19"/>
  <c r="AQ134" i="19"/>
  <c r="AP134" i="19"/>
  <c r="AO134" i="19"/>
  <c r="AN134" i="19"/>
  <c r="AM134" i="19"/>
  <c r="AL134" i="19"/>
  <c r="AT133" i="19"/>
  <c r="AS133" i="19"/>
  <c r="AR133" i="19"/>
  <c r="AQ133" i="19"/>
  <c r="AP133" i="19"/>
  <c r="AO133" i="19"/>
  <c r="AN133" i="19"/>
  <c r="AM133" i="19"/>
  <c r="AL133" i="19"/>
  <c r="AT132" i="19"/>
  <c r="AS132" i="19"/>
  <c r="AR132" i="19"/>
  <c r="AQ132" i="19"/>
  <c r="AP132" i="19"/>
  <c r="AO132" i="19"/>
  <c r="AN132" i="19"/>
  <c r="AM132" i="19"/>
  <c r="AL132" i="19"/>
  <c r="AT131" i="19"/>
  <c r="AS131" i="19"/>
  <c r="AR131" i="19"/>
  <c r="AQ131" i="19"/>
  <c r="AP131" i="19"/>
  <c r="AO131" i="19"/>
  <c r="AN131" i="19"/>
  <c r="AM131" i="19"/>
  <c r="AL131" i="19"/>
  <c r="AT130" i="19"/>
  <c r="AS130" i="19"/>
  <c r="AR130" i="19"/>
  <c r="AQ130" i="19"/>
  <c r="AP130" i="19"/>
  <c r="AO130" i="19"/>
  <c r="AN130" i="19"/>
  <c r="AM130" i="19"/>
  <c r="AL130" i="19"/>
  <c r="AT129" i="19"/>
  <c r="AS129" i="19"/>
  <c r="AR129" i="19"/>
  <c r="AQ129" i="19"/>
  <c r="AP129" i="19"/>
  <c r="AO129" i="19"/>
  <c r="AN129" i="19"/>
  <c r="AM129" i="19"/>
  <c r="AL129" i="19"/>
  <c r="AT128" i="19"/>
  <c r="AS128" i="19"/>
  <c r="AR128" i="19"/>
  <c r="AQ128" i="19"/>
  <c r="AP128" i="19"/>
  <c r="AO128" i="19"/>
  <c r="AN128" i="19"/>
  <c r="AM128" i="19"/>
  <c r="AL128" i="19"/>
  <c r="AT127" i="19"/>
  <c r="AS127" i="19"/>
  <c r="AR127" i="19"/>
  <c r="AQ127" i="19"/>
  <c r="AP127" i="19"/>
  <c r="AO127" i="19"/>
  <c r="AN127" i="19"/>
  <c r="AM127" i="19"/>
  <c r="AL127" i="19"/>
  <c r="AT126" i="19"/>
  <c r="AS126" i="19"/>
  <c r="AR126" i="19"/>
  <c r="AQ126" i="19"/>
  <c r="AP126" i="19"/>
  <c r="AO126" i="19"/>
  <c r="AN126" i="19"/>
  <c r="AM126" i="19"/>
  <c r="AL126" i="19"/>
  <c r="AT125" i="19"/>
  <c r="AS125" i="19"/>
  <c r="AR125" i="19"/>
  <c r="AQ125" i="19"/>
  <c r="AP125" i="19"/>
  <c r="AO125" i="19"/>
  <c r="AN125" i="19"/>
  <c r="AM125" i="19"/>
  <c r="AL125" i="19"/>
  <c r="AT124" i="19"/>
  <c r="AS124" i="19"/>
  <c r="AR124" i="19"/>
  <c r="AQ124" i="19"/>
  <c r="AP124" i="19"/>
  <c r="AO124" i="19"/>
  <c r="AN124" i="19"/>
  <c r="AM124" i="19"/>
  <c r="AL124" i="19"/>
  <c r="AT123" i="19"/>
  <c r="AS123" i="19"/>
  <c r="AR123" i="19"/>
  <c r="AQ123" i="19"/>
  <c r="AP123" i="19"/>
  <c r="AO123" i="19"/>
  <c r="AN123" i="19"/>
  <c r="AM123" i="19"/>
  <c r="AL123" i="19"/>
  <c r="AT122" i="19"/>
  <c r="AS122" i="19"/>
  <c r="AR122" i="19"/>
  <c r="AQ122" i="19"/>
  <c r="AP122" i="19"/>
  <c r="AO122" i="19"/>
  <c r="AN122" i="19"/>
  <c r="AM122" i="19"/>
  <c r="AL122" i="19"/>
  <c r="AT121" i="19"/>
  <c r="AS121" i="19"/>
  <c r="AR121" i="19"/>
  <c r="AQ121" i="19"/>
  <c r="AP121" i="19"/>
  <c r="AO121" i="19"/>
  <c r="AN121" i="19"/>
  <c r="AM121" i="19"/>
  <c r="AL121" i="19"/>
  <c r="AT120" i="19"/>
  <c r="AS120" i="19"/>
  <c r="AR120" i="19"/>
  <c r="AQ120" i="19"/>
  <c r="AP120" i="19"/>
  <c r="AO120" i="19"/>
  <c r="AN120" i="19"/>
  <c r="AM120" i="19"/>
  <c r="AL120" i="19"/>
  <c r="AT119" i="19"/>
  <c r="AS119" i="19"/>
  <c r="AR119" i="19"/>
  <c r="AQ119" i="19"/>
  <c r="AP119" i="19"/>
  <c r="AO119" i="19"/>
  <c r="AN119" i="19"/>
  <c r="AM119" i="19"/>
  <c r="AL119" i="19"/>
  <c r="AT118" i="19"/>
  <c r="AS118" i="19"/>
  <c r="AR118" i="19"/>
  <c r="AQ118" i="19"/>
  <c r="AP118" i="19"/>
  <c r="AO118" i="19"/>
  <c r="AN118" i="19"/>
  <c r="AM118" i="19"/>
  <c r="AL118" i="19"/>
  <c r="AT117" i="19"/>
  <c r="AS117" i="19"/>
  <c r="AR117" i="19"/>
  <c r="AQ117" i="19"/>
  <c r="AP117" i="19"/>
  <c r="AO117" i="19"/>
  <c r="AN117" i="19"/>
  <c r="AM117" i="19"/>
  <c r="AL117" i="19"/>
  <c r="AT116" i="19"/>
  <c r="AS116" i="19"/>
  <c r="AR116" i="19"/>
  <c r="AQ116" i="19"/>
  <c r="AP116" i="19"/>
  <c r="AO116" i="19"/>
  <c r="AN116" i="19"/>
  <c r="AM116" i="19"/>
  <c r="AL116" i="19"/>
  <c r="AT115" i="19"/>
  <c r="AS115" i="19"/>
  <c r="AR115" i="19"/>
  <c r="AQ115" i="19"/>
  <c r="AP115" i="19"/>
  <c r="AO115" i="19"/>
  <c r="AN115" i="19"/>
  <c r="AM115" i="19"/>
  <c r="AL115" i="19"/>
  <c r="AT114" i="19"/>
  <c r="AS114" i="19"/>
  <c r="AR114" i="19"/>
  <c r="AQ114" i="19"/>
  <c r="AP114" i="19"/>
  <c r="AO114" i="19"/>
  <c r="AN114" i="19"/>
  <c r="AM114" i="19"/>
  <c r="AL114" i="19"/>
  <c r="AT113" i="19"/>
  <c r="AS113" i="19"/>
  <c r="AR113" i="19"/>
  <c r="AQ113" i="19"/>
  <c r="AP113" i="19"/>
  <c r="AO113" i="19"/>
  <c r="AN113" i="19"/>
  <c r="AM113" i="19"/>
  <c r="AL113" i="19"/>
  <c r="AT112" i="19"/>
  <c r="AS112" i="19"/>
  <c r="AR112" i="19"/>
  <c r="AQ112" i="19"/>
  <c r="AP112" i="19"/>
  <c r="AO112" i="19"/>
  <c r="AN112" i="19"/>
  <c r="AM112" i="19"/>
  <c r="AL112" i="19"/>
  <c r="AT111" i="19"/>
  <c r="AS111" i="19"/>
  <c r="AR111" i="19"/>
  <c r="AQ111" i="19"/>
  <c r="AP111" i="19"/>
  <c r="AO111" i="19"/>
  <c r="AN111" i="19"/>
  <c r="AM111" i="19"/>
  <c r="AL111" i="19"/>
  <c r="AT110" i="19"/>
  <c r="AS110" i="19"/>
  <c r="AR110" i="19"/>
  <c r="AQ110" i="19"/>
  <c r="AP110" i="19"/>
  <c r="AO110" i="19"/>
  <c r="AN110" i="19"/>
  <c r="AM110" i="19"/>
  <c r="AL110" i="19"/>
  <c r="AT109" i="19"/>
  <c r="AS109" i="19"/>
  <c r="AR109" i="19"/>
  <c r="AQ109" i="19"/>
  <c r="AP109" i="19"/>
  <c r="AO109" i="19"/>
  <c r="AN109" i="19"/>
  <c r="AM109" i="19"/>
  <c r="AL109" i="19"/>
  <c r="AT108" i="19"/>
  <c r="AS108" i="19"/>
  <c r="AR108" i="19"/>
  <c r="AQ108" i="19"/>
  <c r="AP108" i="19"/>
  <c r="AO108" i="19"/>
  <c r="AN108" i="19"/>
  <c r="AM108" i="19"/>
  <c r="AL108" i="19"/>
  <c r="AT107" i="19"/>
  <c r="AS107" i="19"/>
  <c r="AR107" i="19"/>
  <c r="AQ107" i="19"/>
  <c r="AP107" i="19"/>
  <c r="AO107" i="19"/>
  <c r="AN107" i="19"/>
  <c r="AM107" i="19"/>
  <c r="AL107" i="19"/>
  <c r="AT106" i="19"/>
  <c r="AS106" i="19"/>
  <c r="AR106" i="19"/>
  <c r="AQ106" i="19"/>
  <c r="AP106" i="19"/>
  <c r="AO106" i="19"/>
  <c r="AN106" i="19"/>
  <c r="AM106" i="19"/>
  <c r="AL106" i="19"/>
  <c r="AT105" i="19"/>
  <c r="AS105" i="19"/>
  <c r="AR105" i="19"/>
  <c r="AQ105" i="19"/>
  <c r="AP105" i="19"/>
  <c r="AO105" i="19"/>
  <c r="AN105" i="19"/>
  <c r="AM105" i="19"/>
  <c r="AL105" i="19"/>
  <c r="AT104" i="19"/>
  <c r="AS104" i="19"/>
  <c r="AR104" i="19"/>
  <c r="AQ104" i="19"/>
  <c r="AP104" i="19"/>
  <c r="AO104" i="19"/>
  <c r="AN104" i="19"/>
  <c r="AM104" i="19"/>
  <c r="AL104" i="19"/>
  <c r="AT103" i="19"/>
  <c r="AS103" i="19"/>
  <c r="AR103" i="19"/>
  <c r="AQ103" i="19"/>
  <c r="AP103" i="19"/>
  <c r="AO103" i="19"/>
  <c r="AN103" i="19"/>
  <c r="AM103" i="19"/>
  <c r="AL103" i="19"/>
  <c r="AT102" i="19"/>
  <c r="AS102" i="19"/>
  <c r="AR102" i="19"/>
  <c r="AQ102" i="19"/>
  <c r="AP102" i="19"/>
  <c r="AO102" i="19"/>
  <c r="AN102" i="19"/>
  <c r="AM102" i="19"/>
  <c r="AL102" i="19"/>
  <c r="AT101" i="19"/>
  <c r="AS101" i="19"/>
  <c r="AR101" i="19"/>
  <c r="AQ101" i="19"/>
  <c r="AP101" i="19"/>
  <c r="AO101" i="19"/>
  <c r="AN101" i="19"/>
  <c r="AM101" i="19"/>
  <c r="AL101" i="19"/>
  <c r="AT100" i="19"/>
  <c r="AS100" i="19"/>
  <c r="AR100" i="19"/>
  <c r="AQ100" i="19"/>
  <c r="AP100" i="19"/>
  <c r="AO100" i="19"/>
  <c r="AN100" i="19"/>
  <c r="AM100" i="19"/>
  <c r="AL100" i="19"/>
  <c r="AT99" i="19"/>
  <c r="AS99" i="19"/>
  <c r="AR99" i="19"/>
  <c r="AQ99" i="19"/>
  <c r="AP99" i="19"/>
  <c r="AO99" i="19"/>
  <c r="AN99" i="19"/>
  <c r="AM99" i="19"/>
  <c r="AL99" i="19"/>
  <c r="AT98" i="19"/>
  <c r="AS98" i="19"/>
  <c r="AR98" i="19"/>
  <c r="AQ98" i="19"/>
  <c r="AP98" i="19"/>
  <c r="AO98" i="19"/>
  <c r="AN98" i="19"/>
  <c r="AM98" i="19"/>
  <c r="AL98" i="19"/>
  <c r="AT97" i="19"/>
  <c r="AS97" i="19"/>
  <c r="AR97" i="19"/>
  <c r="AQ97" i="19"/>
  <c r="AP97" i="19"/>
  <c r="AO97" i="19"/>
  <c r="AN97" i="19"/>
  <c r="AM97" i="19"/>
  <c r="AL97" i="19"/>
  <c r="AT96" i="19"/>
  <c r="AS96" i="19"/>
  <c r="AR96" i="19"/>
  <c r="AQ96" i="19"/>
  <c r="AP96" i="19"/>
  <c r="AO96" i="19"/>
  <c r="AN96" i="19"/>
  <c r="AM96" i="19"/>
  <c r="AL96" i="19"/>
  <c r="AT205" i="18"/>
  <c r="Z221" i="27" s="1"/>
  <c r="AS205" i="18"/>
  <c r="AR205" i="18"/>
  <c r="AQ205" i="18"/>
  <c r="AP205" i="18"/>
  <c r="AO205" i="18"/>
  <c r="AN205" i="18"/>
  <c r="AM205" i="18"/>
  <c r="AL205" i="18"/>
  <c r="AT204" i="18"/>
  <c r="AS204" i="18"/>
  <c r="AR204" i="18"/>
  <c r="AQ204" i="18"/>
  <c r="AP204" i="18"/>
  <c r="AO204" i="18"/>
  <c r="AN204" i="18"/>
  <c r="AM204" i="18"/>
  <c r="AL204" i="18"/>
  <c r="AT203" i="18"/>
  <c r="AS203" i="18"/>
  <c r="AR203" i="18"/>
  <c r="AQ203" i="18"/>
  <c r="W219" i="27" s="1"/>
  <c r="AP203" i="18"/>
  <c r="AO203" i="18"/>
  <c r="AN203" i="18"/>
  <c r="AM203" i="18"/>
  <c r="AL203" i="18"/>
  <c r="AT202" i="18"/>
  <c r="AS202" i="18"/>
  <c r="AR202" i="18"/>
  <c r="X218" i="27" s="1"/>
  <c r="AQ202" i="18"/>
  <c r="AP202" i="18"/>
  <c r="AO202" i="18"/>
  <c r="AN202" i="18"/>
  <c r="AM202" i="18"/>
  <c r="AL202" i="18"/>
  <c r="AT201" i="18"/>
  <c r="AS201" i="18"/>
  <c r="Y217" i="27" s="1"/>
  <c r="AR201" i="18"/>
  <c r="AQ201" i="18"/>
  <c r="AP201" i="18"/>
  <c r="AO201" i="18"/>
  <c r="AN201" i="18"/>
  <c r="AM201" i="18"/>
  <c r="AL201" i="18"/>
  <c r="AT200" i="18"/>
  <c r="Z216" i="27" s="1"/>
  <c r="AS200" i="18"/>
  <c r="AR200" i="18"/>
  <c r="AQ200" i="18"/>
  <c r="W216" i="27" s="1"/>
  <c r="AP200" i="18"/>
  <c r="AO200" i="18"/>
  <c r="AN200" i="18"/>
  <c r="AM200" i="18"/>
  <c r="AL200" i="18"/>
  <c r="AT199" i="18"/>
  <c r="AS199" i="18"/>
  <c r="AR199" i="18"/>
  <c r="X215" i="27" s="1"/>
  <c r="AQ199" i="18"/>
  <c r="AP199" i="18"/>
  <c r="AO199" i="18"/>
  <c r="AN199" i="18"/>
  <c r="AM199" i="18"/>
  <c r="AL199" i="18"/>
  <c r="AT198" i="18"/>
  <c r="AS198" i="18"/>
  <c r="Y214" i="27" s="1"/>
  <c r="AR198" i="18"/>
  <c r="AQ198" i="18"/>
  <c r="AP198" i="18"/>
  <c r="AO198" i="18"/>
  <c r="AN198" i="18"/>
  <c r="AM198" i="18"/>
  <c r="AL198" i="18"/>
  <c r="AT197" i="18"/>
  <c r="Z213" i="27" s="1"/>
  <c r="AS197" i="18"/>
  <c r="AR197" i="18"/>
  <c r="AQ197" i="18"/>
  <c r="AP197" i="18"/>
  <c r="AO197" i="18"/>
  <c r="AN197" i="18"/>
  <c r="AM197" i="18"/>
  <c r="AL197" i="18"/>
  <c r="AT196" i="18"/>
  <c r="AS196" i="18"/>
  <c r="AR196" i="18"/>
  <c r="AQ196" i="18"/>
  <c r="AP196" i="18"/>
  <c r="AO196" i="18"/>
  <c r="AN196" i="18"/>
  <c r="AM196" i="18"/>
  <c r="AL196" i="18"/>
  <c r="AT195" i="18"/>
  <c r="AS195" i="18"/>
  <c r="AR195" i="18"/>
  <c r="AQ195" i="18"/>
  <c r="W211" i="27" s="1"/>
  <c r="AP195" i="18"/>
  <c r="AO195" i="18"/>
  <c r="AN195" i="18"/>
  <c r="AM195" i="18"/>
  <c r="AL195" i="18"/>
  <c r="AT194" i="18"/>
  <c r="AS194" i="18"/>
  <c r="AR194" i="18"/>
  <c r="X210" i="27" s="1"/>
  <c r="AQ194" i="18"/>
  <c r="AP194" i="18"/>
  <c r="AO194" i="18"/>
  <c r="AN194" i="18"/>
  <c r="AM194" i="18"/>
  <c r="AL194" i="18"/>
  <c r="AT193" i="18"/>
  <c r="AS193" i="18"/>
  <c r="Y209" i="27" s="1"/>
  <c r="AR193" i="18"/>
  <c r="AQ193" i="18"/>
  <c r="AP193" i="18"/>
  <c r="AO193" i="18"/>
  <c r="AN193" i="18"/>
  <c r="AM193" i="18"/>
  <c r="AL193" i="18"/>
  <c r="AT192" i="18"/>
  <c r="Z208" i="27" s="1"/>
  <c r="AS192" i="18"/>
  <c r="AR192" i="18"/>
  <c r="AQ192" i="18"/>
  <c r="W208" i="27" s="1"/>
  <c r="AP192" i="18"/>
  <c r="AO192" i="18"/>
  <c r="AN192" i="18"/>
  <c r="AM192" i="18"/>
  <c r="AL192" i="18"/>
  <c r="AT191" i="18"/>
  <c r="AS191" i="18"/>
  <c r="AR191" i="18"/>
  <c r="X207" i="27" s="1"/>
  <c r="AQ191" i="18"/>
  <c r="AP191" i="18"/>
  <c r="AO191" i="18"/>
  <c r="AN191" i="18"/>
  <c r="AM191" i="18"/>
  <c r="AL191" i="18"/>
  <c r="AT190" i="18"/>
  <c r="AS190" i="18"/>
  <c r="Y206" i="27" s="1"/>
  <c r="AR190" i="18"/>
  <c r="AQ190" i="18"/>
  <c r="AP190" i="18"/>
  <c r="AO190" i="18"/>
  <c r="AN190" i="18"/>
  <c r="AM190" i="18"/>
  <c r="AL190" i="18"/>
  <c r="AT189" i="18"/>
  <c r="Z205" i="27" s="1"/>
  <c r="AS189" i="18"/>
  <c r="AR189" i="18"/>
  <c r="AQ189" i="18"/>
  <c r="AP189" i="18"/>
  <c r="AO189" i="18"/>
  <c r="AN189" i="18"/>
  <c r="AM189" i="18"/>
  <c r="AL189" i="18"/>
  <c r="AT188" i="18"/>
  <c r="AS188" i="18"/>
  <c r="AR188" i="18"/>
  <c r="AQ188" i="18"/>
  <c r="AP188" i="18"/>
  <c r="AO188" i="18"/>
  <c r="AN188" i="18"/>
  <c r="AM188" i="18"/>
  <c r="AL188" i="18"/>
  <c r="AT187" i="18"/>
  <c r="AS187" i="18"/>
  <c r="AR187" i="18"/>
  <c r="AQ187" i="18"/>
  <c r="W203" i="27" s="1"/>
  <c r="AP187" i="18"/>
  <c r="AO187" i="18"/>
  <c r="AN187" i="18"/>
  <c r="AM187" i="18"/>
  <c r="AL187" i="18"/>
  <c r="AT186" i="18"/>
  <c r="AS186" i="18"/>
  <c r="AR186" i="18"/>
  <c r="X202" i="27" s="1"/>
  <c r="AQ186" i="18"/>
  <c r="AP186" i="18"/>
  <c r="AO186" i="18"/>
  <c r="AN186" i="18"/>
  <c r="AM186" i="18"/>
  <c r="AL186" i="18"/>
  <c r="AT185" i="18"/>
  <c r="AS185" i="18"/>
  <c r="Y201" i="27" s="1"/>
  <c r="AR185" i="18"/>
  <c r="AQ185" i="18"/>
  <c r="AP185" i="18"/>
  <c r="AO185" i="18"/>
  <c r="AN185" i="18"/>
  <c r="AM185" i="18"/>
  <c r="AL185" i="18"/>
  <c r="AT184" i="18"/>
  <c r="Z200" i="27" s="1"/>
  <c r="AS184" i="18"/>
  <c r="AR184" i="18"/>
  <c r="AQ184" i="18"/>
  <c r="W200" i="27" s="1"/>
  <c r="AP184" i="18"/>
  <c r="AO184" i="18"/>
  <c r="AN184" i="18"/>
  <c r="AM184" i="18"/>
  <c r="AL184" i="18"/>
  <c r="AT183" i="18"/>
  <c r="AS183" i="18"/>
  <c r="AR183" i="18"/>
  <c r="X199" i="27" s="1"/>
  <c r="AQ183" i="18"/>
  <c r="AP183" i="18"/>
  <c r="AO183" i="18"/>
  <c r="AN183" i="18"/>
  <c r="AM183" i="18"/>
  <c r="AL183" i="18"/>
  <c r="AT182" i="18"/>
  <c r="AS182" i="18"/>
  <c r="Y198" i="27" s="1"/>
  <c r="AR182" i="18"/>
  <c r="AQ182" i="18"/>
  <c r="AP182" i="18"/>
  <c r="AO182" i="18"/>
  <c r="AN182" i="18"/>
  <c r="AM182" i="18"/>
  <c r="AL182" i="18"/>
  <c r="AT181" i="18"/>
  <c r="Z197" i="27" s="1"/>
  <c r="AS181" i="18"/>
  <c r="AR181" i="18"/>
  <c r="AQ181" i="18"/>
  <c r="AP181" i="18"/>
  <c r="AO181" i="18"/>
  <c r="AN181" i="18"/>
  <c r="AM181" i="18"/>
  <c r="AL181" i="18"/>
  <c r="AT180" i="18"/>
  <c r="AS180" i="18"/>
  <c r="AR180" i="18"/>
  <c r="AQ180" i="18"/>
  <c r="AP180" i="18"/>
  <c r="AO180" i="18"/>
  <c r="AN180" i="18"/>
  <c r="AM180" i="18"/>
  <c r="AL180" i="18"/>
  <c r="AT179" i="18"/>
  <c r="AS179" i="18"/>
  <c r="AR179" i="18"/>
  <c r="AQ179" i="18"/>
  <c r="W195" i="27" s="1"/>
  <c r="AP179" i="18"/>
  <c r="AO179" i="18"/>
  <c r="AN179" i="18"/>
  <c r="AM179" i="18"/>
  <c r="AL179" i="18"/>
  <c r="AT178" i="18"/>
  <c r="AS178" i="18"/>
  <c r="AR178" i="18"/>
  <c r="AQ178" i="18"/>
  <c r="AP178" i="18"/>
  <c r="AO178" i="18"/>
  <c r="AN178" i="18"/>
  <c r="AM178" i="18"/>
  <c r="AL178" i="18"/>
  <c r="AT177" i="18"/>
  <c r="AS177" i="18"/>
  <c r="Y193" i="27" s="1"/>
  <c r="AR177" i="18"/>
  <c r="AQ177" i="18"/>
  <c r="AP177" i="18"/>
  <c r="AO177" i="18"/>
  <c r="AN177" i="18"/>
  <c r="AM177" i="18"/>
  <c r="AL177" i="18"/>
  <c r="AT176" i="18"/>
  <c r="Z192" i="27" s="1"/>
  <c r="AS176" i="18"/>
  <c r="AR176" i="18"/>
  <c r="AQ176" i="18"/>
  <c r="W192" i="27" s="1"/>
  <c r="AP176" i="18"/>
  <c r="AO176" i="18"/>
  <c r="AN176" i="18"/>
  <c r="AM176" i="18"/>
  <c r="AL176" i="18"/>
  <c r="AT175" i="18"/>
  <c r="AS175" i="18"/>
  <c r="AR175" i="18"/>
  <c r="X191" i="27" s="1"/>
  <c r="AQ175" i="18"/>
  <c r="AP175" i="18"/>
  <c r="AO175" i="18"/>
  <c r="AN175" i="18"/>
  <c r="AM175" i="18"/>
  <c r="AL175" i="18"/>
  <c r="AT174" i="18"/>
  <c r="AS174" i="18"/>
  <c r="Y190" i="27" s="1"/>
  <c r="AR174" i="18"/>
  <c r="AQ174" i="18"/>
  <c r="AP174" i="18"/>
  <c r="AO174" i="18"/>
  <c r="AN174" i="18"/>
  <c r="AM174" i="18"/>
  <c r="AL174" i="18"/>
  <c r="AT173" i="18"/>
  <c r="Z189" i="27" s="1"/>
  <c r="AS173" i="18"/>
  <c r="AR173" i="18"/>
  <c r="AQ173" i="18"/>
  <c r="AP173" i="18"/>
  <c r="AO173" i="18"/>
  <c r="AN173" i="18"/>
  <c r="AM173" i="18"/>
  <c r="AL173" i="18"/>
  <c r="AT172" i="18"/>
  <c r="AS172" i="18"/>
  <c r="AR172" i="18"/>
  <c r="AQ172" i="18"/>
  <c r="AP172" i="18"/>
  <c r="AO172" i="18"/>
  <c r="AN172" i="18"/>
  <c r="AM172" i="18"/>
  <c r="AL172" i="18"/>
  <c r="AT171" i="18"/>
  <c r="AS171" i="18"/>
  <c r="AR171" i="18"/>
  <c r="AQ171" i="18"/>
  <c r="W187" i="27" s="1"/>
  <c r="AP171" i="18"/>
  <c r="AO171" i="18"/>
  <c r="AN171" i="18"/>
  <c r="AM171" i="18"/>
  <c r="AL171" i="18"/>
  <c r="AT170" i="18"/>
  <c r="AS170" i="18"/>
  <c r="AR170" i="18"/>
  <c r="X186" i="27" s="1"/>
  <c r="AQ170" i="18"/>
  <c r="AP170" i="18"/>
  <c r="AO170" i="18"/>
  <c r="AN170" i="18"/>
  <c r="AM170" i="18"/>
  <c r="AL170" i="18"/>
  <c r="AT169" i="18"/>
  <c r="AS169" i="18"/>
  <c r="Y185" i="27" s="1"/>
  <c r="AR169" i="18"/>
  <c r="AQ169" i="18"/>
  <c r="AP169" i="18"/>
  <c r="AO169" i="18"/>
  <c r="AN169" i="18"/>
  <c r="AM169" i="18"/>
  <c r="AL169" i="18"/>
  <c r="AT168" i="18"/>
  <c r="Z184" i="27" s="1"/>
  <c r="AS168" i="18"/>
  <c r="AR168" i="18"/>
  <c r="AQ168" i="18"/>
  <c r="W184" i="27" s="1"/>
  <c r="AP168" i="18"/>
  <c r="AO168" i="18"/>
  <c r="AN168" i="18"/>
  <c r="AM168" i="18"/>
  <c r="AL168" i="18"/>
  <c r="AT167" i="18"/>
  <c r="AS167" i="18"/>
  <c r="AR167" i="18"/>
  <c r="X183" i="27" s="1"/>
  <c r="AQ167" i="18"/>
  <c r="AP167" i="18"/>
  <c r="AO167" i="18"/>
  <c r="AN167" i="18"/>
  <c r="AM167" i="18"/>
  <c r="AL167" i="18"/>
  <c r="AT166" i="18"/>
  <c r="AS166" i="18"/>
  <c r="Y182" i="27" s="1"/>
  <c r="AR166" i="18"/>
  <c r="AQ166" i="18"/>
  <c r="AP166" i="18"/>
  <c r="AO166" i="18"/>
  <c r="AN166" i="18"/>
  <c r="AM166" i="18"/>
  <c r="AL166" i="18"/>
  <c r="AT165" i="18"/>
  <c r="Z181" i="27" s="1"/>
  <c r="AS165" i="18"/>
  <c r="AR165" i="18"/>
  <c r="AQ165" i="18"/>
  <c r="AP165" i="18"/>
  <c r="AO165" i="18"/>
  <c r="AN165" i="18"/>
  <c r="AM165" i="18"/>
  <c r="AL165" i="18"/>
  <c r="AT164" i="18"/>
  <c r="AS164" i="18"/>
  <c r="AR164" i="18"/>
  <c r="AQ164" i="18"/>
  <c r="AP164" i="18"/>
  <c r="AO164" i="18"/>
  <c r="AN164" i="18"/>
  <c r="AM164" i="18"/>
  <c r="AL164" i="18"/>
  <c r="AT163" i="18"/>
  <c r="AS163" i="18"/>
  <c r="AR163" i="18"/>
  <c r="AQ163" i="18"/>
  <c r="AP163" i="18"/>
  <c r="AO163" i="18"/>
  <c r="AN163" i="18"/>
  <c r="AM163" i="18"/>
  <c r="AL163" i="18"/>
  <c r="AT162" i="18"/>
  <c r="AS162" i="18"/>
  <c r="AR162" i="18"/>
  <c r="X178" i="27" s="1"/>
  <c r="AQ162" i="18"/>
  <c r="AP162" i="18"/>
  <c r="AO162" i="18"/>
  <c r="AN162" i="18"/>
  <c r="AM162" i="18"/>
  <c r="AL162" i="18"/>
  <c r="AT161" i="18"/>
  <c r="AS161" i="18"/>
  <c r="Y177" i="27" s="1"/>
  <c r="AR161" i="18"/>
  <c r="AQ161" i="18"/>
  <c r="AP161" i="18"/>
  <c r="AO161" i="18"/>
  <c r="AN161" i="18"/>
  <c r="AM161" i="18"/>
  <c r="AL161" i="18"/>
  <c r="AT160" i="18"/>
  <c r="Z176" i="27" s="1"/>
  <c r="AS160" i="18"/>
  <c r="AR160" i="18"/>
  <c r="AQ160" i="18"/>
  <c r="W176" i="27" s="1"/>
  <c r="AP160" i="18"/>
  <c r="AO160" i="18"/>
  <c r="AN160" i="18"/>
  <c r="AM160" i="18"/>
  <c r="AL160" i="18"/>
  <c r="AT159" i="18"/>
  <c r="AS159" i="18"/>
  <c r="AR159" i="18"/>
  <c r="X175" i="27" s="1"/>
  <c r="AQ159" i="18"/>
  <c r="AP159" i="18"/>
  <c r="AO159" i="18"/>
  <c r="AN159" i="18"/>
  <c r="AM159" i="18"/>
  <c r="AL159" i="18"/>
  <c r="AT158" i="18"/>
  <c r="AS158" i="18"/>
  <c r="Y174" i="27" s="1"/>
  <c r="AR158" i="18"/>
  <c r="AQ158" i="18"/>
  <c r="AP158" i="18"/>
  <c r="AO158" i="18"/>
  <c r="AN158" i="18"/>
  <c r="AM158" i="18"/>
  <c r="AL158" i="18"/>
  <c r="AT157" i="18"/>
  <c r="Z173" i="27" s="1"/>
  <c r="AS157" i="18"/>
  <c r="AR157" i="18"/>
  <c r="AQ157" i="18"/>
  <c r="AP157" i="18"/>
  <c r="AO157" i="18"/>
  <c r="AN157" i="18"/>
  <c r="AM157" i="18"/>
  <c r="AL157" i="18"/>
  <c r="AT156" i="18"/>
  <c r="AS156" i="18"/>
  <c r="AR156" i="18"/>
  <c r="AQ156" i="18"/>
  <c r="AP156" i="18"/>
  <c r="AO156" i="18"/>
  <c r="AN156" i="18"/>
  <c r="AM156" i="18"/>
  <c r="AL156" i="18"/>
  <c r="AT155" i="18"/>
  <c r="AS155" i="18"/>
  <c r="AR155" i="18"/>
  <c r="AQ155" i="18"/>
  <c r="W171" i="27" s="1"/>
  <c r="AP155" i="18"/>
  <c r="AO155" i="18"/>
  <c r="AN155" i="18"/>
  <c r="AM155" i="18"/>
  <c r="AL155" i="18"/>
  <c r="AT154" i="18"/>
  <c r="AS154" i="18"/>
  <c r="AR154" i="18"/>
  <c r="X170" i="27" s="1"/>
  <c r="AQ154" i="18"/>
  <c r="AP154" i="18"/>
  <c r="AO154" i="18"/>
  <c r="AN154" i="18"/>
  <c r="AM154" i="18"/>
  <c r="AL154" i="18"/>
  <c r="AT153" i="18"/>
  <c r="AS153" i="18"/>
  <c r="Y169" i="27" s="1"/>
  <c r="AR153" i="18"/>
  <c r="AQ153" i="18"/>
  <c r="AP153" i="18"/>
  <c r="AO153" i="18"/>
  <c r="AN153" i="18"/>
  <c r="AM153" i="18"/>
  <c r="AL153" i="18"/>
  <c r="AT152" i="18"/>
  <c r="Z168" i="27" s="1"/>
  <c r="AS152" i="18"/>
  <c r="AR152" i="18"/>
  <c r="AQ152" i="18"/>
  <c r="W168" i="27" s="1"/>
  <c r="AP152" i="18"/>
  <c r="AO152" i="18"/>
  <c r="AN152" i="18"/>
  <c r="AM152" i="18"/>
  <c r="AL152" i="18"/>
  <c r="AT151" i="18"/>
  <c r="AS151" i="18"/>
  <c r="AR151" i="18"/>
  <c r="X167" i="27" s="1"/>
  <c r="AQ151" i="18"/>
  <c r="AP151" i="18"/>
  <c r="AO151" i="18"/>
  <c r="AN151" i="18"/>
  <c r="AM151" i="18"/>
  <c r="AL151" i="18"/>
  <c r="AT150" i="18"/>
  <c r="AS150" i="18"/>
  <c r="Y166" i="27" s="1"/>
  <c r="AR150" i="18"/>
  <c r="AQ150" i="18"/>
  <c r="AP150" i="18"/>
  <c r="AO150" i="18"/>
  <c r="AN150" i="18"/>
  <c r="AM150" i="18"/>
  <c r="AL150" i="18"/>
  <c r="AT149" i="18"/>
  <c r="Z165" i="27" s="1"/>
  <c r="AS149" i="18"/>
  <c r="AR149" i="18"/>
  <c r="AQ149" i="18"/>
  <c r="AP149" i="18"/>
  <c r="AO149" i="18"/>
  <c r="AN149" i="18"/>
  <c r="AM149" i="18"/>
  <c r="AL149" i="18"/>
  <c r="AT148" i="18"/>
  <c r="AS148" i="18"/>
  <c r="AR148" i="18"/>
  <c r="AQ148" i="18"/>
  <c r="AP148" i="18"/>
  <c r="AO148" i="18"/>
  <c r="AN148" i="18"/>
  <c r="AM148" i="18"/>
  <c r="AL148" i="18"/>
  <c r="AT147" i="18"/>
  <c r="AS147" i="18"/>
  <c r="AR147" i="18"/>
  <c r="AQ147" i="18"/>
  <c r="W163" i="27" s="1"/>
  <c r="AP147" i="18"/>
  <c r="AO147" i="18"/>
  <c r="AN147" i="18"/>
  <c r="AM147" i="18"/>
  <c r="AL147" i="18"/>
  <c r="AT146" i="18"/>
  <c r="AS146" i="18"/>
  <c r="AR146" i="18"/>
  <c r="X162" i="27" s="1"/>
  <c r="AQ146" i="18"/>
  <c r="AP146" i="18"/>
  <c r="AO146" i="18"/>
  <c r="AN146" i="18"/>
  <c r="AM146" i="18"/>
  <c r="AL146" i="18"/>
  <c r="AT145" i="18"/>
  <c r="AS145" i="18"/>
  <c r="Y161" i="27" s="1"/>
  <c r="AR145" i="18"/>
  <c r="AQ145" i="18"/>
  <c r="AP145" i="18"/>
  <c r="AO145" i="18"/>
  <c r="AN145" i="18"/>
  <c r="AM145" i="18"/>
  <c r="AL145" i="18"/>
  <c r="AT144" i="18"/>
  <c r="Z160" i="27" s="1"/>
  <c r="AS144" i="18"/>
  <c r="AR144" i="18"/>
  <c r="AQ144" i="18"/>
  <c r="W160" i="27" s="1"/>
  <c r="AP144" i="18"/>
  <c r="AO144" i="18"/>
  <c r="AN144" i="18"/>
  <c r="AM144" i="18"/>
  <c r="AL144" i="18"/>
  <c r="AT143" i="18"/>
  <c r="AS143" i="18"/>
  <c r="AR143" i="18"/>
  <c r="X159" i="27" s="1"/>
  <c r="AQ143" i="18"/>
  <c r="W159" i="27" s="1"/>
  <c r="AP143" i="18"/>
  <c r="AO143" i="18"/>
  <c r="AN143" i="18"/>
  <c r="AM143" i="18"/>
  <c r="AL143" i="18"/>
  <c r="AT142" i="18"/>
  <c r="AS142" i="18"/>
  <c r="Y158" i="27" s="1"/>
  <c r="AR142" i="18"/>
  <c r="AQ142" i="18"/>
  <c r="AP142" i="18"/>
  <c r="AO142" i="18"/>
  <c r="AN142" i="18"/>
  <c r="AM142" i="18"/>
  <c r="AL142" i="18"/>
  <c r="AT141" i="18"/>
  <c r="Z157" i="27" s="1"/>
  <c r="AS141" i="18"/>
  <c r="AR141" i="18"/>
  <c r="AQ141" i="18"/>
  <c r="AP141" i="18"/>
  <c r="AO141" i="18"/>
  <c r="AN141" i="18"/>
  <c r="AM141" i="18"/>
  <c r="AL141" i="18"/>
  <c r="AT140" i="18"/>
  <c r="AS140" i="18"/>
  <c r="AR140" i="18"/>
  <c r="AQ140" i="18"/>
  <c r="AP140" i="18"/>
  <c r="AO140" i="18"/>
  <c r="AN140" i="18"/>
  <c r="AM140" i="18"/>
  <c r="AL140" i="18"/>
  <c r="AT139" i="18"/>
  <c r="AS139" i="18"/>
  <c r="AR139" i="18"/>
  <c r="AQ139" i="18"/>
  <c r="W155" i="27" s="1"/>
  <c r="AP139" i="18"/>
  <c r="AO139" i="18"/>
  <c r="AN139" i="18"/>
  <c r="AM139" i="18"/>
  <c r="AL139" i="18"/>
  <c r="AT138" i="18"/>
  <c r="AS138" i="18"/>
  <c r="AR138" i="18"/>
  <c r="X154" i="27" s="1"/>
  <c r="AQ138" i="18"/>
  <c r="AP138" i="18"/>
  <c r="AO138" i="18"/>
  <c r="AN138" i="18"/>
  <c r="AM138" i="18"/>
  <c r="AL138" i="18"/>
  <c r="AT137" i="18"/>
  <c r="AS137" i="18"/>
  <c r="AR137" i="18"/>
  <c r="AQ137" i="18"/>
  <c r="AP137" i="18"/>
  <c r="AO137" i="18"/>
  <c r="AN137" i="18"/>
  <c r="AM137" i="18"/>
  <c r="AL137" i="18"/>
  <c r="AT136" i="18"/>
  <c r="Z152" i="27" s="1"/>
  <c r="AS136" i="18"/>
  <c r="AR136" i="18"/>
  <c r="AQ136" i="18"/>
  <c r="W152" i="27" s="1"/>
  <c r="AP136" i="18"/>
  <c r="AO136" i="18"/>
  <c r="AN136" i="18"/>
  <c r="AM136" i="18"/>
  <c r="AL136" i="18"/>
  <c r="AT135" i="18"/>
  <c r="AS135" i="18"/>
  <c r="AR135" i="18"/>
  <c r="X151" i="27" s="1"/>
  <c r="AQ135" i="18"/>
  <c r="AP135" i="18"/>
  <c r="AO135" i="18"/>
  <c r="AN135" i="18"/>
  <c r="AM135" i="18"/>
  <c r="AL135" i="18"/>
  <c r="AT134" i="18"/>
  <c r="AS134" i="18"/>
  <c r="Y150" i="27" s="1"/>
  <c r="AR134" i="18"/>
  <c r="AQ134" i="18"/>
  <c r="AP134" i="18"/>
  <c r="AO134" i="18"/>
  <c r="AN134" i="18"/>
  <c r="AM134" i="18"/>
  <c r="AL134" i="18"/>
  <c r="AT133" i="18"/>
  <c r="Z149" i="27" s="1"/>
  <c r="AS133" i="18"/>
  <c r="AR133" i="18"/>
  <c r="AQ133" i="18"/>
  <c r="AP133" i="18"/>
  <c r="AO133" i="18"/>
  <c r="AN133" i="18"/>
  <c r="AM133" i="18"/>
  <c r="AL133" i="18"/>
  <c r="AT132" i="18"/>
  <c r="AS132" i="18"/>
  <c r="AR132" i="18"/>
  <c r="AQ132" i="18"/>
  <c r="AP132" i="18"/>
  <c r="AO132" i="18"/>
  <c r="AN132" i="18"/>
  <c r="AM132" i="18"/>
  <c r="AL132" i="18"/>
  <c r="AT131" i="18"/>
  <c r="AS131" i="18"/>
  <c r="AR131" i="18"/>
  <c r="AQ131" i="18"/>
  <c r="W147" i="27" s="1"/>
  <c r="AP131" i="18"/>
  <c r="AO131" i="18"/>
  <c r="AN131" i="18"/>
  <c r="AM131" i="18"/>
  <c r="AL131" i="18"/>
  <c r="AT130" i="18"/>
  <c r="AS130" i="18"/>
  <c r="AR130" i="18"/>
  <c r="X146" i="27" s="1"/>
  <c r="AQ130" i="18"/>
  <c r="AP130" i="18"/>
  <c r="AO130" i="18"/>
  <c r="AN130" i="18"/>
  <c r="AM130" i="18"/>
  <c r="AL130" i="18"/>
  <c r="AT129" i="18"/>
  <c r="AS129" i="18"/>
  <c r="Y145" i="27" s="1"/>
  <c r="AR129" i="18"/>
  <c r="AQ129" i="18"/>
  <c r="AP129" i="18"/>
  <c r="AO129" i="18"/>
  <c r="AN129" i="18"/>
  <c r="AM129" i="18"/>
  <c r="AL129" i="18"/>
  <c r="AT128" i="18"/>
  <c r="Z144" i="27" s="1"/>
  <c r="AS128" i="18"/>
  <c r="AR128" i="18"/>
  <c r="AQ128" i="18"/>
  <c r="W144" i="27" s="1"/>
  <c r="AP128" i="18"/>
  <c r="AO128" i="18"/>
  <c r="AN128" i="18"/>
  <c r="AM128" i="18"/>
  <c r="AL128" i="18"/>
  <c r="AT127" i="18"/>
  <c r="AS127" i="18"/>
  <c r="AR127" i="18"/>
  <c r="X143" i="27" s="1"/>
  <c r="AQ127" i="18"/>
  <c r="AP127" i="18"/>
  <c r="AO127" i="18"/>
  <c r="AN127" i="18"/>
  <c r="AM127" i="18"/>
  <c r="AL127" i="18"/>
  <c r="AT126" i="18"/>
  <c r="AS126" i="18"/>
  <c r="Y142" i="27" s="1"/>
  <c r="AR126" i="18"/>
  <c r="AQ126" i="18"/>
  <c r="AP126" i="18"/>
  <c r="AO126" i="18"/>
  <c r="AN126" i="18"/>
  <c r="AM126" i="18"/>
  <c r="AL126" i="18"/>
  <c r="AT125" i="18"/>
  <c r="Z141" i="27" s="1"/>
  <c r="AS125" i="18"/>
  <c r="AR125" i="18"/>
  <c r="AQ125" i="18"/>
  <c r="AP125" i="18"/>
  <c r="AO125" i="18"/>
  <c r="AN125" i="18"/>
  <c r="AM125" i="18"/>
  <c r="AL125" i="18"/>
  <c r="AT124" i="18"/>
  <c r="AS124" i="18"/>
  <c r="AR124" i="18"/>
  <c r="AQ124" i="18"/>
  <c r="AP124" i="18"/>
  <c r="AO124" i="18"/>
  <c r="AN124" i="18"/>
  <c r="AM124" i="18"/>
  <c r="AL124" i="18"/>
  <c r="AT123" i="18"/>
  <c r="AS123" i="18"/>
  <c r="AR123" i="18"/>
  <c r="AQ123" i="18"/>
  <c r="W139" i="27" s="1"/>
  <c r="AP123" i="18"/>
  <c r="AO123" i="18"/>
  <c r="AN123" i="18"/>
  <c r="AM123" i="18"/>
  <c r="AL123" i="18"/>
  <c r="AT122" i="18"/>
  <c r="AS122" i="18"/>
  <c r="AR122" i="18"/>
  <c r="X138" i="27" s="1"/>
  <c r="AQ122" i="18"/>
  <c r="AP122" i="18"/>
  <c r="AO122" i="18"/>
  <c r="AN122" i="18"/>
  <c r="AM122" i="18"/>
  <c r="AL122" i="18"/>
  <c r="AT121" i="18"/>
  <c r="AS121" i="18"/>
  <c r="Y137" i="27" s="1"/>
  <c r="AR121" i="18"/>
  <c r="AQ121" i="18"/>
  <c r="AP121" i="18"/>
  <c r="AO121" i="18"/>
  <c r="AN121" i="18"/>
  <c r="AM121" i="18"/>
  <c r="AL121" i="18"/>
  <c r="AT120" i="18"/>
  <c r="Z136" i="27" s="1"/>
  <c r="AS120" i="18"/>
  <c r="AR120" i="18"/>
  <c r="AQ120" i="18"/>
  <c r="W136" i="27" s="1"/>
  <c r="AP120" i="18"/>
  <c r="AO120" i="18"/>
  <c r="AN120" i="18"/>
  <c r="AM120" i="18"/>
  <c r="AL120" i="18"/>
  <c r="AT119" i="18"/>
  <c r="AS119" i="18"/>
  <c r="AR119" i="18"/>
  <c r="X135" i="27" s="1"/>
  <c r="AQ119" i="18"/>
  <c r="AP119" i="18"/>
  <c r="AO119" i="18"/>
  <c r="AN119" i="18"/>
  <c r="AM119" i="18"/>
  <c r="AL119" i="18"/>
  <c r="AT118" i="18"/>
  <c r="AS118" i="18"/>
  <c r="Y134" i="27" s="1"/>
  <c r="AR118" i="18"/>
  <c r="AQ118" i="18"/>
  <c r="AP118" i="18"/>
  <c r="AO118" i="18"/>
  <c r="AN118" i="18"/>
  <c r="AM118" i="18"/>
  <c r="AL118" i="18"/>
  <c r="AT117" i="18"/>
  <c r="Z133" i="27" s="1"/>
  <c r="AS117" i="18"/>
  <c r="AR117" i="18"/>
  <c r="AQ117" i="18"/>
  <c r="AP117" i="18"/>
  <c r="AO117" i="18"/>
  <c r="AN117" i="18"/>
  <c r="AM117" i="18"/>
  <c r="AL117" i="18"/>
  <c r="AT116" i="18"/>
  <c r="AS116" i="18"/>
  <c r="AR116" i="18"/>
  <c r="AQ116" i="18"/>
  <c r="AP116" i="18"/>
  <c r="AO116" i="18"/>
  <c r="AN116" i="18"/>
  <c r="AM116" i="18"/>
  <c r="AL116" i="18"/>
  <c r="AT115" i="18"/>
  <c r="AS115" i="18"/>
  <c r="AR115" i="18"/>
  <c r="AQ115" i="18"/>
  <c r="W131" i="27" s="1"/>
  <c r="AP115" i="18"/>
  <c r="AO115" i="18"/>
  <c r="AN115" i="18"/>
  <c r="AM115" i="18"/>
  <c r="AL115" i="18"/>
  <c r="AT114" i="18"/>
  <c r="AS114" i="18"/>
  <c r="AR114" i="18"/>
  <c r="X130" i="27" s="1"/>
  <c r="AQ114" i="18"/>
  <c r="AP114" i="18"/>
  <c r="AO114" i="18"/>
  <c r="AN114" i="18"/>
  <c r="AM114" i="18"/>
  <c r="AL114" i="18"/>
  <c r="AT113" i="18"/>
  <c r="AS113" i="18"/>
  <c r="Y129" i="27" s="1"/>
  <c r="AR113" i="18"/>
  <c r="AQ113" i="18"/>
  <c r="AP113" i="18"/>
  <c r="AO113" i="18"/>
  <c r="AN113" i="18"/>
  <c r="AM113" i="18"/>
  <c r="AL113" i="18"/>
  <c r="AT112" i="18"/>
  <c r="Z128" i="27" s="1"/>
  <c r="AS112" i="18"/>
  <c r="AR112" i="18"/>
  <c r="AQ112" i="18"/>
  <c r="W128" i="27" s="1"/>
  <c r="AP112" i="18"/>
  <c r="AO112" i="18"/>
  <c r="AN112" i="18"/>
  <c r="AM112" i="18"/>
  <c r="AL112" i="18"/>
  <c r="AT111" i="18"/>
  <c r="AS111" i="18"/>
  <c r="AR111" i="18"/>
  <c r="X127" i="27" s="1"/>
  <c r="AQ111" i="18"/>
  <c r="AP111" i="18"/>
  <c r="AO111" i="18"/>
  <c r="AN111" i="18"/>
  <c r="AM111" i="18"/>
  <c r="AL111" i="18"/>
  <c r="AT110" i="18"/>
  <c r="AS110" i="18"/>
  <c r="Y126" i="27" s="1"/>
  <c r="AR110" i="18"/>
  <c r="AQ110" i="18"/>
  <c r="AP110" i="18"/>
  <c r="AO110" i="18"/>
  <c r="AN110" i="18"/>
  <c r="AM110" i="18"/>
  <c r="AL110" i="18"/>
  <c r="AT109" i="18"/>
  <c r="Z125" i="27" s="1"/>
  <c r="AS109" i="18"/>
  <c r="AR109" i="18"/>
  <c r="AQ109" i="18"/>
  <c r="AP109" i="18"/>
  <c r="AO109" i="18"/>
  <c r="AN109" i="18"/>
  <c r="AM109" i="18"/>
  <c r="AL109" i="18"/>
  <c r="AT108" i="18"/>
  <c r="AS108" i="18"/>
  <c r="AR108" i="18"/>
  <c r="AQ108" i="18"/>
  <c r="AP108" i="18"/>
  <c r="AO108" i="18"/>
  <c r="AN108" i="18"/>
  <c r="AM108" i="18"/>
  <c r="AL108" i="18"/>
  <c r="AT107" i="18"/>
  <c r="AS107" i="18"/>
  <c r="AR107" i="18"/>
  <c r="AQ107" i="18"/>
  <c r="W123" i="27" s="1"/>
  <c r="AP107" i="18"/>
  <c r="AO107" i="18"/>
  <c r="AN107" i="18"/>
  <c r="AM107" i="18"/>
  <c r="AL107" i="18"/>
  <c r="AT106" i="18"/>
  <c r="AS106" i="18"/>
  <c r="AR106" i="18"/>
  <c r="X122" i="27" s="1"/>
  <c r="AQ106" i="18"/>
  <c r="AP106" i="18"/>
  <c r="AO106" i="18"/>
  <c r="AN106" i="18"/>
  <c r="AM106" i="18"/>
  <c r="AL106" i="18"/>
  <c r="AT105" i="18"/>
  <c r="AS105" i="18"/>
  <c r="Y121" i="27" s="1"/>
  <c r="AR105" i="18"/>
  <c r="AQ105" i="18"/>
  <c r="AP105" i="18"/>
  <c r="AO105" i="18"/>
  <c r="AN105" i="18"/>
  <c r="AM105" i="18"/>
  <c r="AL105" i="18"/>
  <c r="AT104" i="18"/>
  <c r="Z120" i="27" s="1"/>
  <c r="AS104" i="18"/>
  <c r="AR104" i="18"/>
  <c r="AQ104" i="18"/>
  <c r="W120" i="27" s="1"/>
  <c r="AP104" i="18"/>
  <c r="AO104" i="18"/>
  <c r="AN104" i="18"/>
  <c r="AM104" i="18"/>
  <c r="AL104" i="18"/>
  <c r="AT103" i="18"/>
  <c r="AS103" i="18"/>
  <c r="AR103" i="18"/>
  <c r="X119" i="27" s="1"/>
  <c r="AQ103" i="18"/>
  <c r="AP103" i="18"/>
  <c r="AO103" i="18"/>
  <c r="AN103" i="18"/>
  <c r="AM103" i="18"/>
  <c r="AL103" i="18"/>
  <c r="AT102" i="18"/>
  <c r="AS102" i="18"/>
  <c r="Y118" i="27" s="1"/>
  <c r="AR102" i="18"/>
  <c r="AQ102" i="18"/>
  <c r="AP102" i="18"/>
  <c r="AO102" i="18"/>
  <c r="AN102" i="18"/>
  <c r="AM102" i="18"/>
  <c r="AL102" i="18"/>
  <c r="AT101" i="18"/>
  <c r="Z117" i="27" s="1"/>
  <c r="AS101" i="18"/>
  <c r="AR101" i="18"/>
  <c r="AQ101" i="18"/>
  <c r="AP101" i="18"/>
  <c r="AO101" i="18"/>
  <c r="AN101" i="18"/>
  <c r="AM101" i="18"/>
  <c r="AL101" i="18"/>
  <c r="AT100" i="18"/>
  <c r="AS100" i="18"/>
  <c r="AR100" i="18"/>
  <c r="AQ100" i="18"/>
  <c r="AP100" i="18"/>
  <c r="AO100" i="18"/>
  <c r="AN100" i="18"/>
  <c r="AM100" i="18"/>
  <c r="AL100" i="18"/>
  <c r="AT99" i="18"/>
  <c r="AS99" i="18"/>
  <c r="AR99" i="18"/>
  <c r="AQ99" i="18"/>
  <c r="W115" i="27" s="1"/>
  <c r="AP99" i="18"/>
  <c r="AO99" i="18"/>
  <c r="AN99" i="18"/>
  <c r="AM99" i="18"/>
  <c r="AL99" i="18"/>
  <c r="AT98" i="18"/>
  <c r="AS98" i="18"/>
  <c r="AR98" i="18"/>
  <c r="X114" i="27" s="1"/>
  <c r="AQ98" i="18"/>
  <c r="AP98" i="18"/>
  <c r="AO98" i="18"/>
  <c r="AN98" i="18"/>
  <c r="AM98" i="18"/>
  <c r="AL98" i="18"/>
  <c r="AT97" i="18"/>
  <c r="AS97" i="18"/>
  <c r="Y113" i="27" s="1"/>
  <c r="AR97" i="18"/>
  <c r="AQ97" i="18"/>
  <c r="AP97" i="18"/>
  <c r="AO97" i="18"/>
  <c r="AN97" i="18"/>
  <c r="AM97" i="18"/>
  <c r="AL97" i="18"/>
  <c r="AT96" i="18"/>
  <c r="Z112" i="27" s="1"/>
  <c r="AS96" i="18"/>
  <c r="AR96" i="18"/>
  <c r="AQ96" i="18"/>
  <c r="W112" i="27" s="1"/>
  <c r="AP96" i="18"/>
  <c r="AO96" i="18"/>
  <c r="AN96" i="18"/>
  <c r="AM96" i="18"/>
  <c r="AL96" i="18"/>
  <c r="AT95" i="18"/>
  <c r="AS95" i="18"/>
  <c r="AR95" i="18"/>
  <c r="AQ95" i="18"/>
  <c r="AP95" i="18"/>
  <c r="AO95" i="18"/>
  <c r="AN95" i="18"/>
  <c r="AM95" i="18"/>
  <c r="AL95" i="18"/>
  <c r="AT94" i="18"/>
  <c r="AS94" i="18"/>
  <c r="AR94" i="18"/>
  <c r="AQ94" i="18"/>
  <c r="AP94" i="18"/>
  <c r="AO94" i="18"/>
  <c r="AN94" i="18"/>
  <c r="AM94" i="18"/>
  <c r="AL94" i="18"/>
  <c r="AT93" i="18"/>
  <c r="AS93" i="18"/>
  <c r="AR93" i="18"/>
  <c r="AQ93" i="18"/>
  <c r="AP93" i="18"/>
  <c r="AO93" i="18"/>
  <c r="AN93" i="18"/>
  <c r="AM93" i="18"/>
  <c r="AL93" i="18"/>
  <c r="AT92" i="18"/>
  <c r="AS92" i="18"/>
  <c r="AR92" i="18"/>
  <c r="AQ92" i="18"/>
  <c r="AP92" i="18"/>
  <c r="AO92" i="18"/>
  <c r="AN92" i="18"/>
  <c r="AM92" i="18"/>
  <c r="AL92" i="18"/>
  <c r="AT91" i="18"/>
  <c r="AS91" i="18"/>
  <c r="AR91" i="18"/>
  <c r="AQ91" i="18"/>
  <c r="AP91" i="18"/>
  <c r="AO91" i="18"/>
  <c r="AN91" i="18"/>
  <c r="AM91" i="18"/>
  <c r="AL91" i="18"/>
  <c r="AT90" i="18"/>
  <c r="AS90" i="18"/>
  <c r="AR90" i="18"/>
  <c r="AQ90" i="18"/>
  <c r="AP90" i="18"/>
  <c r="AO90" i="18"/>
  <c r="AN90" i="18"/>
  <c r="AM90" i="18"/>
  <c r="AL90" i="18"/>
  <c r="AT89" i="18"/>
  <c r="AS89" i="18"/>
  <c r="AR89" i="18"/>
  <c r="AQ89" i="18"/>
  <c r="AP89" i="18"/>
  <c r="AO89" i="18"/>
  <c r="AN89" i="18"/>
  <c r="AM89" i="18"/>
  <c r="AL89" i="18"/>
  <c r="AT88" i="18"/>
  <c r="AS88" i="18"/>
  <c r="AR88" i="18"/>
  <c r="AQ88" i="18"/>
  <c r="AP88" i="18"/>
  <c r="AO88" i="18"/>
  <c r="AN88" i="18"/>
  <c r="AM88" i="18"/>
  <c r="AL88" i="18"/>
  <c r="AT87" i="18"/>
  <c r="AS87" i="18"/>
  <c r="AR87" i="18"/>
  <c r="AQ87" i="18"/>
  <c r="AP87" i="18"/>
  <c r="AO87" i="18"/>
  <c r="AN87" i="18"/>
  <c r="AM87" i="18"/>
  <c r="AL87" i="18"/>
  <c r="AT86" i="18"/>
  <c r="AS86" i="18"/>
  <c r="AR86" i="18"/>
  <c r="AQ86" i="18"/>
  <c r="AP86" i="18"/>
  <c r="AO86" i="18"/>
  <c r="AN86" i="18"/>
  <c r="AM86" i="18"/>
  <c r="AL86" i="18"/>
  <c r="AT85" i="18"/>
  <c r="AS85" i="18"/>
  <c r="AR85" i="18"/>
  <c r="AQ85" i="18"/>
  <c r="AP85" i="18"/>
  <c r="AO85" i="18"/>
  <c r="AN85" i="18"/>
  <c r="AM85" i="18"/>
  <c r="AL85" i="18"/>
  <c r="AT84" i="18"/>
  <c r="AS84" i="18"/>
  <c r="AR84" i="18"/>
  <c r="AQ84" i="18"/>
  <c r="AP84" i="18"/>
  <c r="AO84" i="18"/>
  <c r="AN84" i="18"/>
  <c r="AM84" i="18"/>
  <c r="AL84" i="18"/>
  <c r="AT83" i="18"/>
  <c r="AS83" i="18"/>
  <c r="AR83" i="18"/>
  <c r="AQ83" i="18"/>
  <c r="AP83" i="18"/>
  <c r="AO83" i="18"/>
  <c r="AN83" i="18"/>
  <c r="AM83" i="18"/>
  <c r="AL83" i="18"/>
  <c r="AT82" i="18"/>
  <c r="AS82" i="18"/>
  <c r="AR82" i="18"/>
  <c r="AQ82" i="18"/>
  <c r="AP82" i="18"/>
  <c r="AO82" i="18"/>
  <c r="AN82" i="18"/>
  <c r="AM82" i="18"/>
  <c r="AL82" i="18"/>
  <c r="AT81" i="18"/>
  <c r="AS81" i="18"/>
  <c r="AR81" i="18"/>
  <c r="AQ81" i="18"/>
  <c r="AP81" i="18"/>
  <c r="AO81" i="18"/>
  <c r="AN81" i="18"/>
  <c r="AM81" i="18"/>
  <c r="AL81" i="18"/>
  <c r="AT80" i="18"/>
  <c r="AS80" i="18"/>
  <c r="AR80" i="18"/>
  <c r="AQ80" i="18"/>
  <c r="AP80" i="18"/>
  <c r="AO80" i="18"/>
  <c r="AN80" i="18"/>
  <c r="AM80" i="18"/>
  <c r="AL80" i="18"/>
  <c r="AT79" i="18"/>
  <c r="AS79" i="18"/>
  <c r="AR79" i="18"/>
  <c r="AQ79" i="18"/>
  <c r="AP79" i="18"/>
  <c r="AO79" i="18"/>
  <c r="AN79" i="18"/>
  <c r="AM79" i="18"/>
  <c r="AL79" i="18"/>
  <c r="AT78" i="18"/>
  <c r="AS78" i="18"/>
  <c r="AR78" i="18"/>
  <c r="AQ78" i="18"/>
  <c r="AP78" i="18"/>
  <c r="AO78" i="18"/>
  <c r="AN78" i="18"/>
  <c r="AM78" i="18"/>
  <c r="AL78" i="18"/>
  <c r="AT77" i="18"/>
  <c r="AS77" i="18"/>
  <c r="AR77" i="18"/>
  <c r="AQ77" i="18"/>
  <c r="AP77" i="18"/>
  <c r="AO77" i="18"/>
  <c r="AN77" i="18"/>
  <c r="AM77" i="18"/>
  <c r="AL77" i="18"/>
  <c r="AT76" i="18"/>
  <c r="AS76" i="18"/>
  <c r="AR76" i="18"/>
  <c r="AQ76" i="18"/>
  <c r="AP76" i="18"/>
  <c r="AO76" i="18"/>
  <c r="AN76" i="18"/>
  <c r="AM76" i="18"/>
  <c r="AL76" i="18"/>
  <c r="AL156" i="13"/>
  <c r="AQ156" i="13"/>
  <c r="AM156" i="13"/>
  <c r="AN156" i="13"/>
  <c r="AR156" i="13"/>
  <c r="AO156" i="13"/>
  <c r="AP156" i="13"/>
  <c r="AS156" i="13"/>
  <c r="AT156" i="13"/>
  <c r="AL157" i="13"/>
  <c r="AS157" i="13"/>
  <c r="AM157" i="13"/>
  <c r="AN157" i="13"/>
  <c r="AO157" i="13"/>
  <c r="AP157" i="13"/>
  <c r="AR157" i="13"/>
  <c r="AT157" i="13"/>
  <c r="AL158" i="13"/>
  <c r="AR158" i="13"/>
  <c r="AM158" i="13"/>
  <c r="AN158" i="13"/>
  <c r="AO158" i="13"/>
  <c r="AP158" i="13"/>
  <c r="AQ158" i="13"/>
  <c r="AT158" i="13"/>
  <c r="AL159" i="13"/>
  <c r="AQ159" i="13"/>
  <c r="AM159" i="13"/>
  <c r="AN159" i="13"/>
  <c r="AO159" i="13"/>
  <c r="AP159" i="13"/>
  <c r="AT159" i="13"/>
  <c r="AR159" i="13"/>
  <c r="AS159" i="13"/>
  <c r="AL160" i="13"/>
  <c r="AM160" i="13"/>
  <c r="AN160" i="13"/>
  <c r="AO160" i="13"/>
  <c r="AS160" i="13"/>
  <c r="AP160" i="13"/>
  <c r="AT160" i="13"/>
  <c r="AQ160" i="13"/>
  <c r="AR160" i="13"/>
  <c r="AL161" i="13"/>
  <c r="AR161" i="13"/>
  <c r="AM161" i="13"/>
  <c r="AN161" i="13"/>
  <c r="AO161" i="13"/>
  <c r="AP161" i="13"/>
  <c r="AT161" i="13"/>
  <c r="AQ161" i="13"/>
  <c r="AL162" i="13"/>
  <c r="AQ162" i="13"/>
  <c r="AM162" i="13"/>
  <c r="AN162" i="13"/>
  <c r="AO162" i="13"/>
  <c r="AS162" i="13"/>
  <c r="AP162" i="13"/>
  <c r="AT162" i="13"/>
  <c r="AL163" i="13"/>
  <c r="AT163" i="13"/>
  <c r="AM163" i="13"/>
  <c r="AN163" i="13"/>
  <c r="AO163" i="13"/>
  <c r="AP163" i="13"/>
  <c r="AL164" i="13"/>
  <c r="AQ164" i="13"/>
  <c r="AM164" i="13"/>
  <c r="AN164" i="13"/>
  <c r="AR164" i="13"/>
  <c r="AO164" i="13"/>
  <c r="AP164" i="13"/>
  <c r="AS164" i="13"/>
  <c r="AT164" i="13"/>
  <c r="AL165" i="13"/>
  <c r="AS165" i="13"/>
  <c r="AM165" i="13"/>
  <c r="AN165" i="13"/>
  <c r="AO165" i="13"/>
  <c r="AP165" i="13"/>
  <c r="AR165" i="13"/>
  <c r="AT165" i="13"/>
  <c r="AL166" i="13"/>
  <c r="AM166" i="13"/>
  <c r="AN166" i="13"/>
  <c r="AO166" i="13"/>
  <c r="AP166" i="13"/>
  <c r="AQ166" i="13"/>
  <c r="AR166" i="13"/>
  <c r="AS166" i="13"/>
  <c r="AT166" i="13"/>
  <c r="AL167" i="13"/>
  <c r="AM167" i="13"/>
  <c r="AN167" i="13"/>
  <c r="AO167" i="13"/>
  <c r="AP167" i="13"/>
  <c r="AQ167" i="13"/>
  <c r="AR167" i="13"/>
  <c r="AS167" i="13"/>
  <c r="AT167" i="13"/>
  <c r="AL168" i="13"/>
  <c r="AM168" i="13"/>
  <c r="AN168" i="13"/>
  <c r="AO168" i="13"/>
  <c r="AP168" i="13"/>
  <c r="AQ168" i="13"/>
  <c r="AR168" i="13"/>
  <c r="AS168" i="13"/>
  <c r="AT168" i="13"/>
  <c r="AL169" i="13"/>
  <c r="AM169" i="13"/>
  <c r="AN169" i="13"/>
  <c r="AO169" i="13"/>
  <c r="AP169" i="13"/>
  <c r="AQ169" i="13"/>
  <c r="AR169" i="13"/>
  <c r="AS169" i="13"/>
  <c r="AT169" i="13"/>
  <c r="AL170" i="13"/>
  <c r="AM170" i="13"/>
  <c r="AN170" i="13"/>
  <c r="AO170" i="13"/>
  <c r="AP170" i="13"/>
  <c r="AQ170" i="13"/>
  <c r="AR170" i="13"/>
  <c r="AS170" i="13"/>
  <c r="AT170" i="13"/>
  <c r="AL171" i="13"/>
  <c r="AM171" i="13"/>
  <c r="AN171" i="13"/>
  <c r="AO171" i="13"/>
  <c r="AP171" i="13"/>
  <c r="AQ171" i="13"/>
  <c r="AR171" i="13"/>
  <c r="AS171" i="13"/>
  <c r="AT171" i="13"/>
  <c r="AL172" i="13"/>
  <c r="AM172" i="13"/>
  <c r="AN172" i="13"/>
  <c r="AO172" i="13"/>
  <c r="AP172" i="13"/>
  <c r="AQ172" i="13"/>
  <c r="AR172" i="13"/>
  <c r="AS172" i="13"/>
  <c r="AT172" i="13"/>
  <c r="AL173" i="13"/>
  <c r="AM173" i="13"/>
  <c r="AN173" i="13"/>
  <c r="AO173" i="13"/>
  <c r="AP173" i="13"/>
  <c r="AQ173" i="13"/>
  <c r="AR173" i="13"/>
  <c r="AS173" i="13"/>
  <c r="AT173" i="13"/>
  <c r="AL174" i="13"/>
  <c r="AM174" i="13"/>
  <c r="AN174" i="13"/>
  <c r="AO174" i="13"/>
  <c r="AP174" i="13"/>
  <c r="AQ174" i="13"/>
  <c r="AR174" i="13"/>
  <c r="AS174" i="13"/>
  <c r="AT174" i="13"/>
  <c r="AL175" i="13"/>
  <c r="AM175" i="13"/>
  <c r="AN175" i="13"/>
  <c r="AO175" i="13"/>
  <c r="AP175" i="13"/>
  <c r="AQ175" i="13"/>
  <c r="AR175" i="13"/>
  <c r="AS175" i="13"/>
  <c r="AT175" i="13"/>
  <c r="AL176" i="13"/>
  <c r="AM176" i="13"/>
  <c r="AN176" i="13"/>
  <c r="AO176" i="13"/>
  <c r="AP176" i="13"/>
  <c r="AQ176" i="13"/>
  <c r="AR176" i="13"/>
  <c r="AS176" i="13"/>
  <c r="AT176" i="13"/>
  <c r="AL177" i="13"/>
  <c r="AM177" i="13"/>
  <c r="AN177" i="13"/>
  <c r="AO177" i="13"/>
  <c r="AP177" i="13"/>
  <c r="AQ177" i="13"/>
  <c r="AR177" i="13"/>
  <c r="AS177" i="13"/>
  <c r="AT177" i="13"/>
  <c r="AL178" i="13"/>
  <c r="AM178" i="13"/>
  <c r="AN178" i="13"/>
  <c r="AO178" i="13"/>
  <c r="AP178" i="13"/>
  <c r="AQ178" i="13"/>
  <c r="AR178" i="13"/>
  <c r="AS178" i="13"/>
  <c r="AT178" i="13"/>
  <c r="AL179" i="13"/>
  <c r="AM179" i="13"/>
  <c r="AN179" i="13"/>
  <c r="AO179" i="13"/>
  <c r="AP179" i="13"/>
  <c r="AQ179" i="13"/>
  <c r="AR179" i="13"/>
  <c r="AS179" i="13"/>
  <c r="AT179" i="13"/>
  <c r="AL180" i="13"/>
  <c r="AM180" i="13"/>
  <c r="AN180" i="13"/>
  <c r="AO180" i="13"/>
  <c r="AP180" i="13"/>
  <c r="AQ180" i="13"/>
  <c r="AR180" i="13"/>
  <c r="AS180" i="13"/>
  <c r="AT180" i="13"/>
  <c r="AL181" i="13"/>
  <c r="AM181" i="13"/>
  <c r="AN181" i="13"/>
  <c r="AO181" i="13"/>
  <c r="AP181" i="13"/>
  <c r="AQ181" i="13"/>
  <c r="AR181" i="13"/>
  <c r="AS181" i="13"/>
  <c r="AT181" i="13"/>
  <c r="AL182" i="13"/>
  <c r="AM182" i="13"/>
  <c r="AN182" i="13"/>
  <c r="AO182" i="13"/>
  <c r="AP182" i="13"/>
  <c r="AQ182" i="13"/>
  <c r="AR182" i="13"/>
  <c r="AS182" i="13"/>
  <c r="AT182" i="13"/>
  <c r="AL183" i="13"/>
  <c r="AM183" i="13"/>
  <c r="AN183" i="13"/>
  <c r="AO183" i="13"/>
  <c r="AP183" i="13"/>
  <c r="AQ183" i="13"/>
  <c r="AR183" i="13"/>
  <c r="AS183" i="13"/>
  <c r="AT183" i="13"/>
  <c r="AL184" i="13"/>
  <c r="AM184" i="13"/>
  <c r="AN184" i="13"/>
  <c r="AO184" i="13"/>
  <c r="AP184" i="13"/>
  <c r="AQ184" i="13"/>
  <c r="AR184" i="13"/>
  <c r="AS184" i="13"/>
  <c r="AT184" i="13"/>
  <c r="AL185" i="13"/>
  <c r="AM185" i="13"/>
  <c r="AN185" i="13"/>
  <c r="AO185" i="13"/>
  <c r="AP185" i="13"/>
  <c r="AQ185" i="13"/>
  <c r="AR185" i="13"/>
  <c r="AS185" i="13"/>
  <c r="AT185" i="13"/>
  <c r="AL186" i="13"/>
  <c r="AM186" i="13"/>
  <c r="AN186" i="13"/>
  <c r="AO186" i="13"/>
  <c r="AP186" i="13"/>
  <c r="AQ186" i="13"/>
  <c r="AR186" i="13"/>
  <c r="AS186" i="13"/>
  <c r="AT186" i="13"/>
  <c r="AL187" i="13"/>
  <c r="AM187" i="13"/>
  <c r="AN187" i="13"/>
  <c r="AO187" i="13"/>
  <c r="AP187" i="13"/>
  <c r="AQ187" i="13"/>
  <c r="AR187" i="13"/>
  <c r="AS187" i="13"/>
  <c r="AT187" i="13"/>
  <c r="AL188" i="13"/>
  <c r="AM188" i="13"/>
  <c r="AN188" i="13"/>
  <c r="AO188" i="13"/>
  <c r="AP188" i="13"/>
  <c r="AQ188" i="13"/>
  <c r="AR188" i="13"/>
  <c r="AS188" i="13"/>
  <c r="AT188" i="13"/>
  <c r="AL189" i="13"/>
  <c r="AM189" i="13"/>
  <c r="AN189" i="13"/>
  <c r="AO189" i="13"/>
  <c r="AP189" i="13"/>
  <c r="AQ189" i="13"/>
  <c r="AR189" i="13"/>
  <c r="AS189" i="13"/>
  <c r="AT189" i="13"/>
  <c r="AL190" i="13"/>
  <c r="AM190" i="13"/>
  <c r="AN190" i="13"/>
  <c r="AO190" i="13"/>
  <c r="AP190" i="13"/>
  <c r="AQ190" i="13"/>
  <c r="AR190" i="13"/>
  <c r="AS190" i="13"/>
  <c r="AT190" i="13"/>
  <c r="AL191" i="13"/>
  <c r="AM191" i="13"/>
  <c r="AN191" i="13"/>
  <c r="AO191" i="13"/>
  <c r="AP191" i="13"/>
  <c r="AQ191" i="13"/>
  <c r="AR191" i="13"/>
  <c r="AS191" i="13"/>
  <c r="AT191" i="13"/>
  <c r="AL192" i="13"/>
  <c r="AM192" i="13"/>
  <c r="AN192" i="13"/>
  <c r="AO192" i="13"/>
  <c r="AP192" i="13"/>
  <c r="AQ192" i="13"/>
  <c r="AR192" i="13"/>
  <c r="AS192" i="13"/>
  <c r="AT192" i="13"/>
  <c r="AL193" i="13"/>
  <c r="AM193" i="13"/>
  <c r="AN193" i="13"/>
  <c r="AO193" i="13"/>
  <c r="AP193" i="13"/>
  <c r="AQ193" i="13"/>
  <c r="AR193" i="13"/>
  <c r="AS193" i="13"/>
  <c r="AT193" i="13"/>
  <c r="AL194" i="13"/>
  <c r="AM194" i="13"/>
  <c r="AN194" i="13"/>
  <c r="AO194" i="13"/>
  <c r="AP194" i="13"/>
  <c r="AQ194" i="13"/>
  <c r="AR194" i="13"/>
  <c r="AS194" i="13"/>
  <c r="AT194" i="13"/>
  <c r="AL195" i="13"/>
  <c r="AM195" i="13"/>
  <c r="AN195" i="13"/>
  <c r="AO195" i="13"/>
  <c r="AP195" i="13"/>
  <c r="AQ195" i="13"/>
  <c r="AR195" i="13"/>
  <c r="AS195" i="13"/>
  <c r="AT195" i="13"/>
  <c r="AL196" i="13"/>
  <c r="AM196" i="13"/>
  <c r="AN196" i="13"/>
  <c r="AO196" i="13"/>
  <c r="AP196" i="13"/>
  <c r="AQ196" i="13"/>
  <c r="AR196" i="13"/>
  <c r="AS196" i="13"/>
  <c r="AT196" i="13"/>
  <c r="AL197" i="13"/>
  <c r="AM197" i="13"/>
  <c r="AN197" i="13"/>
  <c r="AO197" i="13"/>
  <c r="AP197" i="13"/>
  <c r="AQ197" i="13"/>
  <c r="AR197" i="13"/>
  <c r="AS197" i="13"/>
  <c r="AT197" i="13"/>
  <c r="AL198" i="13"/>
  <c r="AM198" i="13"/>
  <c r="AN198" i="13"/>
  <c r="AO198" i="13"/>
  <c r="AP198" i="13"/>
  <c r="AQ198" i="13"/>
  <c r="AR198" i="13"/>
  <c r="AS198" i="13"/>
  <c r="AT198" i="13"/>
  <c r="AL199" i="13"/>
  <c r="AM199" i="13"/>
  <c r="AN199" i="13"/>
  <c r="AO199" i="13"/>
  <c r="AP199" i="13"/>
  <c r="AQ199" i="13"/>
  <c r="AR199" i="13"/>
  <c r="AS199" i="13"/>
  <c r="AT199" i="13"/>
  <c r="AL200" i="13"/>
  <c r="AM200" i="13"/>
  <c r="AN200" i="13"/>
  <c r="AO200" i="13"/>
  <c r="AP200" i="13"/>
  <c r="AQ200" i="13"/>
  <c r="AR200" i="13"/>
  <c r="AS200" i="13"/>
  <c r="AT200" i="13"/>
  <c r="AL201" i="13"/>
  <c r="AM201" i="13"/>
  <c r="AN201" i="13"/>
  <c r="AO201" i="13"/>
  <c r="AP201" i="13"/>
  <c r="AQ201" i="13"/>
  <c r="AR201" i="13"/>
  <c r="AS201" i="13"/>
  <c r="AT201" i="13"/>
  <c r="AL202" i="13"/>
  <c r="AM202" i="13"/>
  <c r="AN202" i="13"/>
  <c r="AO202" i="13"/>
  <c r="AP202" i="13"/>
  <c r="AQ202" i="13"/>
  <c r="AR202" i="13"/>
  <c r="AS202" i="13"/>
  <c r="AT202" i="13"/>
  <c r="AL203" i="13"/>
  <c r="AM203" i="13"/>
  <c r="AN203" i="13"/>
  <c r="AO203" i="13"/>
  <c r="AP203" i="13"/>
  <c r="AQ203" i="13"/>
  <c r="AR203" i="13"/>
  <c r="AS203" i="13"/>
  <c r="AT203" i="13"/>
  <c r="AL204" i="13"/>
  <c r="AM204" i="13"/>
  <c r="AN204" i="13"/>
  <c r="AO204" i="13"/>
  <c r="AP204" i="13"/>
  <c r="AQ204" i="13"/>
  <c r="AR204" i="13"/>
  <c r="AS204" i="13"/>
  <c r="AT204" i="13"/>
  <c r="AL205" i="13"/>
  <c r="AM205" i="13"/>
  <c r="AN205" i="13"/>
  <c r="AO205" i="13"/>
  <c r="AP205" i="13"/>
  <c r="AQ205" i="13"/>
  <c r="AR205" i="13"/>
  <c r="AS205" i="13"/>
  <c r="AT205" i="13"/>
  <c r="T76" i="20"/>
  <c r="X76" i="20"/>
  <c r="Y76" i="20"/>
  <c r="K94" i="20"/>
  <c r="O94" i="20"/>
  <c r="J95" i="20"/>
  <c r="AF77" i="20"/>
  <c r="AI76" i="20"/>
  <c r="S77" i="20"/>
  <c r="R78" i="20"/>
  <c r="R72" i="21"/>
  <c r="S71" i="21"/>
  <c r="T71" i="21"/>
  <c r="X71" i="21"/>
  <c r="Y71" i="21"/>
  <c r="AI73" i="21"/>
  <c r="AF74" i="21"/>
  <c r="J83" i="21"/>
  <c r="K82" i="21"/>
  <c r="O82" i="21"/>
  <c r="AQ165" i="13"/>
  <c r="AS163" i="13"/>
  <c r="AQ157" i="13"/>
  <c r="AR163" i="13"/>
  <c r="AQ163" i="13"/>
  <c r="AR162" i="13"/>
  <c r="AS161" i="13"/>
  <c r="AS158" i="13"/>
  <c r="K95" i="20"/>
  <c r="O95" i="20"/>
  <c r="D113" i="20"/>
  <c r="T77" i="20"/>
  <c r="X77" i="20"/>
  <c r="Y77" i="20"/>
  <c r="AI77" i="20"/>
  <c r="AF78" i="20"/>
  <c r="S78" i="20"/>
  <c r="R79" i="20"/>
  <c r="S72" i="21"/>
  <c r="T72" i="21"/>
  <c r="X72" i="21"/>
  <c r="Y72" i="21"/>
  <c r="R73" i="21"/>
  <c r="J84" i="21"/>
  <c r="K83" i="21"/>
  <c r="O83" i="21"/>
  <c r="AI74" i="21"/>
  <c r="AF75" i="21"/>
  <c r="AI78" i="20"/>
  <c r="AF79" i="20"/>
  <c r="S79" i="20"/>
  <c r="R80" i="20"/>
  <c r="T78" i="20"/>
  <c r="X78" i="20"/>
  <c r="Y78" i="20"/>
  <c r="S73" i="21"/>
  <c r="T73" i="21"/>
  <c r="X73" i="21"/>
  <c r="Y73" i="21"/>
  <c r="R74" i="21"/>
  <c r="AF76" i="21"/>
  <c r="AI75" i="21"/>
  <c r="J85" i="21"/>
  <c r="K84" i="21"/>
  <c r="O84" i="21"/>
  <c r="F19" i="24"/>
  <c r="F20" i="24"/>
  <c r="T79" i="20"/>
  <c r="X79" i="20"/>
  <c r="Y79" i="20"/>
  <c r="AI79" i="20"/>
  <c r="AF80" i="20"/>
  <c r="S80" i="20"/>
  <c r="R81" i="20"/>
  <c r="R75" i="21"/>
  <c r="S74" i="21"/>
  <c r="T74" i="21"/>
  <c r="X74" i="21"/>
  <c r="Y74" i="21"/>
  <c r="J86" i="21"/>
  <c r="K85" i="21"/>
  <c r="O85" i="21"/>
  <c r="AI76" i="21"/>
  <c r="AF77" i="21"/>
  <c r="S81" i="20"/>
  <c r="R82" i="20"/>
  <c r="T80" i="20"/>
  <c r="X80" i="20"/>
  <c r="Y80" i="20"/>
  <c r="AF81" i="20"/>
  <c r="AI80" i="20"/>
  <c r="S75" i="21"/>
  <c r="T75" i="21"/>
  <c r="X75" i="21"/>
  <c r="Y75" i="21"/>
  <c r="R76" i="21"/>
  <c r="AI77" i="21"/>
  <c r="AF78" i="21"/>
  <c r="J87" i="21"/>
  <c r="K86" i="21"/>
  <c r="O86" i="21"/>
  <c r="S82" i="20"/>
  <c r="R83" i="20"/>
  <c r="AF82" i="20"/>
  <c r="AI81" i="20"/>
  <c r="T81" i="20"/>
  <c r="X81" i="20"/>
  <c r="Y81" i="20"/>
  <c r="S76" i="21"/>
  <c r="T76" i="21"/>
  <c r="X76" i="21"/>
  <c r="Y76" i="21"/>
  <c r="R77" i="21"/>
  <c r="J88" i="21"/>
  <c r="K87" i="21"/>
  <c r="O87" i="21"/>
  <c r="AI78" i="21"/>
  <c r="AF79" i="21"/>
  <c r="AI82" i="20"/>
  <c r="AF83" i="20"/>
  <c r="S83" i="20"/>
  <c r="R84" i="20"/>
  <c r="T82" i="20"/>
  <c r="X82" i="20"/>
  <c r="Y82" i="20"/>
  <c r="R78" i="21"/>
  <c r="S77" i="21"/>
  <c r="T77" i="21"/>
  <c r="X77" i="21"/>
  <c r="Y77" i="21"/>
  <c r="AF80" i="21"/>
  <c r="AI79" i="21"/>
  <c r="J89" i="21"/>
  <c r="K88" i="21"/>
  <c r="O88" i="21"/>
  <c r="T83" i="20"/>
  <c r="X83" i="20"/>
  <c r="Y83" i="20"/>
  <c r="AF84" i="20"/>
  <c r="AI83" i="20"/>
  <c r="S84" i="20"/>
  <c r="R85" i="20"/>
  <c r="R79" i="21"/>
  <c r="S78" i="21"/>
  <c r="T78" i="21"/>
  <c r="X78" i="21"/>
  <c r="Y78" i="21"/>
  <c r="J90" i="21"/>
  <c r="K89" i="21"/>
  <c r="O89" i="21"/>
  <c r="AF81" i="21"/>
  <c r="AI80" i="21"/>
  <c r="S85" i="20"/>
  <c r="R86" i="20"/>
  <c r="T84" i="20"/>
  <c r="X84" i="20"/>
  <c r="Y84" i="20"/>
  <c r="AF85" i="20"/>
  <c r="AI84" i="20"/>
  <c r="R80" i="21"/>
  <c r="S79" i="21"/>
  <c r="T79" i="21"/>
  <c r="X79" i="21"/>
  <c r="Y79" i="21"/>
  <c r="AI81" i="21"/>
  <c r="AF82" i="21"/>
  <c r="J91" i="21"/>
  <c r="K90" i="21"/>
  <c r="O90" i="21"/>
  <c r="AF86" i="20"/>
  <c r="AI85" i="20"/>
  <c r="S86" i="20"/>
  <c r="R87" i="20"/>
  <c r="T85" i="20"/>
  <c r="X85" i="20"/>
  <c r="Y85" i="20"/>
  <c r="S80" i="21"/>
  <c r="T80" i="21"/>
  <c r="X80" i="21"/>
  <c r="Y80" i="21"/>
  <c r="R81" i="21"/>
  <c r="J92" i="21"/>
  <c r="K91" i="21"/>
  <c r="O91" i="21"/>
  <c r="AF83" i="21"/>
  <c r="AI82" i="21"/>
  <c r="T86" i="20"/>
  <c r="X86" i="20"/>
  <c r="Y86" i="20"/>
  <c r="S87" i="20"/>
  <c r="R88" i="20"/>
  <c r="AF87" i="20"/>
  <c r="AI86" i="20"/>
  <c r="S81" i="21"/>
  <c r="T81" i="21"/>
  <c r="X81" i="21"/>
  <c r="Y81" i="21"/>
  <c r="R82" i="21"/>
  <c r="AI83" i="21"/>
  <c r="AF84" i="21"/>
  <c r="J93" i="21"/>
  <c r="K92" i="21"/>
  <c r="O92" i="21"/>
  <c r="AF88" i="20"/>
  <c r="AI87" i="20"/>
  <c r="S88" i="20"/>
  <c r="R89" i="20"/>
  <c r="T87" i="20"/>
  <c r="X87" i="20"/>
  <c r="Y87" i="20"/>
  <c r="S82" i="21"/>
  <c r="T82" i="21"/>
  <c r="X82" i="21"/>
  <c r="Y82" i="21"/>
  <c r="R83" i="21"/>
  <c r="J94" i="21"/>
  <c r="K93" i="21"/>
  <c r="O93" i="21"/>
  <c r="AF85" i="21"/>
  <c r="AI84" i="21"/>
  <c r="S89" i="20"/>
  <c r="R90" i="20"/>
  <c r="T88" i="20"/>
  <c r="X88" i="20"/>
  <c r="Y88" i="20"/>
  <c r="AF89" i="20"/>
  <c r="AI88" i="20"/>
  <c r="S83" i="21"/>
  <c r="T83" i="21"/>
  <c r="X83" i="21"/>
  <c r="Y83" i="21"/>
  <c r="R84" i="21"/>
  <c r="AF86" i="21"/>
  <c r="AI85" i="21"/>
  <c r="J95" i="21"/>
  <c r="K95" i="21"/>
  <c r="O95" i="21"/>
  <c r="K94" i="21"/>
  <c r="O94" i="21"/>
  <c r="B53" i="27"/>
  <c r="B67" i="27"/>
  <c r="U4" i="27"/>
  <c r="X4" i="27"/>
  <c r="AA4" i="27"/>
  <c r="AD4" i="27"/>
  <c r="F94" i="18"/>
  <c r="F51" i="27"/>
  <c r="E94" i="18"/>
  <c r="AB68" i="18"/>
  <c r="F50" i="27"/>
  <c r="E49" i="27"/>
  <c r="E48" i="27"/>
  <c r="F90" i="18"/>
  <c r="F47" i="27"/>
  <c r="E90" i="18"/>
  <c r="E47" i="27"/>
  <c r="B37" i="27"/>
  <c r="F89" i="18"/>
  <c r="F46" i="27"/>
  <c r="E89" i="18"/>
  <c r="H89" i="18"/>
  <c r="F88" i="18"/>
  <c r="F45" i="27" s="1"/>
  <c r="E88" i="18"/>
  <c r="B45" i="27"/>
  <c r="J45" i="27" s="1"/>
  <c r="F87" i="18"/>
  <c r="E87" i="18"/>
  <c r="E44" i="27" s="1"/>
  <c r="F86" i="18"/>
  <c r="E86" i="18"/>
  <c r="H86" i="18" s="1"/>
  <c r="B43" i="27"/>
  <c r="K43" i="27"/>
  <c r="F85" i="18"/>
  <c r="E85" i="18"/>
  <c r="F84" i="18"/>
  <c r="E84" i="18"/>
  <c r="F83" i="18"/>
  <c r="E83" i="18"/>
  <c r="E40" i="27"/>
  <c r="F82" i="18"/>
  <c r="E82" i="18"/>
  <c r="R10" i="27"/>
  <c r="U10" i="27"/>
  <c r="X10" i="27"/>
  <c r="AA10" i="27"/>
  <c r="AD10" i="27"/>
  <c r="R12" i="27"/>
  <c r="U12" i="27"/>
  <c r="X12" i="27"/>
  <c r="AA12" i="27"/>
  <c r="AD12" i="27"/>
  <c r="F10" i="13"/>
  <c r="L86" i="13"/>
  <c r="M9" i="26"/>
  <c r="F13" i="19"/>
  <c r="F10" i="19"/>
  <c r="U22" i="27"/>
  <c r="B24" i="27"/>
  <c r="B25" i="27"/>
  <c r="B95" i="13"/>
  <c r="C82" i="13"/>
  <c r="C23" i="27"/>
  <c r="C83" i="13"/>
  <c r="C24" i="27"/>
  <c r="C84" i="13"/>
  <c r="C25" i="27"/>
  <c r="C85" i="13"/>
  <c r="C26" i="27"/>
  <c r="C86" i="13"/>
  <c r="C27" i="27"/>
  <c r="C87" i="13"/>
  <c r="C28" i="27"/>
  <c r="C88" i="13"/>
  <c r="C29" i="27"/>
  <c r="C89" i="13"/>
  <c r="C30" i="27"/>
  <c r="C90" i="13"/>
  <c r="C31" i="27"/>
  <c r="C91" i="13"/>
  <c r="C32" i="27"/>
  <c r="C92" i="13"/>
  <c r="C33" i="27"/>
  <c r="C93" i="13"/>
  <c r="C34" i="27"/>
  <c r="X5" i="27"/>
  <c r="L69" i="27"/>
  <c r="B69" i="27"/>
  <c r="B71" i="27"/>
  <c r="U5" i="27"/>
  <c r="L53" i="27"/>
  <c r="B73" i="27"/>
  <c r="AD5" i="27"/>
  <c r="L101" i="27"/>
  <c r="B101" i="27"/>
  <c r="B74" i="27"/>
  <c r="O5" i="27"/>
  <c r="L21" i="27" s="1"/>
  <c r="B75" i="27"/>
  <c r="R5" i="27"/>
  <c r="L37" i="27" s="1"/>
  <c r="L46" i="27" s="1"/>
  <c r="B76" i="27"/>
  <c r="AA5" i="27"/>
  <c r="L85" i="27"/>
  <c r="B85" i="27"/>
  <c r="B87" i="27"/>
  <c r="C83" i="27"/>
  <c r="B83" i="27"/>
  <c r="B88" i="27"/>
  <c r="B89" i="27"/>
  <c r="B90" i="27"/>
  <c r="B91" i="27"/>
  <c r="B92" i="27"/>
  <c r="B93" i="27"/>
  <c r="B94" i="27"/>
  <c r="B99" i="27"/>
  <c r="B79" i="27"/>
  <c r="B81" i="27"/>
  <c r="B82" i="27"/>
  <c r="R6" i="27"/>
  <c r="U6" i="27"/>
  <c r="X6" i="27"/>
  <c r="AA6" i="27"/>
  <c r="AD6" i="27"/>
  <c r="E24" i="24"/>
  <c r="G24" i="24"/>
  <c r="O4" i="27"/>
  <c r="U23" i="27"/>
  <c r="U24" i="27"/>
  <c r="U25" i="27"/>
  <c r="U26" i="27"/>
  <c r="AI205" i="13"/>
  <c r="AH205" i="13"/>
  <c r="AG205" i="13"/>
  <c r="AF205" i="13"/>
  <c r="AE205" i="13"/>
  <c r="AD205" i="13"/>
  <c r="AC205" i="13"/>
  <c r="AB205" i="13"/>
  <c r="AI204" i="13"/>
  <c r="AH204" i="13"/>
  <c r="AG204" i="13"/>
  <c r="AF204" i="13"/>
  <c r="AE204" i="13"/>
  <c r="AD204" i="13"/>
  <c r="AC204" i="13"/>
  <c r="AB204" i="13"/>
  <c r="AI203" i="13"/>
  <c r="AH203" i="13"/>
  <c r="AG203" i="13"/>
  <c r="AF203" i="13"/>
  <c r="AE203" i="13"/>
  <c r="AD203" i="13"/>
  <c r="AC203" i="13"/>
  <c r="AB203" i="13"/>
  <c r="AI202" i="13"/>
  <c r="AH202" i="13"/>
  <c r="AG202" i="13"/>
  <c r="AF202" i="13"/>
  <c r="AE202" i="13"/>
  <c r="AD202" i="13"/>
  <c r="AC202" i="13"/>
  <c r="AB202" i="13"/>
  <c r="AI201" i="13"/>
  <c r="AH201" i="13"/>
  <c r="AG201" i="13"/>
  <c r="AF201" i="13"/>
  <c r="AE201" i="13"/>
  <c r="AD201" i="13"/>
  <c r="AC201" i="13"/>
  <c r="AB201" i="13"/>
  <c r="AI200" i="13"/>
  <c r="AH200" i="13"/>
  <c r="AG200" i="13"/>
  <c r="AF200" i="13"/>
  <c r="AE200" i="13"/>
  <c r="AD200" i="13"/>
  <c r="AC200" i="13"/>
  <c r="AB200" i="13"/>
  <c r="AI199" i="13"/>
  <c r="AH199" i="13"/>
  <c r="AG199" i="13"/>
  <c r="AF199" i="13"/>
  <c r="AE199" i="13"/>
  <c r="AD199" i="13"/>
  <c r="AC199" i="13"/>
  <c r="AB199" i="13"/>
  <c r="AI198" i="13"/>
  <c r="AH198" i="13"/>
  <c r="AG198" i="13"/>
  <c r="AF198" i="13"/>
  <c r="AE198" i="13"/>
  <c r="AD198" i="13"/>
  <c r="AC198" i="13"/>
  <c r="AB198" i="13"/>
  <c r="AI197" i="13"/>
  <c r="AH197" i="13"/>
  <c r="AG197" i="13"/>
  <c r="AF197" i="13"/>
  <c r="AE197" i="13"/>
  <c r="AD197" i="13"/>
  <c r="AC197" i="13"/>
  <c r="AB197" i="13"/>
  <c r="AI196" i="13"/>
  <c r="AH196" i="13"/>
  <c r="AG196" i="13"/>
  <c r="AF196" i="13"/>
  <c r="AE196" i="13"/>
  <c r="AD196" i="13"/>
  <c r="AC196" i="13"/>
  <c r="AB196" i="13"/>
  <c r="AI195" i="13"/>
  <c r="AH195" i="13"/>
  <c r="AG195" i="13"/>
  <c r="AF195" i="13"/>
  <c r="AE195" i="13"/>
  <c r="AD195" i="13"/>
  <c r="AC195" i="13"/>
  <c r="AB195" i="13"/>
  <c r="AI194" i="13"/>
  <c r="AH194" i="13"/>
  <c r="AG194" i="13"/>
  <c r="AF194" i="13"/>
  <c r="AE194" i="13"/>
  <c r="AD194" i="13"/>
  <c r="AC194" i="13"/>
  <c r="AB194" i="13"/>
  <c r="AI193" i="13"/>
  <c r="AH193" i="13"/>
  <c r="AG193" i="13"/>
  <c r="AF193" i="13"/>
  <c r="AE193" i="13"/>
  <c r="AD193" i="13"/>
  <c r="AC193" i="13"/>
  <c r="AB193" i="13"/>
  <c r="AI192" i="13"/>
  <c r="AH192" i="13"/>
  <c r="AG192" i="13"/>
  <c r="AF192" i="13"/>
  <c r="AE192" i="13"/>
  <c r="AD192" i="13"/>
  <c r="AC192" i="13"/>
  <c r="AB192" i="13"/>
  <c r="AI191" i="13"/>
  <c r="AH191" i="13"/>
  <c r="AG191" i="13"/>
  <c r="AF191" i="13"/>
  <c r="AE191" i="13"/>
  <c r="AD191" i="13"/>
  <c r="AC191" i="13"/>
  <c r="AB191" i="13"/>
  <c r="AI190" i="13"/>
  <c r="AH190" i="13"/>
  <c r="AG190" i="13"/>
  <c r="AF190" i="13"/>
  <c r="AE190" i="13"/>
  <c r="AD190" i="13"/>
  <c r="AC190" i="13"/>
  <c r="AB190" i="13"/>
  <c r="AI189" i="13"/>
  <c r="AH189" i="13"/>
  <c r="AG189" i="13"/>
  <c r="AF189" i="13"/>
  <c r="AE189" i="13"/>
  <c r="AD189" i="13"/>
  <c r="AC189" i="13"/>
  <c r="AB189" i="13"/>
  <c r="AI188" i="13"/>
  <c r="AH188" i="13"/>
  <c r="AG188" i="13"/>
  <c r="AF188" i="13"/>
  <c r="AE188" i="13"/>
  <c r="AD188" i="13"/>
  <c r="AC188" i="13"/>
  <c r="AB188" i="13"/>
  <c r="AI187" i="13"/>
  <c r="AH187" i="13"/>
  <c r="AG187" i="13"/>
  <c r="AF187" i="13"/>
  <c r="AE187" i="13"/>
  <c r="AD187" i="13"/>
  <c r="AC187" i="13"/>
  <c r="AB187" i="13"/>
  <c r="AI186" i="13"/>
  <c r="AH186" i="13"/>
  <c r="AG186" i="13"/>
  <c r="AF186" i="13"/>
  <c r="AE186" i="13"/>
  <c r="AD186" i="13"/>
  <c r="AC186" i="13"/>
  <c r="AB186" i="13"/>
  <c r="AI185" i="13"/>
  <c r="AH185" i="13"/>
  <c r="AG185" i="13"/>
  <c r="AF185" i="13"/>
  <c r="AE185" i="13"/>
  <c r="AD185" i="13"/>
  <c r="AC185" i="13"/>
  <c r="AB185" i="13"/>
  <c r="AI184" i="13"/>
  <c r="AH184" i="13"/>
  <c r="AG184" i="13"/>
  <c r="AF184" i="13"/>
  <c r="AE184" i="13"/>
  <c r="AD184" i="13"/>
  <c r="AC184" i="13"/>
  <c r="AB184" i="13"/>
  <c r="AI183" i="13"/>
  <c r="AH183" i="13"/>
  <c r="AG183" i="13"/>
  <c r="AF183" i="13"/>
  <c r="AE183" i="13"/>
  <c r="AD183" i="13"/>
  <c r="AC183" i="13"/>
  <c r="AB183" i="13"/>
  <c r="AI182" i="13"/>
  <c r="AH182" i="13"/>
  <c r="AG182" i="13"/>
  <c r="AF182" i="13"/>
  <c r="AE182" i="13"/>
  <c r="AD182" i="13"/>
  <c r="AC182" i="13"/>
  <c r="AB182" i="13"/>
  <c r="AI181" i="13"/>
  <c r="AH181" i="13"/>
  <c r="AG181" i="13"/>
  <c r="AF181" i="13"/>
  <c r="AE181" i="13"/>
  <c r="AD181" i="13"/>
  <c r="AC181" i="13"/>
  <c r="AB181" i="13"/>
  <c r="AI180" i="13"/>
  <c r="AH180" i="13"/>
  <c r="AG180" i="13"/>
  <c r="AF180" i="13"/>
  <c r="AE180" i="13"/>
  <c r="AD180" i="13"/>
  <c r="AC180" i="13"/>
  <c r="AB180" i="13"/>
  <c r="AI179" i="13"/>
  <c r="AH179" i="13"/>
  <c r="AG179" i="13"/>
  <c r="AF179" i="13"/>
  <c r="AE179" i="13"/>
  <c r="AD179" i="13"/>
  <c r="AC179" i="13"/>
  <c r="AB179" i="13"/>
  <c r="AI178" i="13"/>
  <c r="AH178" i="13"/>
  <c r="AG178" i="13"/>
  <c r="AF178" i="13"/>
  <c r="AE178" i="13"/>
  <c r="AD178" i="13"/>
  <c r="AC178" i="13"/>
  <c r="AB178" i="13"/>
  <c r="AI177" i="13"/>
  <c r="AH177" i="13"/>
  <c r="AG177" i="13"/>
  <c r="AF177" i="13"/>
  <c r="AE177" i="13"/>
  <c r="AD177" i="13"/>
  <c r="AC177" i="13"/>
  <c r="AB177" i="13"/>
  <c r="AI176" i="13"/>
  <c r="AH176" i="13"/>
  <c r="AG176" i="13"/>
  <c r="AF176" i="13"/>
  <c r="AE176" i="13"/>
  <c r="AD176" i="13"/>
  <c r="AC176" i="13"/>
  <c r="AB176" i="13"/>
  <c r="AI175" i="13"/>
  <c r="AH175" i="13"/>
  <c r="AG175" i="13"/>
  <c r="AF175" i="13"/>
  <c r="AE175" i="13"/>
  <c r="AD175" i="13"/>
  <c r="AC175" i="13"/>
  <c r="AB175" i="13"/>
  <c r="AI174" i="13"/>
  <c r="AH174" i="13"/>
  <c r="AG174" i="13"/>
  <c r="AF174" i="13"/>
  <c r="AE174" i="13"/>
  <c r="AD174" i="13"/>
  <c r="AC174" i="13"/>
  <c r="AB174" i="13"/>
  <c r="AI173" i="13"/>
  <c r="AH173" i="13"/>
  <c r="AG173" i="13"/>
  <c r="AF173" i="13"/>
  <c r="AE173" i="13"/>
  <c r="AD173" i="13"/>
  <c r="AC173" i="13"/>
  <c r="AB173" i="13"/>
  <c r="AI172" i="13"/>
  <c r="AH172" i="13"/>
  <c r="AG172" i="13"/>
  <c r="AF172" i="13"/>
  <c r="AE172" i="13"/>
  <c r="AD172" i="13"/>
  <c r="AC172" i="13"/>
  <c r="AB172" i="13"/>
  <c r="AI171" i="13"/>
  <c r="AH171" i="13"/>
  <c r="AG171" i="13"/>
  <c r="AF171" i="13"/>
  <c r="AE171" i="13"/>
  <c r="AD171" i="13"/>
  <c r="AC171" i="13"/>
  <c r="AB171" i="13"/>
  <c r="AI170" i="13"/>
  <c r="AH170" i="13"/>
  <c r="AG170" i="13"/>
  <c r="AF170" i="13"/>
  <c r="AE170" i="13"/>
  <c r="AD170" i="13"/>
  <c r="AC170" i="13"/>
  <c r="AB170" i="13"/>
  <c r="AI169" i="13"/>
  <c r="AH169" i="13"/>
  <c r="AG169" i="13"/>
  <c r="AF169" i="13"/>
  <c r="AE169" i="13"/>
  <c r="AD169" i="13"/>
  <c r="AC169" i="13"/>
  <c r="AB169" i="13"/>
  <c r="AI168" i="13"/>
  <c r="AH168" i="13"/>
  <c r="AG168" i="13"/>
  <c r="AF168" i="13"/>
  <c r="AE168" i="13"/>
  <c r="AD168" i="13"/>
  <c r="AC168" i="13"/>
  <c r="AB168" i="13"/>
  <c r="AI167" i="13"/>
  <c r="AH167" i="13"/>
  <c r="AG167" i="13"/>
  <c r="AF167" i="13"/>
  <c r="AE167" i="13"/>
  <c r="AD167" i="13"/>
  <c r="AC167" i="13"/>
  <c r="AB167" i="13"/>
  <c r="AI166" i="13"/>
  <c r="AH166" i="13"/>
  <c r="AG166" i="13"/>
  <c r="AF166" i="13"/>
  <c r="AE166" i="13"/>
  <c r="AD166" i="13"/>
  <c r="AC166" i="13"/>
  <c r="AB166" i="13"/>
  <c r="AI5" i="13"/>
  <c r="AE205" i="18"/>
  <c r="AD205" i="18"/>
  <c r="AC205" i="18"/>
  <c r="AB205" i="18"/>
  <c r="AE204" i="18"/>
  <c r="AD204" i="18"/>
  <c r="AC204" i="18"/>
  <c r="AB204" i="18"/>
  <c r="AE203" i="18"/>
  <c r="AD203" i="18"/>
  <c r="AC203" i="18"/>
  <c r="AB203" i="18"/>
  <c r="AE202" i="18"/>
  <c r="AD202" i="18"/>
  <c r="AC202" i="18"/>
  <c r="AB202" i="18"/>
  <c r="AE201" i="18"/>
  <c r="AD201" i="18"/>
  <c r="AC201" i="18"/>
  <c r="AB201" i="18"/>
  <c r="AE200" i="18"/>
  <c r="AD200" i="18"/>
  <c r="AC200" i="18"/>
  <c r="AB200" i="18"/>
  <c r="AE199" i="18"/>
  <c r="AD199" i="18"/>
  <c r="AC199" i="18"/>
  <c r="AB199" i="18"/>
  <c r="AE198" i="18"/>
  <c r="AD198" i="18"/>
  <c r="AC198" i="18"/>
  <c r="AB198" i="18"/>
  <c r="AE197" i="18"/>
  <c r="AD197" i="18"/>
  <c r="AC197" i="18"/>
  <c r="AB197" i="18"/>
  <c r="AE196" i="18"/>
  <c r="AD196" i="18"/>
  <c r="AC196" i="18"/>
  <c r="AB196" i="18"/>
  <c r="AE195" i="18"/>
  <c r="AD195" i="18"/>
  <c r="AC195" i="18"/>
  <c r="AB195" i="18"/>
  <c r="AE194" i="18"/>
  <c r="AD194" i="18"/>
  <c r="AC194" i="18"/>
  <c r="AB194" i="18"/>
  <c r="AE193" i="18"/>
  <c r="AD193" i="18"/>
  <c r="AC193" i="18"/>
  <c r="AB193" i="18"/>
  <c r="AE192" i="18"/>
  <c r="AD192" i="18"/>
  <c r="AC192" i="18"/>
  <c r="AB192" i="18"/>
  <c r="AE191" i="18"/>
  <c r="AD191" i="18"/>
  <c r="AC191" i="18"/>
  <c r="AB191" i="18"/>
  <c r="AE190" i="18"/>
  <c r="AD190" i="18"/>
  <c r="AC190" i="18"/>
  <c r="AB190" i="18"/>
  <c r="AE189" i="18"/>
  <c r="AD189" i="18"/>
  <c r="AC189" i="18"/>
  <c r="AB189" i="18"/>
  <c r="AE188" i="18"/>
  <c r="AD188" i="18"/>
  <c r="AC188" i="18"/>
  <c r="AB188" i="18"/>
  <c r="AE187" i="18"/>
  <c r="AD187" i="18"/>
  <c r="AC187" i="18"/>
  <c r="AB187" i="18"/>
  <c r="AE186" i="18"/>
  <c r="AD186" i="18"/>
  <c r="AC186" i="18"/>
  <c r="AB186" i="18"/>
  <c r="AE185" i="18"/>
  <c r="AD185" i="18"/>
  <c r="AC185" i="18"/>
  <c r="AB185" i="18"/>
  <c r="AE184" i="18"/>
  <c r="AD184" i="18"/>
  <c r="AC184" i="18"/>
  <c r="AB184" i="18"/>
  <c r="AE183" i="18"/>
  <c r="AD183" i="18"/>
  <c r="AC183" i="18"/>
  <c r="AB183" i="18"/>
  <c r="AE182" i="18"/>
  <c r="AD182" i="18"/>
  <c r="AC182" i="18"/>
  <c r="AB182" i="18"/>
  <c r="AE181" i="18"/>
  <c r="AD181" i="18"/>
  <c r="AC181" i="18"/>
  <c r="AB181" i="18"/>
  <c r="AE180" i="18"/>
  <c r="AD180" i="18"/>
  <c r="AC180" i="18"/>
  <c r="AB180" i="18"/>
  <c r="AE179" i="18"/>
  <c r="AD179" i="18"/>
  <c r="AC179" i="18"/>
  <c r="AB179" i="18"/>
  <c r="AE178" i="18"/>
  <c r="AD178" i="18"/>
  <c r="AC178" i="18"/>
  <c r="AB178" i="18"/>
  <c r="AE177" i="18"/>
  <c r="AD177" i="18"/>
  <c r="AC177" i="18"/>
  <c r="AB177" i="18"/>
  <c r="AE176" i="18"/>
  <c r="AD176" i="18"/>
  <c r="AC176" i="18"/>
  <c r="AB176" i="18"/>
  <c r="AE175" i="18"/>
  <c r="AD175" i="18"/>
  <c r="AC175" i="18"/>
  <c r="AB175" i="18"/>
  <c r="AE174" i="18"/>
  <c r="AD174" i="18"/>
  <c r="AC174" i="18"/>
  <c r="AB174" i="18"/>
  <c r="AE173" i="18"/>
  <c r="AD173" i="18"/>
  <c r="AC173" i="18"/>
  <c r="AB173" i="18"/>
  <c r="AE172" i="18"/>
  <c r="AD172" i="18"/>
  <c r="AC172" i="18"/>
  <c r="AB172" i="18"/>
  <c r="AE171" i="18"/>
  <c r="AD171" i="18"/>
  <c r="AC171" i="18"/>
  <c r="AB171" i="18"/>
  <c r="AE170" i="18"/>
  <c r="AD170" i="18"/>
  <c r="AC170" i="18"/>
  <c r="AB170" i="18"/>
  <c r="AE169" i="18"/>
  <c r="AD169" i="18"/>
  <c r="AC169" i="18"/>
  <c r="AB169" i="18"/>
  <c r="AE168" i="18"/>
  <c r="AD168" i="18"/>
  <c r="AC168" i="18"/>
  <c r="AB168" i="18"/>
  <c r="AE167" i="18"/>
  <c r="AD167" i="18"/>
  <c r="AC167" i="18"/>
  <c r="AB167" i="18"/>
  <c r="AE166" i="18"/>
  <c r="AD166" i="18"/>
  <c r="AC166" i="18"/>
  <c r="AB166" i="18"/>
  <c r="AE165" i="18"/>
  <c r="AD165" i="18"/>
  <c r="AC165" i="18"/>
  <c r="AB165" i="18"/>
  <c r="AE164" i="18"/>
  <c r="AD164" i="18"/>
  <c r="AC164" i="18"/>
  <c r="AB164" i="18"/>
  <c r="AE163" i="18"/>
  <c r="AD163" i="18"/>
  <c r="AC163" i="18"/>
  <c r="AB163" i="18"/>
  <c r="AE162" i="18"/>
  <c r="AD162" i="18"/>
  <c r="AC162" i="18"/>
  <c r="AB162" i="18"/>
  <c r="AE161" i="18"/>
  <c r="AD161" i="18"/>
  <c r="AC161" i="18"/>
  <c r="AB161" i="18"/>
  <c r="AE160" i="18"/>
  <c r="AD160" i="18"/>
  <c r="AC160" i="18"/>
  <c r="AB160" i="18"/>
  <c r="AE159" i="18"/>
  <c r="AD159" i="18"/>
  <c r="AC159" i="18"/>
  <c r="AB159" i="18"/>
  <c r="AE158" i="18"/>
  <c r="AD158" i="18"/>
  <c r="AC158" i="18"/>
  <c r="AB158" i="18"/>
  <c r="AE157" i="18"/>
  <c r="AD157" i="18"/>
  <c r="AC157" i="18"/>
  <c r="AB157" i="18"/>
  <c r="AE156" i="18"/>
  <c r="AD156" i="18"/>
  <c r="AC156" i="18"/>
  <c r="AB156" i="18"/>
  <c r="AE155" i="18"/>
  <c r="AD155" i="18"/>
  <c r="AC155" i="18"/>
  <c r="AB155" i="18"/>
  <c r="AE154" i="18"/>
  <c r="AD154" i="18"/>
  <c r="AC154" i="18"/>
  <c r="AB154" i="18"/>
  <c r="AE153" i="18"/>
  <c r="AD153" i="18"/>
  <c r="AC153" i="18"/>
  <c r="AB153" i="18"/>
  <c r="AE152" i="18"/>
  <c r="AD152" i="18"/>
  <c r="AC152" i="18"/>
  <c r="AB152" i="18"/>
  <c r="AE151" i="18"/>
  <c r="AD151" i="18"/>
  <c r="AC151" i="18"/>
  <c r="AB151" i="18"/>
  <c r="AE150" i="18"/>
  <c r="AD150" i="18"/>
  <c r="AC150" i="18"/>
  <c r="AB150" i="18"/>
  <c r="AE149" i="18"/>
  <c r="AD149" i="18"/>
  <c r="AC149" i="18"/>
  <c r="AB149" i="18"/>
  <c r="AE148" i="18"/>
  <c r="AD148" i="18"/>
  <c r="AC148" i="18"/>
  <c r="AB148" i="18"/>
  <c r="AE147" i="18"/>
  <c r="AD147" i="18"/>
  <c r="AC147" i="18"/>
  <c r="AB147" i="18"/>
  <c r="AE146" i="18"/>
  <c r="AD146" i="18"/>
  <c r="AC146" i="18"/>
  <c r="AB146" i="18"/>
  <c r="AE145" i="18"/>
  <c r="AD145" i="18"/>
  <c r="AC145" i="18"/>
  <c r="AB145" i="18"/>
  <c r="AE144" i="18"/>
  <c r="AD144" i="18"/>
  <c r="AC144" i="18"/>
  <c r="AB144" i="18"/>
  <c r="AE143" i="18"/>
  <c r="AD143" i="18"/>
  <c r="AC143" i="18"/>
  <c r="AB143" i="18"/>
  <c r="AE142" i="18"/>
  <c r="AD142" i="18"/>
  <c r="AC142" i="18"/>
  <c r="AB142" i="18"/>
  <c r="AE141" i="18"/>
  <c r="AD141" i="18"/>
  <c r="AC141" i="18"/>
  <c r="AB141" i="18"/>
  <c r="AE140" i="18"/>
  <c r="AD140" i="18"/>
  <c r="AC140" i="18"/>
  <c r="AB140" i="18"/>
  <c r="AE139" i="18"/>
  <c r="AD139" i="18"/>
  <c r="AC139" i="18"/>
  <c r="AB139" i="18"/>
  <c r="AE138" i="18"/>
  <c r="AD138" i="18"/>
  <c r="AC138" i="18"/>
  <c r="AB138" i="18"/>
  <c r="AE137" i="18"/>
  <c r="AD137" i="18"/>
  <c r="AC137" i="18"/>
  <c r="AB137" i="18"/>
  <c r="AE136" i="18"/>
  <c r="AD136" i="18"/>
  <c r="AC136" i="18"/>
  <c r="AB136" i="18"/>
  <c r="AE135" i="18"/>
  <c r="AD135" i="18"/>
  <c r="AC135" i="18"/>
  <c r="AB135" i="18"/>
  <c r="AE134" i="18"/>
  <c r="AD134" i="18"/>
  <c r="AC134" i="18"/>
  <c r="AB134" i="18"/>
  <c r="AE133" i="18"/>
  <c r="AD133" i="18"/>
  <c r="AC133" i="18"/>
  <c r="AB133" i="18"/>
  <c r="AE132" i="18"/>
  <c r="AD132" i="18"/>
  <c r="AC132" i="18"/>
  <c r="AB132" i="18"/>
  <c r="AE131" i="18"/>
  <c r="AD131" i="18"/>
  <c r="AC131" i="18"/>
  <c r="AB131" i="18"/>
  <c r="AE130" i="18"/>
  <c r="AD130" i="18"/>
  <c r="AC130" i="18"/>
  <c r="AB130" i="18"/>
  <c r="AE129" i="18"/>
  <c r="AD129" i="18"/>
  <c r="AC129" i="18"/>
  <c r="AB129" i="18"/>
  <c r="AE128" i="18"/>
  <c r="AD128" i="18"/>
  <c r="AC128" i="18"/>
  <c r="AB128" i="18"/>
  <c r="AE127" i="18"/>
  <c r="AD127" i="18"/>
  <c r="AC127" i="18"/>
  <c r="AB127" i="18"/>
  <c r="AE126" i="18"/>
  <c r="AD126" i="18"/>
  <c r="AC126" i="18"/>
  <c r="AB126" i="18"/>
  <c r="AE125" i="18"/>
  <c r="AD125" i="18"/>
  <c r="AC125" i="18"/>
  <c r="AB125" i="18"/>
  <c r="AE124" i="18"/>
  <c r="AD124" i="18"/>
  <c r="AC124" i="18"/>
  <c r="AB124" i="18"/>
  <c r="AE123" i="18"/>
  <c r="AD123" i="18"/>
  <c r="AC123" i="18"/>
  <c r="AB123" i="18"/>
  <c r="AE122" i="18"/>
  <c r="AD122" i="18"/>
  <c r="AC122" i="18"/>
  <c r="AB122" i="18"/>
  <c r="AE121" i="18"/>
  <c r="AD121" i="18"/>
  <c r="AC121" i="18"/>
  <c r="AB121" i="18"/>
  <c r="AE120" i="18"/>
  <c r="AD120" i="18"/>
  <c r="AC120" i="18"/>
  <c r="AB120" i="18"/>
  <c r="AE119" i="18"/>
  <c r="AD119" i="18"/>
  <c r="AC119" i="18"/>
  <c r="AB119" i="18"/>
  <c r="AE118" i="18"/>
  <c r="AD118" i="18"/>
  <c r="AC118" i="18"/>
  <c r="AB118" i="18"/>
  <c r="AE117" i="18"/>
  <c r="AD117" i="18"/>
  <c r="AC117" i="18"/>
  <c r="AB117" i="18"/>
  <c r="AE116" i="18"/>
  <c r="AD116" i="18"/>
  <c r="AC116" i="18"/>
  <c r="AB116" i="18"/>
  <c r="AE115" i="18"/>
  <c r="AD115" i="18"/>
  <c r="AC115" i="18"/>
  <c r="AB115" i="18"/>
  <c r="AE114" i="18"/>
  <c r="AD114" i="18"/>
  <c r="AC114" i="18"/>
  <c r="AB114" i="18"/>
  <c r="AE113" i="18"/>
  <c r="AD113" i="18"/>
  <c r="AC113" i="18"/>
  <c r="AB113" i="18"/>
  <c r="AE112" i="18"/>
  <c r="AD112" i="18"/>
  <c r="AC112" i="18"/>
  <c r="AB112" i="18"/>
  <c r="AE111" i="18"/>
  <c r="AD111" i="18"/>
  <c r="AC111" i="18"/>
  <c r="AB111" i="18"/>
  <c r="AE110" i="18"/>
  <c r="AD110" i="18"/>
  <c r="AC110" i="18"/>
  <c r="AB110" i="18"/>
  <c r="AE109" i="18"/>
  <c r="AD109" i="18"/>
  <c r="AC109" i="18"/>
  <c r="AB109" i="18"/>
  <c r="AE108" i="18"/>
  <c r="AD108" i="18"/>
  <c r="AC108" i="18"/>
  <c r="AB108" i="18"/>
  <c r="AE107" i="18"/>
  <c r="AD107" i="18"/>
  <c r="AC107" i="18"/>
  <c r="AB107" i="18"/>
  <c r="AE106" i="18"/>
  <c r="AD106" i="18"/>
  <c r="AC106" i="18"/>
  <c r="AB106" i="18"/>
  <c r="AE105" i="18"/>
  <c r="AD105" i="18"/>
  <c r="AC105" i="18"/>
  <c r="AB105" i="18"/>
  <c r="AE104" i="18"/>
  <c r="AD104" i="18"/>
  <c r="AC104" i="18"/>
  <c r="AB104" i="18"/>
  <c r="AE103" i="18"/>
  <c r="AD103" i="18"/>
  <c r="AC103" i="18"/>
  <c r="AB103" i="18"/>
  <c r="AE102" i="18"/>
  <c r="AD102" i="18"/>
  <c r="AC102" i="18"/>
  <c r="AB102" i="18"/>
  <c r="AE101" i="18"/>
  <c r="AD101" i="18"/>
  <c r="AC101" i="18"/>
  <c r="AB101" i="18"/>
  <c r="AE100" i="18"/>
  <c r="AD100" i="18"/>
  <c r="AC100" i="18"/>
  <c r="AB100" i="18"/>
  <c r="AE99" i="18"/>
  <c r="AD99" i="18"/>
  <c r="AC99" i="18"/>
  <c r="AB99" i="18"/>
  <c r="AE98" i="18"/>
  <c r="AD98" i="18"/>
  <c r="AC98" i="18"/>
  <c r="AB98" i="18"/>
  <c r="AE97" i="18"/>
  <c r="AD97" i="18"/>
  <c r="AC97" i="18"/>
  <c r="AB97" i="18"/>
  <c r="AE96" i="18"/>
  <c r="AD96" i="18"/>
  <c r="AC96" i="18"/>
  <c r="AB96" i="18"/>
  <c r="AC68" i="18"/>
  <c r="AB69" i="18"/>
  <c r="AB73" i="18"/>
  <c r="AC73" i="18"/>
  <c r="AB76" i="18"/>
  <c r="AC76" i="18"/>
  <c r="AB77" i="18"/>
  <c r="AC77" i="18"/>
  <c r="AB78" i="18"/>
  <c r="AC78" i="18"/>
  <c r="AB79" i="18"/>
  <c r="AC79" i="18"/>
  <c r="AB80" i="18"/>
  <c r="AC80" i="18"/>
  <c r="AB81" i="18"/>
  <c r="AC81" i="18"/>
  <c r="AB82" i="18"/>
  <c r="AC82" i="18"/>
  <c r="AB83" i="18"/>
  <c r="AC83" i="18"/>
  <c r="AB84" i="18"/>
  <c r="AC84" i="18"/>
  <c r="AB85" i="18"/>
  <c r="AC85" i="18"/>
  <c r="AB86" i="18"/>
  <c r="AC86" i="18"/>
  <c r="AB87" i="18"/>
  <c r="AC87" i="18"/>
  <c r="AB88" i="18"/>
  <c r="AC88" i="18"/>
  <c r="AB89" i="18"/>
  <c r="AC89" i="18"/>
  <c r="AB90" i="18"/>
  <c r="AC90" i="18"/>
  <c r="AB91" i="18"/>
  <c r="AC91" i="18"/>
  <c r="AB92" i="18"/>
  <c r="AC92" i="18"/>
  <c r="AB93" i="18"/>
  <c r="AC93" i="18"/>
  <c r="AB94" i="18"/>
  <c r="AC94" i="18"/>
  <c r="AB95" i="18"/>
  <c r="AC95" i="18"/>
  <c r="AD68" i="18"/>
  <c r="AD69" i="18"/>
  <c r="AD76" i="18"/>
  <c r="AD77" i="18"/>
  <c r="AD78" i="18"/>
  <c r="AD79" i="18"/>
  <c r="AD80" i="18"/>
  <c r="AD81" i="18"/>
  <c r="AD82" i="18"/>
  <c r="AD83" i="18"/>
  <c r="AD84" i="18"/>
  <c r="AD85" i="18"/>
  <c r="AD86" i="18"/>
  <c r="AD87" i="18"/>
  <c r="AD88" i="18"/>
  <c r="AD89" i="18"/>
  <c r="AD90" i="18"/>
  <c r="AD91" i="18"/>
  <c r="AD92" i="18"/>
  <c r="AD93" i="18"/>
  <c r="AD94" i="18"/>
  <c r="AD95" i="18"/>
  <c r="AE69" i="18"/>
  <c r="AE70" i="18"/>
  <c r="AE76" i="18"/>
  <c r="AE77" i="18"/>
  <c r="AE78" i="18"/>
  <c r="AE79" i="18"/>
  <c r="AE80" i="18"/>
  <c r="AE81" i="18"/>
  <c r="AE82" i="18"/>
  <c r="AE83" i="18"/>
  <c r="AE84" i="18"/>
  <c r="AE85" i="18"/>
  <c r="AE86" i="18"/>
  <c r="AE87" i="18"/>
  <c r="AE88" i="18"/>
  <c r="AE89" i="18"/>
  <c r="AE90" i="18"/>
  <c r="AE91" i="18"/>
  <c r="AE92" i="18"/>
  <c r="AE93" i="18"/>
  <c r="AE94" i="18"/>
  <c r="AE95" i="18"/>
  <c r="AI5" i="18"/>
  <c r="AI205" i="19"/>
  <c r="AH205" i="19"/>
  <c r="AG205" i="19"/>
  <c r="AF205" i="19"/>
  <c r="AE205" i="19"/>
  <c r="AD205" i="19"/>
  <c r="AC205" i="19"/>
  <c r="AB205" i="19"/>
  <c r="AI204" i="19"/>
  <c r="AH204" i="19"/>
  <c r="AG204" i="19"/>
  <c r="AF204" i="19"/>
  <c r="AE204" i="19"/>
  <c r="AD204" i="19"/>
  <c r="AC204" i="19"/>
  <c r="AB204" i="19"/>
  <c r="AI203" i="19"/>
  <c r="AH203" i="19"/>
  <c r="AG203" i="19"/>
  <c r="AF203" i="19"/>
  <c r="AE203" i="19"/>
  <c r="AD203" i="19"/>
  <c r="AC203" i="19"/>
  <c r="AB203" i="19"/>
  <c r="AI202" i="19"/>
  <c r="AH202" i="19"/>
  <c r="AG202" i="19"/>
  <c r="AF202" i="19"/>
  <c r="AE202" i="19"/>
  <c r="AD202" i="19"/>
  <c r="AC202" i="19"/>
  <c r="AB202" i="19"/>
  <c r="AI201" i="19"/>
  <c r="AH201" i="19"/>
  <c r="AG201" i="19"/>
  <c r="AF201" i="19"/>
  <c r="AE201" i="19"/>
  <c r="AD201" i="19"/>
  <c r="AC201" i="19"/>
  <c r="AB201" i="19"/>
  <c r="AI200" i="19"/>
  <c r="AH200" i="19"/>
  <c r="AG200" i="19"/>
  <c r="AF200" i="19"/>
  <c r="AE200" i="19"/>
  <c r="AD200" i="19"/>
  <c r="AC200" i="19"/>
  <c r="AB200" i="19"/>
  <c r="AI199" i="19"/>
  <c r="AH199" i="19"/>
  <c r="AG199" i="19"/>
  <c r="AF199" i="19"/>
  <c r="AE199" i="19"/>
  <c r="AD199" i="19"/>
  <c r="AC199" i="19"/>
  <c r="AB199" i="19"/>
  <c r="AI198" i="19"/>
  <c r="AH198" i="19"/>
  <c r="AG198" i="19"/>
  <c r="AF198" i="19"/>
  <c r="AE198" i="19"/>
  <c r="AD198" i="19"/>
  <c r="AC198" i="19"/>
  <c r="AB198" i="19"/>
  <c r="AI197" i="19"/>
  <c r="AH197" i="19"/>
  <c r="AG197" i="19"/>
  <c r="AF197" i="19"/>
  <c r="AE197" i="19"/>
  <c r="AD197" i="19"/>
  <c r="AC197" i="19"/>
  <c r="AB197" i="19"/>
  <c r="AI196" i="19"/>
  <c r="AH196" i="19"/>
  <c r="AG196" i="19"/>
  <c r="AF196" i="19"/>
  <c r="AE196" i="19"/>
  <c r="AD196" i="19"/>
  <c r="AC196" i="19"/>
  <c r="AB196" i="19"/>
  <c r="AI195" i="19"/>
  <c r="AH195" i="19"/>
  <c r="AG195" i="19"/>
  <c r="AF195" i="19"/>
  <c r="AE195" i="19"/>
  <c r="AD195" i="19"/>
  <c r="AC195" i="19"/>
  <c r="AB195" i="19"/>
  <c r="AI194" i="19"/>
  <c r="AH194" i="19"/>
  <c r="AG194" i="19"/>
  <c r="AF194" i="19"/>
  <c r="AE194" i="19"/>
  <c r="AD194" i="19"/>
  <c r="AC194" i="19"/>
  <c r="AB194" i="19"/>
  <c r="AI193" i="19"/>
  <c r="AH193" i="19"/>
  <c r="AG193" i="19"/>
  <c r="AF193" i="19"/>
  <c r="AE193" i="19"/>
  <c r="AD193" i="19"/>
  <c r="AC193" i="19"/>
  <c r="AB193" i="19"/>
  <c r="AI192" i="19"/>
  <c r="AH192" i="19"/>
  <c r="AG192" i="19"/>
  <c r="AF192" i="19"/>
  <c r="AE192" i="19"/>
  <c r="AD192" i="19"/>
  <c r="AC192" i="19"/>
  <c r="AB192" i="19"/>
  <c r="AI191" i="19"/>
  <c r="AH191" i="19"/>
  <c r="AG191" i="19"/>
  <c r="AF191" i="19"/>
  <c r="AE191" i="19"/>
  <c r="AD191" i="19"/>
  <c r="AC191" i="19"/>
  <c r="AB191" i="19"/>
  <c r="AI190" i="19"/>
  <c r="AH190" i="19"/>
  <c r="AG190" i="19"/>
  <c r="AF190" i="19"/>
  <c r="AE190" i="19"/>
  <c r="AD190" i="19"/>
  <c r="AC190" i="19"/>
  <c r="AB190" i="19"/>
  <c r="AI189" i="19"/>
  <c r="AH189" i="19"/>
  <c r="AG189" i="19"/>
  <c r="AF189" i="19"/>
  <c r="AE189" i="19"/>
  <c r="AD189" i="19"/>
  <c r="AC189" i="19"/>
  <c r="AB189" i="19"/>
  <c r="AI188" i="19"/>
  <c r="AH188" i="19"/>
  <c r="AG188" i="19"/>
  <c r="AF188" i="19"/>
  <c r="AE188" i="19"/>
  <c r="AD188" i="19"/>
  <c r="AC188" i="19"/>
  <c r="AB188" i="19"/>
  <c r="AI187" i="19"/>
  <c r="AH187" i="19"/>
  <c r="AG187" i="19"/>
  <c r="AF187" i="19"/>
  <c r="AE187" i="19"/>
  <c r="AD187" i="19"/>
  <c r="AC187" i="19"/>
  <c r="AB187" i="19"/>
  <c r="AI186" i="19"/>
  <c r="AH186" i="19"/>
  <c r="AG186" i="19"/>
  <c r="AF186" i="19"/>
  <c r="AE186" i="19"/>
  <c r="AD186" i="19"/>
  <c r="AC186" i="19"/>
  <c r="AB186" i="19"/>
  <c r="AI185" i="19"/>
  <c r="AH185" i="19"/>
  <c r="AG185" i="19"/>
  <c r="AF185" i="19"/>
  <c r="AE185" i="19"/>
  <c r="AD185" i="19"/>
  <c r="AC185" i="19"/>
  <c r="AB185" i="19"/>
  <c r="AI184" i="19"/>
  <c r="AH184" i="19"/>
  <c r="AG184" i="19"/>
  <c r="AF184" i="19"/>
  <c r="AE184" i="19"/>
  <c r="AD184" i="19"/>
  <c r="AC184" i="19"/>
  <c r="AB184" i="19"/>
  <c r="AI183" i="19"/>
  <c r="AH183" i="19"/>
  <c r="AG183" i="19"/>
  <c r="AF183" i="19"/>
  <c r="AE183" i="19"/>
  <c r="AD183" i="19"/>
  <c r="AC183" i="19"/>
  <c r="AB183" i="19"/>
  <c r="AI182" i="19"/>
  <c r="AH182" i="19"/>
  <c r="AG182" i="19"/>
  <c r="AF182" i="19"/>
  <c r="AE182" i="19"/>
  <c r="AD182" i="19"/>
  <c r="AC182" i="19"/>
  <c r="AB182" i="19"/>
  <c r="AI181" i="19"/>
  <c r="AH181" i="19"/>
  <c r="AG181" i="19"/>
  <c r="AF181" i="19"/>
  <c r="AE181" i="19"/>
  <c r="AD181" i="19"/>
  <c r="AC181" i="19"/>
  <c r="AB181" i="19"/>
  <c r="AI180" i="19"/>
  <c r="AH180" i="19"/>
  <c r="AG180" i="19"/>
  <c r="AF180" i="19"/>
  <c r="AE180" i="19"/>
  <c r="AD180" i="19"/>
  <c r="AC180" i="19"/>
  <c r="AB180" i="19"/>
  <c r="AI179" i="19"/>
  <c r="AH179" i="19"/>
  <c r="AG179" i="19"/>
  <c r="AF179" i="19"/>
  <c r="AE179" i="19"/>
  <c r="AD179" i="19"/>
  <c r="AC179" i="19"/>
  <c r="AB179" i="19"/>
  <c r="AI178" i="19"/>
  <c r="AH178" i="19"/>
  <c r="AG178" i="19"/>
  <c r="AF178" i="19"/>
  <c r="AE178" i="19"/>
  <c r="AD178" i="19"/>
  <c r="AC178" i="19"/>
  <c r="AB178" i="19"/>
  <c r="AI177" i="19"/>
  <c r="AH177" i="19"/>
  <c r="AG177" i="19"/>
  <c r="AF177" i="19"/>
  <c r="AE177" i="19"/>
  <c r="AD177" i="19"/>
  <c r="AC177" i="19"/>
  <c r="AB177" i="19"/>
  <c r="AI176" i="19"/>
  <c r="AH176" i="19"/>
  <c r="AG176" i="19"/>
  <c r="AF176" i="19"/>
  <c r="AE176" i="19"/>
  <c r="AD176" i="19"/>
  <c r="AC176" i="19"/>
  <c r="AB176" i="19"/>
  <c r="AI175" i="19"/>
  <c r="AH175" i="19"/>
  <c r="AG175" i="19"/>
  <c r="AF175" i="19"/>
  <c r="AE175" i="19"/>
  <c r="AD175" i="19"/>
  <c r="AC175" i="19"/>
  <c r="AB175" i="19"/>
  <c r="AI174" i="19"/>
  <c r="AH174" i="19"/>
  <c r="AG174" i="19"/>
  <c r="AF174" i="19"/>
  <c r="AE174" i="19"/>
  <c r="AD174" i="19"/>
  <c r="AC174" i="19"/>
  <c r="AB174" i="19"/>
  <c r="AI173" i="19"/>
  <c r="AH173" i="19"/>
  <c r="AG173" i="19"/>
  <c r="AF173" i="19"/>
  <c r="AE173" i="19"/>
  <c r="AD173" i="19"/>
  <c r="AC173" i="19"/>
  <c r="AB173" i="19"/>
  <c r="AI172" i="19"/>
  <c r="AH172" i="19"/>
  <c r="AG172" i="19"/>
  <c r="AF172" i="19"/>
  <c r="AE172" i="19"/>
  <c r="AD172" i="19"/>
  <c r="AC172" i="19"/>
  <c r="AB172" i="19"/>
  <c r="AI171" i="19"/>
  <c r="AH171" i="19"/>
  <c r="AG171" i="19"/>
  <c r="AF171" i="19"/>
  <c r="AE171" i="19"/>
  <c r="AD171" i="19"/>
  <c r="AC171" i="19"/>
  <c r="AB171" i="19"/>
  <c r="AI170" i="19"/>
  <c r="AH170" i="19"/>
  <c r="AG170" i="19"/>
  <c r="AF170" i="19"/>
  <c r="AE170" i="19"/>
  <c r="AD170" i="19"/>
  <c r="AC170" i="19"/>
  <c r="AB170" i="19"/>
  <c r="AI169" i="19"/>
  <c r="AH169" i="19"/>
  <c r="AG169" i="19"/>
  <c r="AF169" i="19"/>
  <c r="AE169" i="19"/>
  <c r="AD169" i="19"/>
  <c r="AC169" i="19"/>
  <c r="AB169" i="19"/>
  <c r="AI168" i="19"/>
  <c r="AH168" i="19"/>
  <c r="AG168" i="19"/>
  <c r="AF168" i="19"/>
  <c r="AE168" i="19"/>
  <c r="AD168" i="19"/>
  <c r="AC168" i="19"/>
  <c r="AB168" i="19"/>
  <c r="AI167" i="19"/>
  <c r="AH167" i="19"/>
  <c r="AG167" i="19"/>
  <c r="AF167" i="19"/>
  <c r="AE167" i="19"/>
  <c r="AD167" i="19"/>
  <c r="AC167" i="19"/>
  <c r="AB167" i="19"/>
  <c r="AI166" i="19"/>
  <c r="AH166" i="19"/>
  <c r="AG166" i="19"/>
  <c r="AF166" i="19"/>
  <c r="AE166" i="19"/>
  <c r="AD166" i="19"/>
  <c r="AC166" i="19"/>
  <c r="AB166" i="19"/>
  <c r="AI165" i="19"/>
  <c r="AH165" i="19"/>
  <c r="AG165" i="19"/>
  <c r="AF165" i="19"/>
  <c r="AE165" i="19"/>
  <c r="AD165" i="19"/>
  <c r="AC165" i="19"/>
  <c r="AB165" i="19"/>
  <c r="AI164" i="19"/>
  <c r="AH164" i="19"/>
  <c r="AG164" i="19"/>
  <c r="AF164" i="19"/>
  <c r="AE164" i="19"/>
  <c r="AD164" i="19"/>
  <c r="AC164" i="19"/>
  <c r="AB164" i="19"/>
  <c r="AI163" i="19"/>
  <c r="AH163" i="19"/>
  <c r="AG163" i="19"/>
  <c r="AF163" i="19"/>
  <c r="AE163" i="19"/>
  <c r="AD163" i="19"/>
  <c r="AC163" i="19"/>
  <c r="AB163" i="19"/>
  <c r="AI162" i="19"/>
  <c r="AH162" i="19"/>
  <c r="AG162" i="19"/>
  <c r="AF162" i="19"/>
  <c r="AE162" i="19"/>
  <c r="AD162" i="19"/>
  <c r="AC162" i="19"/>
  <c r="AB162" i="19"/>
  <c r="AI161" i="19"/>
  <c r="AH161" i="19"/>
  <c r="AG161" i="19"/>
  <c r="AF161" i="19"/>
  <c r="AE161" i="19"/>
  <c r="AD161" i="19"/>
  <c r="AC161" i="19"/>
  <c r="AB161" i="19"/>
  <c r="AI160" i="19"/>
  <c r="AH160" i="19"/>
  <c r="AG160" i="19"/>
  <c r="AF160" i="19"/>
  <c r="AE160" i="19"/>
  <c r="AD160" i="19"/>
  <c r="AC160" i="19"/>
  <c r="AB160" i="19"/>
  <c r="AI159" i="19"/>
  <c r="AH159" i="19"/>
  <c r="AG159" i="19"/>
  <c r="AF159" i="19"/>
  <c r="AE159" i="19"/>
  <c r="AD159" i="19"/>
  <c r="AC159" i="19"/>
  <c r="AB159" i="19"/>
  <c r="AI158" i="19"/>
  <c r="AH158" i="19"/>
  <c r="AG158" i="19"/>
  <c r="AF158" i="19"/>
  <c r="AE158" i="19"/>
  <c r="AD158" i="19"/>
  <c r="AC158" i="19"/>
  <c r="AB158" i="19"/>
  <c r="AI157" i="19"/>
  <c r="AH157" i="19"/>
  <c r="AG157" i="19"/>
  <c r="AF157" i="19"/>
  <c r="AE157" i="19"/>
  <c r="AD157" i="19"/>
  <c r="AC157" i="19"/>
  <c r="AB157" i="19"/>
  <c r="AI156" i="19"/>
  <c r="AH156" i="19"/>
  <c r="AG156" i="19"/>
  <c r="AF156" i="19"/>
  <c r="AE156" i="19"/>
  <c r="AD156" i="19"/>
  <c r="AC156" i="19"/>
  <c r="AB156" i="19"/>
  <c r="AI155" i="19"/>
  <c r="AH155" i="19"/>
  <c r="AG155" i="19"/>
  <c r="AF155" i="19"/>
  <c r="AE155" i="19"/>
  <c r="AD155" i="19"/>
  <c r="AC155" i="19"/>
  <c r="AB155" i="19"/>
  <c r="AI154" i="19"/>
  <c r="AH154" i="19"/>
  <c r="AG154" i="19"/>
  <c r="AF154" i="19"/>
  <c r="AE154" i="19"/>
  <c r="AD154" i="19"/>
  <c r="AC154" i="19"/>
  <c r="AB154" i="19"/>
  <c r="AI153" i="19"/>
  <c r="AH153" i="19"/>
  <c r="AG153" i="19"/>
  <c r="AF153" i="19"/>
  <c r="AE153" i="19"/>
  <c r="AD153" i="19"/>
  <c r="AC153" i="19"/>
  <c r="AB153" i="19"/>
  <c r="AI152" i="19"/>
  <c r="AH152" i="19"/>
  <c r="AG152" i="19"/>
  <c r="AF152" i="19"/>
  <c r="AE152" i="19"/>
  <c r="AD152" i="19"/>
  <c r="AC152" i="19"/>
  <c r="AB152" i="19"/>
  <c r="AI151" i="19"/>
  <c r="AH151" i="19"/>
  <c r="AG151" i="19"/>
  <c r="AF151" i="19"/>
  <c r="AE151" i="19"/>
  <c r="AD151" i="19"/>
  <c r="AC151" i="19"/>
  <c r="AB151" i="19"/>
  <c r="AI150" i="19"/>
  <c r="AH150" i="19"/>
  <c r="AG150" i="19"/>
  <c r="AF150" i="19"/>
  <c r="AE150" i="19"/>
  <c r="AD150" i="19"/>
  <c r="AC150" i="19"/>
  <c r="AB150" i="19"/>
  <c r="AI149" i="19"/>
  <c r="AH149" i="19"/>
  <c r="AG149" i="19"/>
  <c r="AF149" i="19"/>
  <c r="AE149" i="19"/>
  <c r="AD149" i="19"/>
  <c r="AC149" i="19"/>
  <c r="AB149" i="19"/>
  <c r="AI148" i="19"/>
  <c r="AH148" i="19"/>
  <c r="AG148" i="19"/>
  <c r="AF148" i="19"/>
  <c r="AE148" i="19"/>
  <c r="AD148" i="19"/>
  <c r="AC148" i="19"/>
  <c r="AB148" i="19"/>
  <c r="AI147" i="19"/>
  <c r="AH147" i="19"/>
  <c r="AG147" i="19"/>
  <c r="AF147" i="19"/>
  <c r="AE147" i="19"/>
  <c r="AD147" i="19"/>
  <c r="AC147" i="19"/>
  <c r="AB147" i="19"/>
  <c r="AI146" i="19"/>
  <c r="AH146" i="19"/>
  <c r="AG146" i="19"/>
  <c r="AF146" i="19"/>
  <c r="AE146" i="19"/>
  <c r="AD146" i="19"/>
  <c r="AC146" i="19"/>
  <c r="AB146" i="19"/>
  <c r="AI145" i="19"/>
  <c r="AH145" i="19"/>
  <c r="AG145" i="19"/>
  <c r="AF145" i="19"/>
  <c r="AE145" i="19"/>
  <c r="AD145" i="19"/>
  <c r="AC145" i="19"/>
  <c r="AB145" i="19"/>
  <c r="AI144" i="19"/>
  <c r="AH144" i="19"/>
  <c r="AG144" i="19"/>
  <c r="AF144" i="19"/>
  <c r="AE144" i="19"/>
  <c r="AD144" i="19"/>
  <c r="AC144" i="19"/>
  <c r="AB144" i="19"/>
  <c r="AI143" i="19"/>
  <c r="AH143" i="19"/>
  <c r="AG143" i="19"/>
  <c r="AF143" i="19"/>
  <c r="AE143" i="19"/>
  <c r="AD143" i="19"/>
  <c r="AC143" i="19"/>
  <c r="AB143" i="19"/>
  <c r="AI142" i="19"/>
  <c r="AH142" i="19"/>
  <c r="AG142" i="19"/>
  <c r="AF142" i="19"/>
  <c r="AE142" i="19"/>
  <c r="AD142" i="19"/>
  <c r="AC142" i="19"/>
  <c r="AB142" i="19"/>
  <c r="AI141" i="19"/>
  <c r="AH141" i="19"/>
  <c r="AG141" i="19"/>
  <c r="AF141" i="19"/>
  <c r="AE141" i="19"/>
  <c r="AD141" i="19"/>
  <c r="AC141" i="19"/>
  <c r="AB141" i="19"/>
  <c r="AI140" i="19"/>
  <c r="AH140" i="19"/>
  <c r="AG140" i="19"/>
  <c r="AF140" i="19"/>
  <c r="AE140" i="19"/>
  <c r="AD140" i="19"/>
  <c r="AC140" i="19"/>
  <c r="AB140" i="19"/>
  <c r="AI139" i="19"/>
  <c r="AH139" i="19"/>
  <c r="AG139" i="19"/>
  <c r="AF139" i="19"/>
  <c r="AE139" i="19"/>
  <c r="AD139" i="19"/>
  <c r="AC139" i="19"/>
  <c r="AB139" i="19"/>
  <c r="AI138" i="19"/>
  <c r="AH138" i="19"/>
  <c r="AG138" i="19"/>
  <c r="AF138" i="19"/>
  <c r="AE138" i="19"/>
  <c r="AD138" i="19"/>
  <c r="AC138" i="19"/>
  <c r="AB138" i="19"/>
  <c r="AI137" i="19"/>
  <c r="AH137" i="19"/>
  <c r="AG137" i="19"/>
  <c r="AF137" i="19"/>
  <c r="AE137" i="19"/>
  <c r="AD137" i="19"/>
  <c r="AC137" i="19"/>
  <c r="AB137" i="19"/>
  <c r="AI136" i="19"/>
  <c r="AH136" i="19"/>
  <c r="AG136" i="19"/>
  <c r="AF136" i="19"/>
  <c r="AE136" i="19"/>
  <c r="AD136" i="19"/>
  <c r="AC136" i="19"/>
  <c r="AB136" i="19"/>
  <c r="AI135" i="19"/>
  <c r="AH135" i="19"/>
  <c r="AG135" i="19"/>
  <c r="AF135" i="19"/>
  <c r="AE135" i="19"/>
  <c r="AD135" i="19"/>
  <c r="AC135" i="19"/>
  <c r="AB135" i="19"/>
  <c r="AI134" i="19"/>
  <c r="AH134" i="19"/>
  <c r="AG134" i="19"/>
  <c r="AF134" i="19"/>
  <c r="AE134" i="19"/>
  <c r="AD134" i="19"/>
  <c r="AC134" i="19"/>
  <c r="AB134" i="19"/>
  <c r="AI133" i="19"/>
  <c r="AH133" i="19"/>
  <c r="AG133" i="19"/>
  <c r="AF133" i="19"/>
  <c r="AE133" i="19"/>
  <c r="AD133" i="19"/>
  <c r="AC133" i="19"/>
  <c r="AB133" i="19"/>
  <c r="AI132" i="19"/>
  <c r="AH132" i="19"/>
  <c r="AG132" i="19"/>
  <c r="AF132" i="19"/>
  <c r="AE132" i="19"/>
  <c r="AD132" i="19"/>
  <c r="AC132" i="19"/>
  <c r="AB132" i="19"/>
  <c r="AI131" i="19"/>
  <c r="AH131" i="19"/>
  <c r="AG131" i="19"/>
  <c r="AF131" i="19"/>
  <c r="AE131" i="19"/>
  <c r="AD131" i="19"/>
  <c r="AC131" i="19"/>
  <c r="AB131" i="19"/>
  <c r="AI130" i="19"/>
  <c r="AH130" i="19"/>
  <c r="AG130" i="19"/>
  <c r="AF130" i="19"/>
  <c r="AE130" i="19"/>
  <c r="AD130" i="19"/>
  <c r="AC130" i="19"/>
  <c r="AB130" i="19"/>
  <c r="AI129" i="19"/>
  <c r="AH129" i="19"/>
  <c r="AG129" i="19"/>
  <c r="AF129" i="19"/>
  <c r="AE129" i="19"/>
  <c r="AD129" i="19"/>
  <c r="AC129" i="19"/>
  <c r="AB129" i="19"/>
  <c r="AI128" i="19"/>
  <c r="AH128" i="19"/>
  <c r="AG128" i="19"/>
  <c r="AF128" i="19"/>
  <c r="AE128" i="19"/>
  <c r="AD128" i="19"/>
  <c r="AC128" i="19"/>
  <c r="AB128" i="19"/>
  <c r="AI127" i="19"/>
  <c r="AH127" i="19"/>
  <c r="AG127" i="19"/>
  <c r="AF127" i="19"/>
  <c r="AE127" i="19"/>
  <c r="AD127" i="19"/>
  <c r="AC127" i="19"/>
  <c r="AB127" i="19"/>
  <c r="AI126" i="19"/>
  <c r="AH126" i="19"/>
  <c r="AG126" i="19"/>
  <c r="AF126" i="19"/>
  <c r="AE126" i="19"/>
  <c r="AD126" i="19"/>
  <c r="AC126" i="19"/>
  <c r="AB126" i="19"/>
  <c r="AI125" i="19"/>
  <c r="AH125" i="19"/>
  <c r="AG125" i="19"/>
  <c r="AF125" i="19"/>
  <c r="AE125" i="19"/>
  <c r="AD125" i="19"/>
  <c r="AC125" i="19"/>
  <c r="AB125" i="19"/>
  <c r="AI124" i="19"/>
  <c r="AH124" i="19"/>
  <c r="AG124" i="19"/>
  <c r="AF124" i="19"/>
  <c r="AE124" i="19"/>
  <c r="AD124" i="19"/>
  <c r="AC124" i="19"/>
  <c r="AB124" i="19"/>
  <c r="AI123" i="19"/>
  <c r="AH123" i="19"/>
  <c r="AG123" i="19"/>
  <c r="AF123" i="19"/>
  <c r="AE123" i="19"/>
  <c r="AD123" i="19"/>
  <c r="AC123" i="19"/>
  <c r="AB123" i="19"/>
  <c r="AI122" i="19"/>
  <c r="AH122" i="19"/>
  <c r="AG122" i="19"/>
  <c r="AF122" i="19"/>
  <c r="AE122" i="19"/>
  <c r="AD122" i="19"/>
  <c r="AC122" i="19"/>
  <c r="AB122" i="19"/>
  <c r="AI121" i="19"/>
  <c r="AH121" i="19"/>
  <c r="AG121" i="19"/>
  <c r="AF121" i="19"/>
  <c r="AE121" i="19"/>
  <c r="AD121" i="19"/>
  <c r="AC121" i="19"/>
  <c r="AB121" i="19"/>
  <c r="AI120" i="19"/>
  <c r="AH120" i="19"/>
  <c r="AG120" i="19"/>
  <c r="AF120" i="19"/>
  <c r="AE120" i="19"/>
  <c r="AD120" i="19"/>
  <c r="AC120" i="19"/>
  <c r="AB120" i="19"/>
  <c r="AI119" i="19"/>
  <c r="AH119" i="19"/>
  <c r="AG119" i="19"/>
  <c r="AF119" i="19"/>
  <c r="AE119" i="19"/>
  <c r="AD119" i="19"/>
  <c r="AC119" i="19"/>
  <c r="AB119" i="19"/>
  <c r="AI118" i="19"/>
  <c r="AH118" i="19"/>
  <c r="AG118" i="19"/>
  <c r="AF118" i="19"/>
  <c r="AE118" i="19"/>
  <c r="AD118" i="19"/>
  <c r="AC118" i="19"/>
  <c r="AB118" i="19"/>
  <c r="AI117" i="19"/>
  <c r="AH117" i="19"/>
  <c r="AG117" i="19"/>
  <c r="AF117" i="19"/>
  <c r="AE117" i="19"/>
  <c r="AD117" i="19"/>
  <c r="AC117" i="19"/>
  <c r="AB117" i="19"/>
  <c r="AI116" i="19"/>
  <c r="AH116" i="19"/>
  <c r="AG116" i="19"/>
  <c r="AF116" i="19"/>
  <c r="AE116" i="19"/>
  <c r="AD116" i="19"/>
  <c r="AC116" i="19"/>
  <c r="AB116" i="19"/>
  <c r="AI115" i="19"/>
  <c r="AH115" i="19"/>
  <c r="AG115" i="19"/>
  <c r="AF115" i="19"/>
  <c r="AE115" i="19"/>
  <c r="AD115" i="19"/>
  <c r="AC115" i="19"/>
  <c r="AB115" i="19"/>
  <c r="AI114" i="19"/>
  <c r="AH114" i="19"/>
  <c r="AG114" i="19"/>
  <c r="AF114" i="19"/>
  <c r="AE114" i="19"/>
  <c r="AD114" i="19"/>
  <c r="AC114" i="19"/>
  <c r="AB114" i="19"/>
  <c r="AI113" i="19"/>
  <c r="AH113" i="19"/>
  <c r="AG113" i="19"/>
  <c r="AF113" i="19"/>
  <c r="AE113" i="19"/>
  <c r="AD113" i="19"/>
  <c r="AC113" i="19"/>
  <c r="AB113" i="19"/>
  <c r="AI112" i="19"/>
  <c r="AH112" i="19"/>
  <c r="AG112" i="19"/>
  <c r="AF112" i="19"/>
  <c r="AE112" i="19"/>
  <c r="AD112" i="19"/>
  <c r="AC112" i="19"/>
  <c r="AB112" i="19"/>
  <c r="AI111" i="19"/>
  <c r="AH111" i="19"/>
  <c r="AG111" i="19"/>
  <c r="AF111" i="19"/>
  <c r="AE111" i="19"/>
  <c r="AD111" i="19"/>
  <c r="AC111" i="19"/>
  <c r="AB111" i="19"/>
  <c r="AI110" i="19"/>
  <c r="AH110" i="19"/>
  <c r="AG110" i="19"/>
  <c r="AF110" i="19"/>
  <c r="AE110" i="19"/>
  <c r="AD110" i="19"/>
  <c r="AC110" i="19"/>
  <c r="AB110" i="19"/>
  <c r="AI109" i="19"/>
  <c r="AH109" i="19"/>
  <c r="AG109" i="19"/>
  <c r="AF109" i="19"/>
  <c r="AE109" i="19"/>
  <c r="AD109" i="19"/>
  <c r="AC109" i="19"/>
  <c r="AB109" i="19"/>
  <c r="AI108" i="19"/>
  <c r="AH108" i="19"/>
  <c r="AG108" i="19"/>
  <c r="AF108" i="19"/>
  <c r="AE108" i="19"/>
  <c r="AD108" i="19"/>
  <c r="AC108" i="19"/>
  <c r="AB108" i="19"/>
  <c r="AI107" i="19"/>
  <c r="AH107" i="19"/>
  <c r="AG107" i="19"/>
  <c r="AF107" i="19"/>
  <c r="AE107" i="19"/>
  <c r="AD107" i="19"/>
  <c r="AC107" i="19"/>
  <c r="AB107" i="19"/>
  <c r="AI106" i="19"/>
  <c r="AH106" i="19"/>
  <c r="AG106" i="19"/>
  <c r="AF106" i="19"/>
  <c r="AE106" i="19"/>
  <c r="AD106" i="19"/>
  <c r="AC106" i="19"/>
  <c r="AB106" i="19"/>
  <c r="AI105" i="19"/>
  <c r="AH105" i="19"/>
  <c r="AG105" i="19"/>
  <c r="AF105" i="19"/>
  <c r="AE105" i="19"/>
  <c r="AD105" i="19"/>
  <c r="AC105" i="19"/>
  <c r="AB105" i="19"/>
  <c r="AI104" i="19"/>
  <c r="AH104" i="19"/>
  <c r="AG104" i="19"/>
  <c r="AF104" i="19"/>
  <c r="AE104" i="19"/>
  <c r="AD104" i="19"/>
  <c r="AC104" i="19"/>
  <c r="AB104" i="19"/>
  <c r="AI103" i="19"/>
  <c r="AH103" i="19"/>
  <c r="AG103" i="19"/>
  <c r="AF103" i="19"/>
  <c r="AE103" i="19"/>
  <c r="AD103" i="19"/>
  <c r="AC103" i="19"/>
  <c r="AB103" i="19"/>
  <c r="AI102" i="19"/>
  <c r="AH102" i="19"/>
  <c r="AG102" i="19"/>
  <c r="AF102" i="19"/>
  <c r="AE102" i="19"/>
  <c r="AD102" i="19"/>
  <c r="AC102" i="19"/>
  <c r="AB102" i="19"/>
  <c r="AI101" i="19"/>
  <c r="AH101" i="19"/>
  <c r="AG101" i="19"/>
  <c r="AF101" i="19"/>
  <c r="AE101" i="19"/>
  <c r="AD101" i="19"/>
  <c r="AC101" i="19"/>
  <c r="AB101" i="19"/>
  <c r="AI100" i="19"/>
  <c r="AH100" i="19"/>
  <c r="AG100" i="19"/>
  <c r="AF100" i="19"/>
  <c r="AE100" i="19"/>
  <c r="AD100" i="19"/>
  <c r="AC100" i="19"/>
  <c r="AB100" i="19"/>
  <c r="AI99" i="19"/>
  <c r="AH99" i="19"/>
  <c r="AG99" i="19"/>
  <c r="AF99" i="19"/>
  <c r="AE99" i="19"/>
  <c r="AD99" i="19"/>
  <c r="AC99" i="19"/>
  <c r="AB99" i="19"/>
  <c r="AI98" i="19"/>
  <c r="AH98" i="19"/>
  <c r="AG98" i="19"/>
  <c r="AF98" i="19"/>
  <c r="AE98" i="19"/>
  <c r="AD98" i="19"/>
  <c r="AC98" i="19"/>
  <c r="AB98" i="19"/>
  <c r="AI97" i="19"/>
  <c r="AH97" i="19"/>
  <c r="AG97" i="19"/>
  <c r="AF97" i="19"/>
  <c r="AE97" i="19"/>
  <c r="AD97" i="19"/>
  <c r="AC97" i="19"/>
  <c r="AB97" i="19"/>
  <c r="AI96" i="19"/>
  <c r="AH96" i="19"/>
  <c r="AG96" i="19"/>
  <c r="AF96" i="19"/>
  <c r="AE96" i="19"/>
  <c r="AD96" i="19"/>
  <c r="AC96" i="19"/>
  <c r="AB96" i="19"/>
  <c r="F19" i="19"/>
  <c r="AI5" i="19"/>
  <c r="B77" i="27"/>
  <c r="AI205" i="26"/>
  <c r="AH205" i="26"/>
  <c r="AG205" i="26"/>
  <c r="AF205" i="26"/>
  <c r="AE205" i="26"/>
  <c r="AD205" i="26"/>
  <c r="AC205" i="26"/>
  <c r="AB205" i="26"/>
  <c r="AI204" i="26"/>
  <c r="AH204" i="26"/>
  <c r="AG204" i="26"/>
  <c r="AF204" i="26"/>
  <c r="AE204" i="26"/>
  <c r="AD204" i="26"/>
  <c r="AC204" i="26"/>
  <c r="AB204" i="26"/>
  <c r="AI203" i="26"/>
  <c r="AH203" i="26"/>
  <c r="AG203" i="26"/>
  <c r="AF203" i="26"/>
  <c r="AE203" i="26"/>
  <c r="AD203" i="26"/>
  <c r="AC203" i="26"/>
  <c r="AB203" i="26"/>
  <c r="AI202" i="26"/>
  <c r="AH202" i="26"/>
  <c r="AG202" i="26"/>
  <c r="AF202" i="26"/>
  <c r="AE202" i="26"/>
  <c r="AD202" i="26"/>
  <c r="AC202" i="26"/>
  <c r="AB202" i="26"/>
  <c r="AI201" i="26"/>
  <c r="AH201" i="26"/>
  <c r="AG201" i="26"/>
  <c r="AF201" i="26"/>
  <c r="AE201" i="26"/>
  <c r="AD201" i="26"/>
  <c r="AC201" i="26"/>
  <c r="AB201" i="26"/>
  <c r="AI200" i="26"/>
  <c r="AH200" i="26"/>
  <c r="AG200" i="26"/>
  <c r="AF200" i="26"/>
  <c r="AE200" i="26"/>
  <c r="AD200" i="26"/>
  <c r="AC200" i="26"/>
  <c r="AB200" i="26"/>
  <c r="AI199" i="26"/>
  <c r="AH199" i="26"/>
  <c r="AG199" i="26"/>
  <c r="AF199" i="26"/>
  <c r="AE199" i="26"/>
  <c r="AD199" i="26"/>
  <c r="AC199" i="26"/>
  <c r="AB199" i="26"/>
  <c r="AI198" i="26"/>
  <c r="AH198" i="26"/>
  <c r="AG198" i="26"/>
  <c r="AF198" i="26"/>
  <c r="AE198" i="26"/>
  <c r="AD198" i="26"/>
  <c r="AC198" i="26"/>
  <c r="AB198" i="26"/>
  <c r="AI197" i="26"/>
  <c r="AH197" i="26"/>
  <c r="AG197" i="26"/>
  <c r="AF197" i="26"/>
  <c r="AE197" i="26"/>
  <c r="AD197" i="26"/>
  <c r="AC197" i="26"/>
  <c r="AB197" i="26"/>
  <c r="AI196" i="26"/>
  <c r="AH196" i="26"/>
  <c r="AG196" i="26"/>
  <c r="AF196" i="26"/>
  <c r="AE196" i="26"/>
  <c r="AD196" i="26"/>
  <c r="AC196" i="26"/>
  <c r="AB196" i="26"/>
  <c r="AI195" i="26"/>
  <c r="AH195" i="26"/>
  <c r="AG195" i="26"/>
  <c r="AF195" i="26"/>
  <c r="AE195" i="26"/>
  <c r="AD195" i="26"/>
  <c r="AC195" i="26"/>
  <c r="AB195" i="26"/>
  <c r="AI194" i="26"/>
  <c r="AH194" i="26"/>
  <c r="AG194" i="26"/>
  <c r="AF194" i="26"/>
  <c r="AE194" i="26"/>
  <c r="AD194" i="26"/>
  <c r="AC194" i="26"/>
  <c r="AB194" i="26"/>
  <c r="AI193" i="26"/>
  <c r="AH193" i="26"/>
  <c r="AG193" i="26"/>
  <c r="AF193" i="26"/>
  <c r="AE193" i="26"/>
  <c r="AD193" i="26"/>
  <c r="AC193" i="26"/>
  <c r="AB193" i="26"/>
  <c r="AI192" i="26"/>
  <c r="AH192" i="26"/>
  <c r="AG192" i="26"/>
  <c r="AF192" i="26"/>
  <c r="AE192" i="26"/>
  <c r="AD192" i="26"/>
  <c r="AC192" i="26"/>
  <c r="AB192" i="26"/>
  <c r="AI191" i="26"/>
  <c r="AH191" i="26"/>
  <c r="AG191" i="26"/>
  <c r="AF191" i="26"/>
  <c r="AE191" i="26"/>
  <c r="AD191" i="26"/>
  <c r="AC191" i="26"/>
  <c r="AB191" i="26"/>
  <c r="AI190" i="26"/>
  <c r="AH190" i="26"/>
  <c r="AG190" i="26"/>
  <c r="AF190" i="26"/>
  <c r="AE190" i="26"/>
  <c r="AD190" i="26"/>
  <c r="AC190" i="26"/>
  <c r="AB190" i="26"/>
  <c r="AI189" i="26"/>
  <c r="AH189" i="26"/>
  <c r="AG189" i="26"/>
  <c r="AF189" i="26"/>
  <c r="AE189" i="26"/>
  <c r="AD189" i="26"/>
  <c r="AC189" i="26"/>
  <c r="AB189" i="26"/>
  <c r="AI188" i="26"/>
  <c r="AH188" i="26"/>
  <c r="AG188" i="26"/>
  <c r="AF188" i="26"/>
  <c r="AE188" i="26"/>
  <c r="AD188" i="26"/>
  <c r="AC188" i="26"/>
  <c r="AB188" i="26"/>
  <c r="AI187" i="26"/>
  <c r="AH187" i="26"/>
  <c r="AG187" i="26"/>
  <c r="AF187" i="26"/>
  <c r="AE187" i="26"/>
  <c r="AD187" i="26"/>
  <c r="AC187" i="26"/>
  <c r="AB187" i="26"/>
  <c r="AI186" i="26"/>
  <c r="AH186" i="26"/>
  <c r="AG186" i="26"/>
  <c r="AF186" i="26"/>
  <c r="AE186" i="26"/>
  <c r="AD186" i="26"/>
  <c r="AC186" i="26"/>
  <c r="AB186" i="26"/>
  <c r="AI185" i="26"/>
  <c r="AH185" i="26"/>
  <c r="AG185" i="26"/>
  <c r="AF185" i="26"/>
  <c r="AE185" i="26"/>
  <c r="AD185" i="26"/>
  <c r="AC185" i="26"/>
  <c r="AB185" i="26"/>
  <c r="AI184" i="26"/>
  <c r="AH184" i="26"/>
  <c r="AG184" i="26"/>
  <c r="AF184" i="26"/>
  <c r="AE184" i="26"/>
  <c r="AD184" i="26"/>
  <c r="AC184" i="26"/>
  <c r="AB184" i="26"/>
  <c r="AI183" i="26"/>
  <c r="AH183" i="26"/>
  <c r="AG183" i="26"/>
  <c r="AF183" i="26"/>
  <c r="AE183" i="26"/>
  <c r="AD183" i="26"/>
  <c r="AC183" i="26"/>
  <c r="AB183" i="26"/>
  <c r="AI182" i="26"/>
  <c r="AH182" i="26"/>
  <c r="AG182" i="26"/>
  <c r="AF182" i="26"/>
  <c r="AE182" i="26"/>
  <c r="AD182" i="26"/>
  <c r="AC182" i="26"/>
  <c r="AB182" i="26"/>
  <c r="AI181" i="26"/>
  <c r="AH181" i="26"/>
  <c r="AG181" i="26"/>
  <c r="AF181" i="26"/>
  <c r="AE181" i="26"/>
  <c r="AD181" i="26"/>
  <c r="AC181" i="26"/>
  <c r="AB181" i="26"/>
  <c r="AI180" i="26"/>
  <c r="AH180" i="26"/>
  <c r="AG180" i="26"/>
  <c r="AF180" i="26"/>
  <c r="AE180" i="26"/>
  <c r="AD180" i="26"/>
  <c r="AC180" i="26"/>
  <c r="AB180" i="26"/>
  <c r="AI179" i="26"/>
  <c r="AH179" i="26"/>
  <c r="AG179" i="26"/>
  <c r="AF179" i="26"/>
  <c r="AE179" i="26"/>
  <c r="AD179" i="26"/>
  <c r="AC179" i="26"/>
  <c r="AB179" i="26"/>
  <c r="AI178" i="26"/>
  <c r="AH178" i="26"/>
  <c r="AG178" i="26"/>
  <c r="AF178" i="26"/>
  <c r="AE178" i="26"/>
  <c r="AD178" i="26"/>
  <c r="AC178" i="26"/>
  <c r="AB178" i="26"/>
  <c r="AI177" i="26"/>
  <c r="AH177" i="26"/>
  <c r="AG177" i="26"/>
  <c r="AF177" i="26"/>
  <c r="AE177" i="26"/>
  <c r="AD177" i="26"/>
  <c r="AC177" i="26"/>
  <c r="AB177" i="26"/>
  <c r="AI176" i="26"/>
  <c r="AH176" i="26"/>
  <c r="AG176" i="26"/>
  <c r="AF176" i="26"/>
  <c r="AE176" i="26"/>
  <c r="AD176" i="26"/>
  <c r="AC176" i="26"/>
  <c r="AB176" i="26"/>
  <c r="AI175" i="26"/>
  <c r="AH175" i="26"/>
  <c r="AG175" i="26"/>
  <c r="AF175" i="26"/>
  <c r="AE175" i="26"/>
  <c r="AD175" i="26"/>
  <c r="AC175" i="26"/>
  <c r="AB175" i="26"/>
  <c r="AI174" i="26"/>
  <c r="AH174" i="26"/>
  <c r="AG174" i="26"/>
  <c r="AF174" i="26"/>
  <c r="AE174" i="26"/>
  <c r="AD174" i="26"/>
  <c r="AC174" i="26"/>
  <c r="AB174" i="26"/>
  <c r="AI173" i="26"/>
  <c r="AH173" i="26"/>
  <c r="AG173" i="26"/>
  <c r="AF173" i="26"/>
  <c r="AE173" i="26"/>
  <c r="AD173" i="26"/>
  <c r="AC173" i="26"/>
  <c r="AB173" i="26"/>
  <c r="AI172" i="26"/>
  <c r="AH172" i="26"/>
  <c r="AG172" i="26"/>
  <c r="AF172" i="26"/>
  <c r="AE172" i="26"/>
  <c r="AD172" i="26"/>
  <c r="AC172" i="26"/>
  <c r="AB172" i="26"/>
  <c r="AI171" i="26"/>
  <c r="AH171" i="26"/>
  <c r="AG171" i="26"/>
  <c r="AF171" i="26"/>
  <c r="AE171" i="26"/>
  <c r="AD171" i="26"/>
  <c r="AC171" i="26"/>
  <c r="AB171" i="26"/>
  <c r="AI170" i="26"/>
  <c r="AH170" i="26"/>
  <c r="AG170" i="26"/>
  <c r="AF170" i="26"/>
  <c r="AE170" i="26"/>
  <c r="AD170" i="26"/>
  <c r="AC170" i="26"/>
  <c r="AB170" i="26"/>
  <c r="AI169" i="26"/>
  <c r="AH169" i="26"/>
  <c r="AG169" i="26"/>
  <c r="AF169" i="26"/>
  <c r="AE169" i="26"/>
  <c r="AD169" i="26"/>
  <c r="AC169" i="26"/>
  <c r="AB169" i="26"/>
  <c r="AI168" i="26"/>
  <c r="AH168" i="26"/>
  <c r="AG168" i="26"/>
  <c r="AF168" i="26"/>
  <c r="AE168" i="26"/>
  <c r="AD168" i="26"/>
  <c r="AC168" i="26"/>
  <c r="AB168" i="26"/>
  <c r="AI167" i="26"/>
  <c r="AH167" i="26"/>
  <c r="AG167" i="26"/>
  <c r="AF167" i="26"/>
  <c r="AE167" i="26"/>
  <c r="AD167" i="26"/>
  <c r="AC167" i="26"/>
  <c r="AB167" i="26"/>
  <c r="AI166" i="26"/>
  <c r="AH166" i="26"/>
  <c r="AG166" i="26"/>
  <c r="AF166" i="26"/>
  <c r="AE166" i="26"/>
  <c r="AD166" i="26"/>
  <c r="AC166" i="26"/>
  <c r="AB166" i="26"/>
  <c r="AI165" i="26"/>
  <c r="AH165" i="26"/>
  <c r="AG165" i="26"/>
  <c r="AF165" i="26"/>
  <c r="AE165" i="26"/>
  <c r="AD165" i="26"/>
  <c r="AC165" i="26"/>
  <c r="AB165" i="26"/>
  <c r="AI164" i="26"/>
  <c r="AH164" i="26"/>
  <c r="AG164" i="26"/>
  <c r="AF164" i="26"/>
  <c r="AE164" i="26"/>
  <c r="AD164" i="26"/>
  <c r="AC164" i="26"/>
  <c r="AB164" i="26"/>
  <c r="AI163" i="26"/>
  <c r="AH163" i="26"/>
  <c r="AG163" i="26"/>
  <c r="AF163" i="26"/>
  <c r="AE163" i="26"/>
  <c r="AD163" i="26"/>
  <c r="AC163" i="26"/>
  <c r="AB163" i="26"/>
  <c r="AI162" i="26"/>
  <c r="AH162" i="26"/>
  <c r="AG162" i="26"/>
  <c r="AF162" i="26"/>
  <c r="AE162" i="26"/>
  <c r="AD162" i="26"/>
  <c r="AC162" i="26"/>
  <c r="AB162" i="26"/>
  <c r="AI161" i="26"/>
  <c r="AH161" i="26"/>
  <c r="AG161" i="26"/>
  <c r="AF161" i="26"/>
  <c r="AE161" i="26"/>
  <c r="AD161" i="26"/>
  <c r="AC161" i="26"/>
  <c r="AB161" i="26"/>
  <c r="AI160" i="26"/>
  <c r="AH160" i="26"/>
  <c r="AG160" i="26"/>
  <c r="AF160" i="26"/>
  <c r="AE160" i="26"/>
  <c r="AD160" i="26"/>
  <c r="AC160" i="26"/>
  <c r="AB160" i="26"/>
  <c r="AI159" i="26"/>
  <c r="AH159" i="26"/>
  <c r="AG159" i="26"/>
  <c r="AF159" i="26"/>
  <c r="AE159" i="26"/>
  <c r="AD159" i="26"/>
  <c r="AC159" i="26"/>
  <c r="AB159" i="26"/>
  <c r="AI158" i="26"/>
  <c r="AH158" i="26"/>
  <c r="AG158" i="26"/>
  <c r="AF158" i="26"/>
  <c r="AE158" i="26"/>
  <c r="AD158" i="26"/>
  <c r="AC158" i="26"/>
  <c r="AB158" i="26"/>
  <c r="AI157" i="26"/>
  <c r="AH157" i="26"/>
  <c r="AG157" i="26"/>
  <c r="AF157" i="26"/>
  <c r="AE157" i="26"/>
  <c r="AD157" i="26"/>
  <c r="AC157" i="26"/>
  <c r="AB157" i="26"/>
  <c r="AI156" i="26"/>
  <c r="AH156" i="26"/>
  <c r="AG156" i="26"/>
  <c r="AF156" i="26"/>
  <c r="AE156" i="26"/>
  <c r="AD156" i="26"/>
  <c r="AC156" i="26"/>
  <c r="AB156" i="26"/>
  <c r="AB23" i="26"/>
  <c r="AC23" i="26"/>
  <c r="AB26" i="26"/>
  <c r="AC26" i="26"/>
  <c r="AB29" i="26"/>
  <c r="AC29" i="26"/>
  <c r="AB35" i="26"/>
  <c r="AC35" i="26"/>
  <c r="AB41" i="26"/>
  <c r="AC41" i="26"/>
  <c r="AB47" i="26"/>
  <c r="AC47" i="26"/>
  <c r="AB53" i="26"/>
  <c r="AC53" i="26"/>
  <c r="AB65" i="26"/>
  <c r="AC65" i="26"/>
  <c r="AB66" i="26"/>
  <c r="AC66" i="26"/>
  <c r="AB67" i="26"/>
  <c r="AC67" i="26"/>
  <c r="AB68" i="26"/>
  <c r="AC68" i="26"/>
  <c r="AB69" i="26"/>
  <c r="AC69" i="26"/>
  <c r="AB70" i="26"/>
  <c r="AC70" i="26"/>
  <c r="AB71" i="26"/>
  <c r="AC71" i="26"/>
  <c r="AB72" i="26"/>
  <c r="AC72" i="26"/>
  <c r="AB73" i="26"/>
  <c r="AC73" i="26"/>
  <c r="AB74" i="26"/>
  <c r="AC74" i="26"/>
  <c r="AB75" i="26"/>
  <c r="AC75" i="26"/>
  <c r="AB76" i="26"/>
  <c r="AC76" i="26"/>
  <c r="AB77" i="26"/>
  <c r="AC77" i="26"/>
  <c r="AB78" i="26"/>
  <c r="AC78" i="26"/>
  <c r="AB79" i="26"/>
  <c r="AC79" i="26"/>
  <c r="AB80" i="26"/>
  <c r="AC80" i="26"/>
  <c r="AB81" i="26"/>
  <c r="AC81" i="26"/>
  <c r="AB82" i="26"/>
  <c r="AC82" i="26"/>
  <c r="AB83" i="26"/>
  <c r="AC83" i="26"/>
  <c r="AB84" i="26"/>
  <c r="AC84" i="26"/>
  <c r="AB85" i="26"/>
  <c r="AC85" i="26"/>
  <c r="AB86" i="26"/>
  <c r="AC86" i="26"/>
  <c r="AB87" i="26"/>
  <c r="AC87" i="26"/>
  <c r="AB88" i="26"/>
  <c r="AC88" i="26"/>
  <c r="AB89" i="26"/>
  <c r="AC89" i="26"/>
  <c r="AB90" i="26"/>
  <c r="AC90" i="26"/>
  <c r="AB91" i="26"/>
  <c r="AC91" i="26"/>
  <c r="AB92" i="26"/>
  <c r="AC92" i="26"/>
  <c r="AB93" i="26"/>
  <c r="AC93" i="26"/>
  <c r="AB94" i="26"/>
  <c r="AC94" i="26"/>
  <c r="AB95" i="26"/>
  <c r="AC95" i="26"/>
  <c r="AB96" i="26"/>
  <c r="AC96" i="26"/>
  <c r="AB97" i="26"/>
  <c r="AC97" i="26"/>
  <c r="AB98" i="26"/>
  <c r="AC98" i="26"/>
  <c r="AB99" i="26"/>
  <c r="AC99" i="26"/>
  <c r="AB100" i="26"/>
  <c r="AC100" i="26"/>
  <c r="AB101" i="26"/>
  <c r="AC101" i="26"/>
  <c r="AB102" i="26"/>
  <c r="AC102" i="26"/>
  <c r="AB103" i="26"/>
  <c r="AC103" i="26"/>
  <c r="AB104" i="26"/>
  <c r="AC104" i="26"/>
  <c r="AB105" i="26"/>
  <c r="AC105" i="26"/>
  <c r="AB106" i="26"/>
  <c r="AC106" i="26"/>
  <c r="AB107" i="26"/>
  <c r="AC107" i="26"/>
  <c r="AB108" i="26"/>
  <c r="AC108" i="26"/>
  <c r="AB109" i="26"/>
  <c r="AC109" i="26"/>
  <c r="AB110" i="26"/>
  <c r="AC110" i="26"/>
  <c r="AB111" i="26"/>
  <c r="AC111" i="26"/>
  <c r="AB112" i="26"/>
  <c r="AC112" i="26"/>
  <c r="AB113" i="26"/>
  <c r="AC113" i="26"/>
  <c r="AB114" i="26"/>
  <c r="AC114" i="26"/>
  <c r="AB115" i="26"/>
  <c r="AC115" i="26"/>
  <c r="AB116" i="26"/>
  <c r="AC116" i="26"/>
  <c r="AB117" i="26"/>
  <c r="AC117" i="26"/>
  <c r="AB118" i="26"/>
  <c r="AC118" i="26"/>
  <c r="AB119" i="26"/>
  <c r="AC119" i="26"/>
  <c r="AB120" i="26"/>
  <c r="AC120" i="26"/>
  <c r="AB121" i="26"/>
  <c r="AC121" i="26"/>
  <c r="AB122" i="26"/>
  <c r="AC122" i="26"/>
  <c r="AB123" i="26"/>
  <c r="AC123" i="26"/>
  <c r="AB124" i="26"/>
  <c r="AC124" i="26"/>
  <c r="AB125" i="26"/>
  <c r="AC125" i="26"/>
  <c r="AB126" i="26"/>
  <c r="AC126" i="26"/>
  <c r="AB127" i="26"/>
  <c r="AC127" i="26"/>
  <c r="AB128" i="26"/>
  <c r="AC128" i="26"/>
  <c r="AB129" i="26"/>
  <c r="AC129" i="26"/>
  <c r="AB130" i="26"/>
  <c r="AC130" i="26"/>
  <c r="AB131" i="26"/>
  <c r="AC131" i="26"/>
  <c r="AB132" i="26"/>
  <c r="AC132" i="26"/>
  <c r="AB133" i="26"/>
  <c r="AC133" i="26"/>
  <c r="AB134" i="26"/>
  <c r="AC134" i="26"/>
  <c r="AB135" i="26"/>
  <c r="AC135" i="26"/>
  <c r="AB136" i="26"/>
  <c r="AC136" i="26"/>
  <c r="AB137" i="26"/>
  <c r="AC137" i="26"/>
  <c r="AB138" i="26"/>
  <c r="AC138" i="26"/>
  <c r="AB139" i="26"/>
  <c r="AC139" i="26"/>
  <c r="AB140" i="26"/>
  <c r="AC140" i="26"/>
  <c r="AB141" i="26"/>
  <c r="AC141" i="26"/>
  <c r="AF141" i="26"/>
  <c r="AB142" i="26"/>
  <c r="AC142" i="26"/>
  <c r="AF142" i="26"/>
  <c r="AB143" i="26"/>
  <c r="AC143" i="26"/>
  <c r="AF143" i="26"/>
  <c r="AB144" i="26"/>
  <c r="AC144" i="26"/>
  <c r="AF144" i="26"/>
  <c r="AB145" i="26"/>
  <c r="AC145" i="26"/>
  <c r="AF145" i="26"/>
  <c r="AB146" i="26"/>
  <c r="AC146" i="26"/>
  <c r="AF146" i="26"/>
  <c r="AB147" i="26"/>
  <c r="AC147" i="26"/>
  <c r="AF147" i="26"/>
  <c r="AB148" i="26"/>
  <c r="AC148" i="26"/>
  <c r="AF148" i="26"/>
  <c r="AB149" i="26"/>
  <c r="AC149" i="26"/>
  <c r="AF149" i="26"/>
  <c r="AB150" i="26"/>
  <c r="AC150" i="26"/>
  <c r="AF150" i="26"/>
  <c r="AB151" i="26"/>
  <c r="AC151" i="26"/>
  <c r="AF151" i="26"/>
  <c r="AB152" i="26"/>
  <c r="AC152" i="26"/>
  <c r="AF152" i="26"/>
  <c r="AB153" i="26"/>
  <c r="AC153" i="26"/>
  <c r="AF153" i="26"/>
  <c r="AB154" i="26"/>
  <c r="AC154" i="26"/>
  <c r="AF154" i="26"/>
  <c r="AB155" i="26"/>
  <c r="AC155" i="26"/>
  <c r="AF155" i="26"/>
  <c r="AD47" i="26"/>
  <c r="AD53"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D114" i="26"/>
  <c r="AD115" i="26"/>
  <c r="AD116" i="26"/>
  <c r="AD117" i="26"/>
  <c r="AD118" i="26"/>
  <c r="AD119" i="26"/>
  <c r="AD120" i="26"/>
  <c r="AD121" i="26"/>
  <c r="AD122" i="26"/>
  <c r="AD123" i="26"/>
  <c r="AD124" i="26"/>
  <c r="AD125" i="26"/>
  <c r="AD126" i="26"/>
  <c r="AD127" i="26"/>
  <c r="AD128" i="26"/>
  <c r="AD129" i="26"/>
  <c r="AD130" i="26"/>
  <c r="AD131" i="26"/>
  <c r="AD132" i="26"/>
  <c r="AD133" i="26"/>
  <c r="AD134" i="26"/>
  <c r="AD135" i="26"/>
  <c r="AD136" i="26"/>
  <c r="AD137" i="26"/>
  <c r="AD138" i="26"/>
  <c r="AD139" i="26"/>
  <c r="AD140" i="26"/>
  <c r="AD141" i="26"/>
  <c r="AG141" i="26"/>
  <c r="AD142" i="26"/>
  <c r="AG142" i="26"/>
  <c r="AD143" i="26"/>
  <c r="AG143" i="26"/>
  <c r="AD144" i="26"/>
  <c r="AG144" i="26"/>
  <c r="AD145" i="26"/>
  <c r="AG145" i="26"/>
  <c r="AD146" i="26"/>
  <c r="AG146" i="26"/>
  <c r="AD147" i="26"/>
  <c r="AG147" i="26"/>
  <c r="AD148" i="26"/>
  <c r="AG148" i="26"/>
  <c r="AD149" i="26"/>
  <c r="AG149" i="26"/>
  <c r="AD150" i="26"/>
  <c r="AG150" i="26"/>
  <c r="AD151" i="26"/>
  <c r="AG151" i="26"/>
  <c r="AD152" i="26"/>
  <c r="AG152" i="26"/>
  <c r="AD153" i="26"/>
  <c r="AG153" i="26"/>
  <c r="AD154" i="26"/>
  <c r="AG154" i="26"/>
  <c r="AD155" i="26"/>
  <c r="AG155" i="26"/>
  <c r="AE47" i="26"/>
  <c r="AE53"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14" i="26"/>
  <c r="AE115" i="26"/>
  <c r="AE116" i="26"/>
  <c r="AE117" i="26"/>
  <c r="AE118" i="26"/>
  <c r="AE119" i="26"/>
  <c r="AE120" i="26"/>
  <c r="AE121" i="26"/>
  <c r="AE122" i="26"/>
  <c r="AE123" i="26"/>
  <c r="AE124" i="26"/>
  <c r="AE125" i="26"/>
  <c r="AE126" i="26"/>
  <c r="AE127" i="26"/>
  <c r="AE128" i="26"/>
  <c r="AE129" i="26"/>
  <c r="AE130" i="26"/>
  <c r="AE131" i="26"/>
  <c r="AE132" i="26"/>
  <c r="AE133" i="26"/>
  <c r="AE134" i="26"/>
  <c r="AE135" i="26"/>
  <c r="AE136" i="26"/>
  <c r="AE137" i="26"/>
  <c r="AE138" i="26"/>
  <c r="AE139" i="26"/>
  <c r="AE140" i="26"/>
  <c r="AE141" i="26"/>
  <c r="AH141" i="26"/>
  <c r="AE142" i="26"/>
  <c r="AH142" i="26"/>
  <c r="AE143" i="26"/>
  <c r="AH143" i="26"/>
  <c r="AE144" i="26"/>
  <c r="AH144" i="26"/>
  <c r="AE145" i="26"/>
  <c r="AH145" i="26"/>
  <c r="AE146" i="26"/>
  <c r="AH146" i="26"/>
  <c r="AE147" i="26"/>
  <c r="AH147" i="26"/>
  <c r="AE148" i="26"/>
  <c r="AH148" i="26"/>
  <c r="AE149" i="26"/>
  <c r="AH149" i="26"/>
  <c r="AE150" i="26"/>
  <c r="AH150" i="26"/>
  <c r="AE151" i="26"/>
  <c r="AH151" i="26"/>
  <c r="AE152" i="26"/>
  <c r="AH152" i="26"/>
  <c r="AE153" i="26"/>
  <c r="AH153" i="26"/>
  <c r="AE154" i="26"/>
  <c r="AH154" i="26"/>
  <c r="AE155" i="26"/>
  <c r="AH155" i="26"/>
  <c r="AI155" i="26"/>
  <c r="AI154" i="26"/>
  <c r="AI153" i="26"/>
  <c r="AI152" i="26"/>
  <c r="AI151" i="26"/>
  <c r="AI150" i="26"/>
  <c r="AI149" i="26"/>
  <c r="AI148" i="26"/>
  <c r="AI147" i="26"/>
  <c r="AI146" i="26"/>
  <c r="AI145" i="26"/>
  <c r="AI144" i="26"/>
  <c r="AI143" i="26"/>
  <c r="AI142" i="26"/>
  <c r="AI141" i="26"/>
  <c r="AI5" i="26"/>
  <c r="F11" i="19"/>
  <c r="F11" i="13"/>
  <c r="N3" i="27"/>
  <c r="R4" i="27"/>
  <c r="B38" i="27"/>
  <c r="B44" i="27"/>
  <c r="B46" i="27"/>
  <c r="I46" i="27" s="1"/>
  <c r="B48" i="27"/>
  <c r="I48" i="27" s="1"/>
  <c r="B54" i="27"/>
  <c r="B55" i="27"/>
  <c r="B66" i="27"/>
  <c r="B70" i="27"/>
  <c r="B86" i="27"/>
  <c r="B102" i="27"/>
  <c r="B103" i="27"/>
  <c r="B104" i="27"/>
  <c r="B105" i="27"/>
  <c r="B106" i="27"/>
  <c r="B107" i="27"/>
  <c r="B108" i="27"/>
  <c r="B109" i="27"/>
  <c r="B110" i="27"/>
  <c r="B111" i="27"/>
  <c r="B112" i="27"/>
  <c r="B113" i="27"/>
  <c r="B114" i="27"/>
  <c r="B115" i="27"/>
  <c r="D23" i="27"/>
  <c r="B21" i="27"/>
  <c r="E82" i="13"/>
  <c r="E23" i="27"/>
  <c r="F133" i="27"/>
  <c r="F82" i="13"/>
  <c r="F23" i="27"/>
  <c r="G23" i="27"/>
  <c r="D24" i="27"/>
  <c r="E83" i="13"/>
  <c r="E24" i="27"/>
  <c r="F83" i="13"/>
  <c r="F24" i="27"/>
  <c r="G24" i="27"/>
  <c r="D25" i="27"/>
  <c r="E84" i="13"/>
  <c r="E25" i="27"/>
  <c r="F84" i="13"/>
  <c r="F25" i="27"/>
  <c r="G25" i="27"/>
  <c r="D26" i="27"/>
  <c r="E85" i="13"/>
  <c r="E26" i="27"/>
  <c r="F85" i="13"/>
  <c r="F26" i="27"/>
  <c r="G26" i="27"/>
  <c r="D27" i="27"/>
  <c r="E86" i="13"/>
  <c r="E27" i="27"/>
  <c r="F86" i="13"/>
  <c r="F27" i="27"/>
  <c r="G27" i="27"/>
  <c r="D28" i="27"/>
  <c r="E87" i="13"/>
  <c r="E28" i="27"/>
  <c r="F87" i="13"/>
  <c r="F28" i="27"/>
  <c r="G28" i="27"/>
  <c r="D29" i="27"/>
  <c r="E88" i="13"/>
  <c r="E29" i="27"/>
  <c r="F88" i="13"/>
  <c r="F29" i="27"/>
  <c r="G29" i="27"/>
  <c r="D30" i="27"/>
  <c r="E89" i="13"/>
  <c r="E30" i="27"/>
  <c r="F89" i="13"/>
  <c r="F30" i="27"/>
  <c r="G30" i="27"/>
  <c r="D31" i="27"/>
  <c r="E90" i="13"/>
  <c r="E31" i="27"/>
  <c r="F90" i="13"/>
  <c r="F31" i="27"/>
  <c r="G31" i="27"/>
  <c r="D32" i="27"/>
  <c r="E91" i="13"/>
  <c r="E32" i="27"/>
  <c r="F91" i="13"/>
  <c r="F32" i="27"/>
  <c r="G32" i="27"/>
  <c r="D33" i="27"/>
  <c r="E92" i="13"/>
  <c r="E33" i="27"/>
  <c r="F92" i="13"/>
  <c r="F33" i="27"/>
  <c r="G33" i="27"/>
  <c r="D34" i="27"/>
  <c r="E93" i="13"/>
  <c r="E34" i="27"/>
  <c r="F93" i="13"/>
  <c r="F34" i="27"/>
  <c r="G34" i="27"/>
  <c r="D35" i="27"/>
  <c r="E95" i="13"/>
  <c r="E35" i="27"/>
  <c r="F95" i="13"/>
  <c r="F35" i="27"/>
  <c r="G35" i="27"/>
  <c r="C39" i="27"/>
  <c r="D39" i="27"/>
  <c r="E39" i="27"/>
  <c r="F183" i="27"/>
  <c r="G39" i="27"/>
  <c r="C40" i="27"/>
  <c r="D40" i="27"/>
  <c r="F40" i="27"/>
  <c r="G40" i="27"/>
  <c r="C41" i="27"/>
  <c r="D41" i="27"/>
  <c r="F41" i="27"/>
  <c r="G41" i="27"/>
  <c r="C42" i="27"/>
  <c r="D42" i="27"/>
  <c r="G42" i="27"/>
  <c r="C43" i="27"/>
  <c r="D43" i="27"/>
  <c r="G43" i="27"/>
  <c r="C44" i="27"/>
  <c r="D44" i="27"/>
  <c r="F44" i="27"/>
  <c r="G44" i="27"/>
  <c r="D45" i="27"/>
  <c r="G45" i="27"/>
  <c r="C46" i="27"/>
  <c r="D46" i="27"/>
  <c r="E46" i="27"/>
  <c r="G46" i="27"/>
  <c r="C47" i="27"/>
  <c r="D47" i="27"/>
  <c r="G47" i="27"/>
  <c r="C48" i="27"/>
  <c r="D48" i="27"/>
  <c r="F48" i="27"/>
  <c r="G48" i="27"/>
  <c r="D49" i="27"/>
  <c r="F49" i="27"/>
  <c r="G49" i="27"/>
  <c r="C50" i="27"/>
  <c r="D50" i="27"/>
  <c r="E50" i="27"/>
  <c r="G50" i="27"/>
  <c r="D51" i="27"/>
  <c r="E51" i="27"/>
  <c r="G51" i="27"/>
  <c r="D55" i="27"/>
  <c r="E82" i="19"/>
  <c r="E55" i="27"/>
  <c r="F140" i="27"/>
  <c r="F82" i="19"/>
  <c r="F55" i="27"/>
  <c r="G55" i="27"/>
  <c r="D56" i="27"/>
  <c r="E83" i="19"/>
  <c r="E56" i="27"/>
  <c r="F83" i="19"/>
  <c r="F56" i="27"/>
  <c r="G56" i="27"/>
  <c r="C57" i="27"/>
  <c r="D57" i="27"/>
  <c r="E84" i="19"/>
  <c r="E57" i="27"/>
  <c r="F84" i="19"/>
  <c r="F57" i="27"/>
  <c r="G57" i="27"/>
  <c r="D58" i="27"/>
  <c r="E85" i="19"/>
  <c r="F85" i="19"/>
  <c r="F58" i="27"/>
  <c r="G58" i="27"/>
  <c r="C59" i="27"/>
  <c r="D59" i="27"/>
  <c r="E86" i="19"/>
  <c r="E59" i="27"/>
  <c r="F86" i="19"/>
  <c r="F59" i="27"/>
  <c r="G59" i="27"/>
  <c r="C60" i="27"/>
  <c r="D60" i="27"/>
  <c r="E87" i="19"/>
  <c r="E60" i="27"/>
  <c r="F87" i="19"/>
  <c r="F60" i="27"/>
  <c r="G60" i="27"/>
  <c r="C61" i="27"/>
  <c r="D61" i="27"/>
  <c r="E88" i="19"/>
  <c r="F88" i="19"/>
  <c r="F61" i="27"/>
  <c r="G61" i="27"/>
  <c r="D62" i="27"/>
  <c r="E89" i="19"/>
  <c r="E62" i="27"/>
  <c r="F89" i="19"/>
  <c r="F62" i="27"/>
  <c r="G62" i="27"/>
  <c r="C63" i="27"/>
  <c r="D63" i="27"/>
  <c r="E90" i="19"/>
  <c r="E63" i="27"/>
  <c r="F90" i="19"/>
  <c r="F63" i="27"/>
  <c r="G63" i="27"/>
  <c r="C64" i="27"/>
  <c r="D64" i="27"/>
  <c r="E91" i="19"/>
  <c r="E64" i="27"/>
  <c r="F91" i="19"/>
  <c r="F64" i="27"/>
  <c r="G64" i="27"/>
  <c r="C65" i="27"/>
  <c r="D65" i="27"/>
  <c r="E65" i="27"/>
  <c r="F65" i="27"/>
  <c r="G65" i="27"/>
  <c r="C66" i="27"/>
  <c r="D66" i="27"/>
  <c r="E66" i="27"/>
  <c r="G66" i="27"/>
  <c r="D67" i="27"/>
  <c r="E94" i="19"/>
  <c r="E67" i="27"/>
  <c r="F94" i="19"/>
  <c r="F67" i="27"/>
  <c r="G67" i="27"/>
  <c r="C71" i="27"/>
  <c r="D71" i="27"/>
  <c r="E71" i="27"/>
  <c r="F151" i="27"/>
  <c r="F71" i="27"/>
  <c r="G71" i="27"/>
  <c r="C72" i="27"/>
  <c r="D72" i="27"/>
  <c r="E72" i="27"/>
  <c r="F72" i="27"/>
  <c r="G72" i="27"/>
  <c r="C73" i="27"/>
  <c r="D73" i="27"/>
  <c r="E73" i="27"/>
  <c r="F73" i="27"/>
  <c r="G73" i="27"/>
  <c r="C74" i="27"/>
  <c r="D74" i="27"/>
  <c r="E74" i="27"/>
  <c r="F74" i="27"/>
  <c r="G74" i="27"/>
  <c r="C75" i="27"/>
  <c r="D75" i="27"/>
  <c r="E75" i="27"/>
  <c r="F75" i="27"/>
  <c r="G75" i="27"/>
  <c r="C76" i="27"/>
  <c r="D76" i="27"/>
  <c r="E76" i="27"/>
  <c r="F76" i="27"/>
  <c r="G76" i="27"/>
  <c r="C77" i="27"/>
  <c r="D77" i="27"/>
  <c r="E77" i="27"/>
  <c r="F77" i="27"/>
  <c r="G77" i="27"/>
  <c r="C78" i="27"/>
  <c r="D78" i="27"/>
  <c r="E78" i="27"/>
  <c r="F78" i="27"/>
  <c r="G78" i="27"/>
  <c r="C79" i="27"/>
  <c r="D79" i="27"/>
  <c r="E79" i="27"/>
  <c r="F79" i="27"/>
  <c r="G79" i="27"/>
  <c r="C80" i="27"/>
  <c r="D80" i="27"/>
  <c r="E80" i="27"/>
  <c r="F80" i="27"/>
  <c r="G80" i="27"/>
  <c r="C81" i="27"/>
  <c r="D81" i="27"/>
  <c r="E81" i="27"/>
  <c r="F81" i="27"/>
  <c r="G81" i="27"/>
  <c r="C82" i="27"/>
  <c r="D82" i="27"/>
  <c r="E82" i="27"/>
  <c r="F82" i="27"/>
  <c r="G82" i="27"/>
  <c r="D83" i="27"/>
  <c r="E83" i="27"/>
  <c r="F83" i="27"/>
  <c r="G83" i="27"/>
  <c r="C87" i="27"/>
  <c r="D87" i="27"/>
  <c r="E87" i="27"/>
  <c r="F87" i="27"/>
  <c r="G87" i="27"/>
  <c r="C88" i="27"/>
  <c r="D88" i="27"/>
  <c r="AD26" i="26"/>
  <c r="F88" i="27"/>
  <c r="G88" i="27"/>
  <c r="C89" i="27"/>
  <c r="D89" i="27"/>
  <c r="AD29" i="26"/>
  <c r="E89" i="27"/>
  <c r="F89" i="27"/>
  <c r="G89" i="27"/>
  <c r="C90" i="27"/>
  <c r="D90" i="27"/>
  <c r="E90" i="27"/>
  <c r="F90" i="27"/>
  <c r="G90" i="27"/>
  <c r="C91" i="27"/>
  <c r="D91" i="27"/>
  <c r="AD41" i="26"/>
  <c r="AE41" i="26"/>
  <c r="F91" i="27"/>
  <c r="G91" i="27"/>
  <c r="C92" i="27"/>
  <c r="D92" i="27"/>
  <c r="E92" i="27"/>
  <c r="F92" i="27"/>
  <c r="G92" i="27"/>
  <c r="C93" i="27"/>
  <c r="D93" i="27"/>
  <c r="E93" i="27"/>
  <c r="F93" i="27"/>
  <c r="G93" i="27"/>
  <c r="C94" i="27"/>
  <c r="D94" i="27"/>
  <c r="E94" i="27"/>
  <c r="F94" i="27"/>
  <c r="G94" i="27"/>
  <c r="C95" i="27"/>
  <c r="D95" i="27"/>
  <c r="E95" i="27"/>
  <c r="F95" i="27"/>
  <c r="G95" i="27"/>
  <c r="C96" i="27"/>
  <c r="D96" i="27"/>
  <c r="E96" i="27"/>
  <c r="F96" i="27"/>
  <c r="G96" i="27"/>
  <c r="C97" i="27"/>
  <c r="D97" i="27"/>
  <c r="E97" i="27"/>
  <c r="F97" i="27"/>
  <c r="G97" i="27"/>
  <c r="C98" i="27"/>
  <c r="D98" i="27"/>
  <c r="E98" i="27"/>
  <c r="F98" i="27"/>
  <c r="G98" i="27"/>
  <c r="D99" i="27"/>
  <c r="E99" i="27"/>
  <c r="F99" i="27"/>
  <c r="G99" i="27"/>
  <c r="C103" i="27"/>
  <c r="D103" i="27"/>
  <c r="E103" i="27"/>
  <c r="F160" i="27"/>
  <c r="F103" i="27"/>
  <c r="G103" i="27"/>
  <c r="C104" i="27"/>
  <c r="D104" i="27"/>
  <c r="E104" i="27"/>
  <c r="F104" i="27"/>
  <c r="G104" i="27"/>
  <c r="C105" i="27"/>
  <c r="D105" i="27"/>
  <c r="E105" i="27"/>
  <c r="F105" i="27"/>
  <c r="G105" i="27"/>
  <c r="C106" i="27"/>
  <c r="D106" i="27"/>
  <c r="E106" i="27"/>
  <c r="F106" i="27"/>
  <c r="G106" i="27"/>
  <c r="C107" i="27"/>
  <c r="D107" i="27"/>
  <c r="E107" i="27"/>
  <c r="F107" i="27"/>
  <c r="G107" i="27"/>
  <c r="C108" i="27"/>
  <c r="D108" i="27"/>
  <c r="E108" i="27"/>
  <c r="F108" i="27"/>
  <c r="G108" i="27"/>
  <c r="C109" i="27"/>
  <c r="D109" i="27"/>
  <c r="E109" i="27"/>
  <c r="F109" i="27"/>
  <c r="G109" i="27"/>
  <c r="C110" i="27"/>
  <c r="D110" i="27"/>
  <c r="E110" i="27"/>
  <c r="F110" i="27"/>
  <c r="G110" i="27"/>
  <c r="C111" i="27"/>
  <c r="D111" i="27"/>
  <c r="E111" i="27"/>
  <c r="F111" i="27"/>
  <c r="G111" i="27"/>
  <c r="C112" i="27"/>
  <c r="D112" i="27"/>
  <c r="E112" i="27"/>
  <c r="F112" i="27"/>
  <c r="G112" i="27"/>
  <c r="C113" i="27"/>
  <c r="D113" i="27"/>
  <c r="E113" i="27"/>
  <c r="F113" i="27"/>
  <c r="G113" i="27"/>
  <c r="C114" i="27"/>
  <c r="D114" i="27"/>
  <c r="E114" i="27"/>
  <c r="F114" i="27"/>
  <c r="G114" i="27"/>
  <c r="C115" i="27"/>
  <c r="D115" i="27"/>
  <c r="E115" i="27"/>
  <c r="F115" i="27"/>
  <c r="G115" i="27"/>
  <c r="K24" i="24"/>
  <c r="L24" i="24"/>
  <c r="M24" i="24"/>
  <c r="N24" i="24"/>
  <c r="O24" i="24"/>
  <c r="P24" i="24"/>
  <c r="Q24" i="24"/>
  <c r="R11" i="27"/>
  <c r="U11" i="27"/>
  <c r="X11" i="27"/>
  <c r="AA11" i="27"/>
  <c r="AD11" i="27"/>
  <c r="R13" i="27"/>
  <c r="U13" i="27"/>
  <c r="X13" i="27"/>
  <c r="AA13" i="27"/>
  <c r="AD13" i="27"/>
  <c r="G108" i="26"/>
  <c r="G108" i="19"/>
  <c r="G108" i="13"/>
  <c r="G22" i="27"/>
  <c r="F22" i="27"/>
  <c r="E22" i="27"/>
  <c r="D22" i="27"/>
  <c r="C37" i="27"/>
  <c r="C38" i="27"/>
  <c r="C53" i="27"/>
  <c r="C54" i="27"/>
  <c r="C69" i="27"/>
  <c r="C70" i="27"/>
  <c r="C85" i="27"/>
  <c r="C86" i="27"/>
  <c r="C101" i="27"/>
  <c r="C102" i="27"/>
  <c r="AC3" i="27"/>
  <c r="Z3" i="27"/>
  <c r="W3" i="27"/>
  <c r="T3" i="27"/>
  <c r="Q3" i="27"/>
  <c r="F120" i="27"/>
  <c r="F121" i="27"/>
  <c r="F122" i="27"/>
  <c r="F123" i="27"/>
  <c r="F124" i="27"/>
  <c r="F125" i="27"/>
  <c r="F126" i="27"/>
  <c r="F127" i="27"/>
  <c r="F128" i="27"/>
  <c r="F129" i="27"/>
  <c r="F130" i="27"/>
  <c r="F131" i="27"/>
  <c r="F132" i="27"/>
  <c r="F134" i="27"/>
  <c r="F135" i="27"/>
  <c r="F136" i="27"/>
  <c r="F137" i="27"/>
  <c r="F138" i="27"/>
  <c r="F139" i="27"/>
  <c r="F141" i="27"/>
  <c r="F142" i="27"/>
  <c r="F143" i="27"/>
  <c r="F144" i="27"/>
  <c r="F145" i="27"/>
  <c r="F146" i="27"/>
  <c r="F147" i="27"/>
  <c r="F148" i="27"/>
  <c r="F149" i="27"/>
  <c r="F150" i="27"/>
  <c r="F152" i="27"/>
  <c r="F153" i="27"/>
  <c r="F154" i="27"/>
  <c r="F155" i="27"/>
  <c r="F156" i="27"/>
  <c r="F157" i="27"/>
  <c r="F158" i="27"/>
  <c r="F159" i="27"/>
  <c r="F161" i="27"/>
  <c r="F162" i="27"/>
  <c r="F163" i="27"/>
  <c r="F164" i="27"/>
  <c r="F165" i="27"/>
  <c r="F166" i="27"/>
  <c r="F167" i="27"/>
  <c r="F168" i="27"/>
  <c r="F169" i="27"/>
  <c r="F170" i="27"/>
  <c r="F171" i="27"/>
  <c r="F172" i="27"/>
  <c r="F173" i="27"/>
  <c r="F174" i="27"/>
  <c r="F175" i="27"/>
  <c r="F176" i="27"/>
  <c r="F177" i="27"/>
  <c r="F178" i="27"/>
  <c r="F179" i="27"/>
  <c r="F180" i="27"/>
  <c r="F181" i="27"/>
  <c r="F182" i="27"/>
  <c r="F119" i="27"/>
  <c r="Q6" i="26"/>
  <c r="R6" i="26"/>
  <c r="S6" i="26"/>
  <c r="U6" i="26"/>
  <c r="V6" i="26"/>
  <c r="Q7" i="26"/>
  <c r="U7" i="26"/>
  <c r="V7" i="26"/>
  <c r="Q8" i="26"/>
  <c r="U8" i="26"/>
  <c r="V8" i="26"/>
  <c r="Q9" i="26"/>
  <c r="U9" i="26"/>
  <c r="V9" i="26"/>
  <c r="Q10" i="26"/>
  <c r="U10" i="26"/>
  <c r="V10" i="26"/>
  <c r="Q11" i="26"/>
  <c r="U11" i="26"/>
  <c r="V11" i="26"/>
  <c r="Q12" i="26"/>
  <c r="U12" i="26"/>
  <c r="V12" i="26"/>
  <c r="Q13" i="26"/>
  <c r="U13" i="26"/>
  <c r="V13" i="26"/>
  <c r="Q14" i="26"/>
  <c r="U14" i="26"/>
  <c r="V14" i="26"/>
  <c r="Q15" i="26"/>
  <c r="U15" i="26"/>
  <c r="V15" i="26"/>
  <c r="Q16" i="26"/>
  <c r="U16" i="26"/>
  <c r="V16" i="26"/>
  <c r="Q17" i="26"/>
  <c r="U17" i="26"/>
  <c r="V17" i="26"/>
  <c r="Q18" i="26"/>
  <c r="U18" i="26"/>
  <c r="V18" i="26"/>
  <c r="Q19" i="26"/>
  <c r="U19" i="26"/>
  <c r="V19" i="26"/>
  <c r="Q20" i="26"/>
  <c r="U20" i="26"/>
  <c r="V20" i="26"/>
  <c r="Q21" i="26"/>
  <c r="U21" i="26"/>
  <c r="V21" i="26"/>
  <c r="Q22" i="26"/>
  <c r="U22" i="26"/>
  <c r="V22" i="26"/>
  <c r="Q23" i="26"/>
  <c r="U23" i="26"/>
  <c r="V23" i="26"/>
  <c r="Q24" i="26"/>
  <c r="U24" i="26"/>
  <c r="V24" i="26"/>
  <c r="Q25" i="26"/>
  <c r="U25" i="26"/>
  <c r="V25" i="26"/>
  <c r="Q26" i="26"/>
  <c r="U26" i="26"/>
  <c r="V26" i="26"/>
  <c r="Q27" i="26"/>
  <c r="U27" i="26"/>
  <c r="V27" i="26"/>
  <c r="Q28" i="26"/>
  <c r="U28" i="26"/>
  <c r="V28" i="26"/>
  <c r="Q29" i="26"/>
  <c r="U29" i="26"/>
  <c r="V29" i="26"/>
  <c r="Q30" i="26"/>
  <c r="U30" i="26"/>
  <c r="V30" i="26"/>
  <c r="Q31" i="26"/>
  <c r="U31" i="26"/>
  <c r="V31" i="26"/>
  <c r="Q32" i="26"/>
  <c r="U32" i="26"/>
  <c r="V32" i="26"/>
  <c r="Q33" i="26"/>
  <c r="U33" i="26"/>
  <c r="V33" i="26"/>
  <c r="Q34" i="26"/>
  <c r="U34" i="26"/>
  <c r="V34" i="26"/>
  <c r="Q35" i="26"/>
  <c r="U35" i="26"/>
  <c r="V35" i="26"/>
  <c r="Q36" i="26"/>
  <c r="U36" i="26"/>
  <c r="V36" i="26"/>
  <c r="Q37" i="26"/>
  <c r="U37" i="26"/>
  <c r="V37" i="26"/>
  <c r="Q38" i="26"/>
  <c r="U38" i="26"/>
  <c r="V38" i="26"/>
  <c r="Q39" i="26"/>
  <c r="U39" i="26"/>
  <c r="V39" i="26"/>
  <c r="Q40" i="26"/>
  <c r="U40" i="26"/>
  <c r="V40" i="26"/>
  <c r="Q41" i="26"/>
  <c r="U41" i="26"/>
  <c r="V41" i="26"/>
  <c r="Q42" i="26"/>
  <c r="U42" i="26"/>
  <c r="V42" i="26"/>
  <c r="Q43" i="26"/>
  <c r="U43" i="26"/>
  <c r="V43" i="26"/>
  <c r="Q44" i="26"/>
  <c r="U44" i="26"/>
  <c r="V44" i="26"/>
  <c r="Q45" i="26"/>
  <c r="U45" i="26"/>
  <c r="V45" i="26"/>
  <c r="Q46" i="26"/>
  <c r="U46" i="26"/>
  <c r="V46" i="26"/>
  <c r="Q47" i="26"/>
  <c r="U47" i="26"/>
  <c r="V47" i="26"/>
  <c r="Q48" i="26"/>
  <c r="U48" i="26"/>
  <c r="V48" i="26"/>
  <c r="Q49" i="26"/>
  <c r="U49" i="26"/>
  <c r="V49" i="26"/>
  <c r="Q50" i="26"/>
  <c r="U50" i="26"/>
  <c r="V50" i="26"/>
  <c r="Q51" i="26"/>
  <c r="U51" i="26"/>
  <c r="V51" i="26"/>
  <c r="Q52" i="26"/>
  <c r="U52" i="26"/>
  <c r="V52" i="26"/>
  <c r="Q53" i="26"/>
  <c r="U53" i="26"/>
  <c r="V53" i="26"/>
  <c r="Q54" i="26"/>
  <c r="U54" i="26"/>
  <c r="V54" i="26"/>
  <c r="Q55" i="26"/>
  <c r="U55" i="26"/>
  <c r="V55" i="26"/>
  <c r="Q56" i="26"/>
  <c r="U56" i="26"/>
  <c r="V56" i="26"/>
  <c r="Q57" i="26"/>
  <c r="U57" i="26"/>
  <c r="V57" i="26"/>
  <c r="Q58" i="26"/>
  <c r="U58" i="26"/>
  <c r="V58" i="26"/>
  <c r="Q59" i="26"/>
  <c r="U59" i="26"/>
  <c r="V59" i="26"/>
  <c r="Q60" i="26"/>
  <c r="U60" i="26"/>
  <c r="V60" i="26"/>
  <c r="Q61" i="26"/>
  <c r="U61" i="26"/>
  <c r="V61" i="26"/>
  <c r="Q62" i="26"/>
  <c r="U62" i="26"/>
  <c r="V62" i="26"/>
  <c r="Q63" i="26"/>
  <c r="U63" i="26"/>
  <c r="V63" i="26"/>
  <c r="Q64" i="26"/>
  <c r="U64" i="26"/>
  <c r="V64" i="26"/>
  <c r="Q65" i="26"/>
  <c r="U65" i="26"/>
  <c r="V65" i="26"/>
  <c r="Q66" i="26"/>
  <c r="U66" i="26"/>
  <c r="V66" i="26"/>
  <c r="Q67" i="26"/>
  <c r="U67" i="26"/>
  <c r="V67" i="26"/>
  <c r="Q68" i="26"/>
  <c r="U68" i="26"/>
  <c r="V68" i="26"/>
  <c r="Q69" i="26"/>
  <c r="U69" i="26"/>
  <c r="V69" i="26"/>
  <c r="Q70" i="26"/>
  <c r="U70" i="26"/>
  <c r="V70" i="26"/>
  <c r="Q71" i="26"/>
  <c r="U71" i="26"/>
  <c r="V71" i="26"/>
  <c r="Q72" i="26"/>
  <c r="U72" i="26"/>
  <c r="V72" i="26"/>
  <c r="Q73" i="26"/>
  <c r="U73" i="26"/>
  <c r="V73" i="26"/>
  <c r="Q74" i="26"/>
  <c r="U74" i="26"/>
  <c r="V74" i="26"/>
  <c r="Q75" i="26"/>
  <c r="U75" i="26"/>
  <c r="V75" i="26"/>
  <c r="Q76" i="26"/>
  <c r="U76" i="26"/>
  <c r="V76" i="26"/>
  <c r="Q77" i="26"/>
  <c r="U77" i="26"/>
  <c r="V77" i="26"/>
  <c r="Q78" i="26"/>
  <c r="U78" i="26"/>
  <c r="V78" i="26"/>
  <c r="Q79" i="26"/>
  <c r="U79" i="26"/>
  <c r="V79" i="26"/>
  <c r="Q80" i="26"/>
  <c r="U80" i="26"/>
  <c r="V80" i="26"/>
  <c r="Q81" i="26"/>
  <c r="U81" i="26"/>
  <c r="V81" i="26"/>
  <c r="Q82" i="26"/>
  <c r="U82" i="26"/>
  <c r="V82" i="26"/>
  <c r="Q83" i="26"/>
  <c r="U83" i="26"/>
  <c r="V83" i="26"/>
  <c r="Q84" i="26"/>
  <c r="U84" i="26"/>
  <c r="V84" i="26"/>
  <c r="Q85" i="26"/>
  <c r="U85" i="26"/>
  <c r="V85" i="26"/>
  <c r="Q86" i="26"/>
  <c r="U86" i="26"/>
  <c r="V86" i="26"/>
  <c r="Q87" i="26"/>
  <c r="U87" i="26"/>
  <c r="V87" i="26"/>
  <c r="Q88" i="26"/>
  <c r="U88" i="26"/>
  <c r="V88" i="26"/>
  <c r="Q89" i="26"/>
  <c r="U89" i="26"/>
  <c r="V89" i="26"/>
  <c r="Q90" i="26"/>
  <c r="U90" i="26"/>
  <c r="V90" i="26"/>
  <c r="Q91" i="26"/>
  <c r="U91" i="26"/>
  <c r="V91" i="26"/>
  <c r="Q92" i="26"/>
  <c r="U92" i="26"/>
  <c r="V92" i="26"/>
  <c r="Q93" i="26"/>
  <c r="U93" i="26"/>
  <c r="V93" i="26"/>
  <c r="Q94" i="26"/>
  <c r="U94" i="26"/>
  <c r="V94" i="26"/>
  <c r="Q95" i="26"/>
  <c r="U95" i="26"/>
  <c r="V95" i="26"/>
  <c r="Q96" i="26"/>
  <c r="U96" i="26"/>
  <c r="V96" i="26"/>
  <c r="Q97" i="26"/>
  <c r="U97" i="26"/>
  <c r="V97" i="26"/>
  <c r="Q98" i="26"/>
  <c r="U98" i="26"/>
  <c r="V98" i="26"/>
  <c r="Q99" i="26"/>
  <c r="U99" i="26"/>
  <c r="V99" i="26"/>
  <c r="Q100" i="26"/>
  <c r="U100" i="26"/>
  <c r="V100" i="26"/>
  <c r="Q101" i="26"/>
  <c r="U101" i="26"/>
  <c r="V101" i="26"/>
  <c r="Q102" i="26"/>
  <c r="U102" i="26"/>
  <c r="V102" i="26"/>
  <c r="Q103" i="26"/>
  <c r="U103" i="26"/>
  <c r="V103" i="26"/>
  <c r="Q104" i="26"/>
  <c r="U104" i="26"/>
  <c r="V104" i="26"/>
  <c r="Q105" i="26"/>
  <c r="U105" i="26"/>
  <c r="V105" i="26"/>
  <c r="Q106" i="26"/>
  <c r="U106" i="26"/>
  <c r="V106" i="26"/>
  <c r="Q107" i="26"/>
  <c r="U107" i="26"/>
  <c r="V107" i="26"/>
  <c r="Q108" i="26"/>
  <c r="U108" i="26"/>
  <c r="V108" i="26"/>
  <c r="Q109" i="26"/>
  <c r="U109" i="26"/>
  <c r="V109" i="26"/>
  <c r="Q110" i="26"/>
  <c r="U110" i="26"/>
  <c r="V110" i="26"/>
  <c r="Q111" i="26"/>
  <c r="U111" i="26"/>
  <c r="V111" i="26"/>
  <c r="Q112" i="26"/>
  <c r="U112" i="26"/>
  <c r="V112" i="26"/>
  <c r="Q113" i="26"/>
  <c r="U113" i="26"/>
  <c r="V113" i="26"/>
  <c r="Q114" i="26"/>
  <c r="U114" i="26"/>
  <c r="V114" i="26"/>
  <c r="Q115" i="26"/>
  <c r="U115" i="26"/>
  <c r="V115" i="26"/>
  <c r="Q116" i="26"/>
  <c r="U116" i="26"/>
  <c r="V116" i="26"/>
  <c r="Q117" i="26"/>
  <c r="U117" i="26"/>
  <c r="V117" i="26"/>
  <c r="Q118" i="26"/>
  <c r="U118" i="26"/>
  <c r="V118" i="26"/>
  <c r="Q119" i="26"/>
  <c r="U119" i="26"/>
  <c r="V119" i="26"/>
  <c r="Q120" i="26"/>
  <c r="U120" i="26"/>
  <c r="V120" i="26"/>
  <c r="Q121" i="26"/>
  <c r="U121" i="26"/>
  <c r="V121" i="26"/>
  <c r="Q122" i="26"/>
  <c r="U122" i="26"/>
  <c r="V122" i="26"/>
  <c r="Q123" i="26"/>
  <c r="U123" i="26"/>
  <c r="V123" i="26"/>
  <c r="Q124" i="26"/>
  <c r="U124" i="26"/>
  <c r="V124" i="26"/>
  <c r="Q125" i="26"/>
  <c r="U125" i="26"/>
  <c r="V125" i="26"/>
  <c r="Q126" i="26"/>
  <c r="U126" i="26"/>
  <c r="V126" i="26"/>
  <c r="Q127" i="26"/>
  <c r="U127" i="26"/>
  <c r="V127" i="26"/>
  <c r="Q128" i="26"/>
  <c r="U128" i="26"/>
  <c r="V128" i="26"/>
  <c r="Q129" i="26"/>
  <c r="U129" i="26"/>
  <c r="V129" i="26"/>
  <c r="Q130" i="26"/>
  <c r="U130" i="26"/>
  <c r="V130" i="26"/>
  <c r="Q131" i="26"/>
  <c r="U131" i="26"/>
  <c r="V131" i="26"/>
  <c r="Q132" i="26"/>
  <c r="U132" i="26"/>
  <c r="V132" i="26"/>
  <c r="Q133" i="26"/>
  <c r="U133" i="26"/>
  <c r="V133" i="26"/>
  <c r="Q134" i="26"/>
  <c r="U134" i="26"/>
  <c r="V134" i="26"/>
  <c r="Q135" i="26"/>
  <c r="U135" i="26"/>
  <c r="V135" i="26"/>
  <c r="Q136" i="26"/>
  <c r="U136" i="26"/>
  <c r="V136" i="26"/>
  <c r="Q137" i="26"/>
  <c r="U137" i="26"/>
  <c r="V137" i="26"/>
  <c r="Q138" i="26"/>
  <c r="U138" i="26"/>
  <c r="V138" i="26"/>
  <c r="Q139" i="26"/>
  <c r="U139" i="26"/>
  <c r="V139" i="26"/>
  <c r="Q140" i="26"/>
  <c r="U140" i="26"/>
  <c r="V140" i="26"/>
  <c r="Q141" i="26"/>
  <c r="U141" i="26"/>
  <c r="V141" i="26"/>
  <c r="Q142" i="26"/>
  <c r="U142" i="26"/>
  <c r="V142" i="26"/>
  <c r="Q143" i="26"/>
  <c r="U143" i="26"/>
  <c r="V143" i="26"/>
  <c r="Q144" i="26"/>
  <c r="U144" i="26"/>
  <c r="V144" i="26"/>
  <c r="Q145" i="26"/>
  <c r="U145" i="26"/>
  <c r="V145" i="26"/>
  <c r="Q146" i="26"/>
  <c r="U146" i="26"/>
  <c r="V146" i="26"/>
  <c r="Q147" i="26"/>
  <c r="U147" i="26"/>
  <c r="V147" i="26"/>
  <c r="Q148" i="26"/>
  <c r="U148" i="26"/>
  <c r="V148" i="26"/>
  <c r="Q149" i="26"/>
  <c r="U149" i="26"/>
  <c r="V149" i="26"/>
  <c r="Q150" i="26"/>
  <c r="U150" i="26"/>
  <c r="V150" i="26"/>
  <c r="Q151" i="26"/>
  <c r="U151" i="26"/>
  <c r="V151" i="26"/>
  <c r="Q152" i="26"/>
  <c r="U152" i="26"/>
  <c r="V152" i="26"/>
  <c r="Q153" i="26"/>
  <c r="U153" i="26"/>
  <c r="V153" i="26"/>
  <c r="Q154" i="26"/>
  <c r="U154" i="26"/>
  <c r="V154" i="26"/>
  <c r="Q155" i="26"/>
  <c r="U155" i="26"/>
  <c r="V155" i="26"/>
  <c r="R156" i="26"/>
  <c r="S156" i="26"/>
  <c r="U156" i="26"/>
  <c r="V156" i="26"/>
  <c r="R157" i="26"/>
  <c r="S157" i="26"/>
  <c r="U157" i="26"/>
  <c r="V157" i="26"/>
  <c r="R158" i="26"/>
  <c r="S158" i="26"/>
  <c r="U158" i="26"/>
  <c r="V158" i="26"/>
  <c r="R159" i="26"/>
  <c r="S159" i="26"/>
  <c r="U159" i="26"/>
  <c r="V159" i="26"/>
  <c r="R160" i="26"/>
  <c r="S160" i="26"/>
  <c r="U160" i="26"/>
  <c r="V160" i="26"/>
  <c r="R161" i="26"/>
  <c r="S161" i="26"/>
  <c r="U161" i="26"/>
  <c r="V161" i="26"/>
  <c r="R162" i="26"/>
  <c r="S162" i="26"/>
  <c r="U162" i="26"/>
  <c r="V162" i="26"/>
  <c r="R163" i="26"/>
  <c r="S163" i="26"/>
  <c r="T163" i="26"/>
  <c r="U163" i="26"/>
  <c r="V163" i="26"/>
  <c r="R164" i="26"/>
  <c r="S164" i="26"/>
  <c r="T164" i="26"/>
  <c r="U164" i="26"/>
  <c r="V164" i="26"/>
  <c r="R165" i="26"/>
  <c r="S165" i="26"/>
  <c r="U165" i="26"/>
  <c r="V165" i="26"/>
  <c r="R166" i="26"/>
  <c r="S166" i="26"/>
  <c r="T166" i="26"/>
  <c r="U166" i="26"/>
  <c r="V166" i="26"/>
  <c r="R167" i="26"/>
  <c r="S167" i="26"/>
  <c r="U167" i="26"/>
  <c r="V167" i="26"/>
  <c r="R168" i="26"/>
  <c r="S168" i="26"/>
  <c r="U168" i="26"/>
  <c r="V168" i="26"/>
  <c r="R169" i="26"/>
  <c r="S169" i="26"/>
  <c r="T169" i="26"/>
  <c r="U169" i="26"/>
  <c r="V169" i="26"/>
  <c r="R170" i="26"/>
  <c r="S170" i="26"/>
  <c r="U170" i="26"/>
  <c r="V170" i="26"/>
  <c r="R171" i="26"/>
  <c r="S171" i="26"/>
  <c r="T171" i="26"/>
  <c r="U171" i="26"/>
  <c r="V171" i="26"/>
  <c r="R172" i="26"/>
  <c r="S172" i="26"/>
  <c r="U172" i="26"/>
  <c r="V172" i="26"/>
  <c r="R173" i="26"/>
  <c r="S173" i="26"/>
  <c r="U173" i="26"/>
  <c r="V173" i="26"/>
  <c r="R174" i="26"/>
  <c r="S174" i="26"/>
  <c r="U174" i="26"/>
  <c r="V174" i="26"/>
  <c r="R175" i="26"/>
  <c r="S175" i="26"/>
  <c r="U175" i="26"/>
  <c r="V175" i="26"/>
  <c r="R176" i="26"/>
  <c r="S176" i="26"/>
  <c r="U176" i="26"/>
  <c r="V176" i="26"/>
  <c r="R177" i="26"/>
  <c r="S177" i="26"/>
  <c r="U177" i="26"/>
  <c r="V177" i="26"/>
  <c r="R178" i="26"/>
  <c r="S178" i="26"/>
  <c r="U178" i="26"/>
  <c r="V178" i="26"/>
  <c r="R179" i="26"/>
  <c r="S179" i="26"/>
  <c r="T179" i="26"/>
  <c r="U179" i="26"/>
  <c r="V179" i="26"/>
  <c r="R180" i="26"/>
  <c r="S180" i="26"/>
  <c r="U180" i="26"/>
  <c r="V180" i="26"/>
  <c r="R181" i="26"/>
  <c r="S181" i="26"/>
  <c r="T181" i="26"/>
  <c r="U181" i="26"/>
  <c r="V181" i="26"/>
  <c r="R182" i="26"/>
  <c r="S182" i="26"/>
  <c r="T182" i="26"/>
  <c r="U182" i="26"/>
  <c r="V182" i="26"/>
  <c r="R183" i="26"/>
  <c r="S183" i="26"/>
  <c r="T183" i="26"/>
  <c r="U183" i="26"/>
  <c r="V183" i="26"/>
  <c r="R184" i="26"/>
  <c r="S184" i="26"/>
  <c r="U184" i="26"/>
  <c r="V184" i="26"/>
  <c r="R185" i="26"/>
  <c r="S185" i="26"/>
  <c r="T185" i="26"/>
  <c r="U185" i="26"/>
  <c r="V185" i="26"/>
  <c r="R186" i="26"/>
  <c r="S186" i="26"/>
  <c r="U186" i="26"/>
  <c r="V186" i="26"/>
  <c r="R187" i="26"/>
  <c r="S187" i="26"/>
  <c r="T187" i="26"/>
  <c r="U187" i="26"/>
  <c r="V187" i="26"/>
  <c r="R188" i="26"/>
  <c r="S188" i="26"/>
  <c r="U188" i="26"/>
  <c r="V188" i="26"/>
  <c r="R189" i="26"/>
  <c r="S189" i="26"/>
  <c r="U189" i="26"/>
  <c r="V189" i="26"/>
  <c r="R190" i="26"/>
  <c r="S190" i="26"/>
  <c r="T190" i="26"/>
  <c r="U190" i="26"/>
  <c r="V190" i="26"/>
  <c r="R191" i="26"/>
  <c r="S191" i="26"/>
  <c r="T191" i="26"/>
  <c r="U191" i="26"/>
  <c r="V191" i="26"/>
  <c r="R192" i="26"/>
  <c r="S192" i="26"/>
  <c r="U192" i="26"/>
  <c r="V192" i="26"/>
  <c r="R193" i="26"/>
  <c r="S193" i="26"/>
  <c r="U193" i="26"/>
  <c r="V193" i="26"/>
  <c r="R194" i="26"/>
  <c r="S194" i="26"/>
  <c r="U194" i="26"/>
  <c r="V194" i="26"/>
  <c r="R195" i="26"/>
  <c r="S195" i="26"/>
  <c r="T195" i="26"/>
  <c r="U195" i="26"/>
  <c r="V195" i="26"/>
  <c r="R196" i="26"/>
  <c r="S196" i="26"/>
  <c r="U196" i="26"/>
  <c r="V196" i="26"/>
  <c r="R197" i="26"/>
  <c r="S197" i="26"/>
  <c r="U197" i="26"/>
  <c r="V197" i="26"/>
  <c r="R198" i="26"/>
  <c r="S198" i="26"/>
  <c r="U198" i="26"/>
  <c r="V198" i="26"/>
  <c r="R199" i="26"/>
  <c r="S199" i="26"/>
  <c r="U199" i="26"/>
  <c r="V199" i="26"/>
  <c r="R200" i="26"/>
  <c r="S200" i="26"/>
  <c r="T200" i="26"/>
  <c r="U200" i="26"/>
  <c r="V200" i="26"/>
  <c r="R201" i="26"/>
  <c r="S201" i="26"/>
  <c r="U201" i="26"/>
  <c r="V201" i="26"/>
  <c r="R202" i="26"/>
  <c r="S202" i="26"/>
  <c r="T202" i="26"/>
  <c r="U202" i="26"/>
  <c r="V202" i="26"/>
  <c r="R203" i="26"/>
  <c r="S203" i="26"/>
  <c r="U203" i="26"/>
  <c r="V203" i="26"/>
  <c r="R204" i="26"/>
  <c r="S204" i="26"/>
  <c r="T204" i="26"/>
  <c r="U204" i="26"/>
  <c r="V204" i="26"/>
  <c r="R205" i="26"/>
  <c r="S205" i="26"/>
  <c r="T205" i="26"/>
  <c r="U205" i="26"/>
  <c r="V205" i="26"/>
  <c r="L6" i="26"/>
  <c r="N6" i="26"/>
  <c r="N7" i="26"/>
  <c r="M8" i="26"/>
  <c r="N8" i="26"/>
  <c r="N9" i="26"/>
  <c r="N10" i="26"/>
  <c r="L11" i="26"/>
  <c r="N11" i="26"/>
  <c r="N12" i="26"/>
  <c r="N13" i="26"/>
  <c r="N14" i="26"/>
  <c r="N15" i="26"/>
  <c r="M16" i="26"/>
  <c r="N16" i="26"/>
  <c r="N17" i="26"/>
  <c r="N18" i="26"/>
  <c r="L19" i="26"/>
  <c r="N19" i="26"/>
  <c r="N20" i="26"/>
  <c r="N21" i="26"/>
  <c r="N22" i="26"/>
  <c r="N23" i="26"/>
  <c r="M24" i="26"/>
  <c r="N24" i="26"/>
  <c r="N25" i="26"/>
  <c r="N26" i="26"/>
  <c r="L27" i="26"/>
  <c r="N27" i="26"/>
  <c r="N28" i="26"/>
  <c r="N29" i="26"/>
  <c r="N30" i="26"/>
  <c r="N31" i="26"/>
  <c r="M32" i="26"/>
  <c r="N32" i="26"/>
  <c r="N33" i="26"/>
  <c r="N34" i="26"/>
  <c r="L35" i="26"/>
  <c r="N35" i="26"/>
  <c r="N36" i="26"/>
  <c r="N37" i="26"/>
  <c r="N38" i="26"/>
  <c r="N39" i="26"/>
  <c r="M40" i="26"/>
  <c r="N40" i="26"/>
  <c r="N41" i="26"/>
  <c r="N42" i="26"/>
  <c r="L43" i="26"/>
  <c r="N43" i="26"/>
  <c r="N44" i="26"/>
  <c r="N45" i="26"/>
  <c r="N46" i="26"/>
  <c r="N47" i="26"/>
  <c r="M48" i="26"/>
  <c r="N48" i="26"/>
  <c r="N49" i="26"/>
  <c r="N50" i="26"/>
  <c r="L51" i="26"/>
  <c r="N51" i="26"/>
  <c r="N52" i="26"/>
  <c r="N53" i="26"/>
  <c r="N54" i="26"/>
  <c r="N55" i="26"/>
  <c r="M56" i="26"/>
  <c r="N56" i="26"/>
  <c r="N57" i="26"/>
  <c r="N58" i="26"/>
  <c r="L59" i="26"/>
  <c r="N59" i="26"/>
  <c r="N60" i="26"/>
  <c r="N61" i="26"/>
  <c r="N62" i="26"/>
  <c r="N63" i="26"/>
  <c r="M64"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M102" i="26"/>
  <c r="N102" i="26"/>
  <c r="N103" i="26"/>
  <c r="M104" i="26"/>
  <c r="N104" i="26"/>
  <c r="N105" i="26"/>
  <c r="M106" i="26"/>
  <c r="N106" i="26"/>
  <c r="N107" i="26"/>
  <c r="M108" i="26"/>
  <c r="N108" i="26"/>
  <c r="N109" i="26"/>
  <c r="M110" i="26"/>
  <c r="N110" i="26"/>
  <c r="N111" i="26"/>
  <c r="M112" i="26"/>
  <c r="N112" i="26"/>
  <c r="N113" i="26"/>
  <c r="M114" i="26"/>
  <c r="N114" i="26"/>
  <c r="N115" i="26"/>
  <c r="M116" i="26"/>
  <c r="N116" i="26"/>
  <c r="N117" i="26"/>
  <c r="M118" i="26"/>
  <c r="N118" i="26"/>
  <c r="N119" i="26"/>
  <c r="M120" i="26"/>
  <c r="N120" i="26"/>
  <c r="N121" i="26"/>
  <c r="M122" i="26"/>
  <c r="N122" i="26"/>
  <c r="N123" i="26"/>
  <c r="M124" i="26"/>
  <c r="N124" i="26"/>
  <c r="N125" i="26"/>
  <c r="M126" i="26"/>
  <c r="N126" i="26"/>
  <c r="N127" i="26"/>
  <c r="M128" i="26"/>
  <c r="N128" i="26"/>
  <c r="N129" i="26"/>
  <c r="M130" i="26"/>
  <c r="N130" i="26"/>
  <c r="N131" i="26"/>
  <c r="L132" i="26"/>
  <c r="N132" i="26"/>
  <c r="N133" i="26"/>
  <c r="L134" i="26"/>
  <c r="N134" i="26"/>
  <c r="N135" i="26"/>
  <c r="L136" i="26"/>
  <c r="N136" i="26"/>
  <c r="N137" i="26"/>
  <c r="L138" i="26"/>
  <c r="N138" i="26"/>
  <c r="N139" i="26"/>
  <c r="L140" i="26"/>
  <c r="N140" i="26"/>
  <c r="N141" i="26"/>
  <c r="L142" i="26"/>
  <c r="N142" i="26"/>
  <c r="N143" i="26"/>
  <c r="L144" i="26"/>
  <c r="N144" i="26"/>
  <c r="N145" i="26"/>
  <c r="L146" i="26"/>
  <c r="N146" i="26"/>
  <c r="N147" i="26"/>
  <c r="L148" i="26"/>
  <c r="N148" i="26"/>
  <c r="N149" i="26"/>
  <c r="L150" i="26"/>
  <c r="N150" i="26"/>
  <c r="N151" i="26"/>
  <c r="J152" i="26"/>
  <c r="K152" i="26"/>
  <c r="N152" i="26"/>
  <c r="N153" i="26"/>
  <c r="J154" i="26"/>
  <c r="N154" i="26"/>
  <c r="N155" i="26"/>
  <c r="J156" i="26"/>
  <c r="K156" i="26"/>
  <c r="N156" i="26"/>
  <c r="N157" i="26"/>
  <c r="J158" i="26"/>
  <c r="N158" i="26"/>
  <c r="N159" i="26"/>
  <c r="J160" i="26"/>
  <c r="K160" i="26"/>
  <c r="N160" i="26"/>
  <c r="N161" i="26"/>
  <c r="J162" i="26"/>
  <c r="N162" i="26"/>
  <c r="N163" i="26"/>
  <c r="J164" i="26"/>
  <c r="K164" i="26"/>
  <c r="N164" i="26"/>
  <c r="N165" i="26"/>
  <c r="J166" i="26"/>
  <c r="N166" i="26"/>
  <c r="N167" i="26"/>
  <c r="J168" i="26"/>
  <c r="K168" i="26"/>
  <c r="N168" i="26"/>
  <c r="N169" i="26"/>
  <c r="J170" i="26"/>
  <c r="N170" i="26"/>
  <c r="N171" i="26"/>
  <c r="J172" i="26"/>
  <c r="K172" i="26"/>
  <c r="N172" i="26"/>
  <c r="N173" i="26"/>
  <c r="J174" i="26"/>
  <c r="N174" i="26"/>
  <c r="N175" i="26"/>
  <c r="N176" i="26"/>
  <c r="N177" i="26"/>
  <c r="N178" i="26"/>
  <c r="N179" i="26"/>
  <c r="N180" i="26"/>
  <c r="N181" i="26"/>
  <c r="N182" i="26"/>
  <c r="M183" i="26"/>
  <c r="N183" i="26"/>
  <c r="N184" i="26"/>
  <c r="M185" i="26"/>
  <c r="N185" i="26"/>
  <c r="N186" i="26"/>
  <c r="M187" i="26"/>
  <c r="N187" i="26"/>
  <c r="N188" i="26"/>
  <c r="M189" i="26"/>
  <c r="N189" i="26"/>
  <c r="N190" i="26"/>
  <c r="M191" i="26"/>
  <c r="N191" i="26"/>
  <c r="N192" i="26"/>
  <c r="M193" i="26"/>
  <c r="N193" i="26"/>
  <c r="N194" i="26"/>
  <c r="M195" i="26"/>
  <c r="N195" i="26"/>
  <c r="N196" i="26"/>
  <c r="M197" i="26"/>
  <c r="N197" i="26"/>
  <c r="N198" i="26"/>
  <c r="M199" i="26"/>
  <c r="N199" i="26"/>
  <c r="N200" i="26"/>
  <c r="M201" i="26"/>
  <c r="N201" i="26"/>
  <c r="N202" i="26"/>
  <c r="M203" i="26"/>
  <c r="N203" i="26"/>
  <c r="N204" i="26"/>
  <c r="M205" i="26"/>
  <c r="N205" i="26"/>
  <c r="F5" i="19"/>
  <c r="U38" i="19" s="1"/>
  <c r="U7" i="19"/>
  <c r="F15" i="19"/>
  <c r="F6" i="19"/>
  <c r="V6" i="19" s="1"/>
  <c r="U66" i="19"/>
  <c r="U72" i="19"/>
  <c r="U73" i="19"/>
  <c r="U74" i="19"/>
  <c r="U80" i="19"/>
  <c r="U81" i="19"/>
  <c r="U82" i="19"/>
  <c r="U86" i="19"/>
  <c r="V86" i="19"/>
  <c r="U87" i="19"/>
  <c r="V87" i="19"/>
  <c r="U88" i="19"/>
  <c r="V88" i="19"/>
  <c r="U89" i="19"/>
  <c r="V89" i="19"/>
  <c r="U90" i="19"/>
  <c r="V90" i="19"/>
  <c r="U91" i="19"/>
  <c r="V91" i="19"/>
  <c r="U92" i="19"/>
  <c r="V92" i="19"/>
  <c r="U93" i="19"/>
  <c r="V93" i="19"/>
  <c r="U94" i="19"/>
  <c r="V94" i="19"/>
  <c r="U95" i="19"/>
  <c r="V95" i="19"/>
  <c r="R96" i="19"/>
  <c r="U96" i="19"/>
  <c r="V96" i="19"/>
  <c r="R97" i="19"/>
  <c r="U97" i="19"/>
  <c r="V97" i="19"/>
  <c r="R98" i="19"/>
  <c r="U98" i="19"/>
  <c r="V98" i="19"/>
  <c r="R99" i="19"/>
  <c r="U99" i="19"/>
  <c r="V99" i="19"/>
  <c r="R100" i="19"/>
  <c r="U100" i="19"/>
  <c r="V100" i="19"/>
  <c r="R101" i="19"/>
  <c r="U101" i="19"/>
  <c r="V101" i="19"/>
  <c r="R102" i="19"/>
  <c r="U102" i="19"/>
  <c r="V102" i="19"/>
  <c r="R103" i="19"/>
  <c r="S103" i="19" s="1"/>
  <c r="U103" i="19"/>
  <c r="V103" i="19"/>
  <c r="R104" i="19"/>
  <c r="U104" i="19"/>
  <c r="V104" i="19"/>
  <c r="R105" i="19"/>
  <c r="U105" i="19"/>
  <c r="V105" i="19"/>
  <c r="R106" i="19"/>
  <c r="U106" i="19"/>
  <c r="V106" i="19"/>
  <c r="R107" i="19"/>
  <c r="U107" i="19"/>
  <c r="V107" i="19"/>
  <c r="R108" i="19"/>
  <c r="U108" i="19"/>
  <c r="V108" i="19"/>
  <c r="R109" i="19"/>
  <c r="U109" i="19"/>
  <c r="V109" i="19"/>
  <c r="R110" i="19"/>
  <c r="U110" i="19"/>
  <c r="V110" i="19"/>
  <c r="R111" i="19"/>
  <c r="S111" i="19" s="1"/>
  <c r="U111" i="19"/>
  <c r="V111" i="19"/>
  <c r="R112" i="19"/>
  <c r="U112" i="19"/>
  <c r="V112" i="19"/>
  <c r="R113" i="19"/>
  <c r="U113" i="19"/>
  <c r="V113" i="19"/>
  <c r="R114" i="19"/>
  <c r="U114" i="19"/>
  <c r="V114" i="19"/>
  <c r="R115" i="19"/>
  <c r="U115" i="19"/>
  <c r="V115" i="19"/>
  <c r="R116" i="19"/>
  <c r="U116" i="19"/>
  <c r="V116" i="19"/>
  <c r="R117" i="19"/>
  <c r="U117" i="19"/>
  <c r="V117" i="19"/>
  <c r="R118" i="19"/>
  <c r="U118" i="19"/>
  <c r="V118" i="19"/>
  <c r="R119" i="19"/>
  <c r="S119" i="19" s="1"/>
  <c r="U119" i="19"/>
  <c r="V119" i="19"/>
  <c r="R120" i="19"/>
  <c r="U120" i="19"/>
  <c r="V120" i="19"/>
  <c r="R121" i="19"/>
  <c r="U121" i="19"/>
  <c r="V121" i="19"/>
  <c r="R122" i="19"/>
  <c r="U122" i="19"/>
  <c r="V122" i="19"/>
  <c r="R123" i="19"/>
  <c r="U123" i="19"/>
  <c r="V123" i="19"/>
  <c r="R124" i="19"/>
  <c r="U124" i="19"/>
  <c r="V124" i="19"/>
  <c r="R125" i="19"/>
  <c r="U125" i="19"/>
  <c r="V125" i="19"/>
  <c r="R126" i="19"/>
  <c r="U126" i="19"/>
  <c r="V126" i="19"/>
  <c r="R127" i="19"/>
  <c r="S127" i="19" s="1"/>
  <c r="U127" i="19"/>
  <c r="V127" i="19"/>
  <c r="R128" i="19"/>
  <c r="U128" i="19"/>
  <c r="V128" i="19"/>
  <c r="R129" i="19"/>
  <c r="U129" i="19"/>
  <c r="V129" i="19"/>
  <c r="R130" i="19"/>
  <c r="U130" i="19"/>
  <c r="V130" i="19"/>
  <c r="R131" i="19"/>
  <c r="U131" i="19"/>
  <c r="V131" i="19"/>
  <c r="R132" i="19"/>
  <c r="U132" i="19"/>
  <c r="V132" i="19"/>
  <c r="R133" i="19"/>
  <c r="U133" i="19"/>
  <c r="V133" i="19"/>
  <c r="R134" i="19"/>
  <c r="U134" i="19"/>
  <c r="V134" i="19"/>
  <c r="R135" i="19"/>
  <c r="S135" i="19" s="1"/>
  <c r="T135" i="19" s="1"/>
  <c r="U135" i="19"/>
  <c r="V135" i="19"/>
  <c r="R136" i="19"/>
  <c r="U136" i="19"/>
  <c r="V136" i="19"/>
  <c r="R137" i="19"/>
  <c r="U137" i="19"/>
  <c r="V137" i="19"/>
  <c r="R138" i="19"/>
  <c r="U138" i="19"/>
  <c r="V138" i="19"/>
  <c r="R139" i="19"/>
  <c r="U139" i="19"/>
  <c r="V139" i="19"/>
  <c r="R140" i="19"/>
  <c r="U140" i="19"/>
  <c r="V140" i="19"/>
  <c r="R141" i="19"/>
  <c r="U141" i="19"/>
  <c r="V141" i="19"/>
  <c r="R142" i="19"/>
  <c r="U142" i="19"/>
  <c r="V142" i="19"/>
  <c r="R143" i="19"/>
  <c r="S143" i="19" s="1"/>
  <c r="T143" i="19" s="1"/>
  <c r="U143" i="19"/>
  <c r="V143" i="19"/>
  <c r="R144" i="19"/>
  <c r="U144" i="19"/>
  <c r="V144" i="19"/>
  <c r="R145" i="19"/>
  <c r="U145" i="19"/>
  <c r="V145" i="19"/>
  <c r="R146" i="19"/>
  <c r="U146" i="19"/>
  <c r="V146" i="19"/>
  <c r="R147" i="19"/>
  <c r="U147" i="19"/>
  <c r="V147" i="19"/>
  <c r="R148" i="19"/>
  <c r="U148" i="19"/>
  <c r="V148" i="19"/>
  <c r="R149" i="19"/>
  <c r="U149" i="19"/>
  <c r="V149" i="19"/>
  <c r="R150" i="19"/>
  <c r="U150" i="19"/>
  <c r="V150" i="19"/>
  <c r="R151" i="19"/>
  <c r="S151" i="19" s="1"/>
  <c r="T151" i="19" s="1"/>
  <c r="U151" i="19"/>
  <c r="V151" i="19"/>
  <c r="R152" i="19"/>
  <c r="U152" i="19"/>
  <c r="V152" i="19"/>
  <c r="R153" i="19"/>
  <c r="U153" i="19"/>
  <c r="V153" i="19"/>
  <c r="R154" i="19"/>
  <c r="U154" i="19"/>
  <c r="V154" i="19"/>
  <c r="R155" i="19"/>
  <c r="U155" i="19"/>
  <c r="V155" i="19"/>
  <c r="R156" i="19"/>
  <c r="U156" i="19"/>
  <c r="V156" i="19"/>
  <c r="R157" i="19"/>
  <c r="U157" i="19"/>
  <c r="V157" i="19"/>
  <c r="R158" i="19"/>
  <c r="U158" i="19"/>
  <c r="V158" i="19"/>
  <c r="R159" i="19"/>
  <c r="S159" i="19" s="1"/>
  <c r="T159" i="19" s="1"/>
  <c r="U159" i="19"/>
  <c r="V159" i="19"/>
  <c r="R160" i="19"/>
  <c r="U160" i="19"/>
  <c r="V160" i="19"/>
  <c r="R161" i="19"/>
  <c r="U161" i="19"/>
  <c r="V161" i="19"/>
  <c r="R162" i="19"/>
  <c r="U162" i="19"/>
  <c r="V162" i="19"/>
  <c r="R163" i="19"/>
  <c r="U163" i="19"/>
  <c r="V163" i="19"/>
  <c r="R164" i="19"/>
  <c r="U164" i="19"/>
  <c r="V164" i="19"/>
  <c r="R165" i="19"/>
  <c r="U165" i="19"/>
  <c r="V165" i="19"/>
  <c r="R166" i="19"/>
  <c r="U166" i="19"/>
  <c r="V166" i="19"/>
  <c r="R167" i="19"/>
  <c r="S167" i="19" s="1"/>
  <c r="T167" i="19" s="1"/>
  <c r="U167" i="19"/>
  <c r="V167" i="19"/>
  <c r="R168" i="19"/>
  <c r="U168" i="19"/>
  <c r="V168" i="19"/>
  <c r="R169" i="19"/>
  <c r="U169" i="19"/>
  <c r="V169" i="19"/>
  <c r="R170" i="19"/>
  <c r="U170" i="19"/>
  <c r="V170" i="19"/>
  <c r="R171" i="19"/>
  <c r="U171" i="19"/>
  <c r="V171" i="19"/>
  <c r="R172" i="19"/>
  <c r="U172" i="19"/>
  <c r="V172" i="19"/>
  <c r="R173" i="19"/>
  <c r="U173" i="19"/>
  <c r="V173" i="19"/>
  <c r="R174" i="19"/>
  <c r="U174" i="19"/>
  <c r="V174" i="19"/>
  <c r="R175" i="19"/>
  <c r="S175" i="19" s="1"/>
  <c r="T175" i="19" s="1"/>
  <c r="U175" i="19"/>
  <c r="V175" i="19"/>
  <c r="R176" i="19"/>
  <c r="U176" i="19"/>
  <c r="V176" i="19"/>
  <c r="R177" i="19"/>
  <c r="U177" i="19"/>
  <c r="V177" i="19"/>
  <c r="R178" i="19"/>
  <c r="U178" i="19"/>
  <c r="V178" i="19"/>
  <c r="R179" i="19"/>
  <c r="U179" i="19"/>
  <c r="V179" i="19"/>
  <c r="R180" i="19"/>
  <c r="U180" i="19"/>
  <c r="V180" i="19"/>
  <c r="R181" i="19"/>
  <c r="U181" i="19"/>
  <c r="V181" i="19"/>
  <c r="R182" i="19"/>
  <c r="U182" i="19"/>
  <c r="V182" i="19"/>
  <c r="R183" i="19"/>
  <c r="S183" i="19" s="1"/>
  <c r="U183" i="19"/>
  <c r="V183" i="19"/>
  <c r="R184" i="19"/>
  <c r="U184" i="19"/>
  <c r="V184" i="19"/>
  <c r="R185" i="19"/>
  <c r="U185" i="19"/>
  <c r="V185" i="19"/>
  <c r="R186" i="19"/>
  <c r="U186" i="19"/>
  <c r="V186" i="19"/>
  <c r="R187" i="19"/>
  <c r="U187" i="19"/>
  <c r="V187" i="19"/>
  <c r="R188" i="19"/>
  <c r="U188" i="19"/>
  <c r="V188" i="19"/>
  <c r="R189" i="19"/>
  <c r="U189" i="19"/>
  <c r="V189" i="19"/>
  <c r="R190" i="19"/>
  <c r="U190" i="19"/>
  <c r="V190" i="19"/>
  <c r="R191" i="19"/>
  <c r="S191" i="19" s="1"/>
  <c r="U191" i="19"/>
  <c r="V191" i="19"/>
  <c r="R192" i="19"/>
  <c r="U192" i="19"/>
  <c r="V192" i="19"/>
  <c r="R193" i="19"/>
  <c r="U193" i="19"/>
  <c r="V193" i="19"/>
  <c r="R194" i="19"/>
  <c r="U194" i="19"/>
  <c r="V194" i="19"/>
  <c r="R195" i="19"/>
  <c r="U195" i="19"/>
  <c r="V195" i="19"/>
  <c r="R196" i="19"/>
  <c r="U196" i="19"/>
  <c r="V196" i="19"/>
  <c r="R197" i="19"/>
  <c r="U197" i="19"/>
  <c r="V197" i="19"/>
  <c r="R198" i="19"/>
  <c r="U198" i="19"/>
  <c r="V198" i="19"/>
  <c r="R199" i="19"/>
  <c r="S199" i="19" s="1"/>
  <c r="T199" i="19" s="1"/>
  <c r="U199" i="19"/>
  <c r="V199" i="19"/>
  <c r="R200" i="19"/>
  <c r="U200" i="19"/>
  <c r="V200" i="19"/>
  <c r="R201" i="19"/>
  <c r="U201" i="19"/>
  <c r="V201" i="19"/>
  <c r="R202" i="19"/>
  <c r="U202" i="19"/>
  <c r="V202" i="19"/>
  <c r="R203" i="19"/>
  <c r="U203" i="19"/>
  <c r="V203" i="19"/>
  <c r="R204" i="19"/>
  <c r="U204" i="19"/>
  <c r="V204" i="19"/>
  <c r="R205" i="19"/>
  <c r="U205" i="19"/>
  <c r="V205" i="19"/>
  <c r="F8" i="19"/>
  <c r="L10" i="19" s="1"/>
  <c r="F9" i="19"/>
  <c r="M19" i="19" s="1"/>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L86" i="19"/>
  <c r="N86" i="19"/>
  <c r="N87" i="19"/>
  <c r="N88" i="19"/>
  <c r="N89" i="19"/>
  <c r="N90" i="19"/>
  <c r="M91" i="19"/>
  <c r="N91" i="19"/>
  <c r="N92" i="19"/>
  <c r="N93" i="19"/>
  <c r="L94" i="19"/>
  <c r="N94" i="19"/>
  <c r="N95" i="19"/>
  <c r="M96" i="19"/>
  <c r="N96" i="19"/>
  <c r="N97" i="19"/>
  <c r="M98" i="19"/>
  <c r="N98" i="19"/>
  <c r="N99" i="19"/>
  <c r="M100" i="19"/>
  <c r="N100" i="19"/>
  <c r="N101" i="19"/>
  <c r="M102" i="19"/>
  <c r="N102" i="19"/>
  <c r="N103" i="19"/>
  <c r="M104" i="19"/>
  <c r="N104" i="19"/>
  <c r="N105" i="19"/>
  <c r="M106" i="19"/>
  <c r="N106" i="19"/>
  <c r="N107" i="19"/>
  <c r="M108" i="19"/>
  <c r="N108" i="19"/>
  <c r="N109" i="19"/>
  <c r="M110" i="19"/>
  <c r="N110" i="19"/>
  <c r="N111" i="19"/>
  <c r="M112" i="19"/>
  <c r="N112" i="19"/>
  <c r="N113" i="19"/>
  <c r="M114" i="19"/>
  <c r="N114" i="19"/>
  <c r="N115" i="19"/>
  <c r="M116" i="19"/>
  <c r="N116" i="19"/>
  <c r="N117" i="19"/>
  <c r="M118" i="19"/>
  <c r="N118" i="19"/>
  <c r="N119" i="19"/>
  <c r="M120" i="19"/>
  <c r="N120" i="19"/>
  <c r="N121" i="19"/>
  <c r="M122" i="19"/>
  <c r="N122" i="19"/>
  <c r="N123" i="19"/>
  <c r="M124" i="19"/>
  <c r="N124" i="19"/>
  <c r="N125" i="19"/>
  <c r="M126" i="19"/>
  <c r="N126" i="19"/>
  <c r="N127" i="19"/>
  <c r="M128" i="19"/>
  <c r="N128" i="19"/>
  <c r="N129" i="19"/>
  <c r="M130" i="19"/>
  <c r="N130" i="19"/>
  <c r="N131" i="19"/>
  <c r="M132" i="19"/>
  <c r="N132" i="19"/>
  <c r="N133" i="19"/>
  <c r="M134" i="19"/>
  <c r="N134" i="19"/>
  <c r="N135" i="19"/>
  <c r="M136" i="19"/>
  <c r="N136" i="19"/>
  <c r="N137" i="19"/>
  <c r="M138" i="19"/>
  <c r="N138" i="19"/>
  <c r="N139" i="19"/>
  <c r="M140" i="19"/>
  <c r="N140" i="19"/>
  <c r="N141" i="19"/>
  <c r="M142" i="19"/>
  <c r="N142" i="19"/>
  <c r="N143" i="19"/>
  <c r="M144" i="19"/>
  <c r="N144" i="19"/>
  <c r="N145" i="19"/>
  <c r="M146" i="19"/>
  <c r="N146" i="19"/>
  <c r="N147" i="19"/>
  <c r="M148" i="19"/>
  <c r="N148" i="19"/>
  <c r="N149" i="19"/>
  <c r="M150" i="19"/>
  <c r="N150" i="19"/>
  <c r="N151" i="19"/>
  <c r="M152" i="19"/>
  <c r="N152" i="19"/>
  <c r="N153" i="19"/>
  <c r="M154" i="19"/>
  <c r="N154" i="19"/>
  <c r="N155" i="19"/>
  <c r="M156" i="19"/>
  <c r="N156" i="19"/>
  <c r="N157" i="19"/>
  <c r="M158" i="19"/>
  <c r="N158" i="19"/>
  <c r="N159" i="19"/>
  <c r="M160" i="19"/>
  <c r="N160" i="19"/>
  <c r="N161" i="19"/>
  <c r="M162" i="19"/>
  <c r="N162" i="19"/>
  <c r="N163" i="19"/>
  <c r="M164" i="19"/>
  <c r="N164" i="19"/>
  <c r="N165" i="19"/>
  <c r="M166" i="19"/>
  <c r="N166" i="19"/>
  <c r="N167" i="19"/>
  <c r="M168" i="19"/>
  <c r="N168" i="19"/>
  <c r="N169" i="19"/>
  <c r="M170" i="19"/>
  <c r="N170" i="19"/>
  <c r="N171" i="19"/>
  <c r="M172" i="19"/>
  <c r="N172" i="19"/>
  <c r="N173" i="19"/>
  <c r="M174" i="19"/>
  <c r="N174" i="19"/>
  <c r="N175" i="19"/>
  <c r="M176" i="19"/>
  <c r="N176" i="19"/>
  <c r="N177" i="19"/>
  <c r="M178" i="19"/>
  <c r="N178" i="19"/>
  <c r="N179" i="19"/>
  <c r="M180" i="19"/>
  <c r="N180" i="19"/>
  <c r="N181" i="19"/>
  <c r="M182" i="19"/>
  <c r="N182" i="19"/>
  <c r="N183" i="19"/>
  <c r="M184" i="19"/>
  <c r="N184" i="19"/>
  <c r="N185" i="19"/>
  <c r="M186" i="19"/>
  <c r="N186" i="19"/>
  <c r="N187" i="19"/>
  <c r="M188" i="19"/>
  <c r="N188" i="19"/>
  <c r="N189" i="19"/>
  <c r="M190" i="19"/>
  <c r="N190" i="19"/>
  <c r="N191" i="19"/>
  <c r="M192" i="19"/>
  <c r="N192" i="19"/>
  <c r="N193" i="19"/>
  <c r="M194" i="19"/>
  <c r="N194" i="19"/>
  <c r="N195" i="19"/>
  <c r="M196" i="19"/>
  <c r="N196" i="19"/>
  <c r="N197" i="19"/>
  <c r="M198" i="19"/>
  <c r="N198" i="19"/>
  <c r="N199" i="19"/>
  <c r="M200" i="19"/>
  <c r="N200" i="19"/>
  <c r="N201" i="19"/>
  <c r="M202" i="19"/>
  <c r="N202" i="19"/>
  <c r="N203" i="19"/>
  <c r="M204" i="19"/>
  <c r="N204" i="19"/>
  <c r="N205" i="19"/>
  <c r="F19" i="18"/>
  <c r="E25" i="18"/>
  <c r="F25" i="18"/>
  <c r="G25" i="18" s="1"/>
  <c r="E26" i="18"/>
  <c r="F26" i="18"/>
  <c r="E27" i="18"/>
  <c r="F27" i="18"/>
  <c r="E28" i="18"/>
  <c r="F28" i="18"/>
  <c r="E29" i="18"/>
  <c r="F29" i="18"/>
  <c r="E30" i="18"/>
  <c r="F30" i="18"/>
  <c r="E31" i="18"/>
  <c r="F31" i="18"/>
  <c r="E32" i="18"/>
  <c r="F32" i="18"/>
  <c r="E33" i="18"/>
  <c r="F33" i="18"/>
  <c r="E34" i="18"/>
  <c r="F34" i="18"/>
  <c r="E35" i="18"/>
  <c r="F35" i="18"/>
  <c r="E36" i="18"/>
  <c r="F36" i="18"/>
  <c r="E37" i="18"/>
  <c r="F37" i="18"/>
  <c r="E38" i="18"/>
  <c r="F38" i="18"/>
  <c r="E39" i="18"/>
  <c r="F39" i="18"/>
  <c r="E40" i="18"/>
  <c r="F40" i="18"/>
  <c r="F5" i="18"/>
  <c r="U8" i="18"/>
  <c r="F15" i="18"/>
  <c r="F6" i="18"/>
  <c r="V7" i="18"/>
  <c r="U7" i="18"/>
  <c r="U14" i="18"/>
  <c r="V16" i="18"/>
  <c r="U18" i="18"/>
  <c r="V24" i="18"/>
  <c r="U27" i="18"/>
  <c r="V28" i="18"/>
  <c r="U35" i="18"/>
  <c r="U38" i="18"/>
  <c r="U39" i="18"/>
  <c r="U46" i="18"/>
  <c r="V48" i="18"/>
  <c r="U50" i="18"/>
  <c r="V56" i="18"/>
  <c r="U59" i="18"/>
  <c r="V59" i="18"/>
  <c r="V62" i="18"/>
  <c r="V63" i="18"/>
  <c r="U64" i="18"/>
  <c r="U66" i="18"/>
  <c r="Q67" i="18"/>
  <c r="U67" i="18"/>
  <c r="Q68" i="18"/>
  <c r="Q69" i="18"/>
  <c r="V69" i="18"/>
  <c r="Q70" i="18"/>
  <c r="Q71" i="18"/>
  <c r="V71" i="18"/>
  <c r="Q72" i="18"/>
  <c r="U72" i="18"/>
  <c r="V72" i="18"/>
  <c r="Q73" i="18"/>
  <c r="Q74" i="18"/>
  <c r="U74" i="18"/>
  <c r="Q75" i="18"/>
  <c r="U75" i="18"/>
  <c r="Q76" i="18"/>
  <c r="U76" i="18"/>
  <c r="V76" i="18"/>
  <c r="Q77" i="18"/>
  <c r="U77" i="18"/>
  <c r="V77" i="18"/>
  <c r="Q78" i="18"/>
  <c r="U78" i="18"/>
  <c r="V78" i="18"/>
  <c r="Q79" i="18"/>
  <c r="U79" i="18"/>
  <c r="V79" i="18"/>
  <c r="Q80" i="18"/>
  <c r="U80" i="18"/>
  <c r="V80" i="18"/>
  <c r="Q81" i="18"/>
  <c r="U81" i="18"/>
  <c r="V81" i="18"/>
  <c r="Q82" i="18"/>
  <c r="U82" i="18"/>
  <c r="V82" i="18"/>
  <c r="Q83" i="18"/>
  <c r="U83" i="18"/>
  <c r="V83" i="18"/>
  <c r="Q84" i="18"/>
  <c r="U84" i="18"/>
  <c r="V84" i="18"/>
  <c r="Q85" i="18"/>
  <c r="U85" i="18"/>
  <c r="V85" i="18"/>
  <c r="Q86" i="18"/>
  <c r="U86" i="18"/>
  <c r="V86" i="18"/>
  <c r="Q87" i="18"/>
  <c r="U87" i="18"/>
  <c r="V87" i="18"/>
  <c r="Q88" i="18"/>
  <c r="U88" i="18"/>
  <c r="V88" i="18"/>
  <c r="Q89" i="18"/>
  <c r="U89" i="18"/>
  <c r="V89" i="18"/>
  <c r="Q90" i="18"/>
  <c r="U90" i="18"/>
  <c r="V90" i="18"/>
  <c r="Q91" i="18"/>
  <c r="U91" i="18"/>
  <c r="V91" i="18"/>
  <c r="Q92" i="18"/>
  <c r="U92" i="18"/>
  <c r="V92" i="18"/>
  <c r="Q93" i="18"/>
  <c r="U93" i="18"/>
  <c r="V93" i="18"/>
  <c r="Q94" i="18"/>
  <c r="U94" i="18"/>
  <c r="V94" i="18"/>
  <c r="Q95" i="18"/>
  <c r="U95" i="18"/>
  <c r="V95" i="18"/>
  <c r="U96" i="18"/>
  <c r="V96" i="18"/>
  <c r="U97" i="18"/>
  <c r="V97" i="18"/>
  <c r="U98" i="18"/>
  <c r="V98" i="18"/>
  <c r="U99" i="18"/>
  <c r="V99" i="18"/>
  <c r="U100" i="18"/>
  <c r="V100" i="18"/>
  <c r="U101" i="18"/>
  <c r="V101" i="18"/>
  <c r="U102" i="18"/>
  <c r="V102" i="18"/>
  <c r="U103" i="18"/>
  <c r="V103" i="18"/>
  <c r="U104" i="18"/>
  <c r="V104" i="18"/>
  <c r="U105" i="18"/>
  <c r="V105" i="18"/>
  <c r="U106" i="18"/>
  <c r="V106" i="18"/>
  <c r="U107" i="18"/>
  <c r="V107" i="18"/>
  <c r="U108" i="18"/>
  <c r="V108" i="18"/>
  <c r="U109" i="18"/>
  <c r="V109" i="18"/>
  <c r="U110" i="18"/>
  <c r="V110" i="18"/>
  <c r="U111" i="18"/>
  <c r="V111" i="18"/>
  <c r="U112" i="18"/>
  <c r="V112" i="18"/>
  <c r="U113" i="18"/>
  <c r="V113" i="18"/>
  <c r="U114" i="18"/>
  <c r="V114" i="18"/>
  <c r="U115" i="18"/>
  <c r="V115" i="18"/>
  <c r="U116" i="18"/>
  <c r="V116" i="18"/>
  <c r="U117" i="18"/>
  <c r="V117" i="18"/>
  <c r="U118" i="18"/>
  <c r="V118" i="18"/>
  <c r="U119" i="18"/>
  <c r="V119" i="18"/>
  <c r="U120" i="18"/>
  <c r="V120" i="18"/>
  <c r="U121" i="18"/>
  <c r="V121" i="18"/>
  <c r="U122" i="18"/>
  <c r="V122" i="18"/>
  <c r="U123" i="18"/>
  <c r="V123" i="18"/>
  <c r="U124" i="18"/>
  <c r="V124" i="18"/>
  <c r="U125" i="18"/>
  <c r="V125" i="18"/>
  <c r="U126" i="18"/>
  <c r="V126" i="18"/>
  <c r="U127" i="18"/>
  <c r="V127" i="18"/>
  <c r="U128" i="18"/>
  <c r="V128" i="18"/>
  <c r="U129" i="18"/>
  <c r="V129" i="18"/>
  <c r="U130" i="18"/>
  <c r="V130" i="18"/>
  <c r="U131" i="18"/>
  <c r="V131" i="18"/>
  <c r="U132" i="18"/>
  <c r="V132" i="18"/>
  <c r="U133" i="18"/>
  <c r="V133" i="18"/>
  <c r="U134" i="18"/>
  <c r="V134" i="18"/>
  <c r="U135" i="18"/>
  <c r="V135" i="18"/>
  <c r="U136" i="18"/>
  <c r="V136" i="18"/>
  <c r="U137" i="18"/>
  <c r="V137" i="18"/>
  <c r="U138" i="18"/>
  <c r="V138" i="18"/>
  <c r="U139" i="18"/>
  <c r="V139" i="18"/>
  <c r="U140" i="18"/>
  <c r="V140" i="18"/>
  <c r="U141" i="18"/>
  <c r="V141" i="18"/>
  <c r="U142" i="18"/>
  <c r="V142" i="18"/>
  <c r="U143" i="18"/>
  <c r="V143" i="18"/>
  <c r="U144" i="18"/>
  <c r="V144" i="18"/>
  <c r="U145" i="18"/>
  <c r="V145" i="18"/>
  <c r="U146" i="18"/>
  <c r="V146" i="18"/>
  <c r="U147" i="18"/>
  <c r="V147" i="18"/>
  <c r="U148" i="18"/>
  <c r="V148" i="18"/>
  <c r="U149" i="18"/>
  <c r="V149" i="18"/>
  <c r="U150" i="18"/>
  <c r="V150" i="18"/>
  <c r="U151" i="18"/>
  <c r="V151" i="18"/>
  <c r="U152" i="18"/>
  <c r="V152" i="18"/>
  <c r="U153" i="18"/>
  <c r="V153" i="18"/>
  <c r="U154" i="18"/>
  <c r="V154" i="18"/>
  <c r="U155" i="18"/>
  <c r="V155" i="18"/>
  <c r="U156" i="18"/>
  <c r="V156" i="18"/>
  <c r="U157" i="18"/>
  <c r="V157" i="18"/>
  <c r="U158" i="18"/>
  <c r="V158" i="18"/>
  <c r="U159" i="18"/>
  <c r="V159" i="18"/>
  <c r="U160" i="18"/>
  <c r="V160" i="18"/>
  <c r="U161" i="18"/>
  <c r="V161" i="18"/>
  <c r="U162" i="18"/>
  <c r="V162" i="18"/>
  <c r="U163" i="18"/>
  <c r="V163" i="18"/>
  <c r="U164" i="18"/>
  <c r="V164" i="18"/>
  <c r="U165" i="18"/>
  <c r="V165" i="18"/>
  <c r="U166" i="18"/>
  <c r="V166" i="18"/>
  <c r="U167" i="18"/>
  <c r="V167" i="18"/>
  <c r="U168" i="18"/>
  <c r="V168" i="18"/>
  <c r="U169" i="18"/>
  <c r="V169" i="18"/>
  <c r="U170" i="18"/>
  <c r="V170" i="18"/>
  <c r="U171" i="18"/>
  <c r="V171" i="18"/>
  <c r="U172" i="18"/>
  <c r="V172" i="18"/>
  <c r="U173" i="18"/>
  <c r="V173" i="18"/>
  <c r="U174" i="18"/>
  <c r="V174" i="18"/>
  <c r="U175" i="18"/>
  <c r="V175" i="18"/>
  <c r="U176" i="18"/>
  <c r="V176" i="18"/>
  <c r="U177" i="18"/>
  <c r="V177" i="18"/>
  <c r="U178" i="18"/>
  <c r="V178" i="18"/>
  <c r="U179" i="18"/>
  <c r="V179" i="18"/>
  <c r="U180" i="18"/>
  <c r="V180" i="18"/>
  <c r="U181" i="18"/>
  <c r="V181" i="18"/>
  <c r="U182" i="18"/>
  <c r="V182" i="18"/>
  <c r="U183" i="18"/>
  <c r="V183" i="18"/>
  <c r="U184" i="18"/>
  <c r="V184" i="18"/>
  <c r="U185" i="18"/>
  <c r="V185" i="18"/>
  <c r="U186" i="18"/>
  <c r="V186" i="18"/>
  <c r="U187" i="18"/>
  <c r="V187" i="18"/>
  <c r="U188" i="18"/>
  <c r="V188" i="18"/>
  <c r="U189" i="18"/>
  <c r="V189" i="18"/>
  <c r="U190" i="18"/>
  <c r="V190" i="18"/>
  <c r="U191" i="18"/>
  <c r="V191" i="18"/>
  <c r="U192" i="18"/>
  <c r="V192" i="18"/>
  <c r="U193" i="18"/>
  <c r="V193" i="18"/>
  <c r="U194" i="18"/>
  <c r="V194" i="18"/>
  <c r="U195" i="18"/>
  <c r="V195" i="18"/>
  <c r="U196" i="18"/>
  <c r="V196" i="18"/>
  <c r="U197" i="18"/>
  <c r="V197" i="18"/>
  <c r="U198" i="18"/>
  <c r="V198" i="18"/>
  <c r="U199" i="18"/>
  <c r="V199" i="18"/>
  <c r="U200" i="18"/>
  <c r="V200" i="18"/>
  <c r="U201" i="18"/>
  <c r="V201" i="18"/>
  <c r="U202" i="18"/>
  <c r="V202" i="18"/>
  <c r="U203" i="18"/>
  <c r="V203" i="18"/>
  <c r="U204" i="18"/>
  <c r="V204" i="18"/>
  <c r="U205" i="18"/>
  <c r="V205" i="18"/>
  <c r="F10" i="18"/>
  <c r="L97" i="18"/>
  <c r="F11" i="18"/>
  <c r="F13" i="18"/>
  <c r="F8" i="18"/>
  <c r="F9"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F19" i="13"/>
  <c r="S5" i="13"/>
  <c r="T5" i="13"/>
  <c r="E25" i="13"/>
  <c r="F25" i="13"/>
  <c r="G25" i="13"/>
  <c r="E26" i="13"/>
  <c r="F26" i="13"/>
  <c r="E27" i="13"/>
  <c r="F27" i="13"/>
  <c r="E28" i="13"/>
  <c r="F28" i="13"/>
  <c r="E29" i="13"/>
  <c r="F29" i="13"/>
  <c r="E30" i="13"/>
  <c r="F30" i="13"/>
  <c r="E31" i="13"/>
  <c r="F31" i="13"/>
  <c r="E32" i="13"/>
  <c r="F32" i="13"/>
  <c r="E33" i="13"/>
  <c r="F33" i="13"/>
  <c r="E34" i="13"/>
  <c r="F34" i="13"/>
  <c r="E35" i="13"/>
  <c r="F35" i="13"/>
  <c r="E36" i="13"/>
  <c r="F36" i="13"/>
  <c r="E37" i="13"/>
  <c r="F37" i="13"/>
  <c r="E38" i="13"/>
  <c r="F38" i="13"/>
  <c r="E39" i="13"/>
  <c r="F39" i="13"/>
  <c r="E40" i="13"/>
  <c r="F40" i="13"/>
  <c r="E41" i="13"/>
  <c r="F41" i="13"/>
  <c r="E42" i="13"/>
  <c r="F42" i="13"/>
  <c r="E43" i="13"/>
  <c r="F43" i="13"/>
  <c r="E44" i="13"/>
  <c r="F44" i="13"/>
  <c r="E45" i="13"/>
  <c r="F45" i="13"/>
  <c r="E46" i="13"/>
  <c r="F46" i="13"/>
  <c r="F5" i="13"/>
  <c r="U8" i="13"/>
  <c r="F15" i="13"/>
  <c r="F6" i="13"/>
  <c r="V9" i="13"/>
  <c r="V36" i="13"/>
  <c r="U65" i="13"/>
  <c r="V71" i="13"/>
  <c r="V75" i="13"/>
  <c r="U87" i="13"/>
  <c r="U91" i="13"/>
  <c r="U94" i="13"/>
  <c r="U103" i="13"/>
  <c r="U107" i="13"/>
  <c r="U110" i="13"/>
  <c r="U119" i="13"/>
  <c r="U123" i="13"/>
  <c r="U126" i="13"/>
  <c r="U135" i="13"/>
  <c r="V138" i="13"/>
  <c r="U139" i="13"/>
  <c r="V142" i="13"/>
  <c r="V143" i="13"/>
  <c r="V144" i="13"/>
  <c r="V147" i="13"/>
  <c r="U149" i="13"/>
  <c r="V149" i="13"/>
  <c r="U152" i="13"/>
  <c r="U153" i="13"/>
  <c r="V153" i="13"/>
  <c r="U156" i="13"/>
  <c r="V156" i="13"/>
  <c r="U157" i="13"/>
  <c r="V157" i="13"/>
  <c r="U158" i="13"/>
  <c r="V158" i="13"/>
  <c r="U159" i="13"/>
  <c r="V159" i="13"/>
  <c r="U160" i="13"/>
  <c r="V160" i="13"/>
  <c r="U161" i="13"/>
  <c r="V161" i="13"/>
  <c r="U162" i="13"/>
  <c r="V162" i="13"/>
  <c r="U163" i="13"/>
  <c r="V163" i="13"/>
  <c r="U164" i="13"/>
  <c r="V164" i="13"/>
  <c r="U165" i="13"/>
  <c r="V165" i="13"/>
  <c r="R166" i="13"/>
  <c r="U166" i="13"/>
  <c r="V166" i="13"/>
  <c r="R167" i="13"/>
  <c r="U167" i="13"/>
  <c r="V167" i="13"/>
  <c r="R168" i="13"/>
  <c r="U168" i="13"/>
  <c r="V168" i="13"/>
  <c r="R169" i="13"/>
  <c r="U169" i="13"/>
  <c r="V169" i="13"/>
  <c r="R170" i="13"/>
  <c r="U170" i="13"/>
  <c r="V170" i="13"/>
  <c r="R171" i="13"/>
  <c r="U171" i="13"/>
  <c r="V171" i="13"/>
  <c r="R172" i="13"/>
  <c r="U172" i="13"/>
  <c r="V172" i="13"/>
  <c r="R173" i="13"/>
  <c r="U173" i="13"/>
  <c r="V173" i="13"/>
  <c r="R174" i="13"/>
  <c r="U174" i="13"/>
  <c r="V174" i="13"/>
  <c r="R175" i="13"/>
  <c r="U175" i="13"/>
  <c r="V175" i="13"/>
  <c r="R176" i="13"/>
  <c r="U176" i="13"/>
  <c r="V176" i="13"/>
  <c r="R177" i="13"/>
  <c r="U177" i="13"/>
  <c r="V177" i="13"/>
  <c r="R178" i="13"/>
  <c r="U178" i="13"/>
  <c r="V178" i="13"/>
  <c r="R179" i="13"/>
  <c r="U179" i="13"/>
  <c r="V179" i="13"/>
  <c r="R180" i="13"/>
  <c r="U180" i="13"/>
  <c r="V180" i="13"/>
  <c r="R181" i="13"/>
  <c r="U181" i="13"/>
  <c r="V181" i="13"/>
  <c r="R182" i="13"/>
  <c r="U182" i="13"/>
  <c r="V182" i="13"/>
  <c r="R183" i="13"/>
  <c r="U183" i="13"/>
  <c r="V183" i="13"/>
  <c r="R184" i="13"/>
  <c r="U184" i="13"/>
  <c r="V184" i="13"/>
  <c r="R185" i="13"/>
  <c r="U185" i="13"/>
  <c r="V185" i="13"/>
  <c r="R186" i="13"/>
  <c r="U186" i="13"/>
  <c r="V186" i="13"/>
  <c r="R187" i="13"/>
  <c r="U187" i="13"/>
  <c r="V187" i="13"/>
  <c r="R188" i="13"/>
  <c r="U188" i="13"/>
  <c r="V188" i="13"/>
  <c r="R189" i="13"/>
  <c r="U189" i="13"/>
  <c r="V189" i="13"/>
  <c r="R190" i="13"/>
  <c r="U190" i="13"/>
  <c r="V190" i="13"/>
  <c r="R191" i="13"/>
  <c r="U191" i="13"/>
  <c r="V191" i="13"/>
  <c r="R192" i="13"/>
  <c r="U192" i="13"/>
  <c r="V192" i="13"/>
  <c r="R193" i="13"/>
  <c r="U193" i="13"/>
  <c r="V193" i="13"/>
  <c r="R194" i="13"/>
  <c r="U194" i="13"/>
  <c r="V194" i="13"/>
  <c r="R195" i="13"/>
  <c r="U195" i="13"/>
  <c r="V195" i="13"/>
  <c r="R196" i="13"/>
  <c r="U196" i="13"/>
  <c r="V196" i="13"/>
  <c r="R197" i="13"/>
  <c r="U197" i="13"/>
  <c r="V197" i="13"/>
  <c r="R198" i="13"/>
  <c r="U198" i="13"/>
  <c r="V198" i="13"/>
  <c r="R199" i="13"/>
  <c r="U199" i="13"/>
  <c r="V199" i="13"/>
  <c r="R200" i="13"/>
  <c r="U200" i="13"/>
  <c r="V200" i="13"/>
  <c r="R201" i="13"/>
  <c r="U201" i="13"/>
  <c r="V201" i="13"/>
  <c r="R202" i="13"/>
  <c r="U202" i="13"/>
  <c r="V202" i="13"/>
  <c r="R203" i="13"/>
  <c r="U203" i="13"/>
  <c r="V203" i="13"/>
  <c r="R204" i="13"/>
  <c r="U204" i="13"/>
  <c r="V204" i="13"/>
  <c r="R205" i="13"/>
  <c r="U205" i="13"/>
  <c r="V205" i="13"/>
  <c r="F13" i="13"/>
  <c r="F8" i="13"/>
  <c r="F9"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L120"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L151"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AL35" i="26"/>
  <c r="AL29" i="26"/>
  <c r="AL26" i="26"/>
  <c r="AL23" i="26"/>
  <c r="AP35" i="26"/>
  <c r="AN35" i="26"/>
  <c r="AM35" i="26"/>
  <c r="AP29" i="26"/>
  <c r="AO29" i="26"/>
  <c r="AN29" i="26"/>
  <c r="AM29" i="26"/>
  <c r="AP26" i="26"/>
  <c r="AO26" i="26"/>
  <c r="AN26" i="26"/>
  <c r="AM26" i="26"/>
  <c r="AP23" i="26"/>
  <c r="AO23" i="26"/>
  <c r="AN23" i="26"/>
  <c r="AM23" i="26"/>
  <c r="D101" i="27"/>
  <c r="E101" i="27"/>
  <c r="F101" i="27"/>
  <c r="G101" i="27"/>
  <c r="D102" i="27"/>
  <c r="E102" i="27"/>
  <c r="F102" i="27"/>
  <c r="G102" i="27"/>
  <c r="D85" i="27"/>
  <c r="E85" i="27"/>
  <c r="F85" i="27"/>
  <c r="G85" i="27"/>
  <c r="D86" i="27"/>
  <c r="E86" i="27"/>
  <c r="F86" i="27"/>
  <c r="G86" i="27"/>
  <c r="D69" i="27"/>
  <c r="E69" i="27"/>
  <c r="F69" i="27"/>
  <c r="G69" i="27"/>
  <c r="D70" i="27"/>
  <c r="E70" i="27"/>
  <c r="F70" i="27"/>
  <c r="G70" i="27"/>
  <c r="D53" i="27"/>
  <c r="E53" i="27"/>
  <c r="F53" i="27"/>
  <c r="G53" i="27"/>
  <c r="D54" i="27"/>
  <c r="E54" i="27"/>
  <c r="F54" i="27"/>
  <c r="G54" i="27"/>
  <c r="D37" i="27"/>
  <c r="E37" i="27"/>
  <c r="F37" i="27"/>
  <c r="G37" i="27"/>
  <c r="D38" i="27"/>
  <c r="E38" i="27"/>
  <c r="F38" i="27"/>
  <c r="G38" i="27"/>
  <c r="B22" i="27"/>
  <c r="C22" i="27"/>
  <c r="W172" i="27"/>
  <c r="Z174" i="27"/>
  <c r="Z175" i="27"/>
  <c r="Y176" i="27"/>
  <c r="X177" i="27"/>
  <c r="Z177" i="27"/>
  <c r="W178" i="27"/>
  <c r="Y178" i="27"/>
  <c r="W179" i="27"/>
  <c r="X179" i="27"/>
  <c r="W180" i="27"/>
  <c r="Y183" i="27"/>
  <c r="Z183" i="27"/>
  <c r="Y184" i="27"/>
  <c r="X185" i="27"/>
  <c r="Z185" i="27"/>
  <c r="W186" i="27"/>
  <c r="Y186" i="27"/>
  <c r="X187" i="27"/>
  <c r="W188" i="27"/>
  <c r="Z191" i="27"/>
  <c r="X192" i="27"/>
  <c r="Y192" i="27"/>
  <c r="X193" i="27"/>
  <c r="Z193" i="27"/>
  <c r="W194" i="27"/>
  <c r="X194" i="27"/>
  <c r="Y194" i="27"/>
  <c r="X195" i="27"/>
  <c r="W196" i="27"/>
  <c r="Z199" i="27"/>
  <c r="Y200" i="27"/>
  <c r="W201" i="27"/>
  <c r="X201" i="27"/>
  <c r="Z201" i="27"/>
  <c r="W202" i="27"/>
  <c r="Y202" i="27"/>
  <c r="X203" i="27"/>
  <c r="W204" i="27"/>
  <c r="Z207" i="27"/>
  <c r="Y208" i="27"/>
  <c r="X209" i="27"/>
  <c r="Z209" i="27"/>
  <c r="W210" i="27"/>
  <c r="Y210" i="27"/>
  <c r="X211" i="27"/>
  <c r="W212" i="27"/>
  <c r="Z215" i="27"/>
  <c r="Y216" i="27"/>
  <c r="X217" i="27"/>
  <c r="Z217" i="27"/>
  <c r="W218" i="27"/>
  <c r="Y218" i="27"/>
  <c r="X219" i="27"/>
  <c r="W220" i="27"/>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Y205" i="26"/>
  <c r="Q205" i="26"/>
  <c r="Y204" i="26"/>
  <c r="Q204" i="26"/>
  <c r="Y203" i="26"/>
  <c r="Q203" i="26"/>
  <c r="Y202" i="26"/>
  <c r="Q202" i="26"/>
  <c r="Y201" i="26"/>
  <c r="Q201" i="26"/>
  <c r="Y200" i="26"/>
  <c r="Q200" i="26"/>
  <c r="Y199" i="26"/>
  <c r="Q199" i="26"/>
  <c r="Y198" i="26"/>
  <c r="Q198" i="26"/>
  <c r="Y197" i="26"/>
  <c r="Q197" i="26"/>
  <c r="Y196" i="26"/>
  <c r="Q196" i="26"/>
  <c r="Y195" i="26"/>
  <c r="Q195" i="26"/>
  <c r="Y194" i="26"/>
  <c r="Q194" i="26"/>
  <c r="Y193" i="26"/>
  <c r="Q193" i="26"/>
  <c r="Y192" i="26"/>
  <c r="Q192" i="26"/>
  <c r="Y191" i="26"/>
  <c r="Q191" i="26"/>
  <c r="Y190" i="26"/>
  <c r="Q190" i="26"/>
  <c r="Y189" i="26"/>
  <c r="Q189" i="26"/>
  <c r="Y188" i="26"/>
  <c r="Q188" i="26"/>
  <c r="Y187" i="26"/>
  <c r="Q187" i="26"/>
  <c r="Y186" i="26"/>
  <c r="Q186" i="26"/>
  <c r="Y185" i="26"/>
  <c r="Q185" i="26"/>
  <c r="Y184" i="26"/>
  <c r="Q184" i="26"/>
  <c r="Y183" i="26"/>
  <c r="Q183" i="26"/>
  <c r="Y182" i="26"/>
  <c r="Q182" i="26"/>
  <c r="Y181" i="26"/>
  <c r="Q181" i="26"/>
  <c r="Y180" i="26"/>
  <c r="Q180" i="26"/>
  <c r="Y179" i="26"/>
  <c r="Q179" i="26"/>
  <c r="Y178" i="26"/>
  <c r="Q178" i="26"/>
  <c r="Y177" i="26"/>
  <c r="Q177" i="26"/>
  <c r="Y176" i="26"/>
  <c r="Q176" i="26"/>
  <c r="Y175" i="26"/>
  <c r="Q175" i="26"/>
  <c r="Y174" i="26"/>
  <c r="Q174" i="26"/>
  <c r="Y173" i="26"/>
  <c r="Q173" i="26"/>
  <c r="Y172" i="26"/>
  <c r="Q172" i="26"/>
  <c r="Y171" i="26"/>
  <c r="Q171" i="26"/>
  <c r="Y170" i="26"/>
  <c r="Q170" i="26"/>
  <c r="Y169" i="26"/>
  <c r="Q169" i="26"/>
  <c r="Y168" i="26"/>
  <c r="Q168" i="26"/>
  <c r="Y167" i="26"/>
  <c r="Q167" i="26"/>
  <c r="Y166" i="26"/>
  <c r="Q166" i="26"/>
  <c r="Y165" i="26"/>
  <c r="Q165" i="26"/>
  <c r="Y164" i="26"/>
  <c r="Q164" i="26"/>
  <c r="Y163" i="26"/>
  <c r="Q163" i="26"/>
  <c r="Y162" i="26"/>
  <c r="Q162" i="26"/>
  <c r="Y161" i="26"/>
  <c r="Q161" i="26"/>
  <c r="Y160" i="26"/>
  <c r="Q160" i="26"/>
  <c r="Y159" i="26"/>
  <c r="Q159" i="26"/>
  <c r="Y158" i="26"/>
  <c r="Q158" i="26"/>
  <c r="Y157" i="26"/>
  <c r="Q157" i="26"/>
  <c r="Y156" i="26"/>
  <c r="Q156" i="26"/>
  <c r="D107" i="26"/>
  <c r="C107" i="26"/>
  <c r="H93" i="26"/>
  <c r="H92" i="26"/>
  <c r="H91" i="26"/>
  <c r="H90" i="26"/>
  <c r="H89" i="26"/>
  <c r="H88" i="26"/>
  <c r="H87" i="26"/>
  <c r="H86" i="26"/>
  <c r="H84" i="26"/>
  <c r="H83" i="26"/>
  <c r="H82" i="26"/>
  <c r="S5" i="26"/>
  <c r="T5" i="26"/>
  <c r="V5" i="26"/>
  <c r="N5" i="26"/>
  <c r="D107" i="18"/>
  <c r="C107" i="18"/>
  <c r="D9" i="18"/>
  <c r="D107" i="13"/>
  <c r="C107" i="13"/>
  <c r="D9" i="13"/>
  <c r="Y205" i="13"/>
  <c r="Q205" i="13"/>
  <c r="Y204" i="13"/>
  <c r="Q204" i="13"/>
  <c r="Y203" i="13"/>
  <c r="Q203" i="13"/>
  <c r="Y202" i="13"/>
  <c r="Q202" i="13"/>
  <c r="Y201" i="13"/>
  <c r="Q201" i="13"/>
  <c r="Y200" i="13"/>
  <c r="Q200" i="13"/>
  <c r="Y199" i="13"/>
  <c r="Q199" i="13"/>
  <c r="Y198" i="13"/>
  <c r="Q198" i="13"/>
  <c r="Y197" i="13"/>
  <c r="Q197" i="13"/>
  <c r="Y196" i="13"/>
  <c r="Q196" i="13"/>
  <c r="Y195" i="13"/>
  <c r="Q195" i="13"/>
  <c r="Y194" i="13"/>
  <c r="Q194" i="13"/>
  <c r="Y193" i="13"/>
  <c r="Q193" i="13"/>
  <c r="Y192" i="13"/>
  <c r="Q192" i="13"/>
  <c r="Y191" i="13"/>
  <c r="Q191" i="13"/>
  <c r="Y190" i="13"/>
  <c r="Q190" i="13"/>
  <c r="Y189" i="13"/>
  <c r="Q189" i="13"/>
  <c r="Y188" i="13"/>
  <c r="Q188" i="13"/>
  <c r="Y187" i="13"/>
  <c r="Q187" i="13"/>
  <c r="Y186" i="13"/>
  <c r="Q186" i="13"/>
  <c r="Y185" i="13"/>
  <c r="Q185" i="13"/>
  <c r="Y184" i="13"/>
  <c r="Q184" i="13"/>
  <c r="Y183" i="13"/>
  <c r="Q183" i="13"/>
  <c r="Y182" i="13"/>
  <c r="Q182" i="13"/>
  <c r="Y181" i="13"/>
  <c r="Q181" i="13"/>
  <c r="Y180" i="13"/>
  <c r="Q180" i="13"/>
  <c r="Y179" i="13"/>
  <c r="Q179" i="13"/>
  <c r="Y178" i="13"/>
  <c r="Q178" i="13"/>
  <c r="Y177" i="13"/>
  <c r="Q177" i="13"/>
  <c r="Y176" i="13"/>
  <c r="Q176" i="13"/>
  <c r="Y175" i="13"/>
  <c r="Q175" i="13"/>
  <c r="Y174" i="13"/>
  <c r="Q174" i="13"/>
  <c r="Y173" i="13"/>
  <c r="Q173" i="13"/>
  <c r="Y172" i="13"/>
  <c r="Q172" i="13"/>
  <c r="Y171" i="13"/>
  <c r="Q171" i="13"/>
  <c r="Y170" i="13"/>
  <c r="Q170" i="13"/>
  <c r="Y169" i="13"/>
  <c r="Q169" i="13"/>
  <c r="Y168" i="13"/>
  <c r="Q168" i="13"/>
  <c r="Y167" i="13"/>
  <c r="Q167" i="13"/>
  <c r="Y166" i="13"/>
  <c r="Q166" i="13"/>
  <c r="V5" i="13"/>
  <c r="N5" i="13"/>
  <c r="Q205" i="18"/>
  <c r="Q204" i="18"/>
  <c r="Q203" i="18"/>
  <c r="Q202" i="18"/>
  <c r="Q201" i="18"/>
  <c r="Q200" i="18"/>
  <c r="Q199" i="18"/>
  <c r="Q198" i="18"/>
  <c r="Q197" i="18"/>
  <c r="Q196" i="18"/>
  <c r="Q195" i="18"/>
  <c r="Q194" i="18"/>
  <c r="Q193" i="18"/>
  <c r="Q192" i="18"/>
  <c r="Q191" i="18"/>
  <c r="Q190" i="18"/>
  <c r="Q189" i="18"/>
  <c r="Q188" i="18"/>
  <c r="Q187" i="18"/>
  <c r="Q186" i="18"/>
  <c r="Q185" i="18"/>
  <c r="Q184" i="18"/>
  <c r="Q183" i="18"/>
  <c r="Q182" i="18"/>
  <c r="Q181" i="18"/>
  <c r="Q180" i="18"/>
  <c r="Q179" i="18"/>
  <c r="Q178" i="18"/>
  <c r="Q177" i="18"/>
  <c r="Q176" i="18"/>
  <c r="Q175" i="18"/>
  <c r="Q174" i="18"/>
  <c r="Q173" i="18"/>
  <c r="Q172" i="18"/>
  <c r="Q171" i="18"/>
  <c r="Q170" i="18"/>
  <c r="Q169" i="18"/>
  <c r="Q168" i="18"/>
  <c r="Q167" i="18"/>
  <c r="Q166" i="18"/>
  <c r="Q165" i="18"/>
  <c r="Q164" i="18"/>
  <c r="Q163" i="18"/>
  <c r="Q162" i="18"/>
  <c r="Q161" i="18"/>
  <c r="Q160" i="18"/>
  <c r="Q159" i="18"/>
  <c r="Q158" i="18"/>
  <c r="Q157" i="18"/>
  <c r="Q156" i="18"/>
  <c r="Q155" i="18"/>
  <c r="Q154" i="18"/>
  <c r="Q153" i="18"/>
  <c r="Q152" i="18"/>
  <c r="Q151" i="18"/>
  <c r="Q150" i="18"/>
  <c r="Q149" i="18"/>
  <c r="Q148" i="18"/>
  <c r="Q147" i="18"/>
  <c r="Q146" i="18"/>
  <c r="Q145" i="18"/>
  <c r="Q144" i="18"/>
  <c r="Q143" i="18"/>
  <c r="Q142" i="18"/>
  <c r="Q141" i="18"/>
  <c r="Q140" i="18"/>
  <c r="Q139" i="18"/>
  <c r="Q138" i="18"/>
  <c r="Q137" i="18"/>
  <c r="Q136" i="18"/>
  <c r="H93" i="18"/>
  <c r="H91" i="18"/>
  <c r="H87" i="18"/>
  <c r="H82" i="18"/>
  <c r="S5" i="18"/>
  <c r="T5" i="18"/>
  <c r="V5" i="18"/>
  <c r="N5" i="18"/>
  <c r="Y205" i="19"/>
  <c r="Q205" i="19"/>
  <c r="Y204" i="19"/>
  <c r="Q204" i="19"/>
  <c r="Y203" i="19"/>
  <c r="Q203" i="19"/>
  <c r="Y202" i="19"/>
  <c r="Q202" i="19"/>
  <c r="Y201" i="19"/>
  <c r="Q201" i="19"/>
  <c r="Y200" i="19"/>
  <c r="Q200" i="19"/>
  <c r="Y199" i="19"/>
  <c r="Q199" i="19"/>
  <c r="Y198" i="19"/>
  <c r="Q198" i="19"/>
  <c r="Y197" i="19"/>
  <c r="Q197" i="19"/>
  <c r="Y196" i="19"/>
  <c r="Q196" i="19"/>
  <c r="Y195" i="19"/>
  <c r="Q195" i="19"/>
  <c r="Y194" i="19"/>
  <c r="Q194" i="19"/>
  <c r="Y193" i="19"/>
  <c r="Q193" i="19"/>
  <c r="Y192" i="19"/>
  <c r="Q192" i="19"/>
  <c r="Y191" i="19"/>
  <c r="Q191" i="19"/>
  <c r="Y190" i="19"/>
  <c r="Q190" i="19"/>
  <c r="Y189" i="19"/>
  <c r="Q189" i="19"/>
  <c r="Y188" i="19"/>
  <c r="Q188" i="19"/>
  <c r="Y187" i="19"/>
  <c r="Q187" i="19"/>
  <c r="Y186" i="19"/>
  <c r="Q186" i="19"/>
  <c r="Y185" i="19"/>
  <c r="Q185" i="19"/>
  <c r="Y184" i="19"/>
  <c r="Q184" i="19"/>
  <c r="Y183" i="19"/>
  <c r="Q183" i="19"/>
  <c r="Y182" i="19"/>
  <c r="Q182" i="19"/>
  <c r="Y181" i="19"/>
  <c r="Q181" i="19"/>
  <c r="Y180" i="19"/>
  <c r="Q180" i="19"/>
  <c r="Y179" i="19"/>
  <c r="Q179" i="19"/>
  <c r="Y178" i="19"/>
  <c r="Q178" i="19"/>
  <c r="Y177" i="19"/>
  <c r="Q177" i="19"/>
  <c r="Y176" i="19"/>
  <c r="Q176" i="19"/>
  <c r="Y175" i="19"/>
  <c r="Q175" i="19"/>
  <c r="Y174" i="19"/>
  <c r="Q174" i="19"/>
  <c r="Y173" i="19"/>
  <c r="Q173" i="19"/>
  <c r="Y172" i="19"/>
  <c r="Q172" i="19"/>
  <c r="Y171" i="19"/>
  <c r="Q171" i="19"/>
  <c r="Y170" i="19"/>
  <c r="Q170" i="19"/>
  <c r="Y169" i="19"/>
  <c r="Q169" i="19"/>
  <c r="Y168" i="19"/>
  <c r="Q168" i="19"/>
  <c r="Y167" i="19"/>
  <c r="Q167" i="19"/>
  <c r="Y166" i="19"/>
  <c r="Q166" i="19"/>
  <c r="Y165" i="19"/>
  <c r="Q165" i="19"/>
  <c r="Y164" i="19"/>
  <c r="Q164" i="19"/>
  <c r="Y163" i="19"/>
  <c r="Q163" i="19"/>
  <c r="Y162" i="19"/>
  <c r="Q162" i="19"/>
  <c r="Y161" i="19"/>
  <c r="Q161" i="19"/>
  <c r="Y160" i="19"/>
  <c r="Q160" i="19"/>
  <c r="Y159" i="19"/>
  <c r="Q159" i="19"/>
  <c r="Y158" i="19"/>
  <c r="Q158" i="19"/>
  <c r="Y157" i="19"/>
  <c r="Q157" i="19"/>
  <c r="Y156" i="19"/>
  <c r="Q156" i="19"/>
  <c r="Y155" i="19"/>
  <c r="Q155" i="19"/>
  <c r="Y154" i="19"/>
  <c r="Q154" i="19"/>
  <c r="Y153" i="19"/>
  <c r="Q153" i="19"/>
  <c r="Y152" i="19"/>
  <c r="Q152" i="19"/>
  <c r="Y151" i="19"/>
  <c r="Q151" i="19"/>
  <c r="Y150" i="19"/>
  <c r="Q150" i="19"/>
  <c r="Y149" i="19"/>
  <c r="Q149" i="19"/>
  <c r="Y148" i="19"/>
  <c r="Q148" i="19"/>
  <c r="Y147" i="19"/>
  <c r="Q147" i="19"/>
  <c r="Y146" i="19"/>
  <c r="Q146" i="19"/>
  <c r="Y145" i="19"/>
  <c r="Q145" i="19"/>
  <c r="Y144" i="19"/>
  <c r="Q144" i="19"/>
  <c r="Y143" i="19"/>
  <c r="Q143" i="19"/>
  <c r="Y142" i="19"/>
  <c r="Q142" i="19"/>
  <c r="Y141" i="19"/>
  <c r="Q141" i="19"/>
  <c r="Y140" i="19"/>
  <c r="Q140" i="19"/>
  <c r="Y139" i="19"/>
  <c r="Q139" i="19"/>
  <c r="Y138" i="19"/>
  <c r="Q138" i="19"/>
  <c r="Y137" i="19"/>
  <c r="Q137" i="19"/>
  <c r="Y136" i="19"/>
  <c r="Q136" i="19"/>
  <c r="Y135" i="19"/>
  <c r="Y134" i="19"/>
  <c r="Y133" i="19"/>
  <c r="Y132" i="19"/>
  <c r="Y131" i="19"/>
  <c r="Y130" i="19"/>
  <c r="Y129" i="19"/>
  <c r="Y128" i="19"/>
  <c r="Y127" i="19"/>
  <c r="Y126" i="19"/>
  <c r="Y125" i="19"/>
  <c r="Y124" i="19"/>
  <c r="Y123" i="19"/>
  <c r="Y122" i="19"/>
  <c r="Y121" i="19"/>
  <c r="Y120" i="19"/>
  <c r="Y119" i="19"/>
  <c r="Y118" i="19"/>
  <c r="Y117" i="19"/>
  <c r="Y116" i="19"/>
  <c r="Y115" i="19"/>
  <c r="Y114" i="19"/>
  <c r="Y113" i="19"/>
  <c r="Y112" i="19"/>
  <c r="Y111" i="19"/>
  <c r="Y110" i="19"/>
  <c r="Y109" i="19"/>
  <c r="Y108" i="19"/>
  <c r="Y107" i="19"/>
  <c r="D107" i="19"/>
  <c r="C107" i="19"/>
  <c r="Y106" i="19"/>
  <c r="Y105" i="19"/>
  <c r="Y104" i="19"/>
  <c r="Y103" i="19"/>
  <c r="Y102" i="19"/>
  <c r="Y101" i="19"/>
  <c r="Y100" i="19"/>
  <c r="Y99" i="19"/>
  <c r="Y98" i="19"/>
  <c r="Y97" i="19"/>
  <c r="Y96" i="19"/>
  <c r="H93" i="19"/>
  <c r="H91" i="19"/>
  <c r="D9" i="19"/>
  <c r="N5" i="19"/>
  <c r="K25" i="24"/>
  <c r="L25" i="24"/>
  <c r="M25" i="24"/>
  <c r="N25" i="24"/>
  <c r="O25" i="24"/>
  <c r="P25" i="24"/>
  <c r="Q25" i="24"/>
  <c r="E20" i="24"/>
  <c r="E19" i="24"/>
  <c r="H93" i="13"/>
  <c r="R141" i="26"/>
  <c r="S141" i="26"/>
  <c r="R142" i="26"/>
  <c r="S142" i="26"/>
  <c r="R143" i="26"/>
  <c r="S143" i="26"/>
  <c r="R144" i="26"/>
  <c r="S144" i="26"/>
  <c r="R145" i="26"/>
  <c r="S145" i="26"/>
  <c r="R146" i="26"/>
  <c r="S146" i="26"/>
  <c r="R147" i="26"/>
  <c r="S147" i="26"/>
  <c r="R148" i="26"/>
  <c r="S148" i="26"/>
  <c r="R149" i="26"/>
  <c r="S149" i="26"/>
  <c r="R150" i="26"/>
  <c r="S150" i="26"/>
  <c r="R151" i="26"/>
  <c r="S151" i="26"/>
  <c r="R152" i="26"/>
  <c r="S152" i="26"/>
  <c r="R153" i="26"/>
  <c r="S153" i="26"/>
  <c r="R154" i="26"/>
  <c r="S154" i="26"/>
  <c r="R155" i="26"/>
  <c r="S155" i="26"/>
  <c r="B26" i="27"/>
  <c r="B27" i="27"/>
  <c r="B28" i="27"/>
  <c r="B29" i="27"/>
  <c r="B30" i="27"/>
  <c r="B31" i="27"/>
  <c r="B32" i="27"/>
  <c r="B33" i="27"/>
  <c r="B34" i="27"/>
  <c r="Y141" i="26"/>
  <c r="Y142" i="26"/>
  <c r="Y143" i="26"/>
  <c r="Y144" i="26"/>
  <c r="Y145" i="26"/>
  <c r="Y146" i="26"/>
  <c r="Y147" i="26"/>
  <c r="Y148" i="26"/>
  <c r="Y149" i="26"/>
  <c r="Y150" i="26"/>
  <c r="Y151" i="26"/>
  <c r="Y152" i="26"/>
  <c r="Y153" i="26"/>
  <c r="Y155" i="26"/>
  <c r="Y154" i="26"/>
  <c r="I83" i="27"/>
  <c r="M202" i="13"/>
  <c r="M198" i="13"/>
  <c r="M194" i="13"/>
  <c r="M190" i="13"/>
  <c r="M186" i="13"/>
  <c r="M182" i="13"/>
  <c r="M178" i="13"/>
  <c r="M174" i="13"/>
  <c r="M170" i="13"/>
  <c r="M166" i="13"/>
  <c r="M161" i="13"/>
  <c r="L156" i="13"/>
  <c r="L41" i="13"/>
  <c r="L202" i="13"/>
  <c r="J202" i="13"/>
  <c r="K202" i="13"/>
  <c r="O202" i="13"/>
  <c r="L198" i="13"/>
  <c r="L194" i="13"/>
  <c r="L190" i="13"/>
  <c r="L186" i="13"/>
  <c r="L182" i="13"/>
  <c r="L178" i="13"/>
  <c r="L174" i="13"/>
  <c r="L170" i="13"/>
  <c r="L166" i="13"/>
  <c r="L161" i="13"/>
  <c r="L147" i="13"/>
  <c r="M204" i="13"/>
  <c r="M200" i="13"/>
  <c r="M196" i="13"/>
  <c r="M192" i="13"/>
  <c r="M188" i="13"/>
  <c r="M184" i="13"/>
  <c r="M180" i="13"/>
  <c r="M176" i="13"/>
  <c r="M172" i="13"/>
  <c r="M168" i="13"/>
  <c r="L164" i="13"/>
  <c r="L204" i="13"/>
  <c r="L200" i="13"/>
  <c r="L196" i="13"/>
  <c r="L192" i="13"/>
  <c r="L188" i="13"/>
  <c r="L184" i="13"/>
  <c r="L180" i="13"/>
  <c r="L176" i="13"/>
  <c r="L172" i="13"/>
  <c r="L168" i="13"/>
  <c r="J168" i="13"/>
  <c r="K168" i="13"/>
  <c r="O168" i="13"/>
  <c r="M158" i="13"/>
  <c r="L91" i="13"/>
  <c r="H87" i="19"/>
  <c r="J204" i="13"/>
  <c r="J200" i="13"/>
  <c r="J198" i="13"/>
  <c r="K198" i="13"/>
  <c r="O198" i="13"/>
  <c r="J196" i="13"/>
  <c r="J194" i="13"/>
  <c r="K194" i="13"/>
  <c r="O194" i="13"/>
  <c r="J192" i="13"/>
  <c r="J190" i="13"/>
  <c r="J188" i="13"/>
  <c r="J186" i="13"/>
  <c r="J184" i="13"/>
  <c r="J182" i="13"/>
  <c r="J180" i="13"/>
  <c r="J178" i="13"/>
  <c r="K178" i="13"/>
  <c r="J176" i="13"/>
  <c r="J174" i="13"/>
  <c r="J172" i="13"/>
  <c r="J170" i="13"/>
  <c r="J166" i="13"/>
  <c r="M163" i="13"/>
  <c r="L158" i="13"/>
  <c r="L155" i="13"/>
  <c r="L140" i="13"/>
  <c r="L136" i="13"/>
  <c r="L125" i="13"/>
  <c r="L105" i="13"/>
  <c r="L61" i="13"/>
  <c r="L163" i="13"/>
  <c r="M160" i="13"/>
  <c r="L150" i="13"/>
  <c r="M205" i="13"/>
  <c r="M203" i="13"/>
  <c r="M201" i="13"/>
  <c r="M199" i="13"/>
  <c r="M197" i="13"/>
  <c r="M195" i="13"/>
  <c r="M193" i="13"/>
  <c r="M191" i="13"/>
  <c r="M189" i="13"/>
  <c r="M187" i="13"/>
  <c r="M185" i="13"/>
  <c r="M183" i="13"/>
  <c r="M181" i="13"/>
  <c r="M179" i="13"/>
  <c r="M177" i="13"/>
  <c r="M175" i="13"/>
  <c r="M173" i="13"/>
  <c r="M171" i="13"/>
  <c r="M169" i="13"/>
  <c r="M167" i="13"/>
  <c r="M165" i="13"/>
  <c r="L160" i="13"/>
  <c r="M157" i="13"/>
  <c r="L154" i="13"/>
  <c r="L144" i="13"/>
  <c r="M139" i="13"/>
  <c r="L135" i="13"/>
  <c r="L129" i="13"/>
  <c r="L124" i="13"/>
  <c r="L110" i="13"/>
  <c r="L205" i="13"/>
  <c r="L203" i="13"/>
  <c r="L201" i="13"/>
  <c r="L199" i="13"/>
  <c r="L197" i="13"/>
  <c r="L195" i="13"/>
  <c r="L193" i="13"/>
  <c r="L191" i="13"/>
  <c r="L189" i="13"/>
  <c r="L187" i="13"/>
  <c r="L185" i="13"/>
  <c r="L183" i="13"/>
  <c r="L181" i="13"/>
  <c r="L179" i="13"/>
  <c r="L177" i="13"/>
  <c r="L175" i="13"/>
  <c r="L173" i="13"/>
  <c r="L171" i="13"/>
  <c r="L169" i="13"/>
  <c r="L167" i="13"/>
  <c r="L165" i="13"/>
  <c r="M162" i="13"/>
  <c r="L157" i="13"/>
  <c r="L149" i="13"/>
  <c r="L139" i="13"/>
  <c r="L21" i="13"/>
  <c r="M6" i="13"/>
  <c r="J205" i="13"/>
  <c r="J203" i="13"/>
  <c r="J201" i="13"/>
  <c r="J199" i="13"/>
  <c r="K199" i="13"/>
  <c r="O199" i="13"/>
  <c r="J197" i="13"/>
  <c r="J195" i="13"/>
  <c r="K195" i="13"/>
  <c r="O195" i="13"/>
  <c r="J193" i="13"/>
  <c r="J191" i="13"/>
  <c r="J189" i="13"/>
  <c r="J187" i="13"/>
  <c r="J185" i="13"/>
  <c r="J183" i="13"/>
  <c r="K183" i="13"/>
  <c r="J181" i="13"/>
  <c r="J179" i="13"/>
  <c r="K179" i="13"/>
  <c r="J177" i="13"/>
  <c r="J175" i="13"/>
  <c r="J173" i="13"/>
  <c r="J171" i="13"/>
  <c r="J169" i="13"/>
  <c r="J167" i="13"/>
  <c r="L162" i="13"/>
  <c r="M159" i="13"/>
  <c r="L153" i="13"/>
  <c r="L143" i="13"/>
  <c r="L134" i="13"/>
  <c r="L128" i="13"/>
  <c r="L80" i="13"/>
  <c r="L42" i="13"/>
  <c r="L9" i="13"/>
  <c r="M164" i="13"/>
  <c r="L159" i="13"/>
  <c r="M156" i="13"/>
  <c r="L138" i="13"/>
  <c r="H83" i="13"/>
  <c r="AI89" i="20"/>
  <c r="AF90" i="20"/>
  <c r="S90" i="20"/>
  <c r="R91" i="20"/>
  <c r="T89" i="20"/>
  <c r="X89" i="20"/>
  <c r="Y89" i="20"/>
  <c r="L4" i="27"/>
  <c r="AB195" i="27" s="1"/>
  <c r="H73" i="27"/>
  <c r="J48" i="27"/>
  <c r="H91" i="13"/>
  <c r="H89" i="13"/>
  <c r="H87" i="13"/>
  <c r="H86" i="19"/>
  <c r="D113" i="21"/>
  <c r="R85" i="21"/>
  <c r="S84" i="21"/>
  <c r="T84" i="21"/>
  <c r="X84" i="21"/>
  <c r="Y84" i="21"/>
  <c r="AI86" i="21"/>
  <c r="AF87" i="21"/>
  <c r="X169" i="26"/>
  <c r="H91" i="27"/>
  <c r="I77" i="27"/>
  <c r="H77" i="27"/>
  <c r="K77" i="27"/>
  <c r="J77" i="27"/>
  <c r="K83" i="27"/>
  <c r="H83" i="27"/>
  <c r="J83" i="27"/>
  <c r="L83" i="27"/>
  <c r="L202" i="19"/>
  <c r="J202" i="19"/>
  <c r="K202" i="19" s="1"/>
  <c r="L192" i="19"/>
  <c r="L178" i="19"/>
  <c r="L168" i="19"/>
  <c r="L156" i="19"/>
  <c r="L146" i="19"/>
  <c r="L136" i="19"/>
  <c r="L128" i="19"/>
  <c r="L118" i="19"/>
  <c r="L108" i="19"/>
  <c r="J204" i="19"/>
  <c r="K204" i="19" s="1"/>
  <c r="J200" i="19"/>
  <c r="K200" i="19" s="1"/>
  <c r="J198" i="19"/>
  <c r="J196" i="19"/>
  <c r="K196" i="19" s="1"/>
  <c r="J194" i="19"/>
  <c r="K194" i="19" s="1"/>
  <c r="J192" i="19"/>
  <c r="K192" i="19" s="1"/>
  <c r="J190" i="19"/>
  <c r="K190" i="19" s="1"/>
  <c r="J188" i="19"/>
  <c r="K188" i="19" s="1"/>
  <c r="J186" i="19"/>
  <c r="K186" i="19" s="1"/>
  <c r="J184" i="19"/>
  <c r="K184" i="19" s="1"/>
  <c r="J182" i="19"/>
  <c r="K182" i="19" s="1"/>
  <c r="J180" i="19"/>
  <c r="K180" i="19" s="1"/>
  <c r="J178" i="19"/>
  <c r="K178" i="19" s="1"/>
  <c r="J176" i="19"/>
  <c r="K176" i="19" s="1"/>
  <c r="J174" i="19"/>
  <c r="K174" i="19" s="1"/>
  <c r="J172" i="19"/>
  <c r="K172" i="19" s="1"/>
  <c r="J170" i="19"/>
  <c r="K170" i="19" s="1"/>
  <c r="J168" i="19"/>
  <c r="K168" i="19" s="1"/>
  <c r="J166" i="19"/>
  <c r="K166" i="19" s="1"/>
  <c r="J164" i="19"/>
  <c r="K164" i="19" s="1"/>
  <c r="J162" i="19"/>
  <c r="K162" i="19" s="1"/>
  <c r="J160" i="19"/>
  <c r="K160" i="19" s="1"/>
  <c r="J158" i="19"/>
  <c r="K158" i="19" s="1"/>
  <c r="J156" i="19"/>
  <c r="K156" i="19" s="1"/>
  <c r="J154" i="19"/>
  <c r="K154" i="19" s="1"/>
  <c r="J152" i="19"/>
  <c r="K152" i="19" s="1"/>
  <c r="J150" i="19"/>
  <c r="K150" i="19" s="1"/>
  <c r="J148" i="19"/>
  <c r="K148" i="19" s="1"/>
  <c r="J146" i="19"/>
  <c r="K146" i="19" s="1"/>
  <c r="J144" i="19"/>
  <c r="K144" i="19" s="1"/>
  <c r="J142" i="19"/>
  <c r="K142" i="19" s="1"/>
  <c r="J140" i="19"/>
  <c r="K140" i="19" s="1"/>
  <c r="J138" i="19"/>
  <c r="K138" i="19" s="1"/>
  <c r="J136" i="19"/>
  <c r="K136" i="19" s="1"/>
  <c r="J134" i="19"/>
  <c r="K134" i="19" s="1"/>
  <c r="J132" i="19"/>
  <c r="K132" i="19" s="1"/>
  <c r="J130" i="19"/>
  <c r="K130" i="19" s="1"/>
  <c r="J128" i="19"/>
  <c r="J126" i="19"/>
  <c r="J124" i="19"/>
  <c r="K124" i="19" s="1"/>
  <c r="J122" i="19"/>
  <c r="J120" i="19"/>
  <c r="K120" i="19" s="1"/>
  <c r="L120" i="19"/>
  <c r="J118" i="19"/>
  <c r="J116" i="19"/>
  <c r="K116" i="19" s="1"/>
  <c r="J114" i="19"/>
  <c r="K114" i="19" s="1"/>
  <c r="J112" i="19"/>
  <c r="K112" i="19" s="1"/>
  <c r="J110" i="19"/>
  <c r="J108" i="19"/>
  <c r="K108" i="19" s="1"/>
  <c r="O108" i="19" s="1"/>
  <c r="J106" i="19"/>
  <c r="J104" i="19"/>
  <c r="J102" i="19"/>
  <c r="K102" i="19" s="1"/>
  <c r="J100" i="19"/>
  <c r="K100" i="19" s="1"/>
  <c r="J98" i="19"/>
  <c r="K98" i="19" s="1"/>
  <c r="O98" i="19" s="1"/>
  <c r="J96" i="19"/>
  <c r="K96" i="19" s="1"/>
  <c r="M93" i="19"/>
  <c r="L88" i="19"/>
  <c r="L85" i="19"/>
  <c r="L186" i="19"/>
  <c r="L100" i="19"/>
  <c r="L93" i="19"/>
  <c r="M90" i="19"/>
  <c r="L81" i="19"/>
  <c r="L198" i="19"/>
  <c r="L184" i="19"/>
  <c r="L176" i="19"/>
  <c r="L166" i="19"/>
  <c r="L158" i="19"/>
  <c r="L150" i="19"/>
  <c r="L138" i="19"/>
  <c r="L130" i="19"/>
  <c r="L122" i="19"/>
  <c r="L114" i="19"/>
  <c r="L102" i="19"/>
  <c r="M205" i="19"/>
  <c r="M203" i="19"/>
  <c r="M201" i="19"/>
  <c r="M199" i="19"/>
  <c r="M197" i="19"/>
  <c r="M195" i="19"/>
  <c r="M193" i="19"/>
  <c r="M191" i="19"/>
  <c r="M189" i="19"/>
  <c r="M187" i="19"/>
  <c r="M185" i="19"/>
  <c r="M183" i="19"/>
  <c r="M181" i="19"/>
  <c r="M179" i="19"/>
  <c r="M177" i="19"/>
  <c r="M175" i="19"/>
  <c r="M173" i="19"/>
  <c r="M171" i="19"/>
  <c r="M169" i="19"/>
  <c r="M167" i="19"/>
  <c r="M165" i="19"/>
  <c r="M163" i="19"/>
  <c r="M161" i="19"/>
  <c r="M159" i="19"/>
  <c r="M157" i="19"/>
  <c r="M155" i="19"/>
  <c r="M153" i="19"/>
  <c r="M151" i="19"/>
  <c r="M149" i="19"/>
  <c r="M147" i="19"/>
  <c r="M145" i="19"/>
  <c r="M143" i="19"/>
  <c r="M141" i="19"/>
  <c r="M139" i="19"/>
  <c r="M137" i="19"/>
  <c r="M135" i="19"/>
  <c r="M133" i="19"/>
  <c r="M131" i="19"/>
  <c r="M129" i="19"/>
  <c r="M127" i="19"/>
  <c r="M125" i="19"/>
  <c r="M123" i="19"/>
  <c r="M121" i="19"/>
  <c r="M119" i="19"/>
  <c r="M117" i="19"/>
  <c r="M115" i="19"/>
  <c r="M113" i="19"/>
  <c r="M111" i="19"/>
  <c r="M109" i="19"/>
  <c r="M107" i="19"/>
  <c r="M105" i="19"/>
  <c r="M103" i="19"/>
  <c r="M101" i="19"/>
  <c r="M99" i="19"/>
  <c r="M97" i="19"/>
  <c r="M95" i="19"/>
  <c r="L90" i="19"/>
  <c r="M87" i="19"/>
  <c r="L84" i="19"/>
  <c r="L194" i="19"/>
  <c r="L144" i="19"/>
  <c r="L82" i="19"/>
  <c r="L205" i="19"/>
  <c r="L203" i="19"/>
  <c r="L201" i="19"/>
  <c r="L199" i="19"/>
  <c r="L197" i="19"/>
  <c r="J197" i="19"/>
  <c r="K197" i="19" s="1"/>
  <c r="L195" i="19"/>
  <c r="L193" i="19"/>
  <c r="L191" i="19"/>
  <c r="L189" i="19"/>
  <c r="L187" i="19"/>
  <c r="L185" i="19"/>
  <c r="L183" i="19"/>
  <c r="L181" i="19"/>
  <c r="J181" i="19"/>
  <c r="K181" i="19" s="1"/>
  <c r="L179" i="19"/>
  <c r="L177" i="19"/>
  <c r="L175" i="19"/>
  <c r="L173" i="19"/>
  <c r="L171" i="19"/>
  <c r="L169" i="19"/>
  <c r="L167" i="19"/>
  <c r="L165" i="19"/>
  <c r="L163" i="19"/>
  <c r="L161" i="19"/>
  <c r="L159" i="19"/>
  <c r="L157" i="19"/>
  <c r="L155" i="19"/>
  <c r="L153" i="19"/>
  <c r="L151" i="19"/>
  <c r="L149" i="19"/>
  <c r="J149" i="19"/>
  <c r="K149" i="19" s="1"/>
  <c r="L147" i="19"/>
  <c r="L145" i="19"/>
  <c r="L143" i="19"/>
  <c r="L141" i="19"/>
  <c r="L139" i="19"/>
  <c r="L137" i="19"/>
  <c r="L135" i="19"/>
  <c r="L133" i="19"/>
  <c r="L131" i="19"/>
  <c r="L129" i="19"/>
  <c r="L127" i="19"/>
  <c r="L125" i="19"/>
  <c r="L123" i="19"/>
  <c r="L121" i="19"/>
  <c r="L119" i="19"/>
  <c r="L117" i="19"/>
  <c r="L115" i="19"/>
  <c r="L113" i="19"/>
  <c r="L111" i="19"/>
  <c r="L109" i="19"/>
  <c r="L107" i="19"/>
  <c r="L105" i="19"/>
  <c r="L103" i="19"/>
  <c r="L101" i="19"/>
  <c r="L99" i="19"/>
  <c r="L97" i="19"/>
  <c r="L95" i="19"/>
  <c r="M92" i="19"/>
  <c r="L87" i="19"/>
  <c r="L80" i="19"/>
  <c r="M75" i="19"/>
  <c r="L204" i="19"/>
  <c r="L196" i="19"/>
  <c r="L188" i="19"/>
  <c r="L180" i="19"/>
  <c r="L172" i="19"/>
  <c r="L164" i="19"/>
  <c r="L160" i="19"/>
  <c r="L152" i="19"/>
  <c r="L142" i="19"/>
  <c r="L134" i="19"/>
  <c r="L126" i="19"/>
  <c r="L112" i="19"/>
  <c r="L106" i="19"/>
  <c r="L98" i="19"/>
  <c r="L91" i="19"/>
  <c r="L78" i="19"/>
  <c r="J205" i="19"/>
  <c r="K205" i="19"/>
  <c r="J203" i="19"/>
  <c r="K203" i="19" s="1"/>
  <c r="J201" i="19"/>
  <c r="K201" i="19" s="1"/>
  <c r="J199" i="19"/>
  <c r="K199" i="19" s="1"/>
  <c r="J195" i="19"/>
  <c r="K195" i="19" s="1"/>
  <c r="J193" i="19"/>
  <c r="K193" i="19" s="1"/>
  <c r="J191" i="19"/>
  <c r="K191" i="19" s="1"/>
  <c r="J189" i="19"/>
  <c r="K189" i="19" s="1"/>
  <c r="J187" i="19"/>
  <c r="K187" i="19" s="1"/>
  <c r="O187" i="19" s="1"/>
  <c r="J185" i="19"/>
  <c r="K185" i="19" s="1"/>
  <c r="J183" i="19"/>
  <c r="K183" i="19" s="1"/>
  <c r="J179" i="19"/>
  <c r="K179" i="19" s="1"/>
  <c r="J177" i="19"/>
  <c r="K177" i="19" s="1"/>
  <c r="J175" i="19"/>
  <c r="K175" i="19" s="1"/>
  <c r="J173" i="19"/>
  <c r="K173" i="19" s="1"/>
  <c r="J171" i="19"/>
  <c r="K171" i="19" s="1"/>
  <c r="J169" i="19"/>
  <c r="K169" i="19" s="1"/>
  <c r="J167" i="19"/>
  <c r="K167" i="19" s="1"/>
  <c r="J165" i="19"/>
  <c r="K165" i="19" s="1"/>
  <c r="O165" i="19" s="1"/>
  <c r="J163" i="19"/>
  <c r="K163" i="19" s="1"/>
  <c r="J161" i="19"/>
  <c r="K161" i="19" s="1"/>
  <c r="J159" i="19"/>
  <c r="K159" i="19" s="1"/>
  <c r="J157" i="19"/>
  <c r="K157" i="19" s="1"/>
  <c r="J155" i="19"/>
  <c r="K155" i="19" s="1"/>
  <c r="J153" i="19"/>
  <c r="K153" i="19" s="1"/>
  <c r="O153" i="19" s="1"/>
  <c r="J151" i="19"/>
  <c r="K151" i="19" s="1"/>
  <c r="J147" i="19"/>
  <c r="K147" i="19" s="1"/>
  <c r="J145" i="19"/>
  <c r="K145" i="19" s="1"/>
  <c r="J143" i="19"/>
  <c r="K143" i="19" s="1"/>
  <c r="J141" i="19"/>
  <c r="K141" i="19" s="1"/>
  <c r="J139" i="19"/>
  <c r="K139" i="19" s="1"/>
  <c r="J137" i="19"/>
  <c r="K137" i="19" s="1"/>
  <c r="J135" i="19"/>
  <c r="K135" i="19" s="1"/>
  <c r="O135" i="19" s="1"/>
  <c r="J133" i="19"/>
  <c r="J131" i="19"/>
  <c r="K131" i="19" s="1"/>
  <c r="J129" i="19"/>
  <c r="J127" i="19"/>
  <c r="K127" i="19" s="1"/>
  <c r="J125" i="19"/>
  <c r="K125" i="19" s="1"/>
  <c r="J123" i="19"/>
  <c r="K123" i="19" s="1"/>
  <c r="J121" i="19"/>
  <c r="K121" i="19" s="1"/>
  <c r="J119" i="19"/>
  <c r="K119" i="19" s="1"/>
  <c r="J117" i="19"/>
  <c r="J115" i="19"/>
  <c r="K115" i="19" s="1"/>
  <c r="O115" i="19" s="1"/>
  <c r="J113" i="19"/>
  <c r="J111" i="19"/>
  <c r="K111" i="19" s="1"/>
  <c r="O111" i="19" s="1"/>
  <c r="J109" i="19"/>
  <c r="K109" i="19" s="1"/>
  <c r="J107" i="19"/>
  <c r="K107" i="19"/>
  <c r="J105" i="19"/>
  <c r="K105" i="19" s="1"/>
  <c r="J103" i="19"/>
  <c r="K103" i="19" s="1"/>
  <c r="J101" i="19"/>
  <c r="J99" i="19"/>
  <c r="K99" i="19" s="1"/>
  <c r="J97" i="19"/>
  <c r="L92" i="19"/>
  <c r="M89" i="19"/>
  <c r="M83" i="19"/>
  <c r="L200" i="19"/>
  <c r="L190" i="19"/>
  <c r="L182" i="19"/>
  <c r="L174" i="19"/>
  <c r="L170" i="19"/>
  <c r="L162" i="19"/>
  <c r="L154" i="19"/>
  <c r="L148" i="19"/>
  <c r="L140" i="19"/>
  <c r="L132" i="19"/>
  <c r="L124" i="19"/>
  <c r="L116" i="19"/>
  <c r="L110" i="19"/>
  <c r="L104" i="19"/>
  <c r="L96" i="19"/>
  <c r="M88" i="19"/>
  <c r="L72" i="19"/>
  <c r="M94" i="19"/>
  <c r="L89" i="19"/>
  <c r="M86" i="19"/>
  <c r="L83" i="19"/>
  <c r="L79" i="19"/>
  <c r="M67" i="19"/>
  <c r="L12" i="19"/>
  <c r="H85" i="13"/>
  <c r="G27" i="13"/>
  <c r="L74" i="19"/>
  <c r="L70" i="19"/>
  <c r="L77" i="19"/>
  <c r="L58" i="19"/>
  <c r="L73" i="19"/>
  <c r="L69" i="19"/>
  <c r="L7" i="19"/>
  <c r="L76" i="19"/>
  <c r="L75" i="19"/>
  <c r="L71" i="19"/>
  <c r="L67" i="19"/>
  <c r="L55" i="19"/>
  <c r="L43" i="19"/>
  <c r="L68" i="19"/>
  <c r="L27" i="19"/>
  <c r="L23" i="19"/>
  <c r="L34" i="19"/>
  <c r="L30" i="19"/>
  <c r="L44" i="19"/>
  <c r="L33" i="19"/>
  <c r="L66" i="19"/>
  <c r="L47" i="19"/>
  <c r="M43" i="19"/>
  <c r="L61" i="19"/>
  <c r="L50" i="19"/>
  <c r="U83" i="19"/>
  <c r="U75" i="19"/>
  <c r="U67" i="19"/>
  <c r="U42" i="19"/>
  <c r="U10" i="19"/>
  <c r="U79" i="19"/>
  <c r="U71" i="19"/>
  <c r="U58" i="19"/>
  <c r="U26" i="19"/>
  <c r="U78" i="19"/>
  <c r="U70" i="19"/>
  <c r="U54" i="19"/>
  <c r="U22" i="19"/>
  <c r="U85" i="19"/>
  <c r="U77" i="19"/>
  <c r="U69" i="19"/>
  <c r="U50" i="19"/>
  <c r="U18" i="19"/>
  <c r="U84" i="19"/>
  <c r="U76" i="19"/>
  <c r="U68" i="19"/>
  <c r="U46" i="19"/>
  <c r="U14" i="19"/>
  <c r="M80" i="19"/>
  <c r="M72" i="19"/>
  <c r="M48" i="19"/>
  <c r="V85" i="19"/>
  <c r="V81" i="19"/>
  <c r="V77" i="19"/>
  <c r="V73" i="19"/>
  <c r="V69" i="19"/>
  <c r="V65" i="19"/>
  <c r="V61" i="19"/>
  <c r="V57" i="19"/>
  <c r="V53" i="19"/>
  <c r="V49" i="19"/>
  <c r="V45" i="19"/>
  <c r="V41" i="19"/>
  <c r="V37" i="19"/>
  <c r="V33" i="19"/>
  <c r="V29" i="19"/>
  <c r="V25" i="19"/>
  <c r="V21" i="19"/>
  <c r="V17" i="19"/>
  <c r="V13" i="19"/>
  <c r="V9" i="19"/>
  <c r="U6" i="19"/>
  <c r="M85" i="19"/>
  <c r="M77" i="19"/>
  <c r="M69" i="19"/>
  <c r="M45" i="19"/>
  <c r="U61" i="19"/>
  <c r="U57" i="19"/>
  <c r="U53" i="19"/>
  <c r="U49" i="19"/>
  <c r="U45" i="19"/>
  <c r="U41" i="19"/>
  <c r="U37" i="19"/>
  <c r="U33" i="19"/>
  <c r="U29" i="19"/>
  <c r="U25" i="19"/>
  <c r="U21" i="19"/>
  <c r="U17" i="19"/>
  <c r="U13" i="19"/>
  <c r="U9" i="19"/>
  <c r="M82" i="19"/>
  <c r="M74" i="19"/>
  <c r="M66" i="19"/>
  <c r="M42" i="19"/>
  <c r="V84" i="19"/>
  <c r="V80" i="19"/>
  <c r="V76" i="19"/>
  <c r="V72" i="19"/>
  <c r="V68" i="19"/>
  <c r="V64" i="19"/>
  <c r="V60" i="19"/>
  <c r="V56" i="19"/>
  <c r="V52" i="19"/>
  <c r="V48" i="19"/>
  <c r="V44" i="19"/>
  <c r="V40" i="19"/>
  <c r="V36" i="19"/>
  <c r="V32" i="19"/>
  <c r="V28" i="19"/>
  <c r="V24" i="19"/>
  <c r="V20" i="19"/>
  <c r="V16" i="19"/>
  <c r="V12" i="19"/>
  <c r="V8" i="19"/>
  <c r="M79" i="19"/>
  <c r="M71" i="19"/>
  <c r="M31" i="19"/>
  <c r="U64" i="19"/>
  <c r="U60" i="19"/>
  <c r="U56" i="19"/>
  <c r="U52" i="19"/>
  <c r="U48" i="19"/>
  <c r="U44" i="19"/>
  <c r="U40" i="19"/>
  <c r="U36" i="19"/>
  <c r="U32" i="19"/>
  <c r="U28" i="19"/>
  <c r="U24" i="19"/>
  <c r="U20" i="19"/>
  <c r="U16" i="19"/>
  <c r="U12" i="19"/>
  <c r="U8" i="19"/>
  <c r="V5" i="19"/>
  <c r="M84" i="19"/>
  <c r="M76" i="19"/>
  <c r="M68" i="19"/>
  <c r="M52" i="19"/>
  <c r="V83" i="19"/>
  <c r="V79" i="19"/>
  <c r="V75" i="19"/>
  <c r="V71" i="19"/>
  <c r="V67" i="19"/>
  <c r="V63" i="19"/>
  <c r="V59" i="19"/>
  <c r="V55" i="19"/>
  <c r="V51" i="19"/>
  <c r="V47" i="19"/>
  <c r="V43" i="19"/>
  <c r="V39" i="19"/>
  <c r="V35" i="19"/>
  <c r="V31" i="19"/>
  <c r="V27" i="19"/>
  <c r="V23" i="19"/>
  <c r="V19" i="19"/>
  <c r="V15" i="19"/>
  <c r="V11" i="19"/>
  <c r="V7" i="19"/>
  <c r="M81" i="19"/>
  <c r="M73" i="19"/>
  <c r="M33" i="19"/>
  <c r="U63" i="19"/>
  <c r="U59" i="19"/>
  <c r="U55" i="19"/>
  <c r="U51" i="19"/>
  <c r="U47" i="19"/>
  <c r="U43" i="19"/>
  <c r="U39" i="19"/>
  <c r="U35" i="19"/>
  <c r="U31" i="19"/>
  <c r="U27" i="19"/>
  <c r="U23" i="19"/>
  <c r="U19" i="19"/>
  <c r="U15" i="19"/>
  <c r="U11" i="19"/>
  <c r="M78" i="19"/>
  <c r="M70" i="19"/>
  <c r="M30" i="19"/>
  <c r="V82" i="19"/>
  <c r="V78" i="19"/>
  <c r="V74" i="19"/>
  <c r="V70" i="19"/>
  <c r="V66" i="19"/>
  <c r="V62" i="19"/>
  <c r="V58" i="19"/>
  <c r="V54" i="19"/>
  <c r="V50" i="19"/>
  <c r="V46" i="19"/>
  <c r="V42" i="19"/>
  <c r="V38" i="19"/>
  <c r="V34" i="19"/>
  <c r="V30" i="19"/>
  <c r="V26" i="19"/>
  <c r="V22" i="19"/>
  <c r="V18" i="19"/>
  <c r="V14" i="19"/>
  <c r="V10" i="19"/>
  <c r="U73" i="18"/>
  <c r="V70" i="18"/>
  <c r="U65" i="18"/>
  <c r="U61" i="18"/>
  <c r="V52" i="18"/>
  <c r="U42" i="18"/>
  <c r="U31" i="18"/>
  <c r="V20" i="18"/>
  <c r="U10" i="18"/>
  <c r="V75" i="18"/>
  <c r="U70" i="18"/>
  <c r="V67" i="18"/>
  <c r="V64" i="18"/>
  <c r="V60" i="18"/>
  <c r="U51" i="18"/>
  <c r="V40" i="18"/>
  <c r="U30" i="18"/>
  <c r="U19" i="18"/>
  <c r="V8" i="18"/>
  <c r="V74" i="18"/>
  <c r="U69" i="18"/>
  <c r="V66" i="18"/>
  <c r="U63" i="18"/>
  <c r="U58" i="18"/>
  <c r="U47" i="18"/>
  <c r="V36" i="18"/>
  <c r="U26" i="18"/>
  <c r="U15" i="18"/>
  <c r="U71" i="18"/>
  <c r="V68" i="18"/>
  <c r="U62" i="18"/>
  <c r="U55" i="18"/>
  <c r="V44" i="18"/>
  <c r="U34" i="18"/>
  <c r="U23" i="18"/>
  <c r="V12" i="18"/>
  <c r="V73" i="18"/>
  <c r="U68" i="18"/>
  <c r="V65" i="18"/>
  <c r="V61" i="18"/>
  <c r="U54" i="18"/>
  <c r="U43" i="18"/>
  <c r="V32" i="18"/>
  <c r="U22" i="18"/>
  <c r="U11" i="18"/>
  <c r="V58" i="18"/>
  <c r="V54" i="18"/>
  <c r="V50" i="18"/>
  <c r="V46" i="18"/>
  <c r="V42" i="18"/>
  <c r="V38" i="18"/>
  <c r="V34" i="18"/>
  <c r="V30" i="18"/>
  <c r="V26" i="18"/>
  <c r="V22" i="18"/>
  <c r="V18" i="18"/>
  <c r="V14" i="18"/>
  <c r="V10" i="18"/>
  <c r="V6" i="18"/>
  <c r="V57" i="18"/>
  <c r="V53" i="18"/>
  <c r="V49" i="18"/>
  <c r="V45" i="18"/>
  <c r="V41" i="18"/>
  <c r="V37" i="18"/>
  <c r="V33" i="18"/>
  <c r="V29" i="18"/>
  <c r="V25" i="18"/>
  <c r="V21" i="18"/>
  <c r="V17" i="18"/>
  <c r="V13" i="18"/>
  <c r="V9" i="18"/>
  <c r="U6" i="18"/>
  <c r="U57" i="18"/>
  <c r="U53" i="18"/>
  <c r="U49" i="18"/>
  <c r="U45" i="18"/>
  <c r="U41" i="18"/>
  <c r="U37" i="18"/>
  <c r="U33" i="18"/>
  <c r="U29" i="18"/>
  <c r="U25" i="18"/>
  <c r="U21" i="18"/>
  <c r="U17" i="18"/>
  <c r="U13" i="18"/>
  <c r="U9" i="18"/>
  <c r="U60" i="18"/>
  <c r="U56" i="18"/>
  <c r="U52" i="18"/>
  <c r="U48" i="18"/>
  <c r="U44" i="18"/>
  <c r="U40" i="18"/>
  <c r="U36" i="18"/>
  <c r="U32" i="18"/>
  <c r="U28" i="18"/>
  <c r="U24" i="18"/>
  <c r="U20" i="18"/>
  <c r="U16" i="18"/>
  <c r="U12" i="18"/>
  <c r="V55" i="18"/>
  <c r="V51" i="18"/>
  <c r="V47" i="18"/>
  <c r="V43" i="18"/>
  <c r="V39" i="18"/>
  <c r="V35" i="18"/>
  <c r="V31" i="18"/>
  <c r="V27" i="18"/>
  <c r="V23" i="18"/>
  <c r="V19" i="18"/>
  <c r="V15" i="18"/>
  <c r="V11" i="18"/>
  <c r="L116" i="13"/>
  <c r="L72" i="13"/>
  <c r="L46" i="13"/>
  <c r="L90" i="13"/>
  <c r="L52" i="13"/>
  <c r="L25" i="13"/>
  <c r="L101" i="13"/>
  <c r="L95" i="13"/>
  <c r="L76" i="13"/>
  <c r="L71" i="13"/>
  <c r="L57" i="13"/>
  <c r="L100" i="13"/>
  <c r="M75" i="13"/>
  <c r="L56" i="13"/>
  <c r="L37" i="13"/>
  <c r="K205" i="13"/>
  <c r="K201" i="13"/>
  <c r="O201" i="13"/>
  <c r="K197" i="13"/>
  <c r="K193" i="13"/>
  <c r="K189" i="13"/>
  <c r="K187" i="13"/>
  <c r="O187" i="13"/>
  <c r="K185" i="13"/>
  <c r="O185" i="13"/>
  <c r="K181" i="13"/>
  <c r="K177" i="13"/>
  <c r="K173" i="13"/>
  <c r="K171" i="13"/>
  <c r="O171" i="13"/>
  <c r="K169" i="13"/>
  <c r="O169" i="13"/>
  <c r="L119" i="13"/>
  <c r="L114" i="13"/>
  <c r="L109" i="13"/>
  <c r="L104" i="13"/>
  <c r="L85" i="13"/>
  <c r="L75" i="13"/>
  <c r="L65" i="13"/>
  <c r="L60" i="13"/>
  <c r="L36" i="13"/>
  <c r="L123" i="13"/>
  <c r="L99" i="13"/>
  <c r="L94" i="13"/>
  <c r="L89" i="13"/>
  <c r="L79" i="13"/>
  <c r="L70" i="13"/>
  <c r="L55" i="13"/>
  <c r="L50" i="13"/>
  <c r="L45" i="13"/>
  <c r="L40" i="13"/>
  <c r="L24" i="13"/>
  <c r="L113" i="13"/>
  <c r="L74" i="13"/>
  <c r="L64" i="13"/>
  <c r="L59" i="13"/>
  <c r="L35" i="13"/>
  <c r="L29" i="13"/>
  <c r="L132" i="13"/>
  <c r="L117" i="13"/>
  <c r="L102" i="13"/>
  <c r="L98" i="13"/>
  <c r="L83" i="13"/>
  <c r="L49" i="13"/>
  <c r="K204" i="13"/>
  <c r="K200" i="13"/>
  <c r="O200" i="13"/>
  <c r="K196" i="13"/>
  <c r="K192" i="13"/>
  <c r="K188" i="13"/>
  <c r="K184" i="13"/>
  <c r="K182" i="13"/>
  <c r="K180" i="13"/>
  <c r="K176" i="13"/>
  <c r="O176" i="13"/>
  <c r="K174" i="13"/>
  <c r="K172" i="13"/>
  <c r="K170" i="13"/>
  <c r="L121" i="13"/>
  <c r="L106" i="13"/>
  <c r="L87" i="13"/>
  <c r="L68" i="13"/>
  <c r="L53" i="13"/>
  <c r="L38" i="13"/>
  <c r="L34" i="13"/>
  <c r="L15" i="13"/>
  <c r="V152" i="13"/>
  <c r="V148" i="13"/>
  <c r="U143" i="13"/>
  <c r="U138" i="13"/>
  <c r="U122" i="13"/>
  <c r="U106" i="13"/>
  <c r="U90" i="13"/>
  <c r="V69" i="13"/>
  <c r="V155" i="13"/>
  <c r="V151" i="13"/>
  <c r="U147" i="13"/>
  <c r="U142" i="13"/>
  <c r="U134" i="13"/>
  <c r="U118" i="13"/>
  <c r="U102" i="13"/>
  <c r="V85" i="13"/>
  <c r="V63" i="13"/>
  <c r="U155" i="13"/>
  <c r="U151" i="13"/>
  <c r="V146" i="13"/>
  <c r="V141" i="13"/>
  <c r="U131" i="13"/>
  <c r="U115" i="13"/>
  <c r="U99" i="13"/>
  <c r="V81" i="13"/>
  <c r="U59" i="13"/>
  <c r="V154" i="13"/>
  <c r="V150" i="13"/>
  <c r="U146" i="13"/>
  <c r="V140" i="13"/>
  <c r="U130" i="13"/>
  <c r="U114" i="13"/>
  <c r="U98" i="13"/>
  <c r="V80" i="13"/>
  <c r="U57" i="13"/>
  <c r="U154" i="13"/>
  <c r="U150" i="13"/>
  <c r="V145" i="13"/>
  <c r="V139" i="13"/>
  <c r="U127" i="13"/>
  <c r="U111" i="13"/>
  <c r="U95" i="13"/>
  <c r="V76" i="13"/>
  <c r="V44" i="13"/>
  <c r="V135" i="13"/>
  <c r="V131" i="13"/>
  <c r="V127" i="13"/>
  <c r="V123" i="13"/>
  <c r="V119" i="13"/>
  <c r="V115" i="13"/>
  <c r="V111" i="13"/>
  <c r="V107" i="13"/>
  <c r="V103" i="13"/>
  <c r="V99" i="13"/>
  <c r="V95" i="13"/>
  <c r="V91" i="13"/>
  <c r="V87" i="13"/>
  <c r="U83" i="13"/>
  <c r="U77" i="13"/>
  <c r="U72" i="13"/>
  <c r="V65" i="13"/>
  <c r="V59" i="13"/>
  <c r="U45" i="13"/>
  <c r="U14" i="13"/>
  <c r="V134" i="13"/>
  <c r="V130" i="13"/>
  <c r="V126" i="13"/>
  <c r="V122" i="13"/>
  <c r="V118" i="13"/>
  <c r="V114" i="13"/>
  <c r="V110" i="13"/>
  <c r="V106" i="13"/>
  <c r="V102" i="13"/>
  <c r="V98" i="13"/>
  <c r="V94" i="13"/>
  <c r="V90" i="13"/>
  <c r="V86" i="13"/>
  <c r="U81" i="13"/>
  <c r="U76" i="13"/>
  <c r="U71" i="13"/>
  <c r="V64" i="13"/>
  <c r="V57" i="13"/>
  <c r="U38" i="13"/>
  <c r="V137" i="13"/>
  <c r="V133" i="13"/>
  <c r="V129" i="13"/>
  <c r="V125" i="13"/>
  <c r="V121" i="13"/>
  <c r="V117" i="13"/>
  <c r="V113" i="13"/>
  <c r="V109" i="13"/>
  <c r="V105" i="13"/>
  <c r="V101" i="13"/>
  <c r="V97" i="13"/>
  <c r="V93" i="13"/>
  <c r="V89" i="13"/>
  <c r="U85" i="13"/>
  <c r="U80" i="13"/>
  <c r="U75" i="13"/>
  <c r="U69" i="13"/>
  <c r="U63" i="13"/>
  <c r="V56" i="13"/>
  <c r="V28" i="13"/>
  <c r="U145" i="13"/>
  <c r="U141" i="13"/>
  <c r="U137" i="13"/>
  <c r="U133" i="13"/>
  <c r="U129" i="13"/>
  <c r="U125" i="13"/>
  <c r="U121" i="13"/>
  <c r="U117" i="13"/>
  <c r="U113" i="13"/>
  <c r="U109" i="13"/>
  <c r="U105" i="13"/>
  <c r="U101" i="13"/>
  <c r="U97" i="13"/>
  <c r="U93" i="13"/>
  <c r="U89" i="13"/>
  <c r="V84" i="13"/>
  <c r="V79" i="13"/>
  <c r="V73" i="13"/>
  <c r="V68" i="13"/>
  <c r="V61" i="13"/>
  <c r="U54" i="13"/>
  <c r="V27" i="13"/>
  <c r="V136" i="13"/>
  <c r="V132" i="13"/>
  <c r="V128" i="13"/>
  <c r="V124" i="13"/>
  <c r="V120" i="13"/>
  <c r="V116" i="13"/>
  <c r="V112" i="13"/>
  <c r="V108" i="13"/>
  <c r="V104" i="13"/>
  <c r="V100" i="13"/>
  <c r="V96" i="13"/>
  <c r="V92" i="13"/>
  <c r="V88" i="13"/>
  <c r="U84" i="13"/>
  <c r="U79" i="13"/>
  <c r="U73" i="13"/>
  <c r="V67" i="13"/>
  <c r="U61" i="13"/>
  <c r="U53" i="13"/>
  <c r="U22" i="13"/>
  <c r="U148" i="13"/>
  <c r="U144" i="13"/>
  <c r="U140" i="13"/>
  <c r="U136" i="13"/>
  <c r="U132" i="13"/>
  <c r="U128" i="13"/>
  <c r="U124" i="13"/>
  <c r="U120" i="13"/>
  <c r="U116" i="13"/>
  <c r="U112" i="13"/>
  <c r="U108" i="13"/>
  <c r="U104" i="13"/>
  <c r="U100" i="13"/>
  <c r="U96" i="13"/>
  <c r="U92" i="13"/>
  <c r="U88" i="13"/>
  <c r="V83" i="13"/>
  <c r="V77" i="13"/>
  <c r="V72" i="13"/>
  <c r="U67" i="13"/>
  <c r="V60" i="13"/>
  <c r="U46" i="13"/>
  <c r="V19" i="13"/>
  <c r="G46" i="13"/>
  <c r="B51" i="27"/>
  <c r="K51" i="27"/>
  <c r="AE72" i="18"/>
  <c r="AD71" i="18"/>
  <c r="AC74" i="18"/>
  <c r="AC70" i="18"/>
  <c r="AB66" i="18"/>
  <c r="AE71" i="18"/>
  <c r="AD70" i="18"/>
  <c r="AB74" i="18"/>
  <c r="AC69" i="18"/>
  <c r="AE68" i="18"/>
  <c r="AD75" i="18"/>
  <c r="AD67" i="18"/>
  <c r="AC72" i="18"/>
  <c r="AM75" i="18"/>
  <c r="AN74" i="18"/>
  <c r="AO73" i="18"/>
  <c r="AP72" i="18"/>
  <c r="AL71" i="18"/>
  <c r="AM74" i="18"/>
  <c r="AN73" i="18"/>
  <c r="AO72" i="18"/>
  <c r="AP71" i="18"/>
  <c r="AP75" i="18"/>
  <c r="AO74" i="18"/>
  <c r="AL74" i="18"/>
  <c r="AM73" i="18"/>
  <c r="AN72" i="18"/>
  <c r="AO71" i="18"/>
  <c r="AN75" i="18"/>
  <c r="AL73" i="18"/>
  <c r="AM72" i="18"/>
  <c r="AN71" i="18"/>
  <c r="AL72" i="18"/>
  <c r="AM71" i="18"/>
  <c r="AO75" i="18"/>
  <c r="AP74" i="18"/>
  <c r="AP73" i="18"/>
  <c r="AE75" i="18"/>
  <c r="AE67" i="18"/>
  <c r="AD74" i="18"/>
  <c r="AD66" i="18"/>
  <c r="AB72" i="18"/>
  <c r="AC67" i="18"/>
  <c r="AE74" i="18"/>
  <c r="AE66" i="18"/>
  <c r="AD73" i="18"/>
  <c r="AC75" i="18"/>
  <c r="AC71" i="18"/>
  <c r="AB67" i="18"/>
  <c r="AE73" i="18"/>
  <c r="AD72" i="18"/>
  <c r="AB71" i="18"/>
  <c r="AC66" i="18"/>
  <c r="E42" i="27"/>
  <c r="AT35" i="26"/>
  <c r="AS26" i="26"/>
  <c r="AS29" i="26"/>
  <c r="AD23" i="26"/>
  <c r="AE29" i="26"/>
  <c r="AE26" i="26"/>
  <c r="E91" i="27"/>
  <c r="AE23" i="26"/>
  <c r="E88" i="27"/>
  <c r="AE35" i="26"/>
  <c r="AO35" i="26"/>
  <c r="AS35" i="26"/>
  <c r="AD35" i="26"/>
  <c r="H85" i="26"/>
  <c r="X164" i="26"/>
  <c r="AL75" i="18"/>
  <c r="AL68" i="18"/>
  <c r="AM67" i="18"/>
  <c r="AN66" i="18"/>
  <c r="AL67" i="18"/>
  <c r="AM66" i="18"/>
  <c r="AP70" i="18"/>
  <c r="AL66" i="18"/>
  <c r="AO70" i="18"/>
  <c r="AP69" i="18"/>
  <c r="AN70" i="18"/>
  <c r="AO69" i="18"/>
  <c r="AP68" i="18"/>
  <c r="AM70" i="18"/>
  <c r="AN69" i="18"/>
  <c r="AO68" i="18"/>
  <c r="AP67" i="18"/>
  <c r="AM69" i="18"/>
  <c r="AN68" i="18"/>
  <c r="AO67" i="18"/>
  <c r="AP66" i="18"/>
  <c r="AL69" i="18"/>
  <c r="AM68" i="18"/>
  <c r="AN67" i="18"/>
  <c r="AO66" i="18"/>
  <c r="M5" i="18"/>
  <c r="L19" i="18"/>
  <c r="L6" i="18"/>
  <c r="M203" i="18"/>
  <c r="M199" i="18"/>
  <c r="M86" i="18"/>
  <c r="L81" i="18"/>
  <c r="M70" i="18"/>
  <c r="L65" i="18"/>
  <c r="M52" i="18"/>
  <c r="L33" i="18"/>
  <c r="L202" i="18"/>
  <c r="L198" i="18"/>
  <c r="M90" i="18"/>
  <c r="L85" i="18"/>
  <c r="M74" i="18"/>
  <c r="L69" i="18"/>
  <c r="L57" i="18"/>
  <c r="M44" i="18"/>
  <c r="M205" i="18"/>
  <c r="M201" i="18"/>
  <c r="M197" i="18"/>
  <c r="M94" i="18"/>
  <c r="L89" i="18"/>
  <c r="M78" i="18"/>
  <c r="L73" i="18"/>
  <c r="L49" i="18"/>
  <c r="M36" i="18"/>
  <c r="L204" i="18"/>
  <c r="L200" i="18"/>
  <c r="L93" i="18"/>
  <c r="M82" i="18"/>
  <c r="L77" i="18"/>
  <c r="M66" i="18"/>
  <c r="M60" i="18"/>
  <c r="L41" i="18"/>
  <c r="L12" i="18"/>
  <c r="H105" i="27"/>
  <c r="I103" i="27"/>
  <c r="K114" i="27"/>
  <c r="K112" i="27"/>
  <c r="K110" i="27"/>
  <c r="K108" i="27"/>
  <c r="K106" i="27"/>
  <c r="K104" i="27"/>
  <c r="H103" i="27"/>
  <c r="J114" i="27"/>
  <c r="J112" i="27"/>
  <c r="J110" i="27"/>
  <c r="J108" i="27"/>
  <c r="J106" i="27"/>
  <c r="J104" i="27"/>
  <c r="I114" i="27"/>
  <c r="I112" i="27"/>
  <c r="I110" i="27"/>
  <c r="I108" i="27"/>
  <c r="I106" i="27"/>
  <c r="I104" i="27"/>
  <c r="H114" i="27"/>
  <c r="H112" i="27"/>
  <c r="H110" i="27"/>
  <c r="H108" i="27"/>
  <c r="H106" i="27"/>
  <c r="H104" i="27"/>
  <c r="K115" i="27"/>
  <c r="K113" i="27"/>
  <c r="K111" i="27"/>
  <c r="K109" i="27"/>
  <c r="K107" i="27"/>
  <c r="K105" i="27"/>
  <c r="J115" i="27"/>
  <c r="J113" i="27"/>
  <c r="J111" i="27"/>
  <c r="J109" i="27"/>
  <c r="J107" i="27"/>
  <c r="J105" i="27"/>
  <c r="K103" i="27"/>
  <c r="I115" i="27"/>
  <c r="I113" i="27"/>
  <c r="I111" i="27"/>
  <c r="I109" i="27"/>
  <c r="I107" i="27"/>
  <c r="I105" i="27"/>
  <c r="J103" i="27"/>
  <c r="H115" i="27"/>
  <c r="H113" i="27"/>
  <c r="H111" i="27"/>
  <c r="H109" i="27"/>
  <c r="H107" i="27"/>
  <c r="AT26" i="26"/>
  <c r="AQ26" i="26"/>
  <c r="AQ35" i="26"/>
  <c r="AR26" i="26"/>
  <c r="AR35" i="26"/>
  <c r="AQ29" i="26"/>
  <c r="J204" i="26"/>
  <c r="K204" i="26"/>
  <c r="J202" i="26"/>
  <c r="K202" i="26"/>
  <c r="J200" i="26"/>
  <c r="K200" i="26"/>
  <c r="J198" i="26"/>
  <c r="K198" i="26"/>
  <c r="J196" i="26"/>
  <c r="K196" i="26"/>
  <c r="J194" i="26"/>
  <c r="K194" i="26"/>
  <c r="J192" i="26"/>
  <c r="K192" i="26"/>
  <c r="J190" i="26"/>
  <c r="K190" i="26"/>
  <c r="J188" i="26"/>
  <c r="K188" i="26"/>
  <c r="J186" i="26"/>
  <c r="K186" i="26"/>
  <c r="J184" i="26"/>
  <c r="K184" i="26"/>
  <c r="L182" i="26"/>
  <c r="L180" i="26"/>
  <c r="L178" i="26"/>
  <c r="L176" i="26"/>
  <c r="M174" i="26"/>
  <c r="M172" i="26"/>
  <c r="M170" i="26"/>
  <c r="M168" i="26"/>
  <c r="M166" i="26"/>
  <c r="M164" i="26"/>
  <c r="M162" i="26"/>
  <c r="M160" i="26"/>
  <c r="M158" i="26"/>
  <c r="M156" i="26"/>
  <c r="M154" i="26"/>
  <c r="M152" i="26"/>
  <c r="L99" i="26"/>
  <c r="L97" i="26"/>
  <c r="L95" i="26"/>
  <c r="L93" i="26"/>
  <c r="L91" i="26"/>
  <c r="L89" i="26"/>
  <c r="L87" i="26"/>
  <c r="L85" i="26"/>
  <c r="L83" i="26"/>
  <c r="L81" i="26"/>
  <c r="L79" i="26"/>
  <c r="L77" i="26"/>
  <c r="L75" i="26"/>
  <c r="L73" i="26"/>
  <c r="L71" i="26"/>
  <c r="L69" i="26"/>
  <c r="L67" i="26"/>
  <c r="L65" i="26"/>
  <c r="M62" i="26"/>
  <c r="L57" i="26"/>
  <c r="M54" i="26"/>
  <c r="L49" i="26"/>
  <c r="M46" i="26"/>
  <c r="L41" i="26"/>
  <c r="M38" i="26"/>
  <c r="L33" i="26"/>
  <c r="M30" i="26"/>
  <c r="L25" i="26"/>
  <c r="M22" i="26"/>
  <c r="L17" i="26"/>
  <c r="M14" i="26"/>
  <c r="L9" i="26"/>
  <c r="M6" i="26"/>
  <c r="AR29" i="26"/>
  <c r="J182" i="26"/>
  <c r="K182" i="26"/>
  <c r="J180" i="26"/>
  <c r="K180" i="26"/>
  <c r="J178" i="26"/>
  <c r="K178" i="26"/>
  <c r="J176" i="26"/>
  <c r="K176" i="26"/>
  <c r="L174" i="26"/>
  <c r="L172" i="26"/>
  <c r="L170" i="26"/>
  <c r="L168" i="26"/>
  <c r="L166" i="26"/>
  <c r="L164" i="26"/>
  <c r="L162" i="26"/>
  <c r="L160" i="26"/>
  <c r="L158" i="26"/>
  <c r="L156" i="26"/>
  <c r="L154" i="26"/>
  <c r="L152" i="26"/>
  <c r="M150" i="26"/>
  <c r="M148" i="26"/>
  <c r="M146" i="26"/>
  <c r="M144" i="26"/>
  <c r="M142" i="26"/>
  <c r="M140" i="26"/>
  <c r="M138" i="26"/>
  <c r="M136" i="26"/>
  <c r="M134" i="26"/>
  <c r="M132" i="26"/>
  <c r="L62" i="26"/>
  <c r="M59" i="26"/>
  <c r="L54" i="26"/>
  <c r="M51" i="26"/>
  <c r="L46" i="26"/>
  <c r="M43" i="26"/>
  <c r="L38" i="26"/>
  <c r="M35" i="26"/>
  <c r="L30" i="26"/>
  <c r="M27" i="26"/>
  <c r="L22" i="26"/>
  <c r="M19" i="26"/>
  <c r="L14" i="26"/>
  <c r="M11" i="26"/>
  <c r="J6" i="26"/>
  <c r="J7" i="26"/>
  <c r="AT29" i="26"/>
  <c r="L205" i="26"/>
  <c r="L203" i="26"/>
  <c r="L201" i="26"/>
  <c r="L199" i="26"/>
  <c r="L197" i="26"/>
  <c r="L195" i="26"/>
  <c r="L193" i="26"/>
  <c r="L191" i="26"/>
  <c r="L189" i="26"/>
  <c r="L187" i="26"/>
  <c r="L185" i="26"/>
  <c r="L183" i="26"/>
  <c r="M181" i="26"/>
  <c r="M179" i="26"/>
  <c r="M177" i="26"/>
  <c r="M175" i="26"/>
  <c r="J150" i="26"/>
  <c r="K150" i="26"/>
  <c r="J148" i="26"/>
  <c r="K148" i="26"/>
  <c r="J146" i="26"/>
  <c r="J144" i="26"/>
  <c r="K144" i="26"/>
  <c r="J142" i="26"/>
  <c r="K142" i="26"/>
  <c r="L130" i="26"/>
  <c r="L128" i="26"/>
  <c r="L126" i="26"/>
  <c r="L124" i="26"/>
  <c r="L122" i="26"/>
  <c r="L120" i="26"/>
  <c r="L118" i="26"/>
  <c r="L116" i="26"/>
  <c r="L114" i="26"/>
  <c r="L112" i="26"/>
  <c r="L110" i="26"/>
  <c r="L108" i="26"/>
  <c r="L106" i="26"/>
  <c r="L104" i="26"/>
  <c r="L102" i="26"/>
  <c r="M100" i="26"/>
  <c r="M98" i="26"/>
  <c r="M96" i="26"/>
  <c r="M94" i="26"/>
  <c r="M92" i="26"/>
  <c r="M90" i="26"/>
  <c r="M88" i="26"/>
  <c r="M86" i="26"/>
  <c r="M84" i="26"/>
  <c r="M82" i="26"/>
  <c r="M80" i="26"/>
  <c r="M78" i="26"/>
  <c r="M76" i="26"/>
  <c r="M74" i="26"/>
  <c r="M72" i="26"/>
  <c r="M70" i="26"/>
  <c r="M68" i="26"/>
  <c r="M66" i="26"/>
  <c r="L64" i="26"/>
  <c r="M61" i="26"/>
  <c r="L56" i="26"/>
  <c r="M53" i="26"/>
  <c r="L48" i="26"/>
  <c r="M45" i="26"/>
  <c r="L40" i="26"/>
  <c r="M37" i="26"/>
  <c r="L32" i="26"/>
  <c r="M29" i="26"/>
  <c r="L24" i="26"/>
  <c r="M21" i="26"/>
  <c r="L16" i="26"/>
  <c r="M13" i="26"/>
  <c r="L8" i="26"/>
  <c r="J205" i="26"/>
  <c r="J203" i="26"/>
  <c r="K203" i="26"/>
  <c r="J201" i="26"/>
  <c r="K201" i="26"/>
  <c r="O201" i="26"/>
  <c r="J199" i="26"/>
  <c r="K199" i="26"/>
  <c r="J197" i="26"/>
  <c r="K197" i="26"/>
  <c r="J195" i="26"/>
  <c r="K195" i="26"/>
  <c r="J193" i="26"/>
  <c r="K193" i="26"/>
  <c r="J191" i="26"/>
  <c r="K191" i="26"/>
  <c r="J189" i="26"/>
  <c r="J187" i="26"/>
  <c r="K187" i="26"/>
  <c r="J185" i="26"/>
  <c r="K185" i="26"/>
  <c r="O185" i="26"/>
  <c r="L181" i="26"/>
  <c r="L179" i="26"/>
  <c r="L177" i="26"/>
  <c r="L175" i="26"/>
  <c r="M173" i="26"/>
  <c r="M171" i="26"/>
  <c r="M169" i="26"/>
  <c r="M167" i="26"/>
  <c r="M165" i="26"/>
  <c r="M163" i="26"/>
  <c r="M161" i="26"/>
  <c r="M159" i="26"/>
  <c r="J159" i="26"/>
  <c r="K159" i="26"/>
  <c r="L159" i="26"/>
  <c r="O159" i="26"/>
  <c r="M157" i="26"/>
  <c r="M155" i="26"/>
  <c r="M153" i="26"/>
  <c r="M151" i="26"/>
  <c r="L100" i="26"/>
  <c r="L98" i="26"/>
  <c r="L96" i="26"/>
  <c r="L94" i="26"/>
  <c r="L92" i="26"/>
  <c r="L90" i="26"/>
  <c r="L88" i="26"/>
  <c r="L86" i="26"/>
  <c r="L84" i="26"/>
  <c r="L82" i="26"/>
  <c r="L80" i="26"/>
  <c r="L78" i="26"/>
  <c r="L76" i="26"/>
  <c r="L74" i="26"/>
  <c r="L72" i="26"/>
  <c r="L70" i="26"/>
  <c r="L68" i="26"/>
  <c r="L66" i="26"/>
  <c r="L61" i="26"/>
  <c r="M58" i="26"/>
  <c r="L53" i="26"/>
  <c r="M50" i="26"/>
  <c r="L45" i="26"/>
  <c r="M42" i="26"/>
  <c r="L37" i="26"/>
  <c r="M34" i="26"/>
  <c r="L29" i="26"/>
  <c r="M26" i="26"/>
  <c r="L21" i="26"/>
  <c r="M18" i="26"/>
  <c r="L13" i="26"/>
  <c r="M10" i="26"/>
  <c r="M5" i="26"/>
  <c r="O5" i="26"/>
  <c r="J183" i="26"/>
  <c r="K183" i="26"/>
  <c r="J181" i="26"/>
  <c r="K181" i="26"/>
  <c r="J179" i="26"/>
  <c r="K179" i="26"/>
  <c r="J177" i="26"/>
  <c r="L173" i="26"/>
  <c r="L171" i="26"/>
  <c r="L169" i="26"/>
  <c r="L167" i="26"/>
  <c r="L165" i="26"/>
  <c r="L163" i="26"/>
  <c r="L161" i="26"/>
  <c r="L157" i="26"/>
  <c r="L155" i="26"/>
  <c r="L153" i="26"/>
  <c r="L151" i="26"/>
  <c r="M149" i="26"/>
  <c r="M147" i="26"/>
  <c r="M145" i="26"/>
  <c r="M143" i="26"/>
  <c r="M141" i="26"/>
  <c r="M139" i="26"/>
  <c r="M137" i="26"/>
  <c r="M135" i="26"/>
  <c r="M133" i="26"/>
  <c r="M131" i="26"/>
  <c r="M63" i="26"/>
  <c r="L58" i="26"/>
  <c r="M55" i="26"/>
  <c r="L50" i="26"/>
  <c r="M47" i="26"/>
  <c r="L42" i="26"/>
  <c r="M39" i="26"/>
  <c r="L34" i="26"/>
  <c r="M31" i="26"/>
  <c r="L26" i="26"/>
  <c r="M23" i="26"/>
  <c r="L18" i="26"/>
  <c r="M15" i="26"/>
  <c r="L10" i="26"/>
  <c r="M7" i="26"/>
  <c r="M204" i="26"/>
  <c r="M202" i="26"/>
  <c r="M200" i="26"/>
  <c r="M198" i="26"/>
  <c r="M196" i="26"/>
  <c r="M194" i="26"/>
  <c r="M192" i="26"/>
  <c r="M190" i="26"/>
  <c r="M188" i="26"/>
  <c r="M186" i="26"/>
  <c r="M184" i="26"/>
  <c r="J175" i="26"/>
  <c r="K175" i="26"/>
  <c r="J173" i="26"/>
  <c r="K173" i="26"/>
  <c r="J171" i="26"/>
  <c r="K171" i="26"/>
  <c r="J169" i="26"/>
  <c r="K169" i="26"/>
  <c r="J167" i="26"/>
  <c r="K167" i="26"/>
  <c r="J165" i="26"/>
  <c r="J163" i="26"/>
  <c r="K163" i="26"/>
  <c r="J161" i="26"/>
  <c r="J157" i="26"/>
  <c r="K157" i="26"/>
  <c r="J155" i="26"/>
  <c r="K155" i="26"/>
  <c r="O155" i="26"/>
  <c r="J153" i="26"/>
  <c r="K153" i="26"/>
  <c r="L149" i="26"/>
  <c r="L147" i="26"/>
  <c r="L145" i="26"/>
  <c r="L143" i="26"/>
  <c r="L141" i="26"/>
  <c r="L139" i="26"/>
  <c r="L137" i="26"/>
  <c r="L135" i="26"/>
  <c r="L133" i="26"/>
  <c r="L131" i="26"/>
  <c r="M129" i="26"/>
  <c r="M127" i="26"/>
  <c r="M125" i="26"/>
  <c r="M123" i="26"/>
  <c r="M121" i="26"/>
  <c r="M119" i="26"/>
  <c r="M117" i="26"/>
  <c r="M115" i="26"/>
  <c r="M113" i="26"/>
  <c r="M111" i="26"/>
  <c r="M109" i="26"/>
  <c r="M107" i="26"/>
  <c r="M105" i="26"/>
  <c r="M103" i="26"/>
  <c r="M101" i="26"/>
  <c r="L63" i="26"/>
  <c r="M60" i="26"/>
  <c r="L55" i="26"/>
  <c r="M52" i="26"/>
  <c r="L47" i="26"/>
  <c r="M44" i="26"/>
  <c r="L39" i="26"/>
  <c r="M36" i="26"/>
  <c r="L31" i="26"/>
  <c r="M28" i="26"/>
  <c r="L23" i="26"/>
  <c r="M20" i="26"/>
  <c r="L15" i="26"/>
  <c r="M12" i="26"/>
  <c r="L7" i="26"/>
  <c r="L204" i="26"/>
  <c r="L202" i="26"/>
  <c r="L200" i="26"/>
  <c r="L198" i="26"/>
  <c r="L196" i="26"/>
  <c r="L194" i="26"/>
  <c r="L192" i="26"/>
  <c r="L190" i="26"/>
  <c r="L188" i="26"/>
  <c r="L186" i="26"/>
  <c r="L184" i="26"/>
  <c r="M182" i="26"/>
  <c r="M180" i="26"/>
  <c r="M178" i="26"/>
  <c r="M176" i="26"/>
  <c r="J151" i="26"/>
  <c r="K151" i="26"/>
  <c r="J149" i="26"/>
  <c r="K149" i="26"/>
  <c r="J147" i="26"/>
  <c r="K147" i="26"/>
  <c r="J145" i="26"/>
  <c r="K145" i="26"/>
  <c r="J143" i="26"/>
  <c r="K143" i="26"/>
  <c r="J141" i="26"/>
  <c r="K141" i="26"/>
  <c r="L129" i="26"/>
  <c r="L127" i="26"/>
  <c r="L125" i="26"/>
  <c r="L123" i="26"/>
  <c r="L121" i="26"/>
  <c r="L119" i="26"/>
  <c r="L117" i="26"/>
  <c r="L115" i="26"/>
  <c r="L113" i="26"/>
  <c r="L111" i="26"/>
  <c r="L109" i="26"/>
  <c r="L107" i="26"/>
  <c r="L105" i="26"/>
  <c r="L103" i="26"/>
  <c r="L101" i="26"/>
  <c r="M99" i="26"/>
  <c r="M97" i="26"/>
  <c r="M95" i="26"/>
  <c r="M93" i="26"/>
  <c r="M91" i="26"/>
  <c r="M89" i="26"/>
  <c r="M87" i="26"/>
  <c r="M85" i="26"/>
  <c r="M83" i="26"/>
  <c r="M81" i="26"/>
  <c r="M79" i="26"/>
  <c r="M77" i="26"/>
  <c r="M75" i="26"/>
  <c r="M73" i="26"/>
  <c r="M71" i="26"/>
  <c r="M69" i="26"/>
  <c r="M67" i="26"/>
  <c r="M65" i="26"/>
  <c r="L60" i="26"/>
  <c r="M57" i="26"/>
  <c r="L52" i="26"/>
  <c r="M49" i="26"/>
  <c r="L44" i="26"/>
  <c r="M41" i="26"/>
  <c r="L36" i="26"/>
  <c r="M33" i="26"/>
  <c r="L28" i="26"/>
  <c r="M25" i="26"/>
  <c r="L20" i="26"/>
  <c r="M17" i="26"/>
  <c r="L12" i="26"/>
  <c r="X202" i="26"/>
  <c r="X200" i="26"/>
  <c r="X185" i="26"/>
  <c r="X204" i="26"/>
  <c r="X191" i="26"/>
  <c r="AT23" i="26"/>
  <c r="AS23" i="26"/>
  <c r="AR23" i="26"/>
  <c r="AQ23" i="26"/>
  <c r="K161" i="26"/>
  <c r="K189" i="26"/>
  <c r="K165" i="26"/>
  <c r="K177" i="26"/>
  <c r="K205" i="26"/>
  <c r="K174" i="26"/>
  <c r="K170" i="26"/>
  <c r="K166" i="26"/>
  <c r="K162" i="26"/>
  <c r="K158" i="26"/>
  <c r="K154" i="26"/>
  <c r="K146" i="26"/>
  <c r="R7" i="26"/>
  <c r="X190" i="26"/>
  <c r="X182" i="26"/>
  <c r="X187" i="26"/>
  <c r="X179" i="26"/>
  <c r="X171" i="26"/>
  <c r="J91" i="27"/>
  <c r="H88" i="27"/>
  <c r="K99" i="27"/>
  <c r="K93" i="27"/>
  <c r="K90" i="27"/>
  <c r="X5" i="26"/>
  <c r="J99" i="27"/>
  <c r="J93" i="27"/>
  <c r="J90" i="27"/>
  <c r="I99" i="27"/>
  <c r="H93" i="27"/>
  <c r="H90" i="27"/>
  <c r="H99" i="27"/>
  <c r="I93" i="27"/>
  <c r="H89" i="27"/>
  <c r="I87" i="27"/>
  <c r="I92" i="27"/>
  <c r="K89" i="27"/>
  <c r="J87" i="27"/>
  <c r="I94" i="27"/>
  <c r="J94" i="27"/>
  <c r="I91" i="27"/>
  <c r="B95" i="27"/>
  <c r="H92" i="27"/>
  <c r="J89" i="27"/>
  <c r="K92" i="27"/>
  <c r="J92" i="27"/>
  <c r="H94" i="27"/>
  <c r="I89" i="27"/>
  <c r="H87" i="27"/>
  <c r="I90" i="27"/>
  <c r="K88" i="27"/>
  <c r="K91" i="27"/>
  <c r="J88" i="27"/>
  <c r="K94" i="27"/>
  <c r="I88" i="27"/>
  <c r="K87" i="27"/>
  <c r="X166" i="26"/>
  <c r="H82" i="27"/>
  <c r="I82" i="27"/>
  <c r="J82" i="27"/>
  <c r="K82" i="27"/>
  <c r="H79" i="27"/>
  <c r="K79" i="27"/>
  <c r="B78" i="27"/>
  <c r="J78" i="27"/>
  <c r="I81" i="27"/>
  <c r="J81" i="27"/>
  <c r="K81" i="27"/>
  <c r="H81" i="27"/>
  <c r="B80" i="27"/>
  <c r="B72" i="27"/>
  <c r="I72" i="27"/>
  <c r="J79" i="27"/>
  <c r="I79" i="27"/>
  <c r="I71" i="27"/>
  <c r="I76" i="27"/>
  <c r="H75" i="27"/>
  <c r="K73" i="27"/>
  <c r="H71" i="27"/>
  <c r="H76" i="27"/>
  <c r="J73" i="27"/>
  <c r="I73" i="27"/>
  <c r="K74" i="27"/>
  <c r="K75" i="27"/>
  <c r="J74" i="27"/>
  <c r="K71" i="27"/>
  <c r="K76" i="27"/>
  <c r="J75" i="27"/>
  <c r="I74" i="27"/>
  <c r="J71" i="27"/>
  <c r="J76" i="27"/>
  <c r="I75" i="27"/>
  <c r="H74" i="27"/>
  <c r="K72" i="27"/>
  <c r="X195" i="26"/>
  <c r="X205" i="26"/>
  <c r="T177" i="26"/>
  <c r="X177" i="26"/>
  <c r="T151" i="26"/>
  <c r="X151" i="26"/>
  <c r="T150" i="26"/>
  <c r="X150" i="26"/>
  <c r="T142" i="26"/>
  <c r="X142" i="26"/>
  <c r="T143" i="26"/>
  <c r="X143" i="26"/>
  <c r="T141" i="26"/>
  <c r="X141" i="26"/>
  <c r="T149" i="26"/>
  <c r="X149" i="26"/>
  <c r="T148" i="26"/>
  <c r="X148" i="26"/>
  <c r="T155" i="26"/>
  <c r="X155" i="26"/>
  <c r="T154" i="26"/>
  <c r="X154" i="26"/>
  <c r="T146" i="26"/>
  <c r="X146" i="26"/>
  <c r="T147" i="26"/>
  <c r="X147" i="26"/>
  <c r="T145" i="26"/>
  <c r="X145" i="26"/>
  <c r="T153" i="26"/>
  <c r="X153" i="26"/>
  <c r="T152" i="26"/>
  <c r="X152" i="26"/>
  <c r="T144" i="26"/>
  <c r="X144" i="26"/>
  <c r="T192" i="26"/>
  <c r="X192" i="26"/>
  <c r="T188" i="26"/>
  <c r="X188" i="26"/>
  <c r="X181" i="26"/>
  <c r="T174" i="26"/>
  <c r="X174" i="26"/>
  <c r="T165" i="26"/>
  <c r="X165" i="26"/>
  <c r="T197" i="26"/>
  <c r="X197" i="26"/>
  <c r="X183" i="26"/>
  <c r="T162" i="26"/>
  <c r="X162" i="26"/>
  <c r="T157" i="26"/>
  <c r="X157" i="26"/>
  <c r="T186" i="26"/>
  <c r="X186" i="26"/>
  <c r="T194" i="26"/>
  <c r="X194" i="26"/>
  <c r="T176" i="26"/>
  <c r="X176" i="26"/>
  <c r="T167" i="26"/>
  <c r="X167" i="26"/>
  <c r="T159" i="26"/>
  <c r="X159" i="26"/>
  <c r="T6" i="26"/>
  <c r="X6" i="26"/>
  <c r="T199" i="26"/>
  <c r="X199" i="26"/>
  <c r="T178" i="26"/>
  <c r="X178" i="26"/>
  <c r="T173" i="26"/>
  <c r="X173" i="26"/>
  <c r="T203" i="26"/>
  <c r="X203" i="26"/>
  <c r="T201" i="26"/>
  <c r="X201" i="26"/>
  <c r="T196" i="26"/>
  <c r="X196" i="26"/>
  <c r="T180" i="26"/>
  <c r="X180" i="26"/>
  <c r="T161" i="26"/>
  <c r="X161" i="26"/>
  <c r="T156" i="26"/>
  <c r="X156" i="26"/>
  <c r="T193" i="26"/>
  <c r="X193" i="26"/>
  <c r="T189" i="26"/>
  <c r="X189" i="26"/>
  <c r="T175" i="26"/>
  <c r="X175" i="26"/>
  <c r="T160" i="26"/>
  <c r="X160" i="26"/>
  <c r="T198" i="26"/>
  <c r="X198" i="26"/>
  <c r="T184" i="26"/>
  <c r="X184" i="26"/>
  <c r="T172" i="26"/>
  <c r="X172" i="26"/>
  <c r="T170" i="26"/>
  <c r="X170" i="26"/>
  <c r="T168" i="26"/>
  <c r="X168" i="26"/>
  <c r="X163" i="26"/>
  <c r="T158" i="26"/>
  <c r="X158" i="26"/>
  <c r="G37" i="18"/>
  <c r="G32" i="18"/>
  <c r="G38" i="13"/>
  <c r="G37" i="13"/>
  <c r="G44" i="13"/>
  <c r="G30" i="13"/>
  <c r="S177" i="13"/>
  <c r="G35" i="13"/>
  <c r="G39" i="13"/>
  <c r="S199" i="13"/>
  <c r="S191" i="13"/>
  <c r="S183" i="13"/>
  <c r="S175" i="13"/>
  <c r="S167" i="13"/>
  <c r="S204" i="13"/>
  <c r="S196" i="13"/>
  <c r="S188" i="13"/>
  <c r="S180" i="13"/>
  <c r="S172" i="13"/>
  <c r="S198" i="13"/>
  <c r="S190" i="13"/>
  <c r="S182" i="13"/>
  <c r="S174" i="13"/>
  <c r="S166" i="13"/>
  <c r="S185" i="13"/>
  <c r="S203" i="13"/>
  <c r="T203" i="13"/>
  <c r="S195" i="13"/>
  <c r="S187" i="13"/>
  <c r="S179" i="13"/>
  <c r="S171" i="13"/>
  <c r="S200" i="13"/>
  <c r="S192" i="13"/>
  <c r="S184" i="13"/>
  <c r="S176" i="13"/>
  <c r="S168" i="13"/>
  <c r="S193" i="13"/>
  <c r="S205" i="13"/>
  <c r="S197" i="13"/>
  <c r="S189" i="13"/>
  <c r="S181" i="13"/>
  <c r="S173" i="13"/>
  <c r="S201" i="13"/>
  <c r="T201" i="13"/>
  <c r="S169" i="13"/>
  <c r="S202" i="13"/>
  <c r="S194" i="13"/>
  <c r="S186" i="13"/>
  <c r="S178" i="13"/>
  <c r="S170" i="13"/>
  <c r="F42" i="27"/>
  <c r="K30" i="27"/>
  <c r="M155" i="13"/>
  <c r="M91" i="13"/>
  <c r="U68" i="13"/>
  <c r="U64" i="13"/>
  <c r="U60" i="13"/>
  <c r="V55" i="13"/>
  <c r="V43" i="13"/>
  <c r="V20" i="13"/>
  <c r="M147" i="13"/>
  <c r="M83" i="13"/>
  <c r="M131" i="13"/>
  <c r="M67" i="13"/>
  <c r="V82" i="13"/>
  <c r="V78" i="13"/>
  <c r="V74" i="13"/>
  <c r="V70" i="13"/>
  <c r="V66" i="13"/>
  <c r="V62" i="13"/>
  <c r="V58" i="13"/>
  <c r="V52" i="13"/>
  <c r="V35" i="13"/>
  <c r="V12" i="13"/>
  <c r="I32" i="27"/>
  <c r="L146" i="13"/>
  <c r="L142" i="13"/>
  <c r="L131" i="13"/>
  <c r="L127" i="13"/>
  <c r="M123" i="13"/>
  <c r="L112" i="13"/>
  <c r="L108" i="13"/>
  <c r="L97" i="13"/>
  <c r="L93" i="13"/>
  <c r="L82" i="13"/>
  <c r="L78" i="13"/>
  <c r="L67" i="13"/>
  <c r="L63" i="13"/>
  <c r="M59" i="13"/>
  <c r="L48" i="13"/>
  <c r="L44" i="13"/>
  <c r="L33" i="13"/>
  <c r="U86" i="13"/>
  <c r="U82" i="13"/>
  <c r="U78" i="13"/>
  <c r="U74" i="13"/>
  <c r="U70" i="13"/>
  <c r="U66" i="13"/>
  <c r="U62" i="13"/>
  <c r="U58" i="13"/>
  <c r="V51" i="13"/>
  <c r="U30" i="13"/>
  <c r="V11" i="13"/>
  <c r="M115" i="13"/>
  <c r="M51" i="13"/>
  <c r="M27" i="13"/>
  <c r="H31" i="27"/>
  <c r="L145" i="13"/>
  <c r="L141" i="13"/>
  <c r="L130" i="13"/>
  <c r="L126" i="13"/>
  <c r="L115" i="13"/>
  <c r="L111" i="13"/>
  <c r="M107" i="13"/>
  <c r="L96" i="13"/>
  <c r="L92" i="13"/>
  <c r="L81" i="13"/>
  <c r="L77" i="13"/>
  <c r="L66" i="13"/>
  <c r="L62" i="13"/>
  <c r="L51" i="13"/>
  <c r="L47" i="13"/>
  <c r="M43" i="13"/>
  <c r="L22" i="13"/>
  <c r="L16" i="13"/>
  <c r="L152" i="13"/>
  <c r="L148" i="13"/>
  <c r="L137" i="13"/>
  <c r="L133" i="13"/>
  <c r="L122" i="13"/>
  <c r="L118" i="13"/>
  <c r="L107" i="13"/>
  <c r="L103" i="13"/>
  <c r="M99" i="13"/>
  <c r="L88" i="13"/>
  <c r="L84" i="13"/>
  <c r="L73" i="13"/>
  <c r="L69" i="13"/>
  <c r="L58" i="13"/>
  <c r="L54" i="13"/>
  <c r="L43" i="13"/>
  <c r="L39" i="13"/>
  <c r="M35" i="13"/>
  <c r="L31" i="13"/>
  <c r="L26" i="13"/>
  <c r="G32" i="13"/>
  <c r="G31" i="13"/>
  <c r="G28" i="13"/>
  <c r="L27" i="13"/>
  <c r="L23" i="13"/>
  <c r="L13" i="13"/>
  <c r="L7" i="13"/>
  <c r="U56" i="13"/>
  <c r="U50" i="13"/>
  <c r="U42" i="13"/>
  <c r="U34" i="13"/>
  <c r="U26" i="13"/>
  <c r="U18" i="13"/>
  <c r="U10" i="13"/>
  <c r="L30" i="13"/>
  <c r="U49" i="13"/>
  <c r="U41" i="13"/>
  <c r="U33" i="13"/>
  <c r="U25" i="13"/>
  <c r="U17" i="13"/>
  <c r="U9" i="13"/>
  <c r="U55" i="13"/>
  <c r="V48" i="13"/>
  <c r="V40" i="13"/>
  <c r="V32" i="13"/>
  <c r="V24" i="13"/>
  <c r="V16" i="13"/>
  <c r="V8" i="13"/>
  <c r="V54" i="13"/>
  <c r="V47" i="13"/>
  <c r="V39" i="13"/>
  <c r="V31" i="13"/>
  <c r="V23" i="13"/>
  <c r="V15" i="13"/>
  <c r="V7" i="13"/>
  <c r="L32" i="13"/>
  <c r="L28" i="13"/>
  <c r="U37" i="13"/>
  <c r="U29" i="13"/>
  <c r="U21" i="13"/>
  <c r="U13" i="13"/>
  <c r="G45" i="13"/>
  <c r="G41" i="13"/>
  <c r="G33" i="13"/>
  <c r="L14" i="13"/>
  <c r="L8" i="13"/>
  <c r="M152" i="13"/>
  <c r="M144" i="13"/>
  <c r="M136" i="13"/>
  <c r="M128" i="13"/>
  <c r="M120" i="13"/>
  <c r="M112" i="13"/>
  <c r="M104" i="13"/>
  <c r="M96" i="13"/>
  <c r="M88" i="13"/>
  <c r="M80" i="13"/>
  <c r="M72" i="13"/>
  <c r="M64" i="13"/>
  <c r="M56" i="13"/>
  <c r="M48" i="13"/>
  <c r="M40" i="13"/>
  <c r="M32" i="13"/>
  <c r="M24" i="13"/>
  <c r="L19" i="13"/>
  <c r="M16" i="13"/>
  <c r="L11" i="13"/>
  <c r="M8" i="13"/>
  <c r="L6" i="13"/>
  <c r="U51" i="13"/>
  <c r="U47" i="13"/>
  <c r="U43" i="13"/>
  <c r="U39" i="13"/>
  <c r="U35" i="13"/>
  <c r="U31" i="13"/>
  <c r="U27" i="13"/>
  <c r="U23" i="13"/>
  <c r="U19" i="13"/>
  <c r="U15" i="13"/>
  <c r="U11" i="13"/>
  <c r="U7" i="13"/>
  <c r="H25" i="27"/>
  <c r="M149" i="13"/>
  <c r="M141" i="13"/>
  <c r="M133" i="13"/>
  <c r="M125" i="13"/>
  <c r="M117" i="13"/>
  <c r="M109" i="13"/>
  <c r="M101" i="13"/>
  <c r="M93" i="13"/>
  <c r="M85" i="13"/>
  <c r="M77" i="13"/>
  <c r="M69" i="13"/>
  <c r="M61" i="13"/>
  <c r="M53" i="13"/>
  <c r="M45" i="13"/>
  <c r="M37" i="13"/>
  <c r="M29" i="13"/>
  <c r="M21" i="13"/>
  <c r="M13" i="13"/>
  <c r="V50" i="13"/>
  <c r="V46" i="13"/>
  <c r="V42" i="13"/>
  <c r="V38" i="13"/>
  <c r="V34" i="13"/>
  <c r="V30" i="13"/>
  <c r="V26" i="13"/>
  <c r="V22" i="13"/>
  <c r="V18" i="13"/>
  <c r="V14" i="13"/>
  <c r="V10" i="13"/>
  <c r="V6" i="13"/>
  <c r="M154" i="13"/>
  <c r="M146" i="13"/>
  <c r="M138" i="13"/>
  <c r="M130" i="13"/>
  <c r="M122" i="13"/>
  <c r="M114" i="13"/>
  <c r="M106" i="13"/>
  <c r="M98" i="13"/>
  <c r="M90" i="13"/>
  <c r="M82" i="13"/>
  <c r="M74" i="13"/>
  <c r="M66" i="13"/>
  <c r="M58" i="13"/>
  <c r="M50" i="13"/>
  <c r="M42" i="13"/>
  <c r="M34" i="13"/>
  <c r="M26" i="13"/>
  <c r="M18" i="13"/>
  <c r="M10" i="13"/>
  <c r="M11" i="13"/>
  <c r="M151" i="13"/>
  <c r="M143" i="13"/>
  <c r="M135" i="13"/>
  <c r="M127" i="13"/>
  <c r="M119" i="13"/>
  <c r="M111" i="13"/>
  <c r="M103" i="13"/>
  <c r="M95" i="13"/>
  <c r="M87" i="13"/>
  <c r="M79" i="13"/>
  <c r="M71" i="13"/>
  <c r="M63" i="13"/>
  <c r="M55" i="13"/>
  <c r="M47" i="13"/>
  <c r="M39" i="13"/>
  <c r="M31" i="13"/>
  <c r="M23" i="13"/>
  <c r="L18" i="13"/>
  <c r="M15" i="13"/>
  <c r="L10" i="13"/>
  <c r="M7" i="13"/>
  <c r="V53" i="13"/>
  <c r="V49" i="13"/>
  <c r="V45" i="13"/>
  <c r="V41" i="13"/>
  <c r="V37" i="13"/>
  <c r="V33" i="13"/>
  <c r="V29" i="13"/>
  <c r="V25" i="13"/>
  <c r="V21" i="13"/>
  <c r="V17" i="13"/>
  <c r="V13" i="13"/>
  <c r="U6" i="13"/>
  <c r="M148" i="13"/>
  <c r="M140" i="13"/>
  <c r="M132" i="13"/>
  <c r="M124" i="13"/>
  <c r="M116" i="13"/>
  <c r="M108" i="13"/>
  <c r="M100" i="13"/>
  <c r="M92" i="13"/>
  <c r="M84" i="13"/>
  <c r="M76" i="13"/>
  <c r="M68" i="13"/>
  <c r="M60" i="13"/>
  <c r="M52" i="13"/>
  <c r="M44" i="13"/>
  <c r="M36" i="13"/>
  <c r="M28" i="13"/>
  <c r="M20" i="13"/>
  <c r="M12" i="13"/>
  <c r="M19" i="13"/>
  <c r="M5" i="13"/>
  <c r="O5" i="13"/>
  <c r="M153" i="13"/>
  <c r="M145" i="13"/>
  <c r="M137" i="13"/>
  <c r="M129" i="13"/>
  <c r="M121" i="13"/>
  <c r="M113" i="13"/>
  <c r="M105" i="13"/>
  <c r="M97" i="13"/>
  <c r="M89" i="13"/>
  <c r="M81" i="13"/>
  <c r="M73" i="13"/>
  <c r="M65" i="13"/>
  <c r="M57" i="13"/>
  <c r="M49" i="13"/>
  <c r="M41" i="13"/>
  <c r="M33" i="13"/>
  <c r="M25" i="13"/>
  <c r="L20" i="13"/>
  <c r="M17" i="13"/>
  <c r="L12" i="13"/>
  <c r="M9" i="13"/>
  <c r="M150" i="13"/>
  <c r="M142" i="13"/>
  <c r="M134" i="13"/>
  <c r="M126" i="13"/>
  <c r="M118" i="13"/>
  <c r="M110" i="13"/>
  <c r="M102" i="13"/>
  <c r="M94" i="13"/>
  <c r="M86" i="13"/>
  <c r="M78" i="13"/>
  <c r="M70" i="13"/>
  <c r="M62" i="13"/>
  <c r="M54" i="13"/>
  <c r="M46" i="13"/>
  <c r="M38" i="13"/>
  <c r="M30" i="13"/>
  <c r="M22" i="13"/>
  <c r="L17" i="13"/>
  <c r="M14" i="13"/>
  <c r="U52" i="13"/>
  <c r="U48" i="13"/>
  <c r="U44" i="13"/>
  <c r="U40" i="13"/>
  <c r="U36" i="13"/>
  <c r="U32" i="13"/>
  <c r="U28" i="13"/>
  <c r="U24" i="13"/>
  <c r="U20" i="13"/>
  <c r="U16" i="13"/>
  <c r="U12" i="13"/>
  <c r="X5" i="13"/>
  <c r="AO36" i="13"/>
  <c r="AP37" i="13"/>
  <c r="AM42" i="13"/>
  <c r="AN43" i="13"/>
  <c r="AP44" i="13"/>
  <c r="AL48" i="13"/>
  <c r="AN49" i="13"/>
  <c r="AP50" i="13"/>
  <c r="AL52" i="13"/>
  <c r="AM53" i="13"/>
  <c r="AN54" i="13"/>
  <c r="AO55" i="13"/>
  <c r="AL57" i="13"/>
  <c r="AN58" i="13"/>
  <c r="AP59" i="13"/>
  <c r="AN64" i="13"/>
  <c r="AP65" i="13"/>
  <c r="AM68" i="13"/>
  <c r="AN69" i="13"/>
  <c r="AO70" i="13"/>
  <c r="AP71" i="13"/>
  <c r="AM73" i="13"/>
  <c r="AO74" i="13"/>
  <c r="AP75" i="13"/>
  <c r="AL77" i="13"/>
  <c r="AM78" i="13"/>
  <c r="AN79" i="13"/>
  <c r="AL81" i="13"/>
  <c r="AN82" i="13"/>
  <c r="AP83" i="13"/>
  <c r="AL86" i="13"/>
  <c r="AL87" i="13"/>
  <c r="AN88" i="13"/>
  <c r="AP89" i="13"/>
  <c r="AM91" i="13"/>
  <c r="AP92" i="13"/>
  <c r="AL96" i="13"/>
  <c r="AL97" i="13"/>
  <c r="AO98" i="13"/>
  <c r="AM100" i="13"/>
  <c r="AN101" i="13"/>
  <c r="AO102" i="13"/>
  <c r="AO103" i="13"/>
  <c r="AP104" i="13"/>
  <c r="AM107" i="13"/>
  <c r="AP108" i="13"/>
  <c r="AL113" i="13"/>
  <c r="AN114" i="13"/>
  <c r="AL116" i="13"/>
  <c r="AM117" i="13"/>
  <c r="AN118" i="13"/>
  <c r="AN119" i="13"/>
  <c r="AO120" i="13"/>
  <c r="AP121" i="13"/>
  <c r="AM123" i="13"/>
  <c r="AP124" i="13"/>
  <c r="AL129" i="13"/>
  <c r="AN130" i="13"/>
  <c r="AL132" i="13"/>
  <c r="AM133" i="13"/>
  <c r="AN134" i="13"/>
  <c r="AN135" i="13"/>
  <c r="AO136" i="13"/>
  <c r="AP137" i="13"/>
  <c r="AL139" i="13"/>
  <c r="AO140" i="13"/>
  <c r="AP36" i="13"/>
  <c r="AL40" i="13"/>
  <c r="AL41" i="13"/>
  <c r="AN42" i="13"/>
  <c r="AO43" i="13"/>
  <c r="AM48" i="13"/>
  <c r="AO49" i="13"/>
  <c r="AM52" i="13"/>
  <c r="AN53" i="13"/>
  <c r="AO54" i="13"/>
  <c r="AP55" i="13"/>
  <c r="AM57" i="13"/>
  <c r="AO58" i="13"/>
  <c r="AL61" i="13"/>
  <c r="AL62" i="13"/>
  <c r="AL63" i="13"/>
  <c r="AO64" i="13"/>
  <c r="AL67" i="13"/>
  <c r="AN68" i="13"/>
  <c r="AO69" i="13"/>
  <c r="AP70" i="13"/>
  <c r="AL72" i="13"/>
  <c r="AN73" i="13"/>
  <c r="AP74" i="13"/>
  <c r="AL76" i="13"/>
  <c r="AM77" i="13"/>
  <c r="AN78" i="13"/>
  <c r="AO79" i="13"/>
  <c r="AM81" i="13"/>
  <c r="AO82" i="13"/>
  <c r="AL85" i="13"/>
  <c r="AM86" i="13"/>
  <c r="AM87" i="13"/>
  <c r="AO88" i="13"/>
  <c r="AL90" i="13"/>
  <c r="AN91" i="13"/>
  <c r="AM96" i="13"/>
  <c r="AM97" i="13"/>
  <c r="AP98" i="13"/>
  <c r="AN100" i="13"/>
  <c r="AO101" i="13"/>
  <c r="AP102" i="13"/>
  <c r="AP103" i="13"/>
  <c r="AL106" i="13"/>
  <c r="AN107" i="13"/>
  <c r="AL112" i="13"/>
  <c r="AM113" i="13"/>
  <c r="AO114" i="13"/>
  <c r="AM116" i="13"/>
  <c r="AN117" i="13"/>
  <c r="AO118" i="13"/>
  <c r="AO119" i="13"/>
  <c r="AP120" i="13"/>
  <c r="AL39" i="13"/>
  <c r="AM40" i="13"/>
  <c r="AM41" i="13"/>
  <c r="AO42" i="13"/>
  <c r="AP43" i="13"/>
  <c r="AL47" i="13"/>
  <c r="AN48" i="13"/>
  <c r="AR48" i="13"/>
  <c r="AP49" i="13"/>
  <c r="AL51" i="13"/>
  <c r="AN52" i="13"/>
  <c r="AO53" i="13"/>
  <c r="AP54" i="13"/>
  <c r="AL56" i="13"/>
  <c r="AN57" i="13"/>
  <c r="AP58" i="13"/>
  <c r="AL60" i="13"/>
  <c r="AM61" i="13"/>
  <c r="AM62" i="13"/>
  <c r="AM63" i="13"/>
  <c r="AP64" i="13"/>
  <c r="AL66" i="13"/>
  <c r="AM67" i="13"/>
  <c r="AO68" i="13"/>
  <c r="AP69" i="13"/>
  <c r="AM72" i="13"/>
  <c r="AO73" i="13"/>
  <c r="AM76" i="13"/>
  <c r="AN77" i="13"/>
  <c r="AO78" i="13"/>
  <c r="AP79" i="13"/>
  <c r="AN81" i="13"/>
  <c r="AP82" i="13"/>
  <c r="AL84" i="13"/>
  <c r="AM85" i="13"/>
  <c r="AN86" i="13"/>
  <c r="AN87" i="13"/>
  <c r="AP88" i="13"/>
  <c r="AM90" i="13"/>
  <c r="AO91" i="13"/>
  <c r="AL94" i="13"/>
  <c r="AL95" i="13"/>
  <c r="AN96" i="13"/>
  <c r="AN97" i="13"/>
  <c r="AL99" i="13"/>
  <c r="AO100" i="13"/>
  <c r="AP101" i="13"/>
  <c r="AM106" i="13"/>
  <c r="AO107" i="13"/>
  <c r="AL110" i="13"/>
  <c r="AL111" i="13"/>
  <c r="AM112" i="13"/>
  <c r="AN113" i="13"/>
  <c r="AP114" i="13"/>
  <c r="AN116" i="13"/>
  <c r="AO117" i="13"/>
  <c r="AP118" i="13"/>
  <c r="AP119" i="13"/>
  <c r="AL122" i="13"/>
  <c r="AO123" i="13"/>
  <c r="AL126" i="13"/>
  <c r="AL127" i="13"/>
  <c r="AM128" i="13"/>
  <c r="AN129" i="13"/>
  <c r="AP130" i="13"/>
  <c r="AN132" i="13"/>
  <c r="AO133" i="13"/>
  <c r="AP134" i="13"/>
  <c r="AP135" i="13"/>
  <c r="AL138" i="13"/>
  <c r="AN139" i="13"/>
  <c r="AL38" i="13"/>
  <c r="AM39" i="13"/>
  <c r="AN40" i="13"/>
  <c r="AN41" i="13"/>
  <c r="AP42" i="13"/>
  <c r="AL45" i="13"/>
  <c r="AL46" i="13"/>
  <c r="AM47" i="13"/>
  <c r="AO48" i="13"/>
  <c r="AS48" i="13"/>
  <c r="AM51" i="13"/>
  <c r="AO52" i="13"/>
  <c r="AP53" i="13"/>
  <c r="AM56" i="13"/>
  <c r="AO57" i="13"/>
  <c r="AM60" i="13"/>
  <c r="AN61" i="13"/>
  <c r="AN62" i="13"/>
  <c r="AN63" i="13"/>
  <c r="AM66" i="13"/>
  <c r="AN67" i="13"/>
  <c r="AP68" i="13"/>
  <c r="AN72" i="13"/>
  <c r="AP73" i="13"/>
  <c r="AN76" i="13"/>
  <c r="AO77" i="13"/>
  <c r="AP78" i="13"/>
  <c r="AL80" i="13"/>
  <c r="AO81" i="13"/>
  <c r="AM84" i="13"/>
  <c r="AN85" i="13"/>
  <c r="AO86" i="13"/>
  <c r="AO87" i="13"/>
  <c r="AN90" i="13"/>
  <c r="AP91" i="13"/>
  <c r="AL93" i="13"/>
  <c r="AM94" i="13"/>
  <c r="AM95" i="13"/>
  <c r="AO96" i="13"/>
  <c r="AO97" i="13"/>
  <c r="AM99" i="13"/>
  <c r="AP100" i="13"/>
  <c r="AL105" i="13"/>
  <c r="AN106" i="13"/>
  <c r="AP107" i="13"/>
  <c r="AL109" i="13"/>
  <c r="AM110" i="13"/>
  <c r="AM111" i="13"/>
  <c r="AN112" i="13"/>
  <c r="AO113" i="13"/>
  <c r="AL115" i="13"/>
  <c r="AO116" i="13"/>
  <c r="AP117" i="13"/>
  <c r="AM122" i="13"/>
  <c r="AP123" i="13"/>
  <c r="AL125" i="13"/>
  <c r="AM126" i="13"/>
  <c r="AM127" i="13"/>
  <c r="AN128" i="13"/>
  <c r="AO129" i="13"/>
  <c r="AL131" i="13"/>
  <c r="AO132" i="13"/>
  <c r="AP133" i="13"/>
  <c r="AM138" i="13"/>
  <c r="AO139" i="13"/>
  <c r="AL36" i="13"/>
  <c r="AM37" i="13"/>
  <c r="AN38" i="13"/>
  <c r="AO39" i="13"/>
  <c r="AP40" i="13"/>
  <c r="AP41" i="13"/>
  <c r="AM44" i="13"/>
  <c r="AN45" i="13"/>
  <c r="AN46" i="13"/>
  <c r="AO47" i="13"/>
  <c r="AM50" i="13"/>
  <c r="AO51" i="13"/>
  <c r="AL55" i="13"/>
  <c r="AO56" i="13"/>
  <c r="AM59" i="13"/>
  <c r="AO60" i="13"/>
  <c r="AP61" i="13"/>
  <c r="AP62" i="13"/>
  <c r="AP63" i="13"/>
  <c r="AM65" i="13"/>
  <c r="AO66" i="13"/>
  <c r="AP67" i="13"/>
  <c r="AM71" i="13"/>
  <c r="AP72" i="13"/>
  <c r="AL74" i="13"/>
  <c r="AM75" i="13"/>
  <c r="AP76" i="13"/>
  <c r="AN80" i="13"/>
  <c r="AM83" i="13"/>
  <c r="AO84" i="13"/>
  <c r="AP85" i="13"/>
  <c r="AM89" i="13"/>
  <c r="AP90" i="13"/>
  <c r="AM92" i="13"/>
  <c r="AN93" i="13"/>
  <c r="AO94" i="13"/>
  <c r="AO95" i="13"/>
  <c r="AL98" i="13"/>
  <c r="AO99" i="13"/>
  <c r="AL102" i="13"/>
  <c r="AL103" i="13"/>
  <c r="AM104" i="13"/>
  <c r="AN105" i="13"/>
  <c r="AP106" i="13"/>
  <c r="AM108" i="13"/>
  <c r="AN109" i="13"/>
  <c r="AO110" i="13"/>
  <c r="AO111" i="13"/>
  <c r="AP112" i="13"/>
  <c r="AN115" i="13"/>
  <c r="AL120" i="13"/>
  <c r="AM121" i="13"/>
  <c r="AO122" i="13"/>
  <c r="AM124" i="13"/>
  <c r="AN125" i="13"/>
  <c r="AO126" i="13"/>
  <c r="AO127" i="13"/>
  <c r="AP128" i="13"/>
  <c r="AN131" i="13"/>
  <c r="AL136" i="13"/>
  <c r="AM137" i="13"/>
  <c r="AO138" i="13"/>
  <c r="AL140" i="13"/>
  <c r="AM36" i="13"/>
  <c r="AN37" i="13"/>
  <c r="AO40" i="13"/>
  <c r="AM43" i="13"/>
  <c r="AO46" i="13"/>
  <c r="AL50" i="13"/>
  <c r="AL53" i="13"/>
  <c r="AP56" i="13"/>
  <c r="AN60" i="13"/>
  <c r="AP66" i="13"/>
  <c r="AL73" i="13"/>
  <c r="AM80" i="13"/>
  <c r="AO83" i="13"/>
  <c r="AO90" i="13"/>
  <c r="AP93" i="13"/>
  <c r="AN103" i="13"/>
  <c r="AN110" i="13"/>
  <c r="AP122" i="13"/>
  <c r="AO125" i="13"/>
  <c r="AP127" i="13"/>
  <c r="AL130" i="13"/>
  <c r="AL135" i="13"/>
  <c r="AN137" i="13"/>
  <c r="AM140" i="13"/>
  <c r="AL145" i="13"/>
  <c r="AN146" i="13"/>
  <c r="AL148" i="13"/>
  <c r="AM149" i="13"/>
  <c r="AN150" i="13"/>
  <c r="AO151" i="13"/>
  <c r="AP152" i="13"/>
  <c r="AM155" i="13"/>
  <c r="AO45" i="13"/>
  <c r="AM55" i="13"/>
  <c r="AO71" i="13"/>
  <c r="AM82" i="13"/>
  <c r="AP95" i="13"/>
  <c r="AM109" i="13"/>
  <c r="AO124" i="13"/>
  <c r="AP131" i="13"/>
  <c r="AN141" i="13"/>
  <c r="AN147" i="13"/>
  <c r="AN153" i="13"/>
  <c r="AL137" i="13"/>
  <c r="AL149" i="13"/>
  <c r="AO37" i="13"/>
  <c r="AL44" i="13"/>
  <c r="AP46" i="13"/>
  <c r="AN50" i="13"/>
  <c r="AP60" i="13"/>
  <c r="AO63" i="13"/>
  <c r="AM70" i="13"/>
  <c r="AO80" i="13"/>
  <c r="AN84" i="13"/>
  <c r="AN94" i="13"/>
  <c r="AL101" i="13"/>
  <c r="AL104" i="13"/>
  <c r="AL107" i="13"/>
  <c r="AP110" i="13"/>
  <c r="AP113" i="13"/>
  <c r="AL117" i="13"/>
  <c r="AM120" i="13"/>
  <c r="AL123" i="13"/>
  <c r="AP125" i="13"/>
  <c r="AM130" i="13"/>
  <c r="AL133" i="13"/>
  <c r="AM135" i="13"/>
  <c r="AO137" i="13"/>
  <c r="AN140" i="13"/>
  <c r="AL144" i="13"/>
  <c r="AM145" i="13"/>
  <c r="AO146" i="13"/>
  <c r="AM148" i="13"/>
  <c r="AN149" i="13"/>
  <c r="AO150" i="13"/>
  <c r="AP151" i="13"/>
  <c r="AL154" i="13"/>
  <c r="AN155" i="13"/>
  <c r="AO115" i="13"/>
  <c r="AN151" i="13"/>
  <c r="AM38" i="13"/>
  <c r="AN44" i="13"/>
  <c r="AN47" i="13"/>
  <c r="AO50" i="13"/>
  <c r="AL54" i="13"/>
  <c r="AP57" i="13"/>
  <c r="AL64" i="13"/>
  <c r="AO67" i="13"/>
  <c r="AN70" i="13"/>
  <c r="AM74" i="13"/>
  <c r="AP77" i="13"/>
  <c r="AP80" i="13"/>
  <c r="AP84" i="13"/>
  <c r="AP87" i="13"/>
  <c r="AL91" i="13"/>
  <c r="AP94" i="13"/>
  <c r="AP97" i="13"/>
  <c r="AM101" i="13"/>
  <c r="AN104" i="13"/>
  <c r="AL108" i="13"/>
  <c r="AL114" i="13"/>
  <c r="AN120" i="13"/>
  <c r="AN123" i="13"/>
  <c r="AL128" i="13"/>
  <c r="AO130" i="13"/>
  <c r="AN133" i="13"/>
  <c r="AO135" i="13"/>
  <c r="AP140" i="13"/>
  <c r="AL142" i="13"/>
  <c r="AL143" i="13"/>
  <c r="AM144" i="13"/>
  <c r="AN145" i="13"/>
  <c r="AP146" i="13"/>
  <c r="AN148" i="13"/>
  <c r="AO149" i="13"/>
  <c r="AP150" i="13"/>
  <c r="AM154" i="13"/>
  <c r="AO155" i="13"/>
  <c r="AN39" i="13"/>
  <c r="AN65" i="13"/>
  <c r="AO92" i="13"/>
  <c r="AO105" i="13"/>
  <c r="AN136" i="13"/>
  <c r="AO142" i="13"/>
  <c r="AL151" i="13"/>
  <c r="AP132" i="13"/>
  <c r="AM150" i="13"/>
  <c r="AO38" i="13"/>
  <c r="AO41" i="13"/>
  <c r="AO44" i="13"/>
  <c r="AP47" i="13"/>
  <c r="AN51" i="13"/>
  <c r="AM54" i="13"/>
  <c r="AL58" i="13"/>
  <c r="AO61" i="13"/>
  <c r="AM64" i="13"/>
  <c r="AL71" i="13"/>
  <c r="AN74" i="13"/>
  <c r="AP81" i="13"/>
  <c r="AL88" i="13"/>
  <c r="AL92" i="13"/>
  <c r="AM98" i="13"/>
  <c r="AO104" i="13"/>
  <c r="AN108" i="13"/>
  <c r="AN111" i="13"/>
  <c r="AM114" i="13"/>
  <c r="AL118" i="13"/>
  <c r="AL121" i="13"/>
  <c r="AL124" i="13"/>
  <c r="AN126" i="13"/>
  <c r="AO128" i="13"/>
  <c r="AM131" i="13"/>
  <c r="AN138" i="13"/>
  <c r="AL141" i="13"/>
  <c r="AM142" i="13"/>
  <c r="AM143" i="13"/>
  <c r="AN144" i="13"/>
  <c r="AO145" i="13"/>
  <c r="AL147" i="13"/>
  <c r="AO148" i="13"/>
  <c r="AP149" i="13"/>
  <c r="AL153" i="13"/>
  <c r="AN154" i="13"/>
  <c r="AP155" i="13"/>
  <c r="AP48" i="13"/>
  <c r="AL59" i="13"/>
  <c r="AN75" i="13"/>
  <c r="AL89" i="13"/>
  <c r="AN102" i="13"/>
  <c r="AO121" i="13"/>
  <c r="AM134" i="13"/>
  <c r="AP144" i="13"/>
  <c r="AM152" i="13"/>
  <c r="AN127" i="13"/>
  <c r="AP147" i="13"/>
  <c r="AP38" i="13"/>
  <c r="AM45" i="13"/>
  <c r="AP51" i="13"/>
  <c r="AM58" i="13"/>
  <c r="AL68" i="13"/>
  <c r="AN71" i="13"/>
  <c r="AL78" i="13"/>
  <c r="AL82" i="13"/>
  <c r="AO85" i="13"/>
  <c r="AM88" i="13"/>
  <c r="AN92" i="13"/>
  <c r="AN95" i="13"/>
  <c r="AN98" i="13"/>
  <c r="AM102" i="13"/>
  <c r="AM105" i="13"/>
  <c r="AO108" i="13"/>
  <c r="AP111" i="13"/>
  <c r="AM115" i="13"/>
  <c r="AM118" i="13"/>
  <c r="AN121" i="13"/>
  <c r="AN124" i="13"/>
  <c r="AP126" i="13"/>
  <c r="AO131" i="13"/>
  <c r="AL134" i="13"/>
  <c r="AM136" i="13"/>
  <c r="AP138" i="13"/>
  <c r="AM141" i="13"/>
  <c r="AN142" i="13"/>
  <c r="AN143" i="13"/>
  <c r="AO144" i="13"/>
  <c r="AP145" i="13"/>
  <c r="AM147" i="13"/>
  <c r="AP148" i="13"/>
  <c r="AL152" i="13"/>
  <c r="AM153" i="13"/>
  <c r="AO154" i="13"/>
  <c r="AL42" i="13"/>
  <c r="AN99" i="13"/>
  <c r="AO143" i="13"/>
  <c r="AP154" i="13"/>
  <c r="AP129" i="13"/>
  <c r="AO152" i="13"/>
  <c r="AS152" i="13"/>
  <c r="Y168" i="27"/>
  <c r="AN36" i="13"/>
  <c r="AP39" i="13"/>
  <c r="AP45" i="13"/>
  <c r="AL49" i="13"/>
  <c r="AP52" i="13"/>
  <c r="AN55" i="13"/>
  <c r="AN59" i="13"/>
  <c r="AO62" i="13"/>
  <c r="AO65" i="13"/>
  <c r="AL69" i="13"/>
  <c r="AO72" i="13"/>
  <c r="AO75" i="13"/>
  <c r="AL79" i="13"/>
  <c r="AL83" i="13"/>
  <c r="AN89" i="13"/>
  <c r="AM93" i="13"/>
  <c r="AP99" i="13"/>
  <c r="AP105" i="13"/>
  <c r="AO109" i="13"/>
  <c r="AO112" i="13"/>
  <c r="AP115" i="13"/>
  <c r="AL119" i="13"/>
  <c r="AM129" i="13"/>
  <c r="AM132" i="13"/>
  <c r="AO134" i="13"/>
  <c r="AP136" i="13"/>
  <c r="AT136" i="13"/>
  <c r="AM139" i="13"/>
  <c r="AO141" i="13"/>
  <c r="AP142" i="13"/>
  <c r="AP143" i="13"/>
  <c r="AL146" i="13"/>
  <c r="AO147" i="13"/>
  <c r="AL150" i="13"/>
  <c r="AM151" i="13"/>
  <c r="AN152" i="13"/>
  <c r="AO153" i="13"/>
  <c r="AL37" i="13"/>
  <c r="AL43" i="13"/>
  <c r="AM46" i="13"/>
  <c r="AM49" i="13"/>
  <c r="AN56" i="13"/>
  <c r="AO59" i="13"/>
  <c r="AN66" i="13"/>
  <c r="AM69" i="13"/>
  <c r="AO76" i="13"/>
  <c r="AM79" i="13"/>
  <c r="AN83" i="13"/>
  <c r="AP86" i="13"/>
  <c r="AO89" i="13"/>
  <c r="AO93" i="13"/>
  <c r="AP96" i="13"/>
  <c r="AL100" i="13"/>
  <c r="AM103" i="13"/>
  <c r="AO106" i="13"/>
  <c r="AP109" i="13"/>
  <c r="AP116" i="13"/>
  <c r="AM119" i="13"/>
  <c r="AN122" i="13"/>
  <c r="AM125" i="13"/>
  <c r="AP139" i="13"/>
  <c r="AP141" i="13"/>
  <c r="AM146" i="13"/>
  <c r="AP153" i="13"/>
  <c r="AT153" i="13"/>
  <c r="Z169" i="27"/>
  <c r="O184" i="13"/>
  <c r="AE57" i="13"/>
  <c r="K32" i="27"/>
  <c r="B39" i="27"/>
  <c r="K39" i="27" s="1"/>
  <c r="K48" i="27"/>
  <c r="H30" i="27"/>
  <c r="J28" i="27"/>
  <c r="I28" i="27"/>
  <c r="K28" i="27"/>
  <c r="H28" i="27"/>
  <c r="K33" i="27"/>
  <c r="H33" i="27"/>
  <c r="I33" i="27"/>
  <c r="J33" i="27"/>
  <c r="AP12" i="13"/>
  <c r="K25" i="27"/>
  <c r="K46" i="27"/>
  <c r="J46" i="27"/>
  <c r="K24" i="27"/>
  <c r="J24" i="27"/>
  <c r="H24" i="27"/>
  <c r="I24" i="27"/>
  <c r="H29" i="27"/>
  <c r="K29" i="27"/>
  <c r="J29" i="27"/>
  <c r="I29" i="27"/>
  <c r="K26" i="27"/>
  <c r="H26" i="27"/>
  <c r="AP20" i="13"/>
  <c r="G43" i="13"/>
  <c r="G42" i="13"/>
  <c r="G40" i="13"/>
  <c r="G36" i="13"/>
  <c r="G34" i="13"/>
  <c r="H82" i="13"/>
  <c r="H86" i="13"/>
  <c r="AD164" i="13"/>
  <c r="AO16" i="13"/>
  <c r="G29" i="13"/>
  <c r="AO24" i="13"/>
  <c r="AB38" i="13"/>
  <c r="AC32" i="13"/>
  <c r="AE125" i="13"/>
  <c r="H32" i="27"/>
  <c r="H90" i="13"/>
  <c r="G26" i="13"/>
  <c r="AL27" i="13"/>
  <c r="AE62" i="13"/>
  <c r="AE97" i="13"/>
  <c r="I30" i="27"/>
  <c r="H92" i="13"/>
  <c r="H84" i="13"/>
  <c r="H88" i="13"/>
  <c r="B35" i="27"/>
  <c r="AC60" i="13"/>
  <c r="AM14" i="13"/>
  <c r="AL28" i="13"/>
  <c r="AN34" i="13"/>
  <c r="AM15" i="13"/>
  <c r="AE8" i="13"/>
  <c r="AL11" i="13"/>
  <c r="AL31" i="13"/>
  <c r="B23" i="27"/>
  <c r="AC165" i="13"/>
  <c r="AC164" i="13"/>
  <c r="AC163" i="13"/>
  <c r="AC162" i="13"/>
  <c r="AC161" i="13"/>
  <c r="AC160" i="13"/>
  <c r="AC159" i="13"/>
  <c r="AC158" i="13"/>
  <c r="AC157" i="13"/>
  <c r="AC156" i="13"/>
  <c r="AC155" i="13"/>
  <c r="AC154" i="13"/>
  <c r="AC153" i="13"/>
  <c r="AC152" i="13"/>
  <c r="AC151" i="13"/>
  <c r="AC150" i="13"/>
  <c r="AC149" i="13"/>
  <c r="AC148" i="13"/>
  <c r="AC147" i="13"/>
  <c r="AC146" i="13"/>
  <c r="AC145" i="13"/>
  <c r="AC144" i="13"/>
  <c r="AC143" i="13"/>
  <c r="AC142" i="13"/>
  <c r="AC141" i="13"/>
  <c r="AC140" i="13"/>
  <c r="AC139" i="13"/>
  <c r="AC138" i="13"/>
  <c r="AC137" i="13"/>
  <c r="AC136" i="13"/>
  <c r="AC135" i="13"/>
  <c r="AC134" i="13"/>
  <c r="AC133" i="13"/>
  <c r="AC132" i="13"/>
  <c r="AC131" i="13"/>
  <c r="AC130" i="13"/>
  <c r="AC129" i="13"/>
  <c r="AC128" i="13"/>
  <c r="AC127" i="13"/>
  <c r="AB164" i="13"/>
  <c r="AB163" i="13"/>
  <c r="AB162" i="13"/>
  <c r="AB161" i="13"/>
  <c r="AB160" i="13"/>
  <c r="AB159" i="13"/>
  <c r="AB158" i="13"/>
  <c r="AB157" i="13"/>
  <c r="AB156" i="13"/>
  <c r="AB154" i="13"/>
  <c r="AB153" i="13"/>
  <c r="AB152" i="13"/>
  <c r="AB151" i="13"/>
  <c r="AB150" i="13"/>
  <c r="AB149" i="13"/>
  <c r="AB148" i="13"/>
  <c r="AB147" i="13"/>
  <c r="AB146" i="13"/>
  <c r="AB145" i="13"/>
  <c r="AB144" i="13"/>
  <c r="AB143" i="13"/>
  <c r="AB142" i="13"/>
  <c r="AB141" i="13"/>
  <c r="AB140" i="13"/>
  <c r="AB139" i="13"/>
  <c r="AB138" i="13"/>
  <c r="AB137" i="13"/>
  <c r="AB136" i="13"/>
  <c r="AB135" i="13"/>
  <c r="AB134" i="13"/>
  <c r="AB133" i="13"/>
  <c r="AB132" i="13"/>
  <c r="AB131" i="13"/>
  <c r="AB130" i="13"/>
  <c r="AB129" i="13"/>
  <c r="AB128" i="13"/>
  <c r="AB127" i="13"/>
  <c r="AE165" i="13"/>
  <c r="AE164" i="13"/>
  <c r="AE163" i="13"/>
  <c r="AE162" i="13"/>
  <c r="AE161" i="13"/>
  <c r="AE160" i="13"/>
  <c r="AE159" i="13"/>
  <c r="AE158" i="13"/>
  <c r="AE157" i="13"/>
  <c r="AE156" i="13"/>
  <c r="AE155" i="13"/>
  <c r="AE154" i="13"/>
  <c r="AE153" i="13"/>
  <c r="AE152" i="13"/>
  <c r="AE151" i="13"/>
  <c r="AE150" i="13"/>
  <c r="AE149" i="13"/>
  <c r="AE148" i="13"/>
  <c r="AE147" i="13"/>
  <c r="AE146" i="13"/>
  <c r="AE145" i="13"/>
  <c r="AE144" i="13"/>
  <c r="AE143" i="13"/>
  <c r="AE142" i="13"/>
  <c r="AE141" i="13"/>
  <c r="AE140" i="13"/>
  <c r="AE139" i="13"/>
  <c r="AE138" i="13"/>
  <c r="AE137" i="13"/>
  <c r="AE136" i="13"/>
  <c r="AE135" i="13"/>
  <c r="AE134" i="13"/>
  <c r="AE133" i="13"/>
  <c r="AE132" i="13"/>
  <c r="AE131" i="13"/>
  <c r="AE130" i="13"/>
  <c r="AE129" i="13"/>
  <c r="AE128" i="13"/>
  <c r="AE127" i="13"/>
  <c r="AE126" i="13"/>
  <c r="AB47" i="13"/>
  <c r="AB63" i="13"/>
  <c r="AC47" i="13"/>
  <c r="AD47" i="13"/>
  <c r="AE55" i="13"/>
  <c r="AD165" i="13"/>
  <c r="AD163" i="13"/>
  <c r="AD161" i="13"/>
  <c r="AD159" i="13"/>
  <c r="AD157" i="13"/>
  <c r="AD155" i="13"/>
  <c r="AD153" i="13"/>
  <c r="AD151" i="13"/>
  <c r="AD149" i="13"/>
  <c r="AD147" i="13"/>
  <c r="AD145" i="13"/>
  <c r="AD143" i="13"/>
  <c r="AD141" i="13"/>
  <c r="AD139" i="13"/>
  <c r="AD137" i="13"/>
  <c r="AD135" i="13"/>
  <c r="AD133" i="13"/>
  <c r="AD131" i="13"/>
  <c r="AD129" i="13"/>
  <c r="AD127" i="13"/>
  <c r="AD126" i="13"/>
  <c r="AB55" i="13"/>
  <c r="AD55" i="13"/>
  <c r="AE63" i="13"/>
  <c r="AC126" i="13"/>
  <c r="AC55" i="13"/>
  <c r="AD63" i="13"/>
  <c r="AD162" i="13"/>
  <c r="AD154" i="13"/>
  <c r="AD146" i="13"/>
  <c r="AD138" i="13"/>
  <c r="AD130" i="13"/>
  <c r="AC63" i="13"/>
  <c r="AB80" i="13"/>
  <c r="AE71" i="13"/>
  <c r="AE80" i="13"/>
  <c r="AE98" i="13"/>
  <c r="AD160" i="13"/>
  <c r="AD152" i="13"/>
  <c r="AD144" i="13"/>
  <c r="AD136" i="13"/>
  <c r="AD128" i="13"/>
  <c r="AE47" i="13"/>
  <c r="AB71" i="13"/>
  <c r="AD80" i="13"/>
  <c r="AB89" i="13"/>
  <c r="AD108" i="13"/>
  <c r="AD158" i="13"/>
  <c r="AD150" i="13"/>
  <c r="AD142" i="13"/>
  <c r="AD134" i="13"/>
  <c r="AD156" i="13"/>
  <c r="AB126" i="13"/>
  <c r="AE108" i="13"/>
  <c r="AD6" i="13"/>
  <c r="AC118" i="13"/>
  <c r="AM19" i="13"/>
  <c r="AP11" i="13"/>
  <c r="AE24" i="13"/>
  <c r="AC21" i="13"/>
  <c r="AD83" i="13"/>
  <c r="AB53" i="13"/>
  <c r="AD82" i="13"/>
  <c r="AD81" i="13"/>
  <c r="AM7" i="13"/>
  <c r="AP35" i="13"/>
  <c r="AC72" i="13"/>
  <c r="AB92" i="13"/>
  <c r="AE58" i="13"/>
  <c r="AE16" i="13"/>
  <c r="AL10" i="13"/>
  <c r="AC29" i="13"/>
  <c r="AL22" i="13"/>
  <c r="AB31" i="13"/>
  <c r="AO33" i="13"/>
  <c r="AE31" i="13"/>
  <c r="AM12" i="13"/>
  <c r="AC107" i="13"/>
  <c r="AO22" i="13"/>
  <c r="AE26" i="13"/>
  <c r="AD69" i="13"/>
  <c r="AC86" i="13"/>
  <c r="AE6" i="13"/>
  <c r="AL15" i="13"/>
  <c r="AC54" i="13"/>
  <c r="AD68" i="13"/>
  <c r="AB93" i="13"/>
  <c r="AO5" i="13"/>
  <c r="AD58" i="13"/>
  <c r="AM11" i="13"/>
  <c r="AE17" i="13"/>
  <c r="AC40" i="13"/>
  <c r="AE107" i="13"/>
  <c r="AD79" i="13"/>
  <c r="AC31" i="13"/>
  <c r="AN21" i="13"/>
  <c r="AB112" i="13"/>
  <c r="AM34" i="13"/>
  <c r="AE112" i="13"/>
  <c r="AE19" i="13"/>
  <c r="AC39" i="13"/>
  <c r="AC44" i="13"/>
  <c r="AD45" i="13"/>
  <c r="AD117" i="13"/>
  <c r="AM23" i="13"/>
  <c r="AC43" i="13"/>
  <c r="AD122" i="13"/>
  <c r="AB103" i="13"/>
  <c r="AC115" i="13"/>
  <c r="AN5" i="13"/>
  <c r="AE93" i="13"/>
  <c r="AM18" i="13"/>
  <c r="AE110" i="13"/>
  <c r="AP25" i="13"/>
  <c r="AC105" i="13"/>
  <c r="AD56" i="13"/>
  <c r="AB28" i="13"/>
  <c r="AB17" i="13"/>
  <c r="AC90" i="13"/>
  <c r="AC113" i="13"/>
  <c r="AB64" i="13"/>
  <c r="AB81" i="13"/>
  <c r="AM10" i="13"/>
  <c r="AD20" i="13"/>
  <c r="AB107" i="13"/>
  <c r="AD39" i="13"/>
  <c r="AE94" i="13"/>
  <c r="AC101" i="13"/>
  <c r="AN18" i="13"/>
  <c r="AC81" i="13"/>
  <c r="AD88" i="13"/>
  <c r="AC56" i="13"/>
  <c r="AL23" i="13"/>
  <c r="AD116" i="13"/>
  <c r="AC100" i="13"/>
  <c r="AC77" i="13"/>
  <c r="AB42" i="13"/>
  <c r="AD148" i="13"/>
  <c r="AE89" i="13"/>
  <c r="AD98" i="13"/>
  <c r="AB98" i="13"/>
  <c r="AB108" i="13"/>
  <c r="AD118" i="13"/>
  <c r="AD11" i="13"/>
  <c r="AE39" i="13"/>
  <c r="AB100" i="13"/>
  <c r="AC79" i="13"/>
  <c r="AB68" i="13"/>
  <c r="AC97" i="13"/>
  <c r="AN15" i="13"/>
  <c r="AD114" i="13"/>
  <c r="AE21" i="13"/>
  <c r="AE61" i="13"/>
  <c r="AE95" i="13"/>
  <c r="AC67" i="13"/>
  <c r="AO25" i="13"/>
  <c r="AC53" i="13"/>
  <c r="AP30" i="13"/>
  <c r="AE122" i="13"/>
  <c r="AD61" i="13"/>
  <c r="AP17" i="13"/>
  <c r="AO29" i="13"/>
  <c r="AB101" i="13"/>
  <c r="AE42" i="13"/>
  <c r="AE85" i="13"/>
  <c r="AM32" i="13"/>
  <c r="AE13" i="13"/>
  <c r="AL35" i="13"/>
  <c r="AN23" i="13"/>
  <c r="AE25" i="13"/>
  <c r="AO32" i="13"/>
  <c r="AE56" i="13"/>
  <c r="AE67" i="13"/>
  <c r="AC119" i="13"/>
  <c r="AC61" i="13"/>
  <c r="AD44" i="13"/>
  <c r="AB50" i="13"/>
  <c r="AB99" i="13"/>
  <c r="AP26" i="13"/>
  <c r="AN6" i="13"/>
  <c r="AL20" i="13"/>
  <c r="AB26" i="13"/>
  <c r="AM20" i="13"/>
  <c r="AC75" i="13"/>
  <c r="AD66" i="13"/>
  <c r="AD112" i="13"/>
  <c r="AB122" i="13"/>
  <c r="AN7" i="13"/>
  <c r="AN19" i="13"/>
  <c r="AC69" i="13"/>
  <c r="AC15" i="13"/>
  <c r="AC78" i="13"/>
  <c r="AD29" i="13"/>
  <c r="AP14" i="13"/>
  <c r="AB69" i="13"/>
  <c r="AB36" i="13"/>
  <c r="AB52" i="13"/>
  <c r="AE88" i="13"/>
  <c r="AE74" i="13"/>
  <c r="AD110" i="13"/>
  <c r="AE114" i="13"/>
  <c r="AO11" i="13"/>
  <c r="AC91" i="13"/>
  <c r="AE86" i="13"/>
  <c r="AD120" i="13"/>
  <c r="AP7" i="13"/>
  <c r="AP28" i="13"/>
  <c r="AC111" i="13"/>
  <c r="AD74" i="13"/>
  <c r="AO7" i="13"/>
  <c r="AE27" i="13"/>
  <c r="AO20" i="13"/>
  <c r="AN28" i="13"/>
  <c r="AE50" i="13"/>
  <c r="AB54" i="13"/>
  <c r="AB66" i="13"/>
  <c r="AL16" i="13"/>
  <c r="AL6" i="13"/>
  <c r="AO17" i="13"/>
  <c r="AC102" i="13"/>
  <c r="AC19" i="13"/>
  <c r="AC7" i="13"/>
  <c r="AB96" i="13"/>
  <c r="AD13" i="13"/>
  <c r="AD87" i="13"/>
  <c r="AC25" i="13"/>
  <c r="AC26" i="13"/>
  <c r="AB84" i="13"/>
  <c r="AD101" i="13"/>
  <c r="AE46" i="13"/>
  <c r="AO12" i="13"/>
  <c r="AC14" i="13"/>
  <c r="AL12" i="13"/>
  <c r="AP23" i="13"/>
  <c r="AE7" i="13"/>
  <c r="AB6" i="13"/>
  <c r="AE124" i="13"/>
  <c r="AB58" i="13"/>
  <c r="AP8" i="13"/>
  <c r="AD93" i="13"/>
  <c r="AE59" i="13"/>
  <c r="AB88" i="13"/>
  <c r="AB27" i="13"/>
  <c r="AB90" i="13"/>
  <c r="AD31" i="13"/>
  <c r="AB110" i="13"/>
  <c r="AN35" i="13"/>
  <c r="AD102" i="13"/>
  <c r="AB120" i="13"/>
  <c r="AC114" i="13"/>
  <c r="AB121" i="13"/>
  <c r="AD62" i="13"/>
  <c r="AB20" i="13"/>
  <c r="AB37" i="13"/>
  <c r="AM26" i="13"/>
  <c r="AC64" i="13"/>
  <c r="AN33" i="13"/>
  <c r="AD92" i="13"/>
  <c r="AL34" i="13"/>
  <c r="AD94" i="13"/>
  <c r="AE15" i="13"/>
  <c r="AN12" i="13"/>
  <c r="AB86" i="13"/>
  <c r="AE68" i="13"/>
  <c r="AB78" i="13"/>
  <c r="AN24" i="13"/>
  <c r="AE100" i="13"/>
  <c r="AE70" i="13"/>
  <c r="AC30" i="13"/>
  <c r="AD97" i="13"/>
  <c r="AD115" i="13"/>
  <c r="AO27" i="13"/>
  <c r="AC74" i="13"/>
  <c r="AC33" i="13"/>
  <c r="AD103" i="13"/>
  <c r="AC35" i="13"/>
  <c r="AD140" i="13"/>
  <c r="AC71" i="13"/>
  <c r="AC80" i="13"/>
  <c r="AD89" i="13"/>
  <c r="AC98" i="13"/>
  <c r="AC108" i="13"/>
  <c r="AE118" i="13"/>
  <c r="AC96" i="13"/>
  <c r="AC18" i="13"/>
  <c r="AB109" i="13"/>
  <c r="AP27" i="13"/>
  <c r="AC123" i="13"/>
  <c r="AB104" i="13"/>
  <c r="AD91" i="13"/>
  <c r="AB60" i="13"/>
  <c r="AC20" i="13"/>
  <c r="AE33" i="13"/>
  <c r="AD53" i="13"/>
  <c r="AE48" i="13"/>
  <c r="AB22" i="13"/>
  <c r="AB85" i="13"/>
  <c r="AC85" i="13"/>
  <c r="AD21" i="13"/>
  <c r="AB29" i="13"/>
  <c r="AC41" i="13"/>
  <c r="AE121" i="13"/>
  <c r="AB61" i="13"/>
  <c r="AB59" i="13"/>
  <c r="AO31" i="13"/>
  <c r="AB95" i="13"/>
  <c r="AB19" i="13"/>
  <c r="AC70" i="13"/>
  <c r="AC27" i="13"/>
  <c r="AB44" i="13"/>
  <c r="AD27" i="13"/>
  <c r="AC93" i="13"/>
  <c r="AE64" i="13"/>
  <c r="AL17" i="13"/>
  <c r="AD41" i="13"/>
  <c r="AO13" i="13"/>
  <c r="AC103" i="13"/>
  <c r="AD57" i="13"/>
  <c r="AD73" i="13"/>
  <c r="AC94" i="13"/>
  <c r="AL21" i="13"/>
  <c r="AO8" i="13"/>
  <c r="AD49" i="13"/>
  <c r="AB76" i="13"/>
  <c r="AE81" i="13"/>
  <c r="AC37" i="13"/>
  <c r="AB7" i="13"/>
  <c r="AC92" i="13"/>
  <c r="AD104" i="13"/>
  <c r="AL13" i="13"/>
  <c r="AE11" i="13"/>
  <c r="AN14" i="13"/>
  <c r="AP34" i="13"/>
  <c r="AM27" i="13"/>
  <c r="AN31" i="13"/>
  <c r="AE10" i="13"/>
  <c r="AD23" i="13"/>
  <c r="AM16" i="13"/>
  <c r="AD65" i="13"/>
  <c r="AB35" i="13"/>
  <c r="AD17" i="13"/>
  <c r="AB40" i="13"/>
  <c r="AE14" i="13"/>
  <c r="AN29" i="13"/>
  <c r="AE65" i="13"/>
  <c r="AD40" i="13"/>
  <c r="AB94" i="13"/>
  <c r="AE113" i="13"/>
  <c r="AC11" i="13"/>
  <c r="AL19" i="13"/>
  <c r="AC83" i="13"/>
  <c r="AD33" i="13"/>
  <c r="AC76" i="13"/>
  <c r="AM33" i="13"/>
  <c r="AD132" i="13"/>
  <c r="AB118" i="13"/>
  <c r="AC46" i="13"/>
  <c r="AE90" i="13"/>
  <c r="AB119" i="13"/>
  <c r="AE83" i="13"/>
  <c r="AP33" i="13"/>
  <c r="AE53" i="13"/>
  <c r="AB18" i="13"/>
  <c r="AN30" i="13"/>
  <c r="AP31" i="13"/>
  <c r="AB74" i="13"/>
  <c r="AD26" i="13"/>
  <c r="AB82" i="13"/>
  <c r="AB67" i="13"/>
  <c r="AD100" i="13"/>
  <c r="AL30" i="13"/>
  <c r="AB124" i="13"/>
  <c r="AD75" i="13"/>
  <c r="AE78" i="13"/>
  <c r="AD16" i="13"/>
  <c r="AD119" i="13"/>
  <c r="AB77" i="13"/>
  <c r="AC23" i="13"/>
  <c r="AE117" i="13"/>
  <c r="AB23" i="13"/>
  <c r="AC5" i="13"/>
  <c r="AD22" i="13"/>
  <c r="AD28" i="13"/>
  <c r="AE5" i="13"/>
  <c r="AD72" i="13"/>
  <c r="AB46" i="13"/>
  <c r="AD43" i="13"/>
  <c r="AD86" i="13"/>
  <c r="AL29" i="13"/>
  <c r="AN20" i="13"/>
  <c r="AC36" i="13"/>
  <c r="AB113" i="13"/>
  <c r="AE22" i="13"/>
  <c r="AC45" i="13"/>
  <c r="AD109" i="13"/>
  <c r="AP19" i="13"/>
  <c r="AC124" i="13"/>
  <c r="AE12" i="13"/>
  <c r="AC66" i="13"/>
  <c r="AL25" i="13"/>
  <c r="AO28" i="13"/>
  <c r="AE116" i="13"/>
  <c r="AB105" i="13"/>
  <c r="AB106" i="13"/>
  <c r="AC8" i="13"/>
  <c r="AD59" i="13"/>
  <c r="AD12" i="13"/>
  <c r="AB11" i="13"/>
  <c r="AB125" i="13"/>
  <c r="AC109" i="13"/>
  <c r="AB51" i="13"/>
  <c r="AC68" i="13"/>
  <c r="AD52" i="13"/>
  <c r="AC38" i="13"/>
  <c r="AO14" i="13"/>
  <c r="AB73" i="13"/>
  <c r="AD9" i="13"/>
  <c r="AP13" i="13"/>
  <c r="AE37" i="13"/>
  <c r="AL8" i="13"/>
  <c r="AC110" i="13"/>
  <c r="AC106" i="13"/>
  <c r="AD78" i="13"/>
  <c r="AE106" i="13"/>
  <c r="AM25" i="13"/>
  <c r="AB21" i="13"/>
  <c r="AE23" i="13"/>
  <c r="AD37" i="13"/>
  <c r="AC117" i="13"/>
  <c r="AB43" i="13"/>
  <c r="AB25" i="13"/>
  <c r="AM13" i="13"/>
  <c r="AB79" i="13"/>
  <c r="AB30" i="13"/>
  <c r="AM9" i="13"/>
  <c r="AD71" i="13"/>
  <c r="AD18" i="13"/>
  <c r="AB10" i="13"/>
  <c r="AB24" i="13"/>
  <c r="AC99" i="13"/>
  <c r="AE34" i="13"/>
  <c r="AD67" i="13"/>
  <c r="AD113" i="13"/>
  <c r="AB12" i="13"/>
  <c r="AC88" i="13"/>
  <c r="AE66" i="13"/>
  <c r="AB117" i="13"/>
  <c r="AE96" i="13"/>
  <c r="AD85" i="13"/>
  <c r="AC12" i="13"/>
  <c r="AP22" i="13"/>
  <c r="AD38" i="13"/>
  <c r="AD96" i="13"/>
  <c r="AN9" i="13"/>
  <c r="AM29" i="13"/>
  <c r="AO26" i="13"/>
  <c r="AB57" i="13"/>
  <c r="AC13" i="13"/>
  <c r="AE111" i="13"/>
  <c r="AD46" i="13"/>
  <c r="AC125" i="13"/>
  <c r="AE87" i="13"/>
  <c r="AB45" i="13"/>
  <c r="AB56" i="13"/>
  <c r="AC65" i="13"/>
  <c r="AD84" i="13"/>
  <c r="AB72" i="13"/>
  <c r="AL7" i="13"/>
  <c r="AN17" i="13"/>
  <c r="AD106" i="13"/>
  <c r="AB83" i="13"/>
  <c r="AB102" i="13"/>
  <c r="AC6" i="13"/>
  <c r="AB15" i="13"/>
  <c r="AE45" i="13"/>
  <c r="AP15" i="13"/>
  <c r="AO18" i="13"/>
  <c r="AE51" i="13"/>
  <c r="AC120" i="13"/>
  <c r="AC95" i="13"/>
  <c r="AC116" i="13"/>
  <c r="AE38" i="13"/>
  <c r="AB41" i="13"/>
  <c r="AP5" i="13"/>
  <c r="AC50" i="13"/>
  <c r="AD35" i="13"/>
  <c r="AB123" i="13"/>
  <c r="AL14" i="13"/>
  <c r="AO30" i="13"/>
  <c r="AN11" i="13"/>
  <c r="AE77" i="13"/>
  <c r="AE44" i="13"/>
  <c r="AC73" i="13"/>
  <c r="AE41" i="13"/>
  <c r="AD77" i="13"/>
  <c r="AB5" i="13"/>
  <c r="AM35" i="13"/>
  <c r="AC84" i="13"/>
  <c r="AD10" i="13"/>
  <c r="AE9" i="13"/>
  <c r="AB33" i="13"/>
  <c r="AC10" i="13"/>
  <c r="AC121" i="13"/>
  <c r="AE120" i="13"/>
  <c r="AE73" i="13"/>
  <c r="AM17" i="13"/>
  <c r="AC104" i="13"/>
  <c r="AB48" i="13"/>
  <c r="AE60" i="13"/>
  <c r="AD76" i="13"/>
  <c r="AP16" i="13"/>
  <c r="AE92" i="13"/>
  <c r="AC51" i="13"/>
  <c r="AD30" i="13"/>
  <c r="AC89" i="13"/>
  <c r="AE123" i="13"/>
  <c r="AN22" i="13"/>
  <c r="AM28" i="13"/>
  <c r="AP18" i="13"/>
  <c r="AE101" i="13"/>
  <c r="AC48" i="13"/>
  <c r="AM22" i="13"/>
  <c r="AD95" i="13"/>
  <c r="AD25" i="13"/>
  <c r="AM6" i="13"/>
  <c r="AE104" i="13"/>
  <c r="AB32" i="13"/>
  <c r="AD125" i="13"/>
  <c r="AE43" i="13"/>
  <c r="AC34" i="13"/>
  <c r="AB14" i="13"/>
  <c r="AM5" i="13"/>
  <c r="AB13" i="13"/>
  <c r="AE115" i="13"/>
  <c r="AD105" i="13"/>
  <c r="AB39" i="13"/>
  <c r="AE49" i="13"/>
  <c r="AC87" i="13"/>
  <c r="AB34" i="13"/>
  <c r="AP21" i="13"/>
  <c r="AL18" i="13"/>
  <c r="AB115" i="13"/>
  <c r="AC49" i="13"/>
  <c r="AE105" i="13"/>
  <c r="AD42" i="13"/>
  <c r="AL33" i="13"/>
  <c r="AN27" i="13"/>
  <c r="AD32" i="13"/>
  <c r="AL32" i="13"/>
  <c r="AB111" i="13"/>
  <c r="AE28" i="13"/>
  <c r="AP32" i="13"/>
  <c r="AB97" i="13"/>
  <c r="AO10" i="13"/>
  <c r="AL9" i="13"/>
  <c r="AP24" i="13"/>
  <c r="AD50" i="13"/>
  <c r="AB114" i="13"/>
  <c r="AC57" i="13"/>
  <c r="AL24" i="13"/>
  <c r="AO35" i="13"/>
  <c r="AC62" i="13"/>
  <c r="AO15" i="13"/>
  <c r="AE109" i="13"/>
  <c r="AD36" i="13"/>
  <c r="AL5" i="13"/>
  <c r="AB87" i="13"/>
  <c r="AD51" i="13"/>
  <c r="AE91" i="13"/>
  <c r="AC28" i="13"/>
  <c r="AB49" i="13"/>
  <c r="AN8" i="13"/>
  <c r="AD64" i="13"/>
  <c r="AD90" i="13"/>
  <c r="AB91" i="13"/>
  <c r="AB62" i="13"/>
  <c r="AD8" i="13"/>
  <c r="AO21" i="13"/>
  <c r="AD34" i="13"/>
  <c r="AP9" i="13"/>
  <c r="AC9" i="13"/>
  <c r="AE36" i="13"/>
  <c r="AE82" i="13"/>
  <c r="AD99" i="13"/>
  <c r="AE102" i="13"/>
  <c r="AE40" i="13"/>
  <c r="AM24" i="13"/>
  <c r="AM30" i="13"/>
  <c r="AE18" i="13"/>
  <c r="AO19" i="13"/>
  <c r="AD15" i="13"/>
  <c r="AE99" i="13"/>
  <c r="AD111" i="13"/>
  <c r="AC112" i="13"/>
  <c r="AD14" i="13"/>
  <c r="AO9" i="13"/>
  <c r="AC59" i="13"/>
  <c r="AD107" i="13"/>
  <c r="AO34" i="13"/>
  <c r="AE32" i="13"/>
  <c r="AL26" i="13"/>
  <c r="AP10" i="13"/>
  <c r="AP29" i="13"/>
  <c r="AC16" i="13"/>
  <c r="AC52" i="13"/>
  <c r="AD7" i="13"/>
  <c r="AC17" i="13"/>
  <c r="AD19" i="13"/>
  <c r="AE119" i="13"/>
  <c r="AC82" i="13"/>
  <c r="AE52" i="13"/>
  <c r="AM21" i="13"/>
  <c r="AM8" i="13"/>
  <c r="AN32" i="13"/>
  <c r="AD123" i="13"/>
  <c r="AN25" i="13"/>
  <c r="AD70" i="13"/>
  <c r="AE75" i="13"/>
  <c r="AE76" i="13"/>
  <c r="AC24" i="13"/>
  <c r="AE29" i="13"/>
  <c r="AE72" i="13"/>
  <c r="AE84" i="13"/>
  <c r="AC122" i="13"/>
  <c r="AC58" i="13"/>
  <c r="AE35" i="13"/>
  <c r="AD48" i="13"/>
  <c r="AE103" i="13"/>
  <c r="AD54" i="13"/>
  <c r="AD124" i="13"/>
  <c r="AB8" i="13"/>
  <c r="AE69" i="13"/>
  <c r="AE79" i="13"/>
  <c r="AN16" i="13"/>
  <c r="AE20" i="13"/>
  <c r="AE54" i="13"/>
  <c r="AD24" i="13"/>
  <c r="AN10" i="13"/>
  <c r="AB116" i="13"/>
  <c r="AN13" i="13"/>
  <c r="AD5" i="13"/>
  <c r="AB16" i="13"/>
  <c r="AP6" i="13"/>
  <c r="AN26" i="13"/>
  <c r="AO6" i="13"/>
  <c r="AB9" i="13"/>
  <c r="AD60" i="13"/>
  <c r="AD121" i="13"/>
  <c r="AM31" i="13"/>
  <c r="AE30" i="13"/>
  <c r="AC22" i="13"/>
  <c r="AO23" i="13"/>
  <c r="AC42" i="13"/>
  <c r="H34" i="27"/>
  <c r="I34" i="27"/>
  <c r="J34" i="27"/>
  <c r="K34" i="27"/>
  <c r="I31" i="27"/>
  <c r="J31" i="27"/>
  <c r="K31" i="27"/>
  <c r="J27" i="27"/>
  <c r="K27" i="27"/>
  <c r="H27" i="27"/>
  <c r="I27" i="27"/>
  <c r="K186" i="13"/>
  <c r="J32" i="27"/>
  <c r="J30" i="27"/>
  <c r="I26" i="27"/>
  <c r="J26" i="27"/>
  <c r="K203" i="13"/>
  <c r="J25" i="27"/>
  <c r="I25" i="27"/>
  <c r="L205" i="18"/>
  <c r="M202" i="18"/>
  <c r="L201" i="18"/>
  <c r="M198" i="18"/>
  <c r="L197" i="18"/>
  <c r="L195" i="18"/>
  <c r="L193" i="18"/>
  <c r="L191" i="18"/>
  <c r="L189" i="18"/>
  <c r="L187" i="18"/>
  <c r="L185" i="18"/>
  <c r="L183" i="18"/>
  <c r="L181" i="18"/>
  <c r="L179" i="18"/>
  <c r="L177" i="18"/>
  <c r="L175" i="18"/>
  <c r="L173" i="18"/>
  <c r="L171" i="18"/>
  <c r="L169" i="18"/>
  <c r="L167" i="18"/>
  <c r="L165" i="18"/>
  <c r="L163" i="18"/>
  <c r="L161" i="18"/>
  <c r="L159" i="18"/>
  <c r="L157" i="18"/>
  <c r="L155" i="18"/>
  <c r="L153" i="18"/>
  <c r="L151" i="18"/>
  <c r="L149" i="18"/>
  <c r="L147" i="18"/>
  <c r="L145" i="18"/>
  <c r="L143" i="18"/>
  <c r="L141" i="18"/>
  <c r="L139" i="18"/>
  <c r="L137" i="18"/>
  <c r="L135" i="18"/>
  <c r="L133" i="18"/>
  <c r="L131" i="18"/>
  <c r="L129" i="18"/>
  <c r="L127" i="18"/>
  <c r="L125" i="18"/>
  <c r="L123" i="18"/>
  <c r="L121" i="18"/>
  <c r="L119" i="18"/>
  <c r="L117" i="18"/>
  <c r="L115" i="18"/>
  <c r="L113" i="18"/>
  <c r="L111" i="18"/>
  <c r="L109" i="18"/>
  <c r="L107" i="18"/>
  <c r="L105" i="18"/>
  <c r="L103" i="18"/>
  <c r="L101" i="18"/>
  <c r="L99" i="18"/>
  <c r="M8" i="18"/>
  <c r="L23" i="18"/>
  <c r="L28" i="18"/>
  <c r="M34" i="18"/>
  <c r="L36" i="18"/>
  <c r="M37" i="18"/>
  <c r="L39" i="18"/>
  <c r="M42" i="18"/>
  <c r="L44" i="18"/>
  <c r="M45" i="18"/>
  <c r="L47" i="18"/>
  <c r="M50" i="18"/>
  <c r="L52" i="18"/>
  <c r="M53" i="18"/>
  <c r="L55" i="18"/>
  <c r="M58" i="18"/>
  <c r="L60" i="18"/>
  <c r="M61" i="18"/>
  <c r="L63" i="18"/>
  <c r="L66" i="18"/>
  <c r="M67" i="18"/>
  <c r="L70" i="18"/>
  <c r="M71" i="18"/>
  <c r="L74" i="18"/>
  <c r="M75" i="18"/>
  <c r="L78" i="18"/>
  <c r="M79" i="18"/>
  <c r="L82" i="18"/>
  <c r="M83" i="18"/>
  <c r="L86" i="18"/>
  <c r="M87" i="18"/>
  <c r="L90" i="18"/>
  <c r="M91" i="18"/>
  <c r="L94" i="18"/>
  <c r="M95" i="18"/>
  <c r="L98" i="18"/>
  <c r="M99" i="18"/>
  <c r="L102" i="18"/>
  <c r="M103" i="18"/>
  <c r="L106" i="18"/>
  <c r="M107" i="18"/>
  <c r="L110" i="18"/>
  <c r="M111" i="18"/>
  <c r="L114" i="18"/>
  <c r="M115" i="18"/>
  <c r="L118" i="18"/>
  <c r="M119" i="18"/>
  <c r="L122" i="18"/>
  <c r="M123" i="18"/>
  <c r="L126" i="18"/>
  <c r="M127" i="18"/>
  <c r="L130" i="18"/>
  <c r="M131" i="18"/>
  <c r="L134" i="18"/>
  <c r="M135" i="18"/>
  <c r="L138" i="18"/>
  <c r="M139" i="18"/>
  <c r="L142" i="18"/>
  <c r="M143" i="18"/>
  <c r="L146" i="18"/>
  <c r="M147" i="18"/>
  <c r="L150" i="18"/>
  <c r="M151" i="18"/>
  <c r="L154" i="18"/>
  <c r="M155" i="18"/>
  <c r="L158" i="18"/>
  <c r="M159" i="18"/>
  <c r="L162" i="18"/>
  <c r="M163" i="18"/>
  <c r="L166" i="18"/>
  <c r="M167" i="18"/>
  <c r="L170" i="18"/>
  <c r="M171" i="18"/>
  <c r="L174" i="18"/>
  <c r="M175" i="18"/>
  <c r="L178" i="18"/>
  <c r="M179" i="18"/>
  <c r="L182" i="18"/>
  <c r="M183" i="18"/>
  <c r="L186" i="18"/>
  <c r="M187" i="18"/>
  <c r="L190" i="18"/>
  <c r="M191" i="18"/>
  <c r="L194" i="18"/>
  <c r="M195" i="18"/>
  <c r="L27" i="18"/>
  <c r="M29" i="18"/>
  <c r="L32" i="18"/>
  <c r="M33" i="18"/>
  <c r="L35" i="18"/>
  <c r="M38" i="18"/>
  <c r="L40" i="18"/>
  <c r="M41" i="18"/>
  <c r="L43" i="18"/>
  <c r="M46" i="18"/>
  <c r="L48" i="18"/>
  <c r="M49" i="18"/>
  <c r="L51" i="18"/>
  <c r="M54" i="18"/>
  <c r="L56" i="18"/>
  <c r="M57" i="18"/>
  <c r="L59" i="18"/>
  <c r="M62" i="18"/>
  <c r="L64" i="18"/>
  <c r="M65" i="18"/>
  <c r="L68" i="18"/>
  <c r="M69" i="18"/>
  <c r="L72" i="18"/>
  <c r="M73" i="18"/>
  <c r="L76" i="18"/>
  <c r="M77" i="18"/>
  <c r="L80" i="18"/>
  <c r="M81" i="18"/>
  <c r="L84" i="18"/>
  <c r="M85" i="18"/>
  <c r="L88" i="18"/>
  <c r="M89" i="18"/>
  <c r="L92" i="18"/>
  <c r="M93" i="18"/>
  <c r="L96" i="18"/>
  <c r="M97" i="18"/>
  <c r="L100" i="18"/>
  <c r="M101" i="18"/>
  <c r="L104" i="18"/>
  <c r="M105" i="18"/>
  <c r="L108" i="18"/>
  <c r="M109" i="18"/>
  <c r="L112" i="18"/>
  <c r="M113" i="18"/>
  <c r="L116" i="18"/>
  <c r="M117" i="18"/>
  <c r="L120" i="18"/>
  <c r="M121" i="18"/>
  <c r="L124" i="18"/>
  <c r="M125" i="18"/>
  <c r="L128" i="18"/>
  <c r="M129" i="18"/>
  <c r="L132" i="18"/>
  <c r="M133" i="18"/>
  <c r="L136" i="18"/>
  <c r="M137" i="18"/>
  <c r="L140" i="18"/>
  <c r="M141" i="18"/>
  <c r="L144" i="18"/>
  <c r="M145" i="18"/>
  <c r="L148" i="18"/>
  <c r="M149" i="18"/>
  <c r="L152" i="18"/>
  <c r="M153" i="18"/>
  <c r="L156" i="18"/>
  <c r="M157" i="18"/>
  <c r="L160" i="18"/>
  <c r="M161" i="18"/>
  <c r="L164" i="18"/>
  <c r="M165" i="18"/>
  <c r="L168" i="18"/>
  <c r="M169" i="18"/>
  <c r="L172" i="18"/>
  <c r="M173" i="18"/>
  <c r="L176" i="18"/>
  <c r="M177" i="18"/>
  <c r="L180" i="18"/>
  <c r="M181" i="18"/>
  <c r="L184" i="18"/>
  <c r="M185" i="18"/>
  <c r="L188" i="18"/>
  <c r="M189" i="18"/>
  <c r="L192" i="18"/>
  <c r="M193" i="18"/>
  <c r="L196" i="18"/>
  <c r="L20" i="18"/>
  <c r="M25" i="18"/>
  <c r="M32" i="18"/>
  <c r="L37" i="18"/>
  <c r="M40" i="18"/>
  <c r="L45" i="18"/>
  <c r="M48" i="18"/>
  <c r="L53" i="18"/>
  <c r="M56" i="18"/>
  <c r="L61" i="18"/>
  <c r="M64" i="18"/>
  <c r="L67" i="18"/>
  <c r="M68" i="18"/>
  <c r="L71" i="18"/>
  <c r="M72" i="18"/>
  <c r="L75" i="18"/>
  <c r="M76" i="18"/>
  <c r="L79" i="18"/>
  <c r="M80" i="18"/>
  <c r="L83" i="18"/>
  <c r="M84" i="18"/>
  <c r="L87" i="18"/>
  <c r="M88" i="18"/>
  <c r="L91" i="18"/>
  <c r="M92" i="18"/>
  <c r="L95" i="18"/>
  <c r="M204" i="18"/>
  <c r="L203" i="18"/>
  <c r="M200" i="18"/>
  <c r="L199" i="18"/>
  <c r="M196" i="18"/>
  <c r="M194" i="18"/>
  <c r="M192" i="18"/>
  <c r="M190" i="18"/>
  <c r="M188" i="18"/>
  <c r="M186" i="18"/>
  <c r="M184" i="18"/>
  <c r="M182" i="18"/>
  <c r="M180" i="18"/>
  <c r="M178" i="18"/>
  <c r="M176" i="18"/>
  <c r="M174" i="18"/>
  <c r="M172" i="18"/>
  <c r="M170" i="18"/>
  <c r="M168" i="18"/>
  <c r="M166" i="18"/>
  <c r="M164" i="18"/>
  <c r="M162" i="18"/>
  <c r="M160" i="18"/>
  <c r="M158" i="18"/>
  <c r="M156" i="18"/>
  <c r="M154" i="18"/>
  <c r="M152" i="18"/>
  <c r="M150" i="18"/>
  <c r="M148" i="18"/>
  <c r="M146" i="18"/>
  <c r="M144" i="18"/>
  <c r="M142" i="18"/>
  <c r="M140" i="18"/>
  <c r="M138" i="18"/>
  <c r="M136" i="18"/>
  <c r="M134" i="18"/>
  <c r="M132" i="18"/>
  <c r="M130" i="18"/>
  <c r="M128" i="18"/>
  <c r="M126" i="18"/>
  <c r="M124" i="18"/>
  <c r="M122" i="18"/>
  <c r="M120" i="18"/>
  <c r="M118" i="18"/>
  <c r="M116" i="18"/>
  <c r="M114" i="18"/>
  <c r="M112" i="18"/>
  <c r="M110" i="18"/>
  <c r="M108" i="18"/>
  <c r="M106" i="18"/>
  <c r="M104" i="18"/>
  <c r="M102" i="18"/>
  <c r="M100" i="18"/>
  <c r="M98" i="18"/>
  <c r="M96" i="18"/>
  <c r="M21" i="18"/>
  <c r="M63" i="18"/>
  <c r="L62" i="18"/>
  <c r="M59" i="18"/>
  <c r="L58" i="18"/>
  <c r="M55" i="18"/>
  <c r="L54" i="18"/>
  <c r="M51" i="18"/>
  <c r="L50" i="18"/>
  <c r="M47" i="18"/>
  <c r="L46" i="18"/>
  <c r="M43" i="18"/>
  <c r="L42" i="18"/>
  <c r="M39" i="18"/>
  <c r="L38" i="18"/>
  <c r="M35" i="18"/>
  <c r="L34" i="18"/>
  <c r="L31" i="18"/>
  <c r="L24" i="18"/>
  <c r="M13" i="18"/>
  <c r="L11" i="18"/>
  <c r="M17" i="18"/>
  <c r="L15" i="18"/>
  <c r="L8" i="18"/>
  <c r="I43" i="27"/>
  <c r="L16" i="18"/>
  <c r="M9" i="18"/>
  <c r="L7" i="18"/>
  <c r="O5" i="18"/>
  <c r="M28" i="18"/>
  <c r="M24" i="18"/>
  <c r="M20" i="18"/>
  <c r="M16" i="18"/>
  <c r="M12" i="18"/>
  <c r="M7" i="18"/>
  <c r="L10" i="18"/>
  <c r="M11" i="18"/>
  <c r="L14" i="18"/>
  <c r="M15" i="18"/>
  <c r="L18" i="18"/>
  <c r="M19" i="18"/>
  <c r="L22" i="18"/>
  <c r="M23" i="18"/>
  <c r="L26" i="18"/>
  <c r="M27" i="18"/>
  <c r="L30" i="18"/>
  <c r="M31" i="18"/>
  <c r="M6" i="18"/>
  <c r="L9" i="18"/>
  <c r="M10" i="18"/>
  <c r="L13" i="18"/>
  <c r="M14" i="18"/>
  <c r="L17" i="18"/>
  <c r="M18" i="18"/>
  <c r="L21" i="18"/>
  <c r="M22" i="18"/>
  <c r="L25" i="18"/>
  <c r="M26" i="18"/>
  <c r="L29" i="18"/>
  <c r="M30" i="18"/>
  <c r="O180" i="13"/>
  <c r="O172" i="13"/>
  <c r="O182" i="13"/>
  <c r="J6" i="13"/>
  <c r="H83" i="18"/>
  <c r="H83" i="19"/>
  <c r="F66" i="27"/>
  <c r="H88" i="19"/>
  <c r="H90" i="19"/>
  <c r="H92" i="19"/>
  <c r="E61" i="27"/>
  <c r="E58" i="27"/>
  <c r="E45" i="27"/>
  <c r="E41" i="27"/>
  <c r="H84" i="18"/>
  <c r="H85" i="18"/>
  <c r="F43" i="27"/>
  <c r="F39" i="27"/>
  <c r="H90" i="18"/>
  <c r="H84" i="19"/>
  <c r="G36" i="18"/>
  <c r="H45" i="27"/>
  <c r="G40" i="18"/>
  <c r="G33" i="18"/>
  <c r="G28" i="18"/>
  <c r="K133" i="19"/>
  <c r="K129" i="19"/>
  <c r="K128" i="19"/>
  <c r="K117" i="19"/>
  <c r="O117" i="19" s="1"/>
  <c r="K104" i="19"/>
  <c r="K101" i="19"/>
  <c r="K97" i="19"/>
  <c r="K126" i="19"/>
  <c r="K118" i="19"/>
  <c r="K110" i="19"/>
  <c r="K106" i="19"/>
  <c r="O106" i="19" s="1"/>
  <c r="H67" i="27"/>
  <c r="J6" i="19"/>
  <c r="J7" i="19" s="1"/>
  <c r="J55" i="27"/>
  <c r="J66" i="27"/>
  <c r="I67" i="27"/>
  <c r="K55" i="27"/>
  <c r="K66" i="27"/>
  <c r="J67" i="27"/>
  <c r="H55" i="27"/>
  <c r="H66" i="27"/>
  <c r="K67" i="27"/>
  <c r="I55" i="27"/>
  <c r="I66" i="27"/>
  <c r="P23" i="27"/>
  <c r="R23" i="27" s="1"/>
  <c r="U21" i="27"/>
  <c r="I11" i="24"/>
  <c r="S85" i="27" s="1"/>
  <c r="G29" i="18"/>
  <c r="G38" i="18"/>
  <c r="G34" i="18"/>
  <c r="G30" i="18"/>
  <c r="G26" i="18"/>
  <c r="G39" i="18"/>
  <c r="G27" i="18"/>
  <c r="G35" i="18"/>
  <c r="G31" i="18"/>
  <c r="J6" i="18"/>
  <c r="X5" i="18"/>
  <c r="I45" i="27"/>
  <c r="I51" i="27"/>
  <c r="H43" i="27"/>
  <c r="K45" i="27"/>
  <c r="H48" i="27"/>
  <c r="H51" i="27"/>
  <c r="J43" i="27"/>
  <c r="J51" i="27"/>
  <c r="H46" i="27"/>
  <c r="O152" i="26"/>
  <c r="O168" i="26"/>
  <c r="O189" i="26"/>
  <c r="O184" i="26"/>
  <c r="O200" i="26"/>
  <c r="O205" i="26"/>
  <c r="AL70" i="18"/>
  <c r="O183" i="13"/>
  <c r="K166" i="13"/>
  <c r="O166" i="13"/>
  <c r="K167" i="13"/>
  <c r="O167" i="13"/>
  <c r="O192" i="13"/>
  <c r="O174" i="13"/>
  <c r="O177" i="13"/>
  <c r="O193" i="13"/>
  <c r="K190" i="13"/>
  <c r="O190" i="13"/>
  <c r="O179" i="13"/>
  <c r="O205" i="13"/>
  <c r="K175" i="13"/>
  <c r="O175" i="13"/>
  <c r="K191" i="13"/>
  <c r="O191" i="13"/>
  <c r="O165" i="26"/>
  <c r="J72" i="27"/>
  <c r="H72" i="27"/>
  <c r="S91" i="20"/>
  <c r="R92" i="20"/>
  <c r="T90" i="20"/>
  <c r="X90" i="20"/>
  <c r="Y90" i="20"/>
  <c r="AF91" i="20"/>
  <c r="AI90" i="20"/>
  <c r="Q66" i="18"/>
  <c r="O188" i="26"/>
  <c r="O204" i="26"/>
  <c r="O156" i="26"/>
  <c r="O172" i="26"/>
  <c r="O143" i="26"/>
  <c r="O142" i="26"/>
  <c r="I78" i="27"/>
  <c r="L77" i="27"/>
  <c r="AT97" i="13"/>
  <c r="Z113" i="27"/>
  <c r="L112" i="27"/>
  <c r="L106" i="27"/>
  <c r="O164" i="26"/>
  <c r="L104" i="27"/>
  <c r="L108" i="27"/>
  <c r="S85" i="21"/>
  <c r="T85" i="21"/>
  <c r="X85" i="21"/>
  <c r="Y85" i="21"/>
  <c r="R86" i="21"/>
  <c r="L109" i="27"/>
  <c r="AI87" i="21"/>
  <c r="AF88" i="21"/>
  <c r="AB213" i="27"/>
  <c r="L115" i="27"/>
  <c r="O149" i="26"/>
  <c r="O144" i="26"/>
  <c r="L82" i="27"/>
  <c r="L73" i="27"/>
  <c r="L81" i="27"/>
  <c r="L79" i="27"/>
  <c r="K78" i="27"/>
  <c r="H78" i="27"/>
  <c r="O128" i="19"/>
  <c r="T169" i="13"/>
  <c r="X169" i="13"/>
  <c r="AQ72" i="13"/>
  <c r="T171" i="13"/>
  <c r="X171" i="13"/>
  <c r="T189" i="13"/>
  <c r="T178" i="13"/>
  <c r="X178" i="13"/>
  <c r="T197" i="13"/>
  <c r="X197" i="13"/>
  <c r="T167" i="13"/>
  <c r="X167" i="13"/>
  <c r="T172" i="13"/>
  <c r="X172" i="13"/>
  <c r="T175" i="13"/>
  <c r="X175" i="13"/>
  <c r="T193" i="13"/>
  <c r="X193" i="13"/>
  <c r="T205" i="13"/>
  <c r="X205" i="13"/>
  <c r="T179" i="13"/>
  <c r="X179" i="13"/>
  <c r="O170" i="13"/>
  <c r="O178" i="13"/>
  <c r="O197" i="13"/>
  <c r="O188" i="13"/>
  <c r="O204" i="13"/>
  <c r="O181" i="13"/>
  <c r="O173" i="13"/>
  <c r="O196" i="13"/>
  <c r="O189" i="13"/>
  <c r="O186" i="13"/>
  <c r="O203" i="13"/>
  <c r="AT75" i="18"/>
  <c r="AS75" i="18"/>
  <c r="AR75" i="18"/>
  <c r="AQ75" i="18"/>
  <c r="AQ74" i="18"/>
  <c r="AT74" i="18"/>
  <c r="AS74" i="18"/>
  <c r="AR74" i="18"/>
  <c r="AB75" i="18"/>
  <c r="AT73" i="18"/>
  <c r="AS73" i="18"/>
  <c r="AR73" i="18"/>
  <c r="AQ73" i="18"/>
  <c r="AQ71" i="18"/>
  <c r="AT71" i="18"/>
  <c r="AR71" i="18"/>
  <c r="AS71" i="18"/>
  <c r="AS72" i="18"/>
  <c r="AQ72" i="18"/>
  <c r="AT72" i="18"/>
  <c r="AR72" i="18"/>
  <c r="O174" i="26"/>
  <c r="O182" i="26"/>
  <c r="O198" i="26"/>
  <c r="O158" i="26"/>
  <c r="O161" i="26"/>
  <c r="O145" i="26"/>
  <c r="O171" i="26"/>
  <c r="O179" i="26"/>
  <c r="O195" i="26"/>
  <c r="O167" i="26"/>
  <c r="O180" i="26"/>
  <c r="O183" i="26"/>
  <c r="O199" i="26"/>
  <c r="O166" i="26"/>
  <c r="O196" i="26"/>
  <c r="O150" i="26"/>
  <c r="O175" i="26"/>
  <c r="O187" i="26"/>
  <c r="O203" i="26"/>
  <c r="O153" i="26"/>
  <c r="O169" i="26"/>
  <c r="O181" i="26"/>
  <c r="L89" i="27"/>
  <c r="AT67" i="18"/>
  <c r="AS67" i="18"/>
  <c r="AR67" i="18"/>
  <c r="AQ67" i="18"/>
  <c r="AS69" i="18"/>
  <c r="AR69" i="18"/>
  <c r="AQ69" i="18"/>
  <c r="AT69" i="18"/>
  <c r="AT66" i="18"/>
  <c r="AS66" i="18"/>
  <c r="AR66" i="18"/>
  <c r="AQ66" i="18"/>
  <c r="AR70" i="18"/>
  <c r="AQ70" i="18"/>
  <c r="AT70" i="18"/>
  <c r="AS70" i="18"/>
  <c r="AT68" i="18"/>
  <c r="AS68" i="18"/>
  <c r="AR68" i="18"/>
  <c r="AQ68" i="18"/>
  <c r="AB70" i="18"/>
  <c r="L103" i="27"/>
  <c r="L110" i="27"/>
  <c r="L113" i="27"/>
  <c r="L105" i="27"/>
  <c r="L107" i="27"/>
  <c r="L111" i="27"/>
  <c r="L114" i="27"/>
  <c r="O202" i="26"/>
  <c r="O186" i="26"/>
  <c r="O157" i="26"/>
  <c r="O148" i="26"/>
  <c r="O141" i="26"/>
  <c r="O173" i="26"/>
  <c r="O163" i="26"/>
  <c r="O170" i="26"/>
  <c r="O191" i="26"/>
  <c r="O154" i="26"/>
  <c r="O194" i="26"/>
  <c r="O147" i="26"/>
  <c r="O178" i="26"/>
  <c r="O160" i="26"/>
  <c r="O176" i="26"/>
  <c r="L87" i="27"/>
  <c r="O151" i="26"/>
  <c r="O197" i="26"/>
  <c r="K6" i="26"/>
  <c r="O6" i="26"/>
  <c r="Y6" i="26"/>
  <c r="O177" i="26"/>
  <c r="O190" i="26"/>
  <c r="O193" i="26"/>
  <c r="O192" i="26"/>
  <c r="O146" i="26"/>
  <c r="O162" i="26"/>
  <c r="L90" i="27"/>
  <c r="L91" i="27"/>
  <c r="J8" i="26"/>
  <c r="K7" i="26"/>
  <c r="O7" i="26"/>
  <c r="L93" i="27"/>
  <c r="Y5" i="26"/>
  <c r="L94" i="27"/>
  <c r="L88" i="27"/>
  <c r="L92" i="27"/>
  <c r="S7" i="26"/>
  <c r="R8" i="26"/>
  <c r="H95" i="27"/>
  <c r="I95" i="27"/>
  <c r="J95" i="27"/>
  <c r="K95" i="27"/>
  <c r="L75" i="27"/>
  <c r="L76" i="27"/>
  <c r="L74" i="27"/>
  <c r="L71" i="27"/>
  <c r="H80" i="27"/>
  <c r="I80" i="27"/>
  <c r="J80" i="27"/>
  <c r="K80" i="27"/>
  <c r="T170" i="13"/>
  <c r="T181" i="13"/>
  <c r="T192" i="13"/>
  <c r="T166" i="13"/>
  <c r="T196" i="13"/>
  <c r="X201" i="13"/>
  <c r="X203" i="13"/>
  <c r="T200" i="13"/>
  <c r="T174" i="13"/>
  <c r="T204" i="13"/>
  <c r="T177" i="13"/>
  <c r="T188" i="13"/>
  <c r="T186" i="13"/>
  <c r="T182" i="13"/>
  <c r="T173" i="13"/>
  <c r="T184" i="13"/>
  <c r="T185" i="13"/>
  <c r="T194" i="13"/>
  <c r="T190" i="13"/>
  <c r="T202" i="13"/>
  <c r="T187" i="13"/>
  <c r="T198" i="13"/>
  <c r="T183" i="13"/>
  <c r="T168" i="13"/>
  <c r="T195" i="13"/>
  <c r="T191" i="13"/>
  <c r="T176" i="13"/>
  <c r="T180" i="13"/>
  <c r="T199" i="13"/>
  <c r="Y5" i="13"/>
  <c r="AS112" i="13"/>
  <c r="Y128" i="27"/>
  <c r="AS72" i="13"/>
  <c r="AT87" i="13"/>
  <c r="AT39" i="13"/>
  <c r="AQ90" i="13"/>
  <c r="AT129" i="13"/>
  <c r="Z145" i="27"/>
  <c r="H39" i="27"/>
  <c r="J39" i="27"/>
  <c r="I39" i="27"/>
  <c r="AT105" i="13"/>
  <c r="Z121" i="27"/>
  <c r="AT113" i="13"/>
  <c r="Z129" i="27"/>
  <c r="AR105" i="13"/>
  <c r="X121" i="27"/>
  <c r="AT111" i="13"/>
  <c r="Z127" i="27"/>
  <c r="AT63" i="13"/>
  <c r="AS27" i="13"/>
  <c r="AT27" i="13"/>
  <c r="AS90" i="13"/>
  <c r="AS96" i="13"/>
  <c r="Y112" i="27"/>
  <c r="AR72" i="13"/>
  <c r="AS80" i="13"/>
  <c r="AT95" i="13"/>
  <c r="AR80" i="13"/>
  <c r="AT80" i="13"/>
  <c r="AQ80" i="13"/>
  <c r="AT47" i="13"/>
  <c r="AT112" i="13"/>
  <c r="AS128" i="13"/>
  <c r="Y144" i="27"/>
  <c r="AR89" i="13"/>
  <c r="AT122" i="13"/>
  <c r="AT145" i="13"/>
  <c r="Z161" i="27"/>
  <c r="AS104" i="13"/>
  <c r="Y120" i="27"/>
  <c r="AT152" i="13"/>
  <c r="AT114" i="13"/>
  <c r="AT88" i="13"/>
  <c r="AS88" i="13"/>
  <c r="AT104" i="13"/>
  <c r="AR97" i="13"/>
  <c r="X113" i="27"/>
  <c r="AG66" i="18"/>
  <c r="AG67" i="18"/>
  <c r="AG68" i="18"/>
  <c r="AG69" i="18"/>
  <c r="AQ44" i="13"/>
  <c r="AS44" i="13"/>
  <c r="AT44" i="13"/>
  <c r="AR44" i="13"/>
  <c r="AS53" i="13"/>
  <c r="AT53" i="13"/>
  <c r="AR53" i="13"/>
  <c r="AQ53" i="13"/>
  <c r="AT40" i="13"/>
  <c r="AQ40" i="13"/>
  <c r="AR40" i="13"/>
  <c r="AS69" i="13"/>
  <c r="AR69" i="13"/>
  <c r="AT69" i="13"/>
  <c r="AQ69" i="13"/>
  <c r="AQ50" i="13"/>
  <c r="AT50" i="13"/>
  <c r="AR50" i="13"/>
  <c r="AS50" i="13"/>
  <c r="AQ45" i="13"/>
  <c r="AR45" i="13"/>
  <c r="AS45" i="13"/>
  <c r="AT45" i="13"/>
  <c r="AQ27" i="13"/>
  <c r="AR150" i="13"/>
  <c r="AQ150" i="13"/>
  <c r="AT150" i="13"/>
  <c r="Z166" i="27"/>
  <c r="AS150" i="13"/>
  <c r="AQ124" i="13"/>
  <c r="W140" i="27"/>
  <c r="AT124" i="13"/>
  <c r="AS124" i="13"/>
  <c r="AR124" i="13"/>
  <c r="AQ92" i="13"/>
  <c r="AS92" i="13"/>
  <c r="AT92" i="13"/>
  <c r="AR92" i="13"/>
  <c r="AQ151" i="13"/>
  <c r="AR151" i="13"/>
  <c r="AS151" i="13"/>
  <c r="Y167" i="27"/>
  <c r="AR142" i="13"/>
  <c r="AS142" i="13"/>
  <c r="AT142" i="13"/>
  <c r="Z158" i="27"/>
  <c r="AQ142" i="13"/>
  <c r="AQ114" i="13"/>
  <c r="W130" i="27"/>
  <c r="AR114" i="13"/>
  <c r="AS114" i="13"/>
  <c r="Y130" i="27"/>
  <c r="AR54" i="13"/>
  <c r="AQ54" i="13"/>
  <c r="AT54" i="13"/>
  <c r="AS54" i="13"/>
  <c r="AQ154" i="13"/>
  <c r="W170" i="27"/>
  <c r="AT154" i="13"/>
  <c r="AS154" i="13"/>
  <c r="Y170" i="27"/>
  <c r="AR154" i="13"/>
  <c r="AS117" i="13"/>
  <c r="AT117" i="13"/>
  <c r="AR117" i="13"/>
  <c r="AQ117" i="13"/>
  <c r="AS149" i="13"/>
  <c r="AR149" i="13"/>
  <c r="AT149" i="13"/>
  <c r="AQ149" i="13"/>
  <c r="AQ130" i="13"/>
  <c r="W146" i="27"/>
  <c r="AS130" i="13"/>
  <c r="Y146" i="27"/>
  <c r="AR130" i="13"/>
  <c r="AQ136" i="13"/>
  <c r="AR136" i="13"/>
  <c r="X152" i="27"/>
  <c r="AQ55" i="13"/>
  <c r="AS55" i="13"/>
  <c r="AR55" i="13"/>
  <c r="AS109" i="13"/>
  <c r="AR109" i="13"/>
  <c r="AT109" i="13"/>
  <c r="AQ109" i="13"/>
  <c r="AQ63" i="13"/>
  <c r="AS63" i="13"/>
  <c r="AR63" i="13"/>
  <c r="AT89" i="13"/>
  <c r="AR46" i="13"/>
  <c r="AQ46" i="13"/>
  <c r="AT46" i="13"/>
  <c r="AS46" i="13"/>
  <c r="AQ66" i="13"/>
  <c r="AT66" i="13"/>
  <c r="AS66" i="13"/>
  <c r="AR66" i="13"/>
  <c r="AQ67" i="13"/>
  <c r="AT67" i="13"/>
  <c r="AR67" i="13"/>
  <c r="AS67" i="13"/>
  <c r="AQ68" i="13"/>
  <c r="AT68" i="13"/>
  <c r="AS68" i="13"/>
  <c r="AR68" i="13"/>
  <c r="AQ143" i="13"/>
  <c r="AS143" i="13"/>
  <c r="Y159" i="27"/>
  <c r="AR143" i="13"/>
  <c r="AQ144" i="13"/>
  <c r="AR144" i="13"/>
  <c r="X160" i="27"/>
  <c r="AR126" i="13"/>
  <c r="AS126" i="13"/>
  <c r="AQ126" i="13"/>
  <c r="AT126" i="13"/>
  <c r="Z142" i="27"/>
  <c r="AQ76" i="13"/>
  <c r="AS76" i="13"/>
  <c r="AT76" i="13"/>
  <c r="AR76" i="13"/>
  <c r="AQ152" i="13"/>
  <c r="AR152" i="13"/>
  <c r="X168" i="27"/>
  <c r="AT144" i="13"/>
  <c r="AR121" i="13"/>
  <c r="X137" i="27"/>
  <c r="AQ121" i="13"/>
  <c r="W137" i="27"/>
  <c r="AS121" i="13"/>
  <c r="AQ88" i="13"/>
  <c r="AQ108" i="13"/>
  <c r="W124" i="27"/>
  <c r="AS108" i="13"/>
  <c r="AT108" i="13"/>
  <c r="AR108" i="13"/>
  <c r="AT151" i="13"/>
  <c r="Z167" i="27"/>
  <c r="AR137" i="13"/>
  <c r="X153" i="27"/>
  <c r="AQ137" i="13"/>
  <c r="W153" i="27"/>
  <c r="AS137" i="13"/>
  <c r="Y153" i="27"/>
  <c r="AQ82" i="13"/>
  <c r="AT127" i="13"/>
  <c r="Z143" i="27"/>
  <c r="AQ120" i="13"/>
  <c r="AR120" i="13"/>
  <c r="X136" i="27"/>
  <c r="AQ131" i="13"/>
  <c r="AS131" i="13"/>
  <c r="AT131" i="13"/>
  <c r="AR131" i="13"/>
  <c r="X147" i="27"/>
  <c r="AQ122" i="13"/>
  <c r="W138" i="27"/>
  <c r="AR122" i="13"/>
  <c r="AS122" i="13"/>
  <c r="Y138" i="27"/>
  <c r="AQ111" i="13"/>
  <c r="AS111" i="13"/>
  <c r="Y127" i="27"/>
  <c r="AR111" i="13"/>
  <c r="AT98" i="13"/>
  <c r="AS85" i="13"/>
  <c r="AR85" i="13"/>
  <c r="AT85" i="13"/>
  <c r="AQ85" i="13"/>
  <c r="AR62" i="13"/>
  <c r="AT62" i="13"/>
  <c r="AS62" i="13"/>
  <c r="AQ62" i="13"/>
  <c r="AT139" i="13"/>
  <c r="AQ139" i="13"/>
  <c r="AS139" i="13"/>
  <c r="AR139" i="13"/>
  <c r="X155" i="27"/>
  <c r="AR129" i="13"/>
  <c r="X145" i="27"/>
  <c r="AQ129" i="13"/>
  <c r="W145" i="27"/>
  <c r="AS129" i="13"/>
  <c r="AQ116" i="13"/>
  <c r="W132" i="27"/>
  <c r="AS116" i="13"/>
  <c r="AT116" i="13"/>
  <c r="AR116" i="13"/>
  <c r="AR88" i="13"/>
  <c r="AS77" i="13"/>
  <c r="AR77" i="13"/>
  <c r="AT77" i="13"/>
  <c r="AQ77" i="13"/>
  <c r="AQ52" i="13"/>
  <c r="AS52" i="13"/>
  <c r="AT52" i="13"/>
  <c r="AR52" i="13"/>
  <c r="AQ147" i="13"/>
  <c r="AR147" i="13"/>
  <c r="X163" i="27"/>
  <c r="AS147" i="13"/>
  <c r="AT147" i="13"/>
  <c r="AQ64" i="13"/>
  <c r="AT64" i="13"/>
  <c r="AR64" i="13"/>
  <c r="AQ59" i="13"/>
  <c r="AT59" i="13"/>
  <c r="AR59" i="13"/>
  <c r="AS59" i="13"/>
  <c r="AQ98" i="13"/>
  <c r="W114" i="27"/>
  <c r="AQ135" i="13"/>
  <c r="AR135" i="13"/>
  <c r="AS135" i="13"/>
  <c r="Y151" i="27"/>
  <c r="AS56" i="13"/>
  <c r="AT135" i="13"/>
  <c r="Z151" i="27"/>
  <c r="AQ99" i="13"/>
  <c r="AS99" i="13"/>
  <c r="AT99" i="13"/>
  <c r="AR99" i="13"/>
  <c r="X115" i="27"/>
  <c r="AS64" i="13"/>
  <c r="AQ132" i="13"/>
  <c r="W148" i="27"/>
  <c r="AS132" i="13"/>
  <c r="AT132" i="13"/>
  <c r="AR27" i="13"/>
  <c r="AQ146" i="13"/>
  <c r="W162" i="27"/>
  <c r="AR146" i="13"/>
  <c r="AS146" i="13"/>
  <c r="Y162" i="27"/>
  <c r="AR118" i="13"/>
  <c r="AQ118" i="13"/>
  <c r="AT118" i="13"/>
  <c r="Z134" i="27"/>
  <c r="AS118" i="13"/>
  <c r="AQ148" i="13"/>
  <c r="W164" i="27"/>
  <c r="AS148" i="13"/>
  <c r="AT148" i="13"/>
  <c r="AR148" i="13"/>
  <c r="AQ73" i="13"/>
  <c r="AT73" i="13"/>
  <c r="AS73" i="13"/>
  <c r="AR73" i="13"/>
  <c r="AS40" i="13"/>
  <c r="AT128" i="13"/>
  <c r="AS93" i="13"/>
  <c r="AR93" i="13"/>
  <c r="AT93" i="13"/>
  <c r="AQ93" i="13"/>
  <c r="AR132" i="13"/>
  <c r="AT119" i="13"/>
  <c r="Z135" i="27"/>
  <c r="AR110" i="13"/>
  <c r="AS110" i="13"/>
  <c r="AT110" i="13"/>
  <c r="Z126" i="27"/>
  <c r="AQ110" i="13"/>
  <c r="AQ95" i="13"/>
  <c r="AR95" i="13"/>
  <c r="AS95" i="13"/>
  <c r="AQ84" i="13"/>
  <c r="AT84" i="13"/>
  <c r="AS84" i="13"/>
  <c r="AR84" i="13"/>
  <c r="AQ51" i="13"/>
  <c r="AT51" i="13"/>
  <c r="AS51" i="13"/>
  <c r="AR51" i="13"/>
  <c r="AQ39" i="13"/>
  <c r="AS39" i="13"/>
  <c r="AR39" i="13"/>
  <c r="AR112" i="13"/>
  <c r="X128" i="27"/>
  <c r="AQ112" i="13"/>
  <c r="AS82" i="13"/>
  <c r="AT72" i="13"/>
  <c r="AQ61" i="13"/>
  <c r="AT61" i="13"/>
  <c r="AS61" i="13"/>
  <c r="AR61" i="13"/>
  <c r="AT137" i="13"/>
  <c r="Z153" i="27"/>
  <c r="AQ87" i="13"/>
  <c r="AR87" i="13"/>
  <c r="AS87" i="13"/>
  <c r="AQ43" i="13"/>
  <c r="AT43" i="13"/>
  <c r="AR43" i="13"/>
  <c r="AS43" i="13"/>
  <c r="AT143" i="13"/>
  <c r="Z159" i="27"/>
  <c r="AQ119" i="13"/>
  <c r="AR119" i="13"/>
  <c r="AS119" i="13"/>
  <c r="Y135" i="27"/>
  <c r="AQ83" i="13"/>
  <c r="AT83" i="13"/>
  <c r="AR83" i="13"/>
  <c r="AS83" i="13"/>
  <c r="AR134" i="13"/>
  <c r="AQ134" i="13"/>
  <c r="AT134" i="13"/>
  <c r="Z150" i="27"/>
  <c r="AS134" i="13"/>
  <c r="AR82" i="13"/>
  <c r="AT82" i="13"/>
  <c r="AR153" i="13"/>
  <c r="X169" i="27"/>
  <c r="AQ153" i="13"/>
  <c r="W169" i="27"/>
  <c r="AS153" i="13"/>
  <c r="AS141" i="13"/>
  <c r="AR141" i="13"/>
  <c r="AT141" i="13"/>
  <c r="AQ141" i="13"/>
  <c r="AS133" i="13"/>
  <c r="AT133" i="13"/>
  <c r="AR133" i="13"/>
  <c r="AQ133" i="13"/>
  <c r="AQ107" i="13"/>
  <c r="AT107" i="13"/>
  <c r="AS107" i="13"/>
  <c r="AR107" i="13"/>
  <c r="X123" i="27"/>
  <c r="AQ103" i="13"/>
  <c r="AR103" i="13"/>
  <c r="AS103" i="13"/>
  <c r="Y119" i="27"/>
  <c r="AQ74" i="13"/>
  <c r="AS74" i="13"/>
  <c r="AT74" i="13"/>
  <c r="AR74" i="13"/>
  <c r="AT115" i="13"/>
  <c r="AQ115" i="13"/>
  <c r="AR115" i="13"/>
  <c r="X131" i="27"/>
  <c r="AS115" i="13"/>
  <c r="AS105" i="13"/>
  <c r="AQ105" i="13"/>
  <c r="W121" i="27"/>
  <c r="AT130" i="13"/>
  <c r="AR94" i="13"/>
  <c r="AS94" i="13"/>
  <c r="AT94" i="13"/>
  <c r="AQ94" i="13"/>
  <c r="AQ60" i="13"/>
  <c r="AT60" i="13"/>
  <c r="AS60" i="13"/>
  <c r="AR60" i="13"/>
  <c r="AT120" i="13"/>
  <c r="AS136" i="13"/>
  <c r="Y152" i="27"/>
  <c r="AR113" i="13"/>
  <c r="X129" i="27"/>
  <c r="AQ113" i="13"/>
  <c r="W129" i="27"/>
  <c r="AS113" i="13"/>
  <c r="AS98" i="13"/>
  <c r="Y114" i="27"/>
  <c r="AR86" i="13"/>
  <c r="AQ86" i="13"/>
  <c r="AS86" i="13"/>
  <c r="AT86" i="13"/>
  <c r="AQ42" i="13"/>
  <c r="AT42" i="13"/>
  <c r="AS42" i="13"/>
  <c r="AR42" i="13"/>
  <c r="AQ91" i="13"/>
  <c r="AT91" i="13"/>
  <c r="AR91" i="13"/>
  <c r="AS91" i="13"/>
  <c r="AT123" i="13"/>
  <c r="AQ123" i="13"/>
  <c r="AR123" i="13"/>
  <c r="X139" i="27"/>
  <c r="AS123" i="13"/>
  <c r="AQ127" i="13"/>
  <c r="AS127" i="13"/>
  <c r="Y143" i="27"/>
  <c r="AR127" i="13"/>
  <c r="AQ58" i="13"/>
  <c r="AT58" i="13"/>
  <c r="AS58" i="13"/>
  <c r="AR58" i="13"/>
  <c r="AS37" i="13"/>
  <c r="AR37" i="13"/>
  <c r="AT37" i="13"/>
  <c r="AQ37" i="13"/>
  <c r="AQ79" i="13"/>
  <c r="AS79" i="13"/>
  <c r="AR79" i="13"/>
  <c r="AR78" i="13"/>
  <c r="AT78" i="13"/>
  <c r="AQ78" i="13"/>
  <c r="AS78" i="13"/>
  <c r="AQ71" i="13"/>
  <c r="AS71" i="13"/>
  <c r="AR71" i="13"/>
  <c r="AT146" i="13"/>
  <c r="AQ104" i="13"/>
  <c r="AR104" i="13"/>
  <c r="X120" i="27"/>
  <c r="AR145" i="13"/>
  <c r="X161" i="27"/>
  <c r="AQ145" i="13"/>
  <c r="W161" i="27"/>
  <c r="AS145" i="13"/>
  <c r="AR102" i="13"/>
  <c r="AQ102" i="13"/>
  <c r="AS102" i="13"/>
  <c r="AT102" i="13"/>
  <c r="Z118" i="27"/>
  <c r="AQ36" i="13"/>
  <c r="AS36" i="13"/>
  <c r="AT36" i="13"/>
  <c r="AR36" i="13"/>
  <c r="AR38" i="13"/>
  <c r="AQ38" i="13"/>
  <c r="AT38" i="13"/>
  <c r="AS38" i="13"/>
  <c r="AR81" i="13"/>
  <c r="AQ106" i="13"/>
  <c r="W122" i="27"/>
  <c r="AT106" i="13"/>
  <c r="AS106" i="13"/>
  <c r="Y122" i="27"/>
  <c r="AR106" i="13"/>
  <c r="AT121" i="13"/>
  <c r="Z137" i="27"/>
  <c r="AQ97" i="13"/>
  <c r="W113" i="27"/>
  <c r="AS97" i="13"/>
  <c r="AQ48" i="13"/>
  <c r="AT48" i="13"/>
  <c r="AR98" i="13"/>
  <c r="AS125" i="13"/>
  <c r="AR125" i="13"/>
  <c r="AT125" i="13"/>
  <c r="AQ125" i="13"/>
  <c r="AQ138" i="13"/>
  <c r="W154" i="27"/>
  <c r="AT138" i="13"/>
  <c r="AR138" i="13"/>
  <c r="AS138" i="13"/>
  <c r="Y154" i="27"/>
  <c r="AQ56" i="13"/>
  <c r="AT56" i="13"/>
  <c r="AR56" i="13"/>
  <c r="AQ81" i="13"/>
  <c r="AT81" i="13"/>
  <c r="AS81" i="13"/>
  <c r="AQ100" i="13"/>
  <c r="W116" i="27"/>
  <c r="AT100" i="13"/>
  <c r="AS100" i="13"/>
  <c r="AR100" i="13"/>
  <c r="AQ49" i="13"/>
  <c r="AT49" i="13"/>
  <c r="AS49" i="13"/>
  <c r="AR49" i="13"/>
  <c r="AS144" i="13"/>
  <c r="Y160" i="27"/>
  <c r="AQ89" i="13"/>
  <c r="AS89" i="13"/>
  <c r="AR128" i="13"/>
  <c r="X144" i="27"/>
  <c r="AQ128" i="13"/>
  <c r="AS101" i="13"/>
  <c r="AR101" i="13"/>
  <c r="AT101" i="13"/>
  <c r="AQ101" i="13"/>
  <c r="AQ140" i="13"/>
  <c r="W156" i="27"/>
  <c r="AS140" i="13"/>
  <c r="AT140" i="13"/>
  <c r="AR140" i="13"/>
  <c r="AT79" i="13"/>
  <c r="AQ47" i="13"/>
  <c r="AS47" i="13"/>
  <c r="AR47" i="13"/>
  <c r="AT103" i="13"/>
  <c r="Z119" i="27"/>
  <c r="AR90" i="13"/>
  <c r="AT90" i="13"/>
  <c r="AT55" i="13"/>
  <c r="AQ41" i="13"/>
  <c r="AT41" i="13"/>
  <c r="AR41" i="13"/>
  <c r="AS41" i="13"/>
  <c r="AS120" i="13"/>
  <c r="Y136" i="27"/>
  <c r="AQ96" i="13"/>
  <c r="AR96" i="13"/>
  <c r="X112" i="27"/>
  <c r="AT96" i="13"/>
  <c r="AT71" i="13"/>
  <c r="AQ57" i="13"/>
  <c r="AT57" i="13"/>
  <c r="AR57" i="13"/>
  <c r="AS57" i="13"/>
  <c r="AB194" i="27"/>
  <c r="B58" i="27"/>
  <c r="AQ19" i="13"/>
  <c r="AR19" i="13"/>
  <c r="AT19" i="13"/>
  <c r="AS19" i="13"/>
  <c r="AQ17" i="13"/>
  <c r="AR17" i="13"/>
  <c r="AS17" i="13"/>
  <c r="AT17" i="13"/>
  <c r="AT10" i="13"/>
  <c r="AQ10" i="13"/>
  <c r="AS10" i="13"/>
  <c r="AR10" i="13"/>
  <c r="I35" i="27"/>
  <c r="J35" i="27"/>
  <c r="K35" i="27"/>
  <c r="H35" i="27"/>
  <c r="AS24" i="13"/>
  <c r="AT24" i="13"/>
  <c r="AR24" i="13"/>
  <c r="AQ24" i="13"/>
  <c r="AQ29" i="13"/>
  <c r="AR29" i="13"/>
  <c r="AT29" i="13"/>
  <c r="AS29" i="13"/>
  <c r="AQ21" i="13"/>
  <c r="AR21" i="13"/>
  <c r="AT21" i="13"/>
  <c r="AS21" i="13"/>
  <c r="AT12" i="13"/>
  <c r="AQ12" i="13"/>
  <c r="AS12" i="13"/>
  <c r="AR12" i="13"/>
  <c r="AS16" i="13"/>
  <c r="AT16" i="13"/>
  <c r="AR16" i="13"/>
  <c r="AQ16" i="13"/>
  <c r="AS20" i="13"/>
  <c r="AT20" i="13"/>
  <c r="AR20" i="13"/>
  <c r="AQ20" i="13"/>
  <c r="AS11" i="13"/>
  <c r="AT11" i="13"/>
  <c r="AR11" i="13"/>
  <c r="AQ11" i="13"/>
  <c r="AQ28" i="13"/>
  <c r="AR28" i="13"/>
  <c r="AT28" i="13"/>
  <c r="AS28" i="13"/>
  <c r="AS26" i="13"/>
  <c r="AT26" i="13"/>
  <c r="AR26" i="13"/>
  <c r="AQ26" i="13"/>
  <c r="AS32" i="13"/>
  <c r="AT32" i="13"/>
  <c r="AR32" i="13"/>
  <c r="AQ32" i="13"/>
  <c r="AY6" i="13"/>
  <c r="AY7" i="13"/>
  <c r="AY8" i="13"/>
  <c r="AY9" i="13"/>
  <c r="AY10" i="13"/>
  <c r="AY11" i="13"/>
  <c r="AY12" i="13"/>
  <c r="AY13" i="13"/>
  <c r="AY14" i="13"/>
  <c r="AY15" i="13"/>
  <c r="AY16" i="13"/>
  <c r="AY17" i="13"/>
  <c r="AY18" i="13"/>
  <c r="AY19" i="13"/>
  <c r="AY20" i="13"/>
  <c r="AY21" i="13"/>
  <c r="AY22" i="13"/>
  <c r="AY23" i="13"/>
  <c r="AY24" i="13"/>
  <c r="AY25" i="13"/>
  <c r="AY26" i="13"/>
  <c r="AY27" i="13"/>
  <c r="AY28" i="13"/>
  <c r="AY29" i="13"/>
  <c r="AY30" i="13"/>
  <c r="AY31" i="13"/>
  <c r="AY32" i="13"/>
  <c r="AY33" i="13"/>
  <c r="AY34" i="13"/>
  <c r="AY35" i="13"/>
  <c r="C123" i="13"/>
  <c r="AS6" i="13"/>
  <c r="AT6" i="13"/>
  <c r="AQ6" i="13"/>
  <c r="AR6" i="13"/>
  <c r="AS9" i="13"/>
  <c r="AT9" i="13"/>
  <c r="AR9" i="13"/>
  <c r="AQ9" i="13"/>
  <c r="AQ14" i="13"/>
  <c r="AR14" i="13"/>
  <c r="AS14" i="13"/>
  <c r="AT14" i="13"/>
  <c r="AQ7" i="13"/>
  <c r="AR7" i="13"/>
  <c r="AS7" i="13"/>
  <c r="AT7" i="13"/>
  <c r="AQ8" i="13"/>
  <c r="AR8" i="13"/>
  <c r="AT8" i="13"/>
  <c r="AS8" i="13"/>
  <c r="AT25" i="13"/>
  <c r="AQ25" i="13"/>
  <c r="AR25" i="13"/>
  <c r="AS25" i="13"/>
  <c r="AF6" i="13"/>
  <c r="AG6" i="13"/>
  <c r="AG7" i="13"/>
  <c r="AG8" i="13"/>
  <c r="AG9" i="13"/>
  <c r="AG10" i="13"/>
  <c r="AG11" i="13"/>
  <c r="AG12" i="13"/>
  <c r="AG13" i="13"/>
  <c r="AG14" i="13"/>
  <c r="AG15" i="13"/>
  <c r="AG16" i="13"/>
  <c r="AG17" i="13"/>
  <c r="AG18" i="13"/>
  <c r="AG19" i="13"/>
  <c r="AG20" i="13"/>
  <c r="AG21" i="13"/>
  <c r="AG22" i="13"/>
  <c r="AG23" i="13"/>
  <c r="AG24" i="13"/>
  <c r="AG25" i="13"/>
  <c r="AG26" i="13"/>
  <c r="AG27" i="13"/>
  <c r="AG28" i="13"/>
  <c r="AG29" i="13"/>
  <c r="AG30" i="13"/>
  <c r="AG31" i="13"/>
  <c r="AG32" i="13"/>
  <c r="AG33" i="13"/>
  <c r="AG34" i="13"/>
  <c r="AG35" i="13"/>
  <c r="AG36" i="13"/>
  <c r="AG37" i="13"/>
  <c r="AG38" i="13"/>
  <c r="AG39" i="13"/>
  <c r="AG40" i="13"/>
  <c r="AG41" i="13"/>
  <c r="AG42" i="13"/>
  <c r="AG43" i="13"/>
  <c r="AG44" i="13"/>
  <c r="AG45" i="13"/>
  <c r="AG46" i="13"/>
  <c r="AG47" i="13"/>
  <c r="AG48" i="13"/>
  <c r="AG49" i="13"/>
  <c r="AG50" i="13"/>
  <c r="AG51" i="13"/>
  <c r="AG52" i="13"/>
  <c r="AG53" i="13"/>
  <c r="AG54" i="13"/>
  <c r="AG55" i="13"/>
  <c r="AG56" i="13"/>
  <c r="AG57" i="13"/>
  <c r="AG58" i="13"/>
  <c r="AG59" i="13"/>
  <c r="AG60" i="13"/>
  <c r="AG61" i="13"/>
  <c r="AG62" i="13"/>
  <c r="AG63" i="13"/>
  <c r="AG64" i="13"/>
  <c r="AH6" i="13"/>
  <c r="AH7" i="13"/>
  <c r="AH8" i="13"/>
  <c r="AH9" i="13"/>
  <c r="AH10" i="13"/>
  <c r="AH11" i="13"/>
  <c r="AH12" i="13"/>
  <c r="AH13" i="13"/>
  <c r="AH14" i="13"/>
  <c r="AH15" i="13"/>
  <c r="AH16" i="13"/>
  <c r="AH17" i="13"/>
  <c r="AH18" i="13"/>
  <c r="AH19" i="13"/>
  <c r="AH20" i="13"/>
  <c r="AH21" i="13"/>
  <c r="AH22" i="13"/>
  <c r="AH23" i="13"/>
  <c r="AH24" i="13"/>
  <c r="AH25" i="13"/>
  <c r="AH26" i="13"/>
  <c r="AH27" i="13"/>
  <c r="AH28" i="13"/>
  <c r="AH29" i="13"/>
  <c r="AH30" i="13"/>
  <c r="AH31" i="13"/>
  <c r="AH32" i="13"/>
  <c r="AH33" i="13"/>
  <c r="AH34" i="13"/>
  <c r="AH35" i="13"/>
  <c r="AH36" i="13"/>
  <c r="AH37" i="13"/>
  <c r="AH38" i="13"/>
  <c r="AH39" i="13"/>
  <c r="AH40" i="13"/>
  <c r="AH41" i="13"/>
  <c r="AH42" i="13"/>
  <c r="AH43" i="13"/>
  <c r="AH44" i="13"/>
  <c r="AH45" i="13"/>
  <c r="AH46" i="13"/>
  <c r="AH47" i="13"/>
  <c r="AH48" i="13"/>
  <c r="AH49" i="13"/>
  <c r="AH50" i="13"/>
  <c r="AH51" i="13"/>
  <c r="AH52" i="13"/>
  <c r="AH53" i="13"/>
  <c r="AH54" i="13"/>
  <c r="AH55" i="13"/>
  <c r="AH56" i="13"/>
  <c r="AH57" i="13"/>
  <c r="AH58" i="13"/>
  <c r="AH59" i="13"/>
  <c r="AH60" i="13"/>
  <c r="AH61" i="13"/>
  <c r="AH62" i="13"/>
  <c r="AH63" i="13"/>
  <c r="AH64" i="13"/>
  <c r="AT35" i="13"/>
  <c r="AS35" i="13"/>
  <c r="AR35" i="13"/>
  <c r="AQ35" i="13"/>
  <c r="AT23" i="13"/>
  <c r="AQ23" i="13"/>
  <c r="AS23" i="13"/>
  <c r="AR23" i="13"/>
  <c r="AT22" i="13"/>
  <c r="AQ22" i="13"/>
  <c r="AR22" i="13"/>
  <c r="AS22" i="13"/>
  <c r="H23" i="27"/>
  <c r="K23" i="27"/>
  <c r="J23" i="27"/>
  <c r="I23" i="27"/>
  <c r="AQ18" i="13"/>
  <c r="AR18" i="13"/>
  <c r="AS18" i="13"/>
  <c r="AT18" i="13"/>
  <c r="AQ13" i="13"/>
  <c r="AR13" i="13"/>
  <c r="AS13" i="13"/>
  <c r="AT13" i="13"/>
  <c r="AS5" i="13"/>
  <c r="AT5" i="13"/>
  <c r="AR5" i="13"/>
  <c r="AQ5" i="13"/>
  <c r="AS33" i="13"/>
  <c r="AT33" i="13"/>
  <c r="AR33" i="13"/>
  <c r="AQ33" i="13"/>
  <c r="AS30" i="13"/>
  <c r="AT30" i="13"/>
  <c r="AR30" i="13"/>
  <c r="AQ30" i="13"/>
  <c r="AS34" i="13"/>
  <c r="AT34" i="13"/>
  <c r="AR34" i="13"/>
  <c r="AQ34" i="13"/>
  <c r="AT15" i="13"/>
  <c r="AQ15" i="13"/>
  <c r="AS15" i="13"/>
  <c r="AR15" i="13"/>
  <c r="AS31" i="13"/>
  <c r="AT31" i="13"/>
  <c r="AR31" i="13"/>
  <c r="AQ31" i="13"/>
  <c r="AB197" i="27"/>
  <c r="AB212" i="27"/>
  <c r="AB219" i="27"/>
  <c r="AB196" i="27"/>
  <c r="AB210" i="27"/>
  <c r="Y5" i="18"/>
  <c r="S53" i="27"/>
  <c r="K6" i="13"/>
  <c r="J7" i="13"/>
  <c r="D5" i="27"/>
  <c r="P12" i="24" s="1"/>
  <c r="AB206" i="27"/>
  <c r="AB190" i="27"/>
  <c r="AB209" i="27"/>
  <c r="AB193" i="27"/>
  <c r="AB208" i="27"/>
  <c r="AB192" i="27"/>
  <c r="K6" i="19"/>
  <c r="AB183" i="27"/>
  <c r="AB199" i="27"/>
  <c r="AB215" i="27"/>
  <c r="AB187" i="27"/>
  <c r="AB218" i="27"/>
  <c r="AB202" i="27"/>
  <c r="AB186" i="27"/>
  <c r="AB221" i="27"/>
  <c r="AB205" i="27"/>
  <c r="AB189" i="27"/>
  <c r="AB220" i="27"/>
  <c r="AB204" i="27"/>
  <c r="AB188" i="27"/>
  <c r="AB191" i="27"/>
  <c r="AB211" i="27"/>
  <c r="AB203" i="27"/>
  <c r="AB214" i="27"/>
  <c r="AB198" i="27"/>
  <c r="AB182" i="27"/>
  <c r="AB217" i="27"/>
  <c r="AB201" i="27"/>
  <c r="AB185" i="27"/>
  <c r="AB216" i="27"/>
  <c r="AB200" i="27"/>
  <c r="AB184" i="27"/>
  <c r="AB207" i="27"/>
  <c r="S95" i="27"/>
  <c r="S122" i="27"/>
  <c r="K6" i="18"/>
  <c r="O6" i="18"/>
  <c r="J7" i="18"/>
  <c r="L72" i="27"/>
  <c r="AG70" i="18"/>
  <c r="AG71" i="18"/>
  <c r="AG72" i="18"/>
  <c r="AG73" i="18"/>
  <c r="AG74" i="18"/>
  <c r="AF92" i="20"/>
  <c r="AI91" i="20"/>
  <c r="S92" i="20"/>
  <c r="R93" i="20"/>
  <c r="T91" i="20"/>
  <c r="X91" i="20"/>
  <c r="Y91" i="20"/>
  <c r="L78" i="27"/>
  <c r="S86" i="21"/>
  <c r="T86" i="21"/>
  <c r="X86" i="21"/>
  <c r="Y86" i="21"/>
  <c r="R87" i="21"/>
  <c r="AF89" i="21"/>
  <c r="AI88" i="21"/>
  <c r="X189" i="13"/>
  <c r="X184" i="13"/>
  <c r="X173" i="13"/>
  <c r="X166" i="13"/>
  <c r="X181" i="13"/>
  <c r="X188" i="13"/>
  <c r="O6" i="13"/>
  <c r="AG75" i="18"/>
  <c r="AG76" i="18"/>
  <c r="AG77" i="18"/>
  <c r="AG78" i="18"/>
  <c r="AG79" i="18"/>
  <c r="AG80" i="18"/>
  <c r="AG81" i="18"/>
  <c r="AG82" i="18"/>
  <c r="AG83" i="18"/>
  <c r="AG84" i="18"/>
  <c r="AG85" i="18"/>
  <c r="AG86" i="18"/>
  <c r="AG87" i="18"/>
  <c r="AG88" i="18"/>
  <c r="AG89" i="18"/>
  <c r="AG90" i="18"/>
  <c r="AG91" i="18"/>
  <c r="AG92" i="18"/>
  <c r="AG93" i="18"/>
  <c r="AG94" i="18"/>
  <c r="AG95" i="18"/>
  <c r="AG96" i="18"/>
  <c r="AG97" i="18"/>
  <c r="AG98" i="18"/>
  <c r="AG99" i="18"/>
  <c r="AG100" i="18"/>
  <c r="AG101" i="18"/>
  <c r="AG102" i="18"/>
  <c r="AG103" i="18"/>
  <c r="AG104" i="18"/>
  <c r="AG105" i="18"/>
  <c r="AG106" i="18"/>
  <c r="AG107" i="18"/>
  <c r="AG108" i="18"/>
  <c r="AG109" i="18"/>
  <c r="AG110" i="18"/>
  <c r="AG111" i="18"/>
  <c r="AG112" i="18"/>
  <c r="AG113" i="18"/>
  <c r="AG114" i="18"/>
  <c r="AG115" i="18"/>
  <c r="AG116" i="18"/>
  <c r="AG117" i="18"/>
  <c r="AG118" i="18"/>
  <c r="AG119" i="18"/>
  <c r="AG120" i="18"/>
  <c r="AG121" i="18"/>
  <c r="AG122" i="18"/>
  <c r="AG123" i="18"/>
  <c r="AG124" i="18"/>
  <c r="AG125" i="18"/>
  <c r="AG126" i="18"/>
  <c r="AG127" i="18"/>
  <c r="AG128" i="18"/>
  <c r="AG129" i="18"/>
  <c r="AG130" i="18"/>
  <c r="AG131" i="18"/>
  <c r="AG132" i="18"/>
  <c r="AG133" i="18"/>
  <c r="AG134" i="18"/>
  <c r="AG135" i="18"/>
  <c r="AG136" i="18"/>
  <c r="AG137" i="18"/>
  <c r="AG138" i="18"/>
  <c r="AG139" i="18"/>
  <c r="AG140" i="18"/>
  <c r="AG141" i="18"/>
  <c r="AG142" i="18"/>
  <c r="AG143" i="18"/>
  <c r="AG144" i="18"/>
  <c r="AG145" i="18"/>
  <c r="AG146" i="18"/>
  <c r="AG147" i="18"/>
  <c r="AG148" i="18"/>
  <c r="AG149" i="18"/>
  <c r="AG150" i="18"/>
  <c r="AG151" i="18"/>
  <c r="AG152" i="18"/>
  <c r="AG153" i="18"/>
  <c r="AG154" i="18"/>
  <c r="AG155" i="18"/>
  <c r="AG156" i="18"/>
  <c r="AG157" i="18"/>
  <c r="AG158" i="18"/>
  <c r="AG159" i="18"/>
  <c r="AG160" i="18"/>
  <c r="AG161" i="18"/>
  <c r="AG162" i="18"/>
  <c r="AG163" i="18"/>
  <c r="AG164" i="18"/>
  <c r="AG165" i="18"/>
  <c r="AG166" i="18"/>
  <c r="AG167" i="18"/>
  <c r="AG168" i="18"/>
  <c r="AG169" i="18"/>
  <c r="AG170" i="18"/>
  <c r="AG171" i="18"/>
  <c r="AG172" i="18"/>
  <c r="AG173" i="18"/>
  <c r="AG174" i="18"/>
  <c r="AG175" i="18"/>
  <c r="AG176" i="18"/>
  <c r="AG177" i="18"/>
  <c r="AG178" i="18"/>
  <c r="AG179" i="18"/>
  <c r="AG180" i="18"/>
  <c r="AG181" i="18"/>
  <c r="AG182" i="18"/>
  <c r="AG183" i="18"/>
  <c r="AG184" i="18"/>
  <c r="AG185" i="18"/>
  <c r="AG186" i="18"/>
  <c r="AG187" i="18"/>
  <c r="AG188" i="18"/>
  <c r="AG189" i="18"/>
  <c r="AG190" i="18"/>
  <c r="AG191" i="18"/>
  <c r="AG192" i="18"/>
  <c r="AG193" i="18"/>
  <c r="AG194" i="18"/>
  <c r="AG195" i="18"/>
  <c r="AG196" i="18"/>
  <c r="AG197" i="18"/>
  <c r="AG198" i="18"/>
  <c r="AG199" i="18"/>
  <c r="AG200" i="18"/>
  <c r="AG201" i="18"/>
  <c r="AG202" i="18"/>
  <c r="AG203" i="18"/>
  <c r="AG204" i="18"/>
  <c r="AG205" i="18"/>
  <c r="K8" i="26"/>
  <c r="O8" i="26"/>
  <c r="J9" i="26"/>
  <c r="S8" i="26"/>
  <c r="T8" i="26"/>
  <c r="X8" i="26"/>
  <c r="R9" i="26"/>
  <c r="T7" i="26"/>
  <c r="X7" i="26"/>
  <c r="B97" i="27"/>
  <c r="B96" i="27"/>
  <c r="L95" i="27"/>
  <c r="L80" i="27"/>
  <c r="X199" i="13"/>
  <c r="X202" i="13"/>
  <c r="X182" i="13"/>
  <c r="X177" i="13"/>
  <c r="X196" i="13"/>
  <c r="X170" i="13"/>
  <c r="X180" i="13"/>
  <c r="X191" i="13"/>
  <c r="X183" i="13"/>
  <c r="X185" i="13"/>
  <c r="X186" i="13"/>
  <c r="X204" i="13"/>
  <c r="X176" i="13"/>
  <c r="X195" i="13"/>
  <c r="X198" i="13"/>
  <c r="X190" i="13"/>
  <c r="X174" i="13"/>
  <c r="X192" i="13"/>
  <c r="X168" i="13"/>
  <c r="X187" i="13"/>
  <c r="X194" i="13"/>
  <c r="X200" i="13"/>
  <c r="J58" i="27"/>
  <c r="K58" i="27"/>
  <c r="H58" i="27"/>
  <c r="I58" i="27"/>
  <c r="Q165" i="13"/>
  <c r="C95" i="13"/>
  <c r="Q126" i="13"/>
  <c r="Q130" i="13"/>
  <c r="Q134" i="13"/>
  <c r="Q138" i="13"/>
  <c r="Q142" i="13"/>
  <c r="Q146" i="13"/>
  <c r="Q13" i="13"/>
  <c r="Q29" i="13"/>
  <c r="Q45" i="13"/>
  <c r="Q61" i="13"/>
  <c r="Q77" i="13"/>
  <c r="Q93" i="13"/>
  <c r="Q12" i="13"/>
  <c r="Q28" i="13"/>
  <c r="Q44" i="13"/>
  <c r="Q60" i="13"/>
  <c r="Q76" i="13"/>
  <c r="Q92" i="13"/>
  <c r="Q11" i="13"/>
  <c r="Q27" i="13"/>
  <c r="Q43" i="13"/>
  <c r="Q59" i="13"/>
  <c r="Q75" i="13"/>
  <c r="Q18" i="13"/>
  <c r="Q82" i="13"/>
  <c r="Q113" i="13"/>
  <c r="Q22" i="13"/>
  <c r="Q120" i="13"/>
  <c r="Q42" i="13"/>
  <c r="Q102" i="13"/>
  <c r="Q119" i="13"/>
  <c r="Q14" i="13"/>
  <c r="Q123" i="13"/>
  <c r="Q94" i="13"/>
  <c r="Q110" i="13"/>
  <c r="Q133" i="13"/>
  <c r="Q141" i="13"/>
  <c r="Q127" i="13"/>
  <c r="Q131" i="13"/>
  <c r="Q135" i="13"/>
  <c r="Q139" i="13"/>
  <c r="Q143" i="13"/>
  <c r="Q17" i="13"/>
  <c r="Q33" i="13"/>
  <c r="Q49" i="13"/>
  <c r="Q65" i="13"/>
  <c r="Q81" i="13"/>
  <c r="Q97" i="13"/>
  <c r="Q16" i="13"/>
  <c r="Q32" i="13"/>
  <c r="Q48" i="13"/>
  <c r="Q64" i="13"/>
  <c r="Q80" i="13"/>
  <c r="Q96" i="13"/>
  <c r="Q15" i="13"/>
  <c r="Q31" i="13"/>
  <c r="Q47" i="13"/>
  <c r="Q63" i="13"/>
  <c r="Q79" i="13"/>
  <c r="Q95" i="13"/>
  <c r="Q34" i="13"/>
  <c r="Q98" i="13"/>
  <c r="Q117" i="13"/>
  <c r="Q38" i="13"/>
  <c r="Q108" i="13"/>
  <c r="Q124" i="13"/>
  <c r="Q58" i="13"/>
  <c r="Q107" i="13"/>
  <c r="Q62" i="13"/>
  <c r="Q78" i="13"/>
  <c r="Q46" i="13"/>
  <c r="Q106" i="13"/>
  <c r="Q118" i="13"/>
  <c r="Q129" i="13"/>
  <c r="Q145" i="13"/>
  <c r="Q9" i="13"/>
  <c r="Q128" i="13"/>
  <c r="Q132" i="13"/>
  <c r="Q136" i="13"/>
  <c r="Q140" i="13"/>
  <c r="Q144" i="13"/>
  <c r="Q6" i="13"/>
  <c r="Q21" i="13"/>
  <c r="Q37" i="13"/>
  <c r="Q53" i="13"/>
  <c r="Q69" i="13"/>
  <c r="Q85" i="13"/>
  <c r="Q101" i="13"/>
  <c r="Q20" i="13"/>
  <c r="Q36" i="13"/>
  <c r="Q52" i="13"/>
  <c r="Q68" i="13"/>
  <c r="Q84" i="13"/>
  <c r="Q100" i="13"/>
  <c r="Q19" i="13"/>
  <c r="Q35" i="13"/>
  <c r="Q51" i="13"/>
  <c r="Q67" i="13"/>
  <c r="Q83" i="13"/>
  <c r="Q99" i="13"/>
  <c r="Q50" i="13"/>
  <c r="Q105" i="13"/>
  <c r="Q121" i="13"/>
  <c r="Q54" i="13"/>
  <c r="Q112" i="13"/>
  <c r="Q10" i="13"/>
  <c r="Q74" i="13"/>
  <c r="Q111" i="13"/>
  <c r="Q114" i="13"/>
  <c r="Q137" i="13"/>
  <c r="Q25" i="13"/>
  <c r="Q56" i="13"/>
  <c r="Q23" i="13"/>
  <c r="Q125" i="13"/>
  <c r="Q30" i="13"/>
  <c r="Q40" i="13"/>
  <c r="Q71" i="13"/>
  <c r="Q26" i="13"/>
  <c r="Q41" i="13"/>
  <c r="Q8" i="13"/>
  <c r="Q72" i="13"/>
  <c r="Q39" i="13"/>
  <c r="Q103" i="13"/>
  <c r="Q70" i="13"/>
  <c r="Q115" i="13"/>
  <c r="Q73" i="13"/>
  <c r="Q109" i="13"/>
  <c r="Q122" i="13"/>
  <c r="Q57" i="13"/>
  <c r="Q24" i="13"/>
  <c r="Q55" i="13"/>
  <c r="Q66" i="13"/>
  <c r="Q116" i="13"/>
  <c r="Q104" i="13"/>
  <c r="Q7" i="13"/>
  <c r="Q149" i="13"/>
  <c r="AF7" i="13"/>
  <c r="AI6" i="13"/>
  <c r="K7" i="13"/>
  <c r="J8" i="13"/>
  <c r="K7" i="18"/>
  <c r="O7" i="18"/>
  <c r="J8" i="18"/>
  <c r="AB70" i="13"/>
  <c r="AL70" i="13"/>
  <c r="AL65" i="13"/>
  <c r="AB65" i="13"/>
  <c r="S93" i="20"/>
  <c r="R94" i="20"/>
  <c r="T92" i="20"/>
  <c r="X92" i="20"/>
  <c r="Y92" i="20"/>
  <c r="AF93" i="20"/>
  <c r="AI92" i="20"/>
  <c r="AB75" i="13"/>
  <c r="AL75" i="13"/>
  <c r="Q86" i="13"/>
  <c r="Q88" i="13"/>
  <c r="Q91" i="13"/>
  <c r="S87" i="21"/>
  <c r="T87" i="21"/>
  <c r="X87" i="21"/>
  <c r="Y87" i="21"/>
  <c r="R88" i="21"/>
  <c r="AF90" i="21"/>
  <c r="AI89" i="21"/>
  <c r="Q87" i="13"/>
  <c r="Q89" i="13"/>
  <c r="Q90" i="13"/>
  <c r="O7" i="13"/>
  <c r="Y8" i="26"/>
  <c r="J10" i="26"/>
  <c r="K9" i="26"/>
  <c r="O9" i="26"/>
  <c r="Y7" i="26"/>
  <c r="S9" i="26"/>
  <c r="T9" i="26"/>
  <c r="X9" i="26"/>
  <c r="R10" i="26"/>
  <c r="H96" i="27"/>
  <c r="I96" i="27"/>
  <c r="J96" i="27"/>
  <c r="K96" i="27"/>
  <c r="I97" i="27"/>
  <c r="J97" i="27"/>
  <c r="K97" i="27"/>
  <c r="H97" i="27"/>
  <c r="AE13" i="26"/>
  <c r="AN5" i="26"/>
  <c r="AP5" i="26"/>
  <c r="AO5" i="26"/>
  <c r="R6" i="13"/>
  <c r="R7" i="13"/>
  <c r="AL155" i="13"/>
  <c r="AB155" i="13"/>
  <c r="Q163" i="13"/>
  <c r="Q153" i="13"/>
  <c r="Q162" i="13"/>
  <c r="Q152" i="13"/>
  <c r="Q159" i="13"/>
  <c r="Q160" i="13"/>
  <c r="Q164" i="13"/>
  <c r="Q161" i="13"/>
  <c r="Q147" i="13"/>
  <c r="Q154" i="13"/>
  <c r="Q157" i="13"/>
  <c r="Q150" i="13"/>
  <c r="AB165" i="13"/>
  <c r="C35" i="27"/>
  <c r="H95" i="13"/>
  <c r="Q148" i="13"/>
  <c r="Q155" i="13"/>
  <c r="Q158" i="13"/>
  <c r="Q156" i="13"/>
  <c r="Q151" i="13"/>
  <c r="AI7" i="13"/>
  <c r="AF8" i="13"/>
  <c r="K8" i="13"/>
  <c r="J9" i="13"/>
  <c r="K8" i="18"/>
  <c r="O8" i="18"/>
  <c r="J9" i="18"/>
  <c r="AR70" i="13"/>
  <c r="AQ70" i="13"/>
  <c r="AT70" i="13"/>
  <c r="AS70" i="13"/>
  <c r="AH65" i="13"/>
  <c r="AH66" i="13"/>
  <c r="AH67" i="13"/>
  <c r="AH68" i="13"/>
  <c r="AH69" i="13"/>
  <c r="AH70" i="13"/>
  <c r="AH71" i="13"/>
  <c r="AH72" i="13"/>
  <c r="AH73" i="13"/>
  <c r="AH74" i="13"/>
  <c r="AH75" i="13"/>
  <c r="AH76" i="13"/>
  <c r="AH77" i="13"/>
  <c r="AH78" i="13"/>
  <c r="AH79" i="13"/>
  <c r="AH80" i="13"/>
  <c r="AH81" i="13"/>
  <c r="AH82" i="13"/>
  <c r="AH83" i="13"/>
  <c r="AH84" i="13"/>
  <c r="AH85" i="13"/>
  <c r="AH86" i="13"/>
  <c r="AH87" i="13"/>
  <c r="AH88" i="13"/>
  <c r="AH89" i="13"/>
  <c r="AH90" i="13"/>
  <c r="AH91" i="13"/>
  <c r="AH92" i="13"/>
  <c r="AH93" i="13"/>
  <c r="AH94" i="13"/>
  <c r="AH95" i="13"/>
  <c r="AH96" i="13"/>
  <c r="AH97" i="13"/>
  <c r="AH98" i="13"/>
  <c r="AH99" i="13"/>
  <c r="AH100" i="13"/>
  <c r="AH101" i="13"/>
  <c r="AH102" i="13"/>
  <c r="AH103" i="13"/>
  <c r="AH104" i="13"/>
  <c r="AH105" i="13"/>
  <c r="AH106" i="13"/>
  <c r="AH107" i="13"/>
  <c r="AH108" i="13"/>
  <c r="AH109" i="13"/>
  <c r="AH110" i="13"/>
  <c r="AH111" i="13"/>
  <c r="AH112" i="13"/>
  <c r="AH113" i="13"/>
  <c r="AH114" i="13"/>
  <c r="AH115" i="13"/>
  <c r="AH116" i="13"/>
  <c r="AH117" i="13"/>
  <c r="AH118" i="13"/>
  <c r="AH119" i="13"/>
  <c r="AH120" i="13"/>
  <c r="AH121" i="13"/>
  <c r="AH122" i="13"/>
  <c r="AH123" i="13"/>
  <c r="AH124" i="13"/>
  <c r="AH125" i="13"/>
  <c r="AH126" i="13"/>
  <c r="AH127" i="13"/>
  <c r="AH128" i="13"/>
  <c r="AH129" i="13"/>
  <c r="AH130" i="13"/>
  <c r="AH131" i="13"/>
  <c r="AH132" i="13"/>
  <c r="AH133" i="13"/>
  <c r="AH134" i="13"/>
  <c r="AH135" i="13"/>
  <c r="AH136" i="13"/>
  <c r="AH137" i="13"/>
  <c r="AH138" i="13"/>
  <c r="AH139" i="13"/>
  <c r="AH140" i="13"/>
  <c r="AH141" i="13"/>
  <c r="AH142" i="13"/>
  <c r="AH143" i="13"/>
  <c r="AH144" i="13"/>
  <c r="AH145" i="13"/>
  <c r="AH146" i="13"/>
  <c r="AH147" i="13"/>
  <c r="AH148" i="13"/>
  <c r="AH149" i="13"/>
  <c r="AH150" i="13"/>
  <c r="AH151" i="13"/>
  <c r="AH152" i="13"/>
  <c r="AH153" i="13"/>
  <c r="AH154" i="13"/>
  <c r="AG65" i="13"/>
  <c r="AG66" i="13"/>
  <c r="AG67" i="13"/>
  <c r="AG68" i="13"/>
  <c r="AG69" i="13"/>
  <c r="AG70" i="13"/>
  <c r="AG71" i="13"/>
  <c r="AG72" i="13"/>
  <c r="AG73" i="13"/>
  <c r="AG74" i="13"/>
  <c r="AQ65" i="13"/>
  <c r="AT65" i="13"/>
  <c r="AS65" i="13"/>
  <c r="AR65" i="13"/>
  <c r="AF94" i="20"/>
  <c r="AI93" i="20"/>
  <c r="S94" i="20"/>
  <c r="R95" i="20"/>
  <c r="S95" i="20"/>
  <c r="T93" i="20"/>
  <c r="X93" i="20"/>
  <c r="Y93" i="20"/>
  <c r="AT75" i="13"/>
  <c r="AQ75" i="13"/>
  <c r="AR75" i="13"/>
  <c r="AS75" i="13"/>
  <c r="AG75" i="13"/>
  <c r="AG76" i="13"/>
  <c r="AG77" i="13"/>
  <c r="AG78" i="13"/>
  <c r="AG79" i="13"/>
  <c r="AG80" i="13"/>
  <c r="AG81" i="13"/>
  <c r="AG82" i="13"/>
  <c r="AG83" i="13"/>
  <c r="AG84" i="13"/>
  <c r="AG85" i="13"/>
  <c r="AG86" i="13"/>
  <c r="AG87" i="13"/>
  <c r="AG88" i="13"/>
  <c r="AG89" i="13"/>
  <c r="AG90" i="13"/>
  <c r="AG91" i="13"/>
  <c r="AG92" i="13"/>
  <c r="AG93" i="13"/>
  <c r="AG94" i="13"/>
  <c r="AG95" i="13"/>
  <c r="AG96" i="13"/>
  <c r="AG97" i="13"/>
  <c r="AG98" i="13"/>
  <c r="AG99" i="13"/>
  <c r="AG100" i="13"/>
  <c r="AG101" i="13"/>
  <c r="AG102" i="13"/>
  <c r="AG103" i="13"/>
  <c r="AG104" i="13"/>
  <c r="AG105" i="13"/>
  <c r="AG106" i="13"/>
  <c r="AG107" i="13"/>
  <c r="AG108" i="13"/>
  <c r="AG109" i="13"/>
  <c r="AG110" i="13"/>
  <c r="AG111" i="13"/>
  <c r="AG112" i="13"/>
  <c r="AG113" i="13"/>
  <c r="AG114" i="13"/>
  <c r="AG115" i="13"/>
  <c r="AG116" i="13"/>
  <c r="AG117" i="13"/>
  <c r="AG118" i="13"/>
  <c r="AG119" i="13"/>
  <c r="AG120" i="13"/>
  <c r="AG121" i="13"/>
  <c r="AG122" i="13"/>
  <c r="AG123" i="13"/>
  <c r="AG124" i="13"/>
  <c r="AG125" i="13"/>
  <c r="AG126" i="13"/>
  <c r="AG127" i="13"/>
  <c r="AG128" i="13"/>
  <c r="AG129" i="13"/>
  <c r="AG130" i="13"/>
  <c r="AG131" i="13"/>
  <c r="AG132" i="13"/>
  <c r="AG133" i="13"/>
  <c r="AG134" i="13"/>
  <c r="AG135" i="13"/>
  <c r="AG136" i="13"/>
  <c r="AG137" i="13"/>
  <c r="AG138" i="13"/>
  <c r="AG139" i="13"/>
  <c r="AG140" i="13"/>
  <c r="AG141" i="13"/>
  <c r="AG142" i="13"/>
  <c r="AG143" i="13"/>
  <c r="AG144" i="13"/>
  <c r="AG145" i="13"/>
  <c r="AG146" i="13"/>
  <c r="AG147" i="13"/>
  <c r="AG148" i="13"/>
  <c r="AG149" i="13"/>
  <c r="AG150" i="13"/>
  <c r="AG151" i="13"/>
  <c r="AG152" i="13"/>
  <c r="AG153" i="13"/>
  <c r="AG154" i="13"/>
  <c r="R89" i="21"/>
  <c r="S88" i="21"/>
  <c r="T88" i="21"/>
  <c r="X88" i="21"/>
  <c r="Y88" i="21"/>
  <c r="AF91" i="21"/>
  <c r="AI90" i="21"/>
  <c r="O8" i="13"/>
  <c r="Y9" i="26"/>
  <c r="AN7" i="26"/>
  <c r="AD59" i="26"/>
  <c r="AB57" i="26"/>
  <c r="AB6" i="26"/>
  <c r="AM24" i="26"/>
  <c r="AD62" i="26"/>
  <c r="AO30" i="26"/>
  <c r="AD51" i="26"/>
  <c r="AM9" i="26"/>
  <c r="AD39" i="26"/>
  <c r="AD20" i="26"/>
  <c r="AD45" i="26"/>
  <c r="AE11" i="26"/>
  <c r="AN18" i="26"/>
  <c r="AE9" i="26"/>
  <c r="AE37" i="26"/>
  <c r="AM32" i="26"/>
  <c r="AL8" i="26"/>
  <c r="AP31" i="26"/>
  <c r="AB22" i="26"/>
  <c r="AP7" i="26"/>
  <c r="AD36" i="26"/>
  <c r="AN8" i="26"/>
  <c r="AO13" i="26"/>
  <c r="AB11" i="26"/>
  <c r="AC8" i="26"/>
  <c r="AC16" i="26"/>
  <c r="AE30" i="26"/>
  <c r="AC24" i="26"/>
  <c r="AL19" i="26"/>
  <c r="AE17" i="26"/>
  <c r="AC28" i="26"/>
  <c r="AE33" i="26"/>
  <c r="AM10" i="26"/>
  <c r="AE46" i="26"/>
  <c r="J11" i="26"/>
  <c r="K10" i="26"/>
  <c r="O10" i="26"/>
  <c r="AM21" i="26"/>
  <c r="AM18" i="26"/>
  <c r="AC58" i="26"/>
  <c r="AB51" i="26"/>
  <c r="AD21" i="26"/>
  <c r="AO32" i="26"/>
  <c r="AM13" i="26"/>
  <c r="AB16" i="26"/>
  <c r="AB42" i="26"/>
  <c r="AD17" i="26"/>
  <c r="AC64" i="26"/>
  <c r="AM30" i="26"/>
  <c r="AL15" i="26"/>
  <c r="AE16" i="26"/>
  <c r="AD9" i="26"/>
  <c r="AB59" i="26"/>
  <c r="AL21" i="26"/>
  <c r="AP12" i="26"/>
  <c r="AC13" i="26"/>
  <c r="AC48" i="26"/>
  <c r="AD28" i="26"/>
  <c r="AE63" i="26"/>
  <c r="AL9" i="26"/>
  <c r="AP9" i="26"/>
  <c r="AC7" i="26"/>
  <c r="AE44" i="26"/>
  <c r="AL14" i="26"/>
  <c r="AP24" i="26"/>
  <c r="AP25" i="26"/>
  <c r="AC20" i="26"/>
  <c r="AC55" i="26"/>
  <c r="AB34" i="26"/>
  <c r="AL34" i="26"/>
  <c r="AM6" i="26"/>
  <c r="AB43" i="26"/>
  <c r="AE49" i="26"/>
  <c r="AC15" i="26"/>
  <c r="AL10" i="26"/>
  <c r="AP17" i="26"/>
  <c r="AE52" i="26"/>
  <c r="AC11" i="26"/>
  <c r="AB44" i="26"/>
  <c r="AO21" i="26"/>
  <c r="AP16" i="26"/>
  <c r="AD16" i="26"/>
  <c r="AD43" i="26"/>
  <c r="AE64" i="26"/>
  <c r="AD37" i="26"/>
  <c r="AM19" i="26"/>
  <c r="AM14" i="26"/>
  <c r="AB10" i="26"/>
  <c r="AE60" i="26"/>
  <c r="AB12" i="26"/>
  <c r="AN27" i="26"/>
  <c r="AO16" i="26"/>
  <c r="AD19" i="26"/>
  <c r="AC37" i="26"/>
  <c r="AE15" i="26"/>
  <c r="AL22" i="26"/>
  <c r="AP34" i="26"/>
  <c r="AO7" i="26"/>
  <c r="AD57" i="26"/>
  <c r="AB13" i="26"/>
  <c r="AO27" i="26"/>
  <c r="AC62" i="26"/>
  <c r="AC44" i="26"/>
  <c r="AB61" i="26"/>
  <c r="AD55" i="26"/>
  <c r="AD40" i="26"/>
  <c r="AL32" i="26"/>
  <c r="AP21" i="26"/>
  <c r="AD54" i="26"/>
  <c r="AB32" i="26"/>
  <c r="AB21" i="26"/>
  <c r="AL16" i="26"/>
  <c r="AO15" i="26"/>
  <c r="AB54" i="26"/>
  <c r="AE7" i="26"/>
  <c r="AD50" i="26"/>
  <c r="AN30" i="26"/>
  <c r="AP27" i="26"/>
  <c r="AE19" i="26"/>
  <c r="AC31" i="26"/>
  <c r="AB36" i="26"/>
  <c r="S10" i="26"/>
  <c r="R11" i="26"/>
  <c r="AL25" i="26"/>
  <c r="AP13" i="26"/>
  <c r="AB62" i="26"/>
  <c r="AD31" i="26"/>
  <c r="AE31" i="26"/>
  <c r="AL28" i="26"/>
  <c r="AO18" i="26"/>
  <c r="AC34" i="26"/>
  <c r="AC60" i="26"/>
  <c r="AB37" i="26"/>
  <c r="AO28" i="26"/>
  <c r="AM7" i="26"/>
  <c r="AC12" i="26"/>
  <c r="AC21" i="26"/>
  <c r="AC61" i="26"/>
  <c r="AN34" i="26"/>
  <c r="AP8" i="26"/>
  <c r="AE18" i="26"/>
  <c r="AE56" i="26"/>
  <c r="AE22" i="26"/>
  <c r="AL6" i="26"/>
  <c r="AP19" i="26"/>
  <c r="AN17" i="26"/>
  <c r="AB55" i="26"/>
  <c r="AD42" i="26"/>
  <c r="AD10" i="26"/>
  <c r="AO33" i="26"/>
  <c r="AM15" i="26"/>
  <c r="AC19" i="26"/>
  <c r="AE62" i="26"/>
  <c r="AC33" i="26"/>
  <c r="AC30" i="26"/>
  <c r="AN19" i="26"/>
  <c r="AL31" i="26"/>
  <c r="AB39" i="26"/>
  <c r="AD61" i="26"/>
  <c r="AD46" i="26"/>
  <c r="AE14" i="26"/>
  <c r="AO11" i="26"/>
  <c r="AB24" i="26"/>
  <c r="AB63" i="26"/>
  <c r="AC42" i="26"/>
  <c r="AM28" i="26"/>
  <c r="AP20" i="26"/>
  <c r="AE58" i="26"/>
  <c r="AE43" i="26"/>
  <c r="AE36" i="26"/>
  <c r="AL13" i="26"/>
  <c r="AP10" i="26"/>
  <c r="AC50" i="26"/>
  <c r="AE12" i="26"/>
  <c r="AD64" i="26"/>
  <c r="AN24" i="26"/>
  <c r="AO12" i="26"/>
  <c r="AB19" i="26"/>
  <c r="AE61" i="26"/>
  <c r="AD7" i="26"/>
  <c r="AO25" i="26"/>
  <c r="AP33" i="26"/>
  <c r="AE8" i="26"/>
  <c r="AE39" i="26"/>
  <c r="AC18" i="26"/>
  <c r="AN32" i="26"/>
  <c r="AP28" i="26"/>
  <c r="AE54" i="26"/>
  <c r="AD18" i="26"/>
  <c r="AE45" i="26"/>
  <c r="AB64" i="26"/>
  <c r="AM33" i="26"/>
  <c r="AP22" i="26"/>
  <c r="AD49" i="26"/>
  <c r="AB28" i="26"/>
  <c r="AC56" i="26"/>
  <c r="AD63" i="26"/>
  <c r="AN21" i="26"/>
  <c r="AP30" i="26"/>
  <c r="AD48" i="26"/>
  <c r="AD12" i="26"/>
  <c r="AE25" i="26"/>
  <c r="AB8" i="26"/>
  <c r="AM22" i="26"/>
  <c r="AN10" i="26"/>
  <c r="AB40" i="26"/>
  <c r="AE24" i="26"/>
  <c r="AD14" i="26"/>
  <c r="AC38" i="26"/>
  <c r="AD15" i="26"/>
  <c r="AE59" i="26"/>
  <c r="AC51" i="26"/>
  <c r="AB15" i="26"/>
  <c r="AL18" i="26"/>
  <c r="AB14" i="26"/>
  <c r="AB17" i="26"/>
  <c r="AO24" i="26"/>
  <c r="AM17" i="26"/>
  <c r="AO8" i="26"/>
  <c r="AN13" i="26"/>
  <c r="AD27" i="26"/>
  <c r="AC14" i="26"/>
  <c r="AE6" i="26"/>
  <c r="AH6" i="26"/>
  <c r="AO34" i="26"/>
  <c r="AL24" i="26"/>
  <c r="AN9" i="26"/>
  <c r="AO17" i="26"/>
  <c r="AC17" i="26"/>
  <c r="AD38" i="26"/>
  <c r="AD11" i="26"/>
  <c r="AC63" i="26"/>
  <c r="AO22" i="26"/>
  <c r="AO19" i="26"/>
  <c r="AB33" i="26"/>
  <c r="AB48" i="26"/>
  <c r="AE28" i="26"/>
  <c r="AB49" i="26"/>
  <c r="AM31" i="26"/>
  <c r="AN6" i="26"/>
  <c r="AC52" i="26"/>
  <c r="AC25" i="26"/>
  <c r="AC22" i="26"/>
  <c r="AO31" i="26"/>
  <c r="AM11" i="26"/>
  <c r="AB52" i="26"/>
  <c r="AD32" i="26"/>
  <c r="AE51" i="26"/>
  <c r="AE40" i="26"/>
  <c r="AL27" i="26"/>
  <c r="AM12" i="26"/>
  <c r="AC45" i="26"/>
  <c r="AB38" i="26"/>
  <c r="AC9" i="26"/>
  <c r="AN25" i="26"/>
  <c r="AO14" i="26"/>
  <c r="AE48" i="26"/>
  <c r="AD44" i="26"/>
  <c r="AC32" i="26"/>
  <c r="AL12" i="26"/>
  <c r="AN14" i="26"/>
  <c r="AB20" i="26"/>
  <c r="AB9" i="26"/>
  <c r="AE55" i="26"/>
  <c r="AN33" i="26"/>
  <c r="AP6" i="26"/>
  <c r="AC6" i="26"/>
  <c r="AB31" i="26"/>
  <c r="AE50" i="26"/>
  <c r="AN31" i="26"/>
  <c r="AP32" i="26"/>
  <c r="AD34" i="26"/>
  <c r="AD56" i="26"/>
  <c r="AC46" i="26"/>
  <c r="AM20" i="26"/>
  <c r="AM16" i="26"/>
  <c r="AE34" i="26"/>
  <c r="AE20" i="26"/>
  <c r="AD13" i="26"/>
  <c r="AO20" i="26"/>
  <c r="AP14" i="26"/>
  <c r="AD58" i="26"/>
  <c r="AC10" i="26"/>
  <c r="AC43" i="26"/>
  <c r="AD8" i="26"/>
  <c r="AL17" i="26"/>
  <c r="AP11" i="26"/>
  <c r="AD52" i="26"/>
  <c r="AE10" i="26"/>
  <c r="AC36" i="26"/>
  <c r="AL20" i="26"/>
  <c r="AN16" i="26"/>
  <c r="AE57" i="26"/>
  <c r="AE32" i="26"/>
  <c r="AD25" i="26"/>
  <c r="AM25" i="26"/>
  <c r="AN11" i="26"/>
  <c r="AD24" i="26"/>
  <c r="AB56" i="26"/>
  <c r="AB46" i="26"/>
  <c r="AN22" i="26"/>
  <c r="AO10" i="26"/>
  <c r="AC59" i="26"/>
  <c r="AC54" i="26"/>
  <c r="AE42" i="26"/>
  <c r="AN20" i="26"/>
  <c r="AO6" i="26"/>
  <c r="AC27" i="26"/>
  <c r="AD6" i="26"/>
  <c r="AG6" i="26"/>
  <c r="AB58" i="26"/>
  <c r="AL33" i="26"/>
  <c r="AP15" i="26"/>
  <c r="AB27" i="26"/>
  <c r="AC49" i="26"/>
  <c r="AD30" i="26"/>
  <c r="AN28" i="26"/>
  <c r="AP18" i="26"/>
  <c r="AC40" i="26"/>
  <c r="AB25" i="26"/>
  <c r="AD22" i="26"/>
  <c r="AL30" i="26"/>
  <c r="AL7" i="26"/>
  <c r="AO9" i="26"/>
  <c r="AE38" i="26"/>
  <c r="AD33" i="26"/>
  <c r="AM27" i="26"/>
  <c r="AN15" i="26"/>
  <c r="AC39" i="26"/>
  <c r="AB18" i="26"/>
  <c r="AB7" i="26"/>
  <c r="AL11" i="26"/>
  <c r="AM8" i="26"/>
  <c r="AE27" i="26"/>
  <c r="AD60" i="26"/>
  <c r="AE21" i="26"/>
  <c r="AM34" i="26"/>
  <c r="AN12" i="26"/>
  <c r="AC57" i="26"/>
  <c r="AB30" i="26"/>
  <c r="L97" i="27"/>
  <c r="B98" i="27"/>
  <c r="AE5" i="26"/>
  <c r="AM5" i="26"/>
  <c r="AD5" i="26"/>
  <c r="AC5" i="26"/>
  <c r="L96" i="27"/>
  <c r="S7" i="13"/>
  <c r="R8" i="13"/>
  <c r="R9" i="13"/>
  <c r="S6" i="13"/>
  <c r="AG155" i="13"/>
  <c r="AG156" i="13"/>
  <c r="AG157" i="13"/>
  <c r="AG158" i="13"/>
  <c r="AG159" i="13"/>
  <c r="AG160" i="13"/>
  <c r="AG161" i="13"/>
  <c r="AG162" i="13"/>
  <c r="AG163" i="13"/>
  <c r="AG164" i="13"/>
  <c r="AH155" i="13"/>
  <c r="AH156" i="13"/>
  <c r="AH157" i="13"/>
  <c r="AH158" i="13"/>
  <c r="AH159" i="13"/>
  <c r="AH160" i="13"/>
  <c r="AH161" i="13"/>
  <c r="AH162" i="13"/>
  <c r="AH163" i="13"/>
  <c r="AH164" i="13"/>
  <c r="AT155" i="13"/>
  <c r="AR155" i="13"/>
  <c r="X171" i="27"/>
  <c r="AS155" i="13"/>
  <c r="AQ155" i="13"/>
  <c r="AH165" i="13"/>
  <c r="AG165" i="13"/>
  <c r="AF9" i="13"/>
  <c r="AI8" i="13"/>
  <c r="K9" i="13"/>
  <c r="J10" i="13"/>
  <c r="K9" i="18"/>
  <c r="O9" i="18"/>
  <c r="J10" i="18"/>
  <c r="AF6" i="26"/>
  <c r="T95" i="20"/>
  <c r="X95" i="20"/>
  <c r="T94" i="20"/>
  <c r="X94" i="20"/>
  <c r="Y94" i="20"/>
  <c r="AI94" i="20"/>
  <c r="AF95" i="20"/>
  <c r="AI95" i="20"/>
  <c r="R90" i="21"/>
  <c r="S89" i="21"/>
  <c r="T89" i="21"/>
  <c r="X89" i="21"/>
  <c r="Y89" i="21"/>
  <c r="AI91" i="21"/>
  <c r="AF92" i="21"/>
  <c r="O9" i="13"/>
  <c r="AQ19" i="26"/>
  <c r="AR19" i="26"/>
  <c r="AS19" i="26"/>
  <c r="AT19" i="26"/>
  <c r="AG7" i="26"/>
  <c r="AG8" i="26"/>
  <c r="AG9" i="26"/>
  <c r="AG10" i="26"/>
  <c r="AG11" i="26"/>
  <c r="AG12" i="26"/>
  <c r="AG13" i="26"/>
  <c r="AG14" i="26"/>
  <c r="AG15" i="26"/>
  <c r="AG16" i="26"/>
  <c r="AG17" i="26"/>
  <c r="AG18" i="26"/>
  <c r="AG19" i="26"/>
  <c r="AG20" i="26"/>
  <c r="AG21"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R8" i="26"/>
  <c r="AQ8" i="26"/>
  <c r="AT8" i="26"/>
  <c r="AS8" i="26"/>
  <c r="K11" i="26"/>
  <c r="O11" i="26"/>
  <c r="J12" i="26"/>
  <c r="AT22" i="26"/>
  <c r="AS22" i="26"/>
  <c r="AR22" i="26"/>
  <c r="AQ22" i="26"/>
  <c r="AT11" i="26"/>
  <c r="AS11" i="26"/>
  <c r="AR11" i="26"/>
  <c r="AQ11" i="26"/>
  <c r="AF7" i="26"/>
  <c r="AI6" i="26"/>
  <c r="AT16" i="26"/>
  <c r="AS16" i="26"/>
  <c r="AR16" i="26"/>
  <c r="AQ16" i="26"/>
  <c r="AT14" i="26"/>
  <c r="AS14" i="26"/>
  <c r="AR14" i="26"/>
  <c r="AQ14" i="26"/>
  <c r="AT17" i="26"/>
  <c r="AS17" i="26"/>
  <c r="AR17" i="26"/>
  <c r="AQ17" i="26"/>
  <c r="AH7" i="26"/>
  <c r="AH8" i="26"/>
  <c r="AH9" i="26"/>
  <c r="AH10" i="26"/>
  <c r="AH11" i="26"/>
  <c r="AH12" i="26"/>
  <c r="AH13" i="26"/>
  <c r="AH14" i="26"/>
  <c r="AH15" i="26"/>
  <c r="AH16" i="26"/>
  <c r="AH17" i="26"/>
  <c r="AH18" i="26"/>
  <c r="AH19" i="26"/>
  <c r="AH20" i="26"/>
  <c r="AH21" i="26"/>
  <c r="AH22" i="26"/>
  <c r="AH23" i="26"/>
  <c r="AH24" i="26"/>
  <c r="AH25" i="26"/>
  <c r="AH26" i="26"/>
  <c r="AH27" i="26"/>
  <c r="AH28" i="26"/>
  <c r="AH29" i="26"/>
  <c r="AH30" i="26"/>
  <c r="AH31" i="26"/>
  <c r="AH32" i="26"/>
  <c r="AH33" i="26"/>
  <c r="AH34" i="26"/>
  <c r="AH35" i="26"/>
  <c r="AH36" i="26"/>
  <c r="AH37" i="26"/>
  <c r="AH38" i="26"/>
  <c r="AH39" i="26"/>
  <c r="AH40" i="26"/>
  <c r="AH41" i="26"/>
  <c r="AH42" i="26"/>
  <c r="AH43" i="26"/>
  <c r="AH44" i="26"/>
  <c r="AT18" i="26"/>
  <c r="AS18" i="26"/>
  <c r="AR18" i="26"/>
  <c r="AQ18" i="26"/>
  <c r="AT34" i="26"/>
  <c r="AS34" i="26"/>
  <c r="AR34" i="26"/>
  <c r="AQ34" i="26"/>
  <c r="AT21" i="26"/>
  <c r="AS21" i="26"/>
  <c r="AR21" i="26"/>
  <c r="AQ21" i="26"/>
  <c r="AY6" i="26"/>
  <c r="AY7" i="26"/>
  <c r="AY8" i="26"/>
  <c r="AY9" i="26"/>
  <c r="AY10" i="26"/>
  <c r="AY11" i="26"/>
  <c r="AY12" i="26"/>
  <c r="AY13" i="26"/>
  <c r="AY14" i="26"/>
  <c r="AY15" i="26"/>
  <c r="AY16" i="26"/>
  <c r="AY17" i="26"/>
  <c r="AY18" i="26"/>
  <c r="AY19" i="26"/>
  <c r="AY20" i="26"/>
  <c r="AY21" i="26"/>
  <c r="AY22" i="26"/>
  <c r="AY23" i="26"/>
  <c r="AY24" i="26"/>
  <c r="AY25" i="26"/>
  <c r="AY26" i="26"/>
  <c r="AY27" i="26"/>
  <c r="AY28" i="26"/>
  <c r="AY29" i="26"/>
  <c r="AY30" i="26"/>
  <c r="AY31" i="26"/>
  <c r="AY32" i="26"/>
  <c r="AY33" i="26"/>
  <c r="AY34" i="26"/>
  <c r="AY35" i="26"/>
  <c r="C123" i="26"/>
  <c r="AT6" i="26"/>
  <c r="AS6" i="26"/>
  <c r="AR6" i="26"/>
  <c r="AQ6" i="26"/>
  <c r="AT31" i="26"/>
  <c r="AS31" i="26"/>
  <c r="AR31" i="26"/>
  <c r="AQ31" i="26"/>
  <c r="AT30" i="26"/>
  <c r="AS30" i="26"/>
  <c r="AR30" i="26"/>
  <c r="AQ30" i="26"/>
  <c r="AT25" i="26"/>
  <c r="AS25" i="26"/>
  <c r="AR25" i="26"/>
  <c r="AQ25" i="26"/>
  <c r="AT9" i="26"/>
  <c r="AS9" i="26"/>
  <c r="AR9" i="26"/>
  <c r="AQ9" i="26"/>
  <c r="AT20" i="26"/>
  <c r="AS20" i="26"/>
  <c r="AR20" i="26"/>
  <c r="AQ20" i="26"/>
  <c r="AT12" i="26"/>
  <c r="AS12" i="26"/>
  <c r="AR12" i="26"/>
  <c r="AQ12" i="26"/>
  <c r="AT13" i="26"/>
  <c r="AS13" i="26"/>
  <c r="AR13" i="26"/>
  <c r="AQ13" i="26"/>
  <c r="S11" i="26"/>
  <c r="T11" i="26"/>
  <c r="X11" i="26"/>
  <c r="R12" i="26"/>
  <c r="AT32" i="26"/>
  <c r="AS32" i="26"/>
  <c r="AR32" i="26"/>
  <c r="AQ32" i="26"/>
  <c r="AT10" i="26"/>
  <c r="AS10" i="26"/>
  <c r="AR10" i="26"/>
  <c r="AQ10" i="26"/>
  <c r="AT33" i="26"/>
  <c r="AS33" i="26"/>
  <c r="AR33" i="26"/>
  <c r="AQ33" i="26"/>
  <c r="T10" i="26"/>
  <c r="X10" i="26"/>
  <c r="AT15" i="26"/>
  <c r="AS15" i="26"/>
  <c r="AR15" i="26"/>
  <c r="AQ15" i="26"/>
  <c r="AT7" i="26"/>
  <c r="AS7" i="26"/>
  <c r="AR7" i="26"/>
  <c r="AQ7" i="26"/>
  <c r="AT27" i="26"/>
  <c r="AS27" i="26"/>
  <c r="AR27" i="26"/>
  <c r="AQ27" i="26"/>
  <c r="AT24" i="26"/>
  <c r="AS24" i="26"/>
  <c r="AR24" i="26"/>
  <c r="AQ24" i="26"/>
  <c r="AT28" i="26"/>
  <c r="AS28" i="26"/>
  <c r="AR28" i="26"/>
  <c r="AQ28" i="26"/>
  <c r="K98" i="27"/>
  <c r="H98" i="27"/>
  <c r="I98" i="27"/>
  <c r="J98" i="27"/>
  <c r="AB60" i="26"/>
  <c r="T6" i="13"/>
  <c r="S8" i="13"/>
  <c r="T7" i="13"/>
  <c r="S9" i="13"/>
  <c r="R10" i="13"/>
  <c r="B62" i="27"/>
  <c r="H62" i="27" s="1"/>
  <c r="B61" i="27"/>
  <c r="H61" i="27" s="1"/>
  <c r="AI9" i="13"/>
  <c r="AF10" i="13"/>
  <c r="K10" i="13"/>
  <c r="J11" i="13"/>
  <c r="K10" i="18"/>
  <c r="O10" i="18"/>
  <c r="J11" i="18"/>
  <c r="Y95" i="20"/>
  <c r="C113" i="20"/>
  <c r="E113" i="20"/>
  <c r="C127" i="20"/>
  <c r="F127" i="20"/>
  <c r="S90" i="21"/>
  <c r="T90" i="21"/>
  <c r="X90" i="21"/>
  <c r="Y90" i="21"/>
  <c r="R91" i="21"/>
  <c r="AI92" i="21"/>
  <c r="AF93" i="21"/>
  <c r="O10" i="13"/>
  <c r="Y11" i="26"/>
  <c r="AB50" i="26"/>
  <c r="AB45" i="26"/>
  <c r="AH45" i="26"/>
  <c r="AH46" i="26"/>
  <c r="AH47" i="26"/>
  <c r="AH48" i="26"/>
  <c r="AH49" i="26"/>
  <c r="K12" i="26"/>
  <c r="O12" i="26"/>
  <c r="J13" i="26"/>
  <c r="Y10" i="26"/>
  <c r="AF8" i="26"/>
  <c r="AI7" i="26"/>
  <c r="S12" i="26"/>
  <c r="R13" i="26"/>
  <c r="H94" i="26"/>
  <c r="C99" i="27"/>
  <c r="L99" i="27"/>
  <c r="AB5" i="26"/>
  <c r="AL5" i="26"/>
  <c r="L98" i="27"/>
  <c r="X7" i="13"/>
  <c r="Y7" i="13"/>
  <c r="T8" i="13"/>
  <c r="X6" i="13"/>
  <c r="Y6" i="13"/>
  <c r="T9" i="13"/>
  <c r="S10" i="13"/>
  <c r="R11" i="13"/>
  <c r="J62" i="27"/>
  <c r="J61" i="27"/>
  <c r="AI10" i="13"/>
  <c r="AF11" i="13"/>
  <c r="K11" i="13"/>
  <c r="J12" i="13"/>
  <c r="K11" i="18"/>
  <c r="O11" i="18"/>
  <c r="J12" i="18"/>
  <c r="S91" i="21"/>
  <c r="T91" i="21"/>
  <c r="X91" i="21"/>
  <c r="R92" i="21"/>
  <c r="AI93" i="21"/>
  <c r="AF94" i="21"/>
  <c r="O11" i="13"/>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G114" i="26"/>
  <c r="AG115" i="26"/>
  <c r="AG116" i="26"/>
  <c r="AG117" i="26"/>
  <c r="AG118" i="26"/>
  <c r="AG119" i="26"/>
  <c r="AG120" i="26"/>
  <c r="AG121" i="26"/>
  <c r="AG122" i="26"/>
  <c r="AG123" i="26"/>
  <c r="AG124" i="26"/>
  <c r="AG125" i="26"/>
  <c r="AG126" i="26"/>
  <c r="AG127" i="26"/>
  <c r="AG128" i="26"/>
  <c r="AG129" i="26"/>
  <c r="AG130" i="26"/>
  <c r="AG131" i="26"/>
  <c r="AG132" i="26"/>
  <c r="AG133" i="26"/>
  <c r="AG134" i="26"/>
  <c r="AG135" i="26"/>
  <c r="AG136" i="26"/>
  <c r="AG137" i="26"/>
  <c r="AG138" i="26"/>
  <c r="AG139" i="26"/>
  <c r="AG140"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H106" i="26"/>
  <c r="AH107" i="26"/>
  <c r="AH108" i="26"/>
  <c r="AH109" i="26"/>
  <c r="AH110" i="26"/>
  <c r="AH111" i="26"/>
  <c r="AH112" i="26"/>
  <c r="AH113" i="26"/>
  <c r="AH114" i="26"/>
  <c r="AH115" i="26"/>
  <c r="AH116" i="26"/>
  <c r="AH117" i="26"/>
  <c r="AH118" i="26"/>
  <c r="AH119" i="26"/>
  <c r="AH120" i="26"/>
  <c r="AH121" i="26"/>
  <c r="AH122" i="26"/>
  <c r="AH123" i="26"/>
  <c r="AH124" i="26"/>
  <c r="AH125" i="26"/>
  <c r="AH126" i="26"/>
  <c r="AH127" i="26"/>
  <c r="AH128" i="26"/>
  <c r="AH129" i="26"/>
  <c r="AH130" i="26"/>
  <c r="AH131" i="26"/>
  <c r="AH132" i="26"/>
  <c r="AH133" i="26"/>
  <c r="AH134" i="26"/>
  <c r="AH135" i="26"/>
  <c r="AH136" i="26"/>
  <c r="AH137" i="26"/>
  <c r="AH138" i="26"/>
  <c r="AH139" i="26"/>
  <c r="AH140" i="26"/>
  <c r="K13" i="26"/>
  <c r="O13" i="26"/>
  <c r="J14" i="26"/>
  <c r="AF9" i="26"/>
  <c r="AI8" i="26"/>
  <c r="T12" i="26"/>
  <c r="X12" i="26"/>
  <c r="S13" i="26"/>
  <c r="T13" i="26"/>
  <c r="X13" i="26"/>
  <c r="R14" i="26"/>
  <c r="X8" i="13"/>
  <c r="Y8" i="13"/>
  <c r="T10" i="13"/>
  <c r="X9" i="13"/>
  <c r="Y9" i="13"/>
  <c r="S11" i="13"/>
  <c r="R12" i="13"/>
  <c r="AE69" i="19"/>
  <c r="B65" i="27"/>
  <c r="J65" i="27" s="1"/>
  <c r="B63" i="27"/>
  <c r="I63" i="27" s="1"/>
  <c r="AI11" i="13"/>
  <c r="AF12" i="13"/>
  <c r="K12" i="13"/>
  <c r="J13" i="13"/>
  <c r="K12" i="18"/>
  <c r="O12" i="18"/>
  <c r="J13" i="18"/>
  <c r="R93" i="21"/>
  <c r="S92" i="21"/>
  <c r="T92" i="21"/>
  <c r="X92" i="21"/>
  <c r="Y92" i="21"/>
  <c r="Y91" i="21"/>
  <c r="AF95" i="21"/>
  <c r="AI95" i="21"/>
  <c r="AI94" i="21"/>
  <c r="O12" i="13"/>
  <c r="J15" i="26"/>
  <c r="K14" i="26"/>
  <c r="O14" i="26"/>
  <c r="Y13" i="26"/>
  <c r="Y12" i="26"/>
  <c r="AI9" i="26"/>
  <c r="AF10" i="26"/>
  <c r="S14" i="26"/>
  <c r="R15" i="26"/>
  <c r="T11" i="13"/>
  <c r="X10" i="13"/>
  <c r="Y10" i="13"/>
  <c r="S12" i="13"/>
  <c r="R13" i="13"/>
  <c r="AE21" i="19"/>
  <c r="AN21" i="19"/>
  <c r="B64" i="27"/>
  <c r="AB157" i="27"/>
  <c r="K65" i="27"/>
  <c r="I65" i="27"/>
  <c r="AF13" i="13"/>
  <c r="AI12" i="13"/>
  <c r="K13" i="13"/>
  <c r="J14" i="13"/>
  <c r="K13" i="18"/>
  <c r="O13" i="18"/>
  <c r="J14" i="18"/>
  <c r="R94" i="21"/>
  <c r="S93" i="21"/>
  <c r="T93" i="21"/>
  <c r="X93" i="21"/>
  <c r="O13" i="13"/>
  <c r="J16" i="26"/>
  <c r="K15" i="26"/>
  <c r="O15" i="26"/>
  <c r="T14" i="26"/>
  <c r="X14" i="26"/>
  <c r="AF11" i="26"/>
  <c r="AI10" i="26"/>
  <c r="S15" i="26"/>
  <c r="T15" i="26"/>
  <c r="X15" i="26"/>
  <c r="R16" i="26"/>
  <c r="T12" i="13"/>
  <c r="X11" i="13"/>
  <c r="Y11" i="13"/>
  <c r="AL94" i="19"/>
  <c r="AO69" i="19"/>
  <c r="AM72" i="19"/>
  <c r="AL85" i="19"/>
  <c r="AL80" i="19"/>
  <c r="AO86" i="19"/>
  <c r="AP95" i="19"/>
  <c r="AN75" i="19"/>
  <c r="AP79" i="19"/>
  <c r="AM69" i="19"/>
  <c r="AP71" i="19"/>
  <c r="AL81" i="19"/>
  <c r="AL95" i="19"/>
  <c r="AO95" i="19"/>
  <c r="AL66" i="19"/>
  <c r="AP81" i="19"/>
  <c r="AM84" i="19"/>
  <c r="AM74" i="19"/>
  <c r="AM79" i="19"/>
  <c r="AL71" i="19"/>
  <c r="AN79" i="19"/>
  <c r="AO88" i="19"/>
  <c r="AM75" i="19"/>
  <c r="AO67" i="19"/>
  <c r="AN74" i="19"/>
  <c r="AP78" i="19"/>
  <c r="AN93" i="19"/>
  <c r="AN90" i="19"/>
  <c r="AM67" i="19"/>
  <c r="AL70" i="19"/>
  <c r="AO74" i="19"/>
  <c r="AN77" i="19"/>
  <c r="AO77" i="19"/>
  <c r="AN91" i="19"/>
  <c r="AP74" i="19"/>
  <c r="AM90" i="19"/>
  <c r="AP82" i="19"/>
  <c r="AL78" i="19"/>
  <c r="AO76" i="19"/>
  <c r="AN85" i="19"/>
  <c r="AN87" i="19"/>
  <c r="AL82" i="19"/>
  <c r="AO78" i="19"/>
  <c r="AL88" i="19"/>
  <c r="AM83" i="19"/>
  <c r="AO80" i="19"/>
  <c r="AL83" i="19"/>
  <c r="AL69" i="19"/>
  <c r="AP84" i="19"/>
  <c r="AN68" i="19"/>
  <c r="AP75" i="19"/>
  <c r="AM68" i="19"/>
  <c r="AM76" i="19"/>
  <c r="AP86" i="19"/>
  <c r="AM78" i="19"/>
  <c r="AL74" i="19"/>
  <c r="AO71" i="19"/>
  <c r="AL90" i="19"/>
  <c r="AP77" i="19"/>
  <c r="AM94" i="19"/>
  <c r="AL73" i="19"/>
  <c r="AP67" i="19"/>
  <c r="AL84" i="19"/>
  <c r="AN69" i="19"/>
  <c r="AL67" i="19"/>
  <c r="AM77" i="19"/>
  <c r="AN71" i="19"/>
  <c r="AO66" i="19"/>
  <c r="AO79" i="19"/>
  <c r="AM66" i="19"/>
  <c r="AM91" i="19"/>
  <c r="AO72" i="19"/>
  <c r="AO82" i="19"/>
  <c r="AM92" i="19"/>
  <c r="AL72" i="19"/>
  <c r="AM93" i="19"/>
  <c r="AM71" i="19"/>
  <c r="AN82" i="19"/>
  <c r="AM89" i="19"/>
  <c r="AM73" i="19"/>
  <c r="AN66" i="19"/>
  <c r="AL87" i="19"/>
  <c r="AM81" i="19"/>
  <c r="AN80" i="19"/>
  <c r="AP83" i="19"/>
  <c r="AL93" i="19"/>
  <c r="AM86" i="19"/>
  <c r="AO91" i="19"/>
  <c r="AL76" i="19"/>
  <c r="AL77" i="19"/>
  <c r="AN83" i="19"/>
  <c r="AO92" i="19"/>
  <c r="AN94" i="19"/>
  <c r="AO81" i="19"/>
  <c r="AN67" i="19"/>
  <c r="AP73" i="19"/>
  <c r="AN92" i="19"/>
  <c r="AN84" i="19"/>
  <c r="AM80" i="19"/>
  <c r="AN86" i="19"/>
  <c r="AO84" i="19"/>
  <c r="AP69" i="19"/>
  <c r="AO73" i="19"/>
  <c r="AP94" i="19"/>
  <c r="AO89" i="19"/>
  <c r="AM70" i="19"/>
  <c r="AO90" i="19"/>
  <c r="AM87" i="19"/>
  <c r="AP88" i="19"/>
  <c r="AN70" i="19"/>
  <c r="AL91" i="19"/>
  <c r="AN89" i="19"/>
  <c r="AP85" i="19"/>
  <c r="AN88" i="19"/>
  <c r="AM85" i="19"/>
  <c r="AP87" i="19"/>
  <c r="AO68" i="19"/>
  <c r="AP80" i="19"/>
  <c r="AP89" i="19"/>
  <c r="AP76" i="19"/>
  <c r="AN76" i="19"/>
  <c r="AN81" i="19"/>
  <c r="AP70" i="19"/>
  <c r="AP92" i="19"/>
  <c r="AN73" i="19"/>
  <c r="AL92" i="19"/>
  <c r="AL89" i="19"/>
  <c r="AO85" i="19"/>
  <c r="AO75" i="19"/>
  <c r="AP68" i="19"/>
  <c r="AO93" i="19"/>
  <c r="AM82" i="19"/>
  <c r="AL75" i="19"/>
  <c r="AP93" i="19"/>
  <c r="AO83" i="19"/>
  <c r="AO70" i="19"/>
  <c r="AN72" i="19"/>
  <c r="AL86" i="19"/>
  <c r="AO87" i="19"/>
  <c r="AP90" i="19"/>
  <c r="AM88" i="19"/>
  <c r="AL68" i="19"/>
  <c r="AM95" i="19"/>
  <c r="AP66" i="19"/>
  <c r="AN95" i="19"/>
  <c r="AP91" i="19"/>
  <c r="AN78" i="19"/>
  <c r="AL79" i="19"/>
  <c r="AO94" i="19"/>
  <c r="AP72" i="19"/>
  <c r="AO49" i="19"/>
  <c r="AO42" i="19"/>
  <c r="R14" i="13"/>
  <c r="S13" i="13"/>
  <c r="AC82" i="19"/>
  <c r="AC79" i="19"/>
  <c r="AC71" i="19"/>
  <c r="AC90" i="19"/>
  <c r="AD90" i="19"/>
  <c r="AD70" i="19"/>
  <c r="AB71" i="19"/>
  <c r="AB68" i="19"/>
  <c r="AB91" i="19"/>
  <c r="AD78" i="19"/>
  <c r="AB94" i="19"/>
  <c r="AD94" i="19"/>
  <c r="AB92" i="19"/>
  <c r="AB84" i="19"/>
  <c r="AC95" i="19"/>
  <c r="AB70" i="19"/>
  <c r="AD68" i="19"/>
  <c r="AD74" i="19"/>
  <c r="AC89" i="19"/>
  <c r="AD88" i="19"/>
  <c r="AB66" i="19"/>
  <c r="AD92" i="19"/>
  <c r="AC78" i="19"/>
  <c r="AB74" i="19"/>
  <c r="AC72" i="19"/>
  <c r="AB83" i="19"/>
  <c r="AC76" i="19"/>
  <c r="AB90" i="19"/>
  <c r="AD76" i="19"/>
  <c r="AB72" i="19"/>
  <c r="AB95" i="19"/>
  <c r="AB75" i="19"/>
  <c r="AD69" i="19"/>
  <c r="AC69" i="19"/>
  <c r="AD80" i="19"/>
  <c r="AD79" i="19"/>
  <c r="AD93" i="19"/>
  <c r="AB78" i="19"/>
  <c r="AD89" i="19"/>
  <c r="AD95" i="19"/>
  <c r="AB76" i="19"/>
  <c r="AD82" i="19"/>
  <c r="AB73" i="19"/>
  <c r="AD71" i="19"/>
  <c r="AB88" i="19"/>
  <c r="AC85" i="19"/>
  <c r="AC80" i="19"/>
  <c r="AD73" i="19"/>
  <c r="AE73" i="19"/>
  <c r="AC84" i="19"/>
  <c r="AC77" i="19"/>
  <c r="AE82" i="19"/>
  <c r="AB86" i="19"/>
  <c r="AD67" i="19"/>
  <c r="AB81" i="19"/>
  <c r="AC93" i="19"/>
  <c r="AD81" i="19"/>
  <c r="AC81" i="19"/>
  <c r="AC86" i="19"/>
  <c r="AD83" i="19"/>
  <c r="AE66" i="19"/>
  <c r="AE78" i="19"/>
  <c r="AC70" i="19"/>
  <c r="AD75" i="19"/>
  <c r="AC73" i="19"/>
  <c r="AD85" i="19"/>
  <c r="AC92" i="19"/>
  <c r="AC75" i="19"/>
  <c r="AE91" i="19"/>
  <c r="AD66" i="19"/>
  <c r="AE87" i="19"/>
  <c r="AE70" i="19"/>
  <c r="AC87" i="19"/>
  <c r="AD87" i="19"/>
  <c r="AB67" i="19"/>
  <c r="AC83" i="19"/>
  <c r="AC68" i="19"/>
  <c r="AE79" i="19"/>
  <c r="AE89" i="19"/>
  <c r="AE67" i="19"/>
  <c r="AB89" i="19"/>
  <c r="AB82" i="19"/>
  <c r="AD77" i="19"/>
  <c r="AE81" i="19"/>
  <c r="AB85" i="19"/>
  <c r="AC94" i="19"/>
  <c r="AD91" i="19"/>
  <c r="AE75" i="19"/>
  <c r="AE74" i="19"/>
  <c r="AC74" i="19"/>
  <c r="AE86" i="19"/>
  <c r="AB79" i="19"/>
  <c r="AE83" i="19"/>
  <c r="AC67" i="19"/>
  <c r="AB77" i="19"/>
  <c r="AD72" i="19"/>
  <c r="AE94" i="19"/>
  <c r="AD86" i="19"/>
  <c r="AC66" i="19"/>
  <c r="AD84" i="19"/>
  <c r="AB87" i="19"/>
  <c r="AB93" i="19"/>
  <c r="AE95" i="19"/>
  <c r="AC91" i="19"/>
  <c r="AB69" i="19"/>
  <c r="AB80" i="19"/>
  <c r="AE90" i="19"/>
  <c r="AE71" i="19"/>
  <c r="AE77" i="19"/>
  <c r="AE93" i="19"/>
  <c r="AE85" i="19"/>
  <c r="AE84" i="19"/>
  <c r="AE88" i="19"/>
  <c r="AE76" i="19"/>
  <c r="AE92" i="19"/>
  <c r="AE68" i="19"/>
  <c r="AE80" i="19"/>
  <c r="AC88" i="19"/>
  <c r="AE72" i="19"/>
  <c r="AM22" i="19"/>
  <c r="AB151" i="27"/>
  <c r="AB115" i="27"/>
  <c r="AB96" i="27"/>
  <c r="AB136" i="27"/>
  <c r="AB145" i="27"/>
  <c r="AB147" i="27"/>
  <c r="AB160" i="27"/>
  <c r="AB102" i="27"/>
  <c r="AB166" i="27"/>
  <c r="AB127" i="27"/>
  <c r="AB176" i="27"/>
  <c r="AB178" i="27"/>
  <c r="AB94" i="27"/>
  <c r="AB148" i="27"/>
  <c r="AB110" i="27"/>
  <c r="AB165" i="27"/>
  <c r="AB93" i="27"/>
  <c r="AB133" i="27"/>
  <c r="AB164" i="27"/>
  <c r="AB130" i="27"/>
  <c r="AB123" i="27"/>
  <c r="AB117" i="27"/>
  <c r="AB100" i="27"/>
  <c r="AB179" i="27"/>
  <c r="AB158" i="27"/>
  <c r="AB159" i="27"/>
  <c r="AB135" i="27"/>
  <c r="AB137" i="27"/>
  <c r="AB167" i="27"/>
  <c r="AB122" i="27"/>
  <c r="AB98" i="27"/>
  <c r="AB152" i="27"/>
  <c r="AB124" i="27"/>
  <c r="AB142" i="27"/>
  <c r="AC16" i="19"/>
  <c r="AD21" i="19"/>
  <c r="AB111" i="27"/>
  <c r="AP17" i="19"/>
  <c r="AL13" i="19"/>
  <c r="AL21" i="19"/>
  <c r="AT21" i="19" s="1"/>
  <c r="AP32" i="19"/>
  <c r="AB21" i="19"/>
  <c r="AP21" i="19"/>
  <c r="AL15" i="19"/>
  <c r="AM21" i="19"/>
  <c r="AE54" i="19"/>
  <c r="AC21" i="19"/>
  <c r="AO21" i="19"/>
  <c r="AS21" i="19" s="1"/>
  <c r="AO33" i="19"/>
  <c r="AB103" i="27"/>
  <c r="I64" i="27"/>
  <c r="K64" i="27"/>
  <c r="H64" i="27"/>
  <c r="J64" i="27"/>
  <c r="AB99" i="27"/>
  <c r="AB114" i="27"/>
  <c r="AB172" i="27"/>
  <c r="AB161" i="27"/>
  <c r="AB144" i="27"/>
  <c r="AB105" i="27"/>
  <c r="AB154" i="27"/>
  <c r="AB97" i="27"/>
  <c r="AB139" i="27"/>
  <c r="AB143" i="27"/>
  <c r="AB128" i="27"/>
  <c r="AB175" i="27"/>
  <c r="AB134" i="27"/>
  <c r="AB173" i="27"/>
  <c r="AB107" i="27"/>
  <c r="AB109" i="27"/>
  <c r="AB140" i="27"/>
  <c r="AB113" i="27"/>
  <c r="AB119" i="27"/>
  <c r="AB112" i="27"/>
  <c r="AB163" i="27"/>
  <c r="AB162" i="27"/>
  <c r="AB120" i="27"/>
  <c r="AB170" i="27"/>
  <c r="AB169" i="27"/>
  <c r="AB104" i="27"/>
  <c r="AB174" i="27"/>
  <c r="AB155" i="27"/>
  <c r="AB132" i="27"/>
  <c r="AB181" i="27"/>
  <c r="AB138" i="27"/>
  <c r="AB121" i="27"/>
  <c r="AB156" i="27"/>
  <c r="AB150" i="27"/>
  <c r="AB180" i="27"/>
  <c r="AB168" i="27"/>
  <c r="AB106" i="27"/>
  <c r="AB116" i="27"/>
  <c r="AB146" i="27"/>
  <c r="AB131" i="27"/>
  <c r="AB177" i="27"/>
  <c r="AB125" i="27"/>
  <c r="AB149" i="27"/>
  <c r="AB126" i="27"/>
  <c r="AB129" i="27"/>
  <c r="AB141" i="27"/>
  <c r="AB118" i="27"/>
  <c r="AB108" i="27"/>
  <c r="AB171" i="27"/>
  <c r="AB153" i="27"/>
  <c r="AI13" i="13"/>
  <c r="AF14" i="13"/>
  <c r="K14" i="13"/>
  <c r="J15" i="13"/>
  <c r="K14" i="18"/>
  <c r="O14" i="18"/>
  <c r="J15" i="18"/>
  <c r="AB92" i="27"/>
  <c r="Y93" i="21"/>
  <c r="R95" i="21"/>
  <c r="S95" i="21"/>
  <c r="T95" i="21"/>
  <c r="X95" i="21"/>
  <c r="Y95" i="21"/>
  <c r="S94" i="21"/>
  <c r="T94" i="21"/>
  <c r="X94" i="21"/>
  <c r="Y94" i="21"/>
  <c r="O14" i="13"/>
  <c r="Y15" i="26"/>
  <c r="K16" i="26"/>
  <c r="O16" i="26"/>
  <c r="J17" i="26"/>
  <c r="AI11" i="26"/>
  <c r="AF12" i="26"/>
  <c r="Y14" i="26"/>
  <c r="S16" i="26"/>
  <c r="R17" i="26"/>
  <c r="T13" i="13"/>
  <c r="X12" i="13"/>
  <c r="Y12" i="13"/>
  <c r="AB101" i="27"/>
  <c r="AQ74" i="19"/>
  <c r="AT74" i="19"/>
  <c r="AS74" i="19"/>
  <c r="Y90" i="27" s="1"/>
  <c r="AR74" i="19"/>
  <c r="AT69" i="19"/>
  <c r="AS69" i="19"/>
  <c r="AR69" i="19"/>
  <c r="AQ69" i="19"/>
  <c r="AQ89" i="19"/>
  <c r="W105" i="27" s="1"/>
  <c r="AR89" i="19"/>
  <c r="X105" i="27" s="1"/>
  <c r="AT89" i="19"/>
  <c r="Z105" i="27" s="1"/>
  <c r="AS89" i="19"/>
  <c r="AR91" i="19"/>
  <c r="X107" i="27" s="1"/>
  <c r="AT91" i="19"/>
  <c r="Z107" i="27" s="1"/>
  <c r="AS91" i="19"/>
  <c r="Y107" i="27" s="1"/>
  <c r="AQ91" i="19"/>
  <c r="AQ84" i="19"/>
  <c r="W100" i="27" s="1"/>
  <c r="AT84" i="19"/>
  <c r="AS84" i="19"/>
  <c r="Y100" i="27" s="1"/>
  <c r="AR84" i="19"/>
  <c r="X100" i="27" s="1"/>
  <c r="AR83" i="19"/>
  <c r="X99" i="27" s="1"/>
  <c r="AT83" i="19"/>
  <c r="Z99" i="27" s="1"/>
  <c r="AS83" i="19"/>
  <c r="Y99" i="27" s="1"/>
  <c r="AQ83" i="19"/>
  <c r="AS66" i="19"/>
  <c r="AQ66" i="19"/>
  <c r="AT66" i="19"/>
  <c r="AR66" i="19"/>
  <c r="X82" i="27" s="1"/>
  <c r="AQ68" i="19"/>
  <c r="AT68" i="19"/>
  <c r="AS68" i="19"/>
  <c r="AR68" i="19"/>
  <c r="X84" i="27" s="1"/>
  <c r="AT92" i="19"/>
  <c r="AS92" i="19"/>
  <c r="Y108" i="27" s="1"/>
  <c r="AR92" i="19"/>
  <c r="X108" i="27" s="1"/>
  <c r="AQ92" i="19"/>
  <c r="W108" i="27" s="1"/>
  <c r="AT93" i="19"/>
  <c r="AS93" i="19"/>
  <c r="AR93" i="19"/>
  <c r="X109" i="27" s="1"/>
  <c r="AQ93" i="19"/>
  <c r="W109" i="27" s="1"/>
  <c r="AT78" i="19"/>
  <c r="Z94" i="27" s="1"/>
  <c r="AS78" i="19"/>
  <c r="AR78" i="19"/>
  <c r="AQ78" i="19"/>
  <c r="W94" i="27" s="1"/>
  <c r="AR75" i="19"/>
  <c r="AT75" i="19"/>
  <c r="AS75" i="19"/>
  <c r="AQ75" i="19"/>
  <c r="AQ73" i="19"/>
  <c r="AT73" i="19"/>
  <c r="AR73" i="19"/>
  <c r="AS73" i="19"/>
  <c r="AS95" i="19"/>
  <c r="Y111" i="27" s="1"/>
  <c r="AR95" i="19"/>
  <c r="AQ95" i="19"/>
  <c r="AT95" i="19"/>
  <c r="Z111" i="27" s="1"/>
  <c r="AR80" i="19"/>
  <c r="X96" i="27" s="1"/>
  <c r="AQ80" i="19"/>
  <c r="AS80" i="19"/>
  <c r="Y96" i="27" s="1"/>
  <c r="AT80" i="19"/>
  <c r="AS79" i="19"/>
  <c r="Y95" i="27" s="1"/>
  <c r="AR79" i="19"/>
  <c r="AQ79" i="19"/>
  <c r="AT79" i="19"/>
  <c r="Z95" i="27" s="1"/>
  <c r="AR88" i="19"/>
  <c r="X104" i="27" s="1"/>
  <c r="AQ88" i="19"/>
  <c r="AT88" i="19"/>
  <c r="Z104" i="27" s="1"/>
  <c r="AS88" i="19"/>
  <c r="Y104" i="27" s="1"/>
  <c r="AS71" i="19"/>
  <c r="AT71" i="19"/>
  <c r="Z87" i="27" s="1"/>
  <c r="AR71" i="19"/>
  <c r="AQ71" i="19"/>
  <c r="AQ81" i="19"/>
  <c r="W97" i="27" s="1"/>
  <c r="AT81" i="19"/>
  <c r="Z97" i="27" s="1"/>
  <c r="AR81" i="19"/>
  <c r="X97" i="27" s="1"/>
  <c r="AS81" i="19"/>
  <c r="AT85" i="19"/>
  <c r="AS85" i="19"/>
  <c r="AR85" i="19"/>
  <c r="X101" i="27" s="1"/>
  <c r="AQ85" i="19"/>
  <c r="W101" i="27" s="1"/>
  <c r="AR72" i="19"/>
  <c r="AQ72" i="19"/>
  <c r="AT72" i="19"/>
  <c r="AS72" i="19"/>
  <c r="AT70" i="19"/>
  <c r="AS70" i="19"/>
  <c r="AR70" i="19"/>
  <c r="AQ70" i="19"/>
  <c r="AT86" i="19"/>
  <c r="Z102" i="27" s="1"/>
  <c r="AS86" i="19"/>
  <c r="AR86" i="19"/>
  <c r="AQ86" i="19"/>
  <c r="W102" i="27" s="1"/>
  <c r="AT77" i="19"/>
  <c r="AS77" i="19"/>
  <c r="AR77" i="19"/>
  <c r="X93" i="27" s="1"/>
  <c r="AQ77" i="19"/>
  <c r="W93" i="27" s="1"/>
  <c r="AS87" i="19"/>
  <c r="Y103" i="27" s="1"/>
  <c r="AR87" i="19"/>
  <c r="AQ87" i="19"/>
  <c r="AT87" i="19"/>
  <c r="Z103" i="27" s="1"/>
  <c r="AS90" i="19"/>
  <c r="Y106" i="27" s="1"/>
  <c r="AT90" i="19"/>
  <c r="Z106" i="27" s="1"/>
  <c r="AR90" i="19"/>
  <c r="AQ90" i="19"/>
  <c r="W106" i="27" s="1"/>
  <c r="AS82" i="19"/>
  <c r="Y98" i="27" s="1"/>
  <c r="AQ82" i="19"/>
  <c r="W98" i="27" s="1"/>
  <c r="AT82" i="19"/>
  <c r="Z98" i="27" s="1"/>
  <c r="AR82" i="19"/>
  <c r="AT76" i="19"/>
  <c r="AQ76" i="19"/>
  <c r="W92" i="27" s="1"/>
  <c r="AS76" i="19"/>
  <c r="Y92" i="27" s="1"/>
  <c r="AR76" i="19"/>
  <c r="X92" i="27" s="1"/>
  <c r="AT67" i="19"/>
  <c r="AR67" i="19"/>
  <c r="X83" i="27" s="1"/>
  <c r="AS67" i="19"/>
  <c r="AQ67" i="19"/>
  <c r="AT94" i="19"/>
  <c r="Z110" i="27" s="1"/>
  <c r="AS94" i="19"/>
  <c r="AR94" i="19"/>
  <c r="AQ94" i="19"/>
  <c r="W110" i="27" s="1"/>
  <c r="Q66" i="19"/>
  <c r="R15" i="13"/>
  <c r="S14" i="13"/>
  <c r="Q72" i="19"/>
  <c r="Q80" i="19"/>
  <c r="Q77" i="19"/>
  <c r="Q73" i="19"/>
  <c r="Q81" i="19"/>
  <c r="Q74" i="19"/>
  <c r="Q82" i="19"/>
  <c r="Q75" i="19"/>
  <c r="Q83" i="19"/>
  <c r="Q76" i="19"/>
  <c r="Q84" i="19"/>
  <c r="Q78" i="19"/>
  <c r="Q86" i="19"/>
  <c r="Q85" i="19"/>
  <c r="Q71" i="19"/>
  <c r="Q79" i="19"/>
  <c r="Q87" i="19"/>
  <c r="Q67" i="19"/>
  <c r="Q69" i="19"/>
  <c r="Q68" i="19"/>
  <c r="Q70" i="19"/>
  <c r="Q95" i="19"/>
  <c r="Q88" i="19"/>
  <c r="Q89" i="19"/>
  <c r="Q90" i="19"/>
  <c r="Q91" i="19"/>
  <c r="Q92" i="19"/>
  <c r="Q93" i="19"/>
  <c r="Q94" i="19"/>
  <c r="AG66" i="19"/>
  <c r="AG67" i="19"/>
  <c r="AG68" i="19"/>
  <c r="AG69" i="19"/>
  <c r="AG70" i="19"/>
  <c r="AG71" i="19"/>
  <c r="AG72" i="19"/>
  <c r="AG73" i="19"/>
  <c r="AG74" i="19"/>
  <c r="AG75" i="19"/>
  <c r="AG76" i="19"/>
  <c r="AG77" i="19"/>
  <c r="AG78" i="19"/>
  <c r="AG79" i="19"/>
  <c r="AG80" i="19"/>
  <c r="AG81" i="19"/>
  <c r="AG82" i="19"/>
  <c r="AG83" i="19"/>
  <c r="AG84" i="19"/>
  <c r="AG85" i="19"/>
  <c r="AG86" i="19"/>
  <c r="AG87" i="19"/>
  <c r="AG88" i="19"/>
  <c r="AG89" i="19"/>
  <c r="AG90" i="19"/>
  <c r="AG91" i="19"/>
  <c r="AG92" i="19"/>
  <c r="AG93" i="19"/>
  <c r="AG94" i="19"/>
  <c r="AG95" i="19"/>
  <c r="AH66" i="19"/>
  <c r="AH67" i="19"/>
  <c r="AH68" i="19"/>
  <c r="AH69" i="19"/>
  <c r="AH70" i="19"/>
  <c r="AH71" i="19"/>
  <c r="AH72" i="19"/>
  <c r="AH73" i="19"/>
  <c r="AH74" i="19"/>
  <c r="AH75" i="19"/>
  <c r="AH76" i="19"/>
  <c r="AH77" i="19"/>
  <c r="AH78" i="19"/>
  <c r="AH79" i="19"/>
  <c r="AH80" i="19"/>
  <c r="AH81" i="19"/>
  <c r="AH82" i="19"/>
  <c r="AH83" i="19"/>
  <c r="AH84" i="19"/>
  <c r="AH85" i="19"/>
  <c r="AH86" i="19"/>
  <c r="AH87" i="19"/>
  <c r="AH88" i="19"/>
  <c r="AH89" i="19"/>
  <c r="AH90" i="19"/>
  <c r="AH91" i="19"/>
  <c r="AH92" i="19"/>
  <c r="AH93" i="19"/>
  <c r="AH94" i="19"/>
  <c r="AH95" i="19"/>
  <c r="AF15" i="13"/>
  <c r="AI14" i="13"/>
  <c r="K15" i="13"/>
  <c r="J16" i="13"/>
  <c r="K15" i="18"/>
  <c r="O15" i="18"/>
  <c r="J16" i="18"/>
  <c r="C113" i="21"/>
  <c r="E113" i="21"/>
  <c r="C127" i="21"/>
  <c r="O15" i="13"/>
  <c r="J18" i="26"/>
  <c r="K17" i="26"/>
  <c r="O17" i="26"/>
  <c r="T16" i="26"/>
  <c r="X16" i="26"/>
  <c r="Y16" i="26"/>
  <c r="AI12" i="26"/>
  <c r="AF13" i="26"/>
  <c r="S17" i="26"/>
  <c r="T17" i="26"/>
  <c r="X17" i="26"/>
  <c r="R18" i="26"/>
  <c r="X13" i="13"/>
  <c r="Y13" i="13"/>
  <c r="T14" i="13"/>
  <c r="S15" i="13"/>
  <c r="R16" i="13"/>
  <c r="AB95" i="27"/>
  <c r="AF16" i="13"/>
  <c r="AI15" i="13"/>
  <c r="K16" i="13"/>
  <c r="J17" i="13"/>
  <c r="K16" i="18"/>
  <c r="O16" i="18"/>
  <c r="J17" i="18"/>
  <c r="Y17" i="26"/>
  <c r="F127" i="21"/>
  <c r="O16" i="13"/>
  <c r="K18" i="26"/>
  <c r="O18" i="26"/>
  <c r="J19" i="26"/>
  <c r="AF14" i="26"/>
  <c r="AI13" i="26"/>
  <c r="S18" i="26"/>
  <c r="R19" i="26"/>
  <c r="X14" i="13"/>
  <c r="Y14" i="13"/>
  <c r="T15" i="13"/>
  <c r="S16" i="13"/>
  <c r="R17" i="13"/>
  <c r="AF17" i="13"/>
  <c r="AI16" i="13"/>
  <c r="K17" i="13"/>
  <c r="J18" i="13"/>
  <c r="K17" i="18"/>
  <c r="O17" i="18"/>
  <c r="J18" i="18"/>
  <c r="O17" i="13"/>
  <c r="K19" i="26"/>
  <c r="O19" i="26"/>
  <c r="J20" i="26"/>
  <c r="S19" i="26"/>
  <c r="T19" i="26"/>
  <c r="X19" i="26"/>
  <c r="Y19" i="26"/>
  <c r="R20" i="26"/>
  <c r="T18" i="26"/>
  <c r="X18" i="26"/>
  <c r="Y18" i="26"/>
  <c r="AF15" i="26"/>
  <c r="AI14" i="26"/>
  <c r="X15" i="13"/>
  <c r="Y15" i="13"/>
  <c r="T16" i="13"/>
  <c r="R18" i="13"/>
  <c r="S17" i="13"/>
  <c r="AF18" i="13"/>
  <c r="AI17" i="13"/>
  <c r="K18" i="13"/>
  <c r="J19" i="13"/>
  <c r="K18" i="18"/>
  <c r="O18" i="18"/>
  <c r="J19" i="18"/>
  <c r="O18" i="13"/>
  <c r="J21" i="26"/>
  <c r="K20" i="26"/>
  <c r="O20" i="26"/>
  <c r="S20" i="26"/>
  <c r="R21" i="26"/>
  <c r="AI15" i="26"/>
  <c r="AF16" i="26"/>
  <c r="X16" i="13"/>
  <c r="Y16" i="13"/>
  <c r="T17" i="13"/>
  <c r="R19" i="13"/>
  <c r="S18" i="13"/>
  <c r="AF19" i="13"/>
  <c r="AI18" i="13"/>
  <c r="K19" i="13"/>
  <c r="J20" i="13"/>
  <c r="K19" i="18"/>
  <c r="O19" i="18"/>
  <c r="J20" i="18"/>
  <c r="O19" i="13"/>
  <c r="J22" i="26"/>
  <c r="K21" i="26"/>
  <c r="O21" i="26"/>
  <c r="S21" i="26"/>
  <c r="T21" i="26"/>
  <c r="X21" i="26"/>
  <c r="R22" i="26"/>
  <c r="AF17" i="26"/>
  <c r="AI16" i="26"/>
  <c r="T20" i="26"/>
  <c r="X20" i="26"/>
  <c r="Y20" i="26"/>
  <c r="X17" i="13"/>
  <c r="Y17" i="13"/>
  <c r="T18" i="13"/>
  <c r="S19" i="13"/>
  <c r="R20" i="13"/>
  <c r="AF20" i="13"/>
  <c r="AI19" i="13"/>
  <c r="K20" i="13"/>
  <c r="J21" i="13"/>
  <c r="K20" i="18"/>
  <c r="O20" i="18"/>
  <c r="J21" i="18"/>
  <c r="O20" i="13"/>
  <c r="Y21" i="26"/>
  <c r="K22" i="26"/>
  <c r="O22" i="26"/>
  <c r="J23" i="26"/>
  <c r="AF18" i="26"/>
  <c r="AI17" i="26"/>
  <c r="S22" i="26"/>
  <c r="R23" i="26"/>
  <c r="X18" i="13"/>
  <c r="Y18" i="13"/>
  <c r="T19" i="13"/>
  <c r="S20" i="13"/>
  <c r="R21" i="13"/>
  <c r="AI20" i="13"/>
  <c r="AF21" i="13"/>
  <c r="K21" i="13"/>
  <c r="J22" i="13"/>
  <c r="K21" i="18"/>
  <c r="O21" i="18"/>
  <c r="J22" i="18"/>
  <c r="O21" i="13"/>
  <c r="J24" i="26"/>
  <c r="K23" i="26"/>
  <c r="O23" i="26"/>
  <c r="AF19" i="26"/>
  <c r="AI18" i="26"/>
  <c r="S23" i="26"/>
  <c r="T23" i="26"/>
  <c r="X23" i="26"/>
  <c r="Y23" i="26"/>
  <c r="R24" i="26"/>
  <c r="T22" i="26"/>
  <c r="X22" i="26"/>
  <c r="Y22" i="26"/>
  <c r="T20" i="13"/>
  <c r="X19" i="13"/>
  <c r="Y19" i="13"/>
  <c r="R22" i="13"/>
  <c r="S21" i="13"/>
  <c r="AF22" i="13"/>
  <c r="AI21" i="13"/>
  <c r="K22" i="13"/>
  <c r="J23" i="13"/>
  <c r="K22" i="18"/>
  <c r="O22" i="18"/>
  <c r="J23" i="18"/>
  <c r="O22" i="13"/>
  <c r="J25" i="26"/>
  <c r="K24" i="26"/>
  <c r="O24" i="26"/>
  <c r="S24" i="26"/>
  <c r="R25" i="26"/>
  <c r="AI19" i="26"/>
  <c r="AF20" i="26"/>
  <c r="X20" i="13"/>
  <c r="Y20" i="13"/>
  <c r="T21" i="13"/>
  <c r="S22" i="13"/>
  <c r="R23" i="13"/>
  <c r="AF23" i="13"/>
  <c r="AI22" i="13"/>
  <c r="K23" i="13"/>
  <c r="J24" i="13"/>
  <c r="K23" i="18"/>
  <c r="O23" i="18"/>
  <c r="J24" i="18"/>
  <c r="O23" i="13"/>
  <c r="J26" i="26"/>
  <c r="K25" i="26"/>
  <c r="O25" i="26"/>
  <c r="AI20" i="26"/>
  <c r="AF21" i="26"/>
  <c r="S25" i="26"/>
  <c r="T25" i="26"/>
  <c r="X25" i="26"/>
  <c r="R26" i="26"/>
  <c r="T24" i="26"/>
  <c r="X24" i="26"/>
  <c r="Y24" i="26"/>
  <c r="T22" i="13"/>
  <c r="X21" i="13"/>
  <c r="Y21" i="13"/>
  <c r="R24" i="13"/>
  <c r="S23" i="13"/>
  <c r="AF24" i="13"/>
  <c r="AI23" i="13"/>
  <c r="K24" i="13"/>
  <c r="J25" i="13"/>
  <c r="K24" i="18"/>
  <c r="O24" i="18"/>
  <c r="J25" i="18"/>
  <c r="O24" i="13"/>
  <c r="Y25" i="26"/>
  <c r="K26" i="26"/>
  <c r="O26" i="26"/>
  <c r="J27" i="26"/>
  <c r="S26" i="26"/>
  <c r="R27" i="26"/>
  <c r="AI21" i="26"/>
  <c r="AF22" i="26"/>
  <c r="X22" i="13"/>
  <c r="Y22" i="13"/>
  <c r="T23" i="13"/>
  <c r="R25" i="13"/>
  <c r="S24" i="13"/>
  <c r="AI24" i="13"/>
  <c r="AF25" i="13"/>
  <c r="K25" i="13"/>
  <c r="J26" i="13"/>
  <c r="K25" i="18"/>
  <c r="O25" i="18"/>
  <c r="J26" i="18"/>
  <c r="O25" i="13"/>
  <c r="J28" i="26"/>
  <c r="K27" i="26"/>
  <c r="O27" i="26"/>
  <c r="AF23" i="26"/>
  <c r="AI22" i="26"/>
  <c r="S27" i="26"/>
  <c r="T27" i="26"/>
  <c r="X27" i="26"/>
  <c r="R28" i="26"/>
  <c r="T26" i="26"/>
  <c r="X26" i="26"/>
  <c r="Y26" i="26"/>
  <c r="T24" i="13"/>
  <c r="X23" i="13"/>
  <c r="Y23" i="13"/>
  <c r="S25" i="13"/>
  <c r="R26" i="13"/>
  <c r="AF26" i="13"/>
  <c r="AI25" i="13"/>
  <c r="K26" i="13"/>
  <c r="J27" i="13"/>
  <c r="K26" i="18"/>
  <c r="O26" i="18"/>
  <c r="J27" i="18"/>
  <c r="O26" i="13"/>
  <c r="Y27" i="26"/>
  <c r="K28" i="26"/>
  <c r="O28" i="26"/>
  <c r="J29" i="26"/>
  <c r="S28" i="26"/>
  <c r="R29" i="26"/>
  <c r="AI23" i="26"/>
  <c r="AF24" i="26"/>
  <c r="X24" i="13"/>
  <c r="Y24" i="13"/>
  <c r="R27" i="13"/>
  <c r="S26" i="13"/>
  <c r="T25" i="13"/>
  <c r="AF27" i="13"/>
  <c r="AI26" i="13"/>
  <c r="K27" i="13"/>
  <c r="J28" i="13"/>
  <c r="K27" i="18"/>
  <c r="O27" i="18"/>
  <c r="J28" i="18"/>
  <c r="O27" i="13"/>
  <c r="J30" i="26"/>
  <c r="K29" i="26"/>
  <c r="O29" i="26"/>
  <c r="S29" i="26"/>
  <c r="T29" i="26"/>
  <c r="X29" i="26"/>
  <c r="R30" i="26"/>
  <c r="T28" i="26"/>
  <c r="X28" i="26"/>
  <c r="Y28" i="26"/>
  <c r="AI24" i="26"/>
  <c r="AF25" i="26"/>
  <c r="X25" i="13"/>
  <c r="Y25" i="13"/>
  <c r="T26" i="13"/>
  <c r="S27" i="13"/>
  <c r="R28" i="13"/>
  <c r="AI27" i="13"/>
  <c r="AF28" i="13"/>
  <c r="K28" i="13"/>
  <c r="J29" i="13"/>
  <c r="K28" i="18"/>
  <c r="O28" i="18"/>
  <c r="J29" i="18"/>
  <c r="O28" i="13"/>
  <c r="Y29" i="26"/>
  <c r="K30" i="26"/>
  <c r="O30" i="26"/>
  <c r="J31" i="26"/>
  <c r="S30" i="26"/>
  <c r="R31" i="26"/>
  <c r="AF26" i="26"/>
  <c r="AI25" i="26"/>
  <c r="X26" i="13"/>
  <c r="Y26" i="13"/>
  <c r="S28" i="13"/>
  <c r="R29" i="13"/>
  <c r="T27" i="13"/>
  <c r="AF29" i="13"/>
  <c r="AI28" i="13"/>
  <c r="K29" i="13"/>
  <c r="J30" i="13"/>
  <c r="K29" i="18"/>
  <c r="O29" i="18"/>
  <c r="J30" i="18"/>
  <c r="O29" i="13"/>
  <c r="K31" i="26"/>
  <c r="O31" i="26"/>
  <c r="J32" i="26"/>
  <c r="AI26" i="26"/>
  <c r="AF27" i="26"/>
  <c r="T30" i="26"/>
  <c r="X30" i="26"/>
  <c r="Y30" i="26"/>
  <c r="S31" i="26"/>
  <c r="T31" i="26"/>
  <c r="X31" i="26"/>
  <c r="R32" i="26"/>
  <c r="T28" i="13"/>
  <c r="X27" i="13"/>
  <c r="Y27" i="13"/>
  <c r="S29" i="13"/>
  <c r="R30" i="13"/>
  <c r="AI29" i="13"/>
  <c r="AF30" i="13"/>
  <c r="K30" i="13"/>
  <c r="J31" i="13"/>
  <c r="K30" i="18"/>
  <c r="O30" i="18"/>
  <c r="J31" i="18"/>
  <c r="O30" i="13"/>
  <c r="Y31" i="26"/>
  <c r="K32" i="26"/>
  <c r="O32" i="26"/>
  <c r="J33" i="26"/>
  <c r="S32" i="26"/>
  <c r="R33" i="26"/>
  <c r="AI27" i="26"/>
  <c r="AF28" i="26"/>
  <c r="T29" i="13"/>
  <c r="X28" i="13"/>
  <c r="Y28" i="13"/>
  <c r="R31" i="13"/>
  <c r="S30" i="13"/>
  <c r="AF31" i="13"/>
  <c r="AI30" i="13"/>
  <c r="K31" i="13"/>
  <c r="J32" i="13"/>
  <c r="D123" i="19"/>
  <c r="K31" i="18"/>
  <c r="O31" i="18"/>
  <c r="J32" i="18"/>
  <c r="O31" i="13"/>
  <c r="K33" i="26"/>
  <c r="O33" i="26"/>
  <c r="J34" i="26"/>
  <c r="D123" i="26"/>
  <c r="E123" i="26"/>
  <c r="E127" i="26"/>
  <c r="AI28" i="26"/>
  <c r="AF29" i="26"/>
  <c r="S33" i="26"/>
  <c r="T33" i="26"/>
  <c r="X33" i="26"/>
  <c r="R34" i="26"/>
  <c r="T32" i="26"/>
  <c r="X32" i="26"/>
  <c r="Y32" i="26"/>
  <c r="T30" i="13"/>
  <c r="X29" i="13"/>
  <c r="Y29" i="13"/>
  <c r="R32" i="13"/>
  <c r="S31" i="13"/>
  <c r="AI31" i="13"/>
  <c r="AF32" i="13"/>
  <c r="K32" i="13"/>
  <c r="J33" i="13"/>
  <c r="K32" i="18"/>
  <c r="O32" i="18"/>
  <c r="J33" i="18"/>
  <c r="O32" i="13"/>
  <c r="Y33" i="26"/>
  <c r="J35" i="26"/>
  <c r="K34" i="26"/>
  <c r="O34" i="26"/>
  <c r="S34" i="26"/>
  <c r="R35" i="26"/>
  <c r="AI29" i="26"/>
  <c r="AF30" i="26"/>
  <c r="X30" i="13"/>
  <c r="Y30" i="13"/>
  <c r="T31" i="13"/>
  <c r="R33" i="13"/>
  <c r="S32" i="13"/>
  <c r="AF33" i="13"/>
  <c r="AI32" i="13"/>
  <c r="K33" i="13"/>
  <c r="J34" i="13"/>
  <c r="K33" i="18"/>
  <c r="O33" i="18"/>
  <c r="J34" i="18"/>
  <c r="D123" i="18"/>
  <c r="O33" i="13"/>
  <c r="J36" i="26"/>
  <c r="K35" i="26"/>
  <c r="O35" i="26"/>
  <c r="D114" i="26"/>
  <c r="S35" i="26"/>
  <c r="T35" i="26"/>
  <c r="X35" i="26"/>
  <c r="R36" i="26"/>
  <c r="AF31" i="26"/>
  <c r="AI30" i="26"/>
  <c r="T34" i="26"/>
  <c r="X34" i="26"/>
  <c r="Y34" i="26"/>
  <c r="X31" i="13"/>
  <c r="Y31" i="13"/>
  <c r="T32" i="13"/>
  <c r="S33" i="13"/>
  <c r="R34" i="13"/>
  <c r="AF34" i="13"/>
  <c r="AI33" i="13"/>
  <c r="K34" i="13"/>
  <c r="D123" i="13"/>
  <c r="E123" i="13"/>
  <c r="E127" i="13"/>
  <c r="E23" i="24"/>
  <c r="J35" i="13"/>
  <c r="K34" i="18"/>
  <c r="O34" i="18"/>
  <c r="J35" i="18"/>
  <c r="O34" i="13"/>
  <c r="J37" i="26"/>
  <c r="K36" i="26"/>
  <c r="O36" i="26"/>
  <c r="AI31" i="26"/>
  <c r="AF32" i="26"/>
  <c r="S36" i="26"/>
  <c r="R37" i="26"/>
  <c r="C114" i="26"/>
  <c r="Y35" i="26"/>
  <c r="E114" i="26"/>
  <c r="T33" i="13"/>
  <c r="X32" i="13"/>
  <c r="Y32" i="13"/>
  <c r="R35" i="13"/>
  <c r="S34" i="13"/>
  <c r="AF35" i="13"/>
  <c r="AI34" i="13"/>
  <c r="K35" i="13"/>
  <c r="J36" i="13"/>
  <c r="J36" i="18"/>
  <c r="K35" i="18"/>
  <c r="O35" i="18"/>
  <c r="O35" i="13"/>
  <c r="J38" i="26"/>
  <c r="K37" i="26"/>
  <c r="O37" i="26"/>
  <c r="S37" i="26"/>
  <c r="T37" i="26"/>
  <c r="X37" i="26"/>
  <c r="Y37" i="26"/>
  <c r="R38" i="26"/>
  <c r="T36" i="26"/>
  <c r="X36" i="26"/>
  <c r="Y36" i="26"/>
  <c r="AI32" i="26"/>
  <c r="AF33" i="26"/>
  <c r="X33" i="13"/>
  <c r="Y33" i="13"/>
  <c r="T34" i="13"/>
  <c r="R36" i="13"/>
  <c r="S35" i="13"/>
  <c r="AF36" i="13"/>
  <c r="AI35" i="13"/>
  <c r="C118" i="13"/>
  <c r="E118" i="13"/>
  <c r="D127" i="13"/>
  <c r="E22" i="24"/>
  <c r="D114" i="13"/>
  <c r="K36" i="13"/>
  <c r="J37" i="13"/>
  <c r="D114" i="18"/>
  <c r="K36" i="18"/>
  <c r="O36" i="18"/>
  <c r="J37" i="18"/>
  <c r="O36" i="13"/>
  <c r="J39" i="26"/>
  <c r="K38" i="26"/>
  <c r="O38" i="26"/>
  <c r="S38" i="26"/>
  <c r="R39" i="26"/>
  <c r="AF34" i="26"/>
  <c r="AI33" i="26"/>
  <c r="X34" i="13"/>
  <c r="Y34" i="13"/>
  <c r="T35" i="13"/>
  <c r="S36" i="13"/>
  <c r="R37" i="13"/>
  <c r="AI36" i="13"/>
  <c r="AF37" i="13"/>
  <c r="K37" i="13"/>
  <c r="J38" i="13"/>
  <c r="J38" i="18"/>
  <c r="K37" i="18"/>
  <c r="O37" i="18"/>
  <c r="O37" i="13"/>
  <c r="K39" i="26"/>
  <c r="O39" i="26"/>
  <c r="J40" i="26"/>
  <c r="T38" i="26"/>
  <c r="X38" i="26"/>
  <c r="Y38" i="26"/>
  <c r="AI34" i="26"/>
  <c r="AF35" i="26"/>
  <c r="S39" i="26"/>
  <c r="T39" i="26"/>
  <c r="X39" i="26"/>
  <c r="R40" i="26"/>
  <c r="X35" i="13"/>
  <c r="R38" i="13"/>
  <c r="S37" i="13"/>
  <c r="T36" i="13"/>
  <c r="AF38" i="13"/>
  <c r="AI37" i="13"/>
  <c r="K38" i="13"/>
  <c r="J39" i="13"/>
  <c r="K38" i="18"/>
  <c r="O38" i="18"/>
  <c r="J39" i="18"/>
  <c r="O38" i="13"/>
  <c r="Y39" i="26"/>
  <c r="J41" i="26"/>
  <c r="K40" i="26"/>
  <c r="O40" i="26"/>
  <c r="AI35" i="26"/>
  <c r="C118" i="26"/>
  <c r="E118" i="26"/>
  <c r="D127" i="26"/>
  <c r="AF36" i="26"/>
  <c r="S40" i="26"/>
  <c r="R41" i="26"/>
  <c r="X36" i="13"/>
  <c r="Y36" i="13"/>
  <c r="C114" i="13"/>
  <c r="Y35" i="13"/>
  <c r="E114" i="13"/>
  <c r="T37" i="13"/>
  <c r="R39" i="13"/>
  <c r="S38" i="13"/>
  <c r="AF39" i="13"/>
  <c r="AI38" i="13"/>
  <c r="K39" i="13"/>
  <c r="J40" i="13"/>
  <c r="J40" i="18"/>
  <c r="K39" i="18"/>
  <c r="O39" i="18"/>
  <c r="O39" i="13"/>
  <c r="K41" i="26"/>
  <c r="O41" i="26"/>
  <c r="J42" i="26"/>
  <c r="T40" i="26"/>
  <c r="X40" i="26"/>
  <c r="Y40" i="26"/>
  <c r="AI36" i="26"/>
  <c r="AF37" i="26"/>
  <c r="S41" i="26"/>
  <c r="T41" i="26"/>
  <c r="X41" i="26"/>
  <c r="Y41" i="26"/>
  <c r="R42" i="26"/>
  <c r="T38" i="13"/>
  <c r="X37" i="13"/>
  <c r="Y37" i="13"/>
  <c r="S39" i="13"/>
  <c r="R40" i="13"/>
  <c r="AF40" i="13"/>
  <c r="AI39" i="13"/>
  <c r="K40" i="13"/>
  <c r="J41" i="13"/>
  <c r="K40" i="18"/>
  <c r="O40" i="18"/>
  <c r="J41" i="18"/>
  <c r="O40" i="13"/>
  <c r="J43" i="26"/>
  <c r="K42" i="26"/>
  <c r="O42" i="26"/>
  <c r="AF38" i="26"/>
  <c r="AI37" i="26"/>
  <c r="S42" i="26"/>
  <c r="R43" i="26"/>
  <c r="T39" i="13"/>
  <c r="X38" i="13"/>
  <c r="Y38" i="13"/>
  <c r="S40" i="13"/>
  <c r="R41" i="13"/>
  <c r="AI40" i="13"/>
  <c r="AF41" i="13"/>
  <c r="K41" i="13"/>
  <c r="J42" i="13"/>
  <c r="J42" i="18"/>
  <c r="K41" i="18"/>
  <c r="O41" i="18"/>
  <c r="O41" i="13"/>
  <c r="J44" i="26"/>
  <c r="K43" i="26"/>
  <c r="O43" i="26"/>
  <c r="T42" i="26"/>
  <c r="X42" i="26"/>
  <c r="Y42" i="26"/>
  <c r="S43" i="26"/>
  <c r="T43" i="26"/>
  <c r="X43" i="26"/>
  <c r="R44" i="26"/>
  <c r="AI38" i="26"/>
  <c r="AF39" i="26"/>
  <c r="X39" i="13"/>
  <c r="Y39" i="13"/>
  <c r="R42" i="13"/>
  <c r="S41" i="13"/>
  <c r="T40" i="13"/>
  <c r="AI41" i="13"/>
  <c r="AF42" i="13"/>
  <c r="K42" i="13"/>
  <c r="J43" i="13"/>
  <c r="K42" i="18"/>
  <c r="O42" i="18"/>
  <c r="J43" i="18"/>
  <c r="O42" i="13"/>
  <c r="Y43" i="26"/>
  <c r="J45" i="26"/>
  <c r="K44" i="26"/>
  <c r="O44" i="26"/>
  <c r="S44" i="26"/>
  <c r="R45" i="26"/>
  <c r="AI39" i="26"/>
  <c r="AF40" i="26"/>
  <c r="X40" i="13"/>
  <c r="Y40" i="13"/>
  <c r="T41" i="13"/>
  <c r="S42" i="13"/>
  <c r="R43" i="13"/>
  <c r="AF43" i="13"/>
  <c r="AI42" i="13"/>
  <c r="K43" i="13"/>
  <c r="J44" i="13"/>
  <c r="J44" i="18"/>
  <c r="K43" i="18"/>
  <c r="O43" i="18"/>
  <c r="O43" i="13"/>
  <c r="K45" i="26"/>
  <c r="O45" i="26"/>
  <c r="J46" i="26"/>
  <c r="T44" i="26"/>
  <c r="X44" i="26"/>
  <c r="Y44" i="26"/>
  <c r="AI40" i="26"/>
  <c r="AF41" i="26"/>
  <c r="S45" i="26"/>
  <c r="T45" i="26"/>
  <c r="X45" i="26"/>
  <c r="Y45" i="26"/>
  <c r="R46" i="26"/>
  <c r="X41" i="13"/>
  <c r="Y41" i="13"/>
  <c r="T42" i="13"/>
  <c r="R44" i="13"/>
  <c r="S43" i="13"/>
  <c r="AF44" i="13"/>
  <c r="AI43" i="13"/>
  <c r="K44" i="13"/>
  <c r="J45" i="13"/>
  <c r="K44" i="18"/>
  <c r="O44" i="18"/>
  <c r="J45" i="18"/>
  <c r="O44" i="13"/>
  <c r="K46" i="26"/>
  <c r="O46" i="26"/>
  <c r="J47" i="26"/>
  <c r="AF42" i="26"/>
  <c r="AI41" i="26"/>
  <c r="S46" i="26"/>
  <c r="R47" i="26"/>
  <c r="X42" i="13"/>
  <c r="Y42" i="13"/>
  <c r="T43" i="13"/>
  <c r="R45" i="13"/>
  <c r="S44" i="13"/>
  <c r="AF45" i="13"/>
  <c r="AI44" i="13"/>
  <c r="K45" i="13"/>
  <c r="J46" i="13"/>
  <c r="J46" i="18"/>
  <c r="K45" i="18"/>
  <c r="O45" i="18"/>
  <c r="O45" i="13"/>
  <c r="K47" i="26"/>
  <c r="O47" i="26"/>
  <c r="J48" i="26"/>
  <c r="T46" i="26"/>
  <c r="X46" i="26"/>
  <c r="Y46" i="26"/>
  <c r="S47" i="26"/>
  <c r="T47" i="26"/>
  <c r="X47" i="26"/>
  <c r="R48" i="26"/>
  <c r="AI42" i="26"/>
  <c r="AF43" i="26"/>
  <c r="X43" i="13"/>
  <c r="Y43" i="13"/>
  <c r="T44" i="13"/>
  <c r="R46" i="13"/>
  <c r="S45" i="13"/>
  <c r="AF46" i="13"/>
  <c r="AI45" i="13"/>
  <c r="K46" i="13"/>
  <c r="J47" i="13"/>
  <c r="K46" i="18"/>
  <c r="O46" i="18"/>
  <c r="J47" i="18"/>
  <c r="O46" i="13"/>
  <c r="Y47" i="26"/>
  <c r="J49" i="26"/>
  <c r="K48" i="26"/>
  <c r="O48" i="26"/>
  <c r="S48" i="26"/>
  <c r="R49" i="26"/>
  <c r="AF44" i="26"/>
  <c r="AI43" i="26"/>
  <c r="X44" i="13"/>
  <c r="Y44" i="13"/>
  <c r="T45" i="13"/>
  <c r="S46" i="13"/>
  <c r="R47" i="13"/>
  <c r="AF47" i="13"/>
  <c r="AI46" i="13"/>
  <c r="K47" i="13"/>
  <c r="J48" i="13"/>
  <c r="J48" i="18"/>
  <c r="K47" i="18"/>
  <c r="O47" i="18"/>
  <c r="O47" i="13"/>
  <c r="K49" i="26"/>
  <c r="O49" i="26"/>
  <c r="J50" i="26"/>
  <c r="J51" i="26"/>
  <c r="AI44" i="26"/>
  <c r="AF45" i="26"/>
  <c r="S49" i="26"/>
  <c r="T49" i="26"/>
  <c r="X49" i="26"/>
  <c r="Y49" i="26"/>
  <c r="R50" i="26"/>
  <c r="T48" i="26"/>
  <c r="X48" i="26"/>
  <c r="Y48" i="26"/>
  <c r="X45" i="13"/>
  <c r="Y45" i="13"/>
  <c r="S47" i="13"/>
  <c r="R48" i="13"/>
  <c r="T46" i="13"/>
  <c r="AF48" i="13"/>
  <c r="AI47" i="13"/>
  <c r="K48" i="13"/>
  <c r="J49" i="13"/>
  <c r="K48" i="18"/>
  <c r="O48" i="18"/>
  <c r="J49" i="18"/>
  <c r="O48" i="13"/>
  <c r="J52" i="26"/>
  <c r="K51" i="26"/>
  <c r="O51" i="26"/>
  <c r="K50" i="26"/>
  <c r="O50" i="26"/>
  <c r="S50" i="26"/>
  <c r="R51" i="26"/>
  <c r="AF46" i="26"/>
  <c r="AI45" i="26"/>
  <c r="X46" i="13"/>
  <c r="Y46" i="13"/>
  <c r="S48" i="13"/>
  <c r="R49" i="13"/>
  <c r="T47" i="13"/>
  <c r="AF49" i="13"/>
  <c r="AI48" i="13"/>
  <c r="K49" i="13"/>
  <c r="J50" i="13"/>
  <c r="J50" i="18"/>
  <c r="K49" i="18"/>
  <c r="O49" i="18"/>
  <c r="O49" i="13"/>
  <c r="J53" i="26"/>
  <c r="K52" i="26"/>
  <c r="O52" i="26"/>
  <c r="AI46" i="26"/>
  <c r="AF47" i="26"/>
  <c r="S51" i="26"/>
  <c r="T51" i="26"/>
  <c r="X51" i="26"/>
  <c r="Y51" i="26"/>
  <c r="R52" i="26"/>
  <c r="T50" i="26"/>
  <c r="X50" i="26"/>
  <c r="Y50" i="26"/>
  <c r="T48" i="13"/>
  <c r="X47" i="13"/>
  <c r="Y47" i="13"/>
  <c r="S49" i="13"/>
  <c r="R50" i="13"/>
  <c r="AF50" i="13"/>
  <c r="AI49" i="13"/>
  <c r="K50" i="13"/>
  <c r="J51" i="13"/>
  <c r="K50" i="18"/>
  <c r="O50" i="18"/>
  <c r="J51" i="18"/>
  <c r="O50" i="13"/>
  <c r="J54" i="26"/>
  <c r="K53" i="26"/>
  <c r="O53" i="26"/>
  <c r="S52" i="26"/>
  <c r="R53" i="26"/>
  <c r="AI47" i="26"/>
  <c r="AF48" i="26"/>
  <c r="X48" i="13"/>
  <c r="Y48" i="13"/>
  <c r="R51" i="13"/>
  <c r="S50" i="13"/>
  <c r="T49" i="13"/>
  <c r="AI50" i="13"/>
  <c r="AF51" i="13"/>
  <c r="K51" i="13"/>
  <c r="J52" i="13"/>
  <c r="J52" i="18"/>
  <c r="K51" i="18"/>
  <c r="O51" i="18"/>
  <c r="O51" i="13"/>
  <c r="J55" i="26"/>
  <c r="K54" i="26"/>
  <c r="O54" i="26"/>
  <c r="AI48" i="26"/>
  <c r="AF49" i="26"/>
  <c r="S53" i="26"/>
  <c r="T53" i="26"/>
  <c r="X53" i="26"/>
  <c r="Y53" i="26"/>
  <c r="R54" i="26"/>
  <c r="T52" i="26"/>
  <c r="X52" i="26"/>
  <c r="Y52" i="26"/>
  <c r="T50" i="13"/>
  <c r="X49" i="13"/>
  <c r="Y49" i="13"/>
  <c r="R52" i="13"/>
  <c r="S51" i="13"/>
  <c r="AI51" i="13"/>
  <c r="AF52" i="13"/>
  <c r="K52" i="13"/>
  <c r="J53" i="13"/>
  <c r="K52" i="18"/>
  <c r="O52" i="18"/>
  <c r="J53" i="18"/>
  <c r="O52" i="13"/>
  <c r="J56" i="26"/>
  <c r="K55" i="26"/>
  <c r="O55" i="26"/>
  <c r="S54" i="26"/>
  <c r="R55" i="26"/>
  <c r="AF50" i="26"/>
  <c r="AI49" i="26"/>
  <c r="T51" i="13"/>
  <c r="X50" i="13"/>
  <c r="Y50" i="13"/>
  <c r="R53" i="13"/>
  <c r="S52" i="13"/>
  <c r="AI52" i="13"/>
  <c r="AF53" i="13"/>
  <c r="K53" i="13"/>
  <c r="J54" i="13"/>
  <c r="K53" i="18"/>
  <c r="O53" i="18"/>
  <c r="J54" i="18"/>
  <c r="O53" i="13"/>
  <c r="J57" i="26"/>
  <c r="K56" i="26"/>
  <c r="O56" i="26"/>
  <c r="AI50" i="26"/>
  <c r="AF51" i="26"/>
  <c r="S55" i="26"/>
  <c r="T55" i="26"/>
  <c r="X55" i="26"/>
  <c r="Y55" i="26"/>
  <c r="R56" i="26"/>
  <c r="T54" i="26"/>
  <c r="X54" i="26"/>
  <c r="Y54" i="26"/>
  <c r="T52" i="13"/>
  <c r="X51" i="13"/>
  <c r="Y51" i="13"/>
  <c r="S53" i="13"/>
  <c r="R54" i="13"/>
  <c r="AI53" i="13"/>
  <c r="AF54" i="13"/>
  <c r="K54" i="13"/>
  <c r="J55" i="13"/>
  <c r="K54" i="18"/>
  <c r="O54" i="18"/>
  <c r="J55" i="18"/>
  <c r="J56" i="18"/>
  <c r="O54" i="13"/>
  <c r="J58" i="26"/>
  <c r="K57" i="26"/>
  <c r="O57" i="26"/>
  <c r="S56" i="26"/>
  <c r="R57" i="26"/>
  <c r="AF52" i="26"/>
  <c r="AI51" i="26"/>
  <c r="X52" i="13"/>
  <c r="Y52" i="13"/>
  <c r="T53" i="13"/>
  <c r="R55" i="13"/>
  <c r="S54" i="13"/>
  <c r="AF55" i="13"/>
  <c r="AI54" i="13"/>
  <c r="J57" i="18"/>
  <c r="K56" i="18"/>
  <c r="O56" i="18"/>
  <c r="K55" i="13"/>
  <c r="J56" i="13"/>
  <c r="K55" i="18"/>
  <c r="O55" i="18"/>
  <c r="O55" i="13"/>
  <c r="K58" i="26"/>
  <c r="O58" i="26"/>
  <c r="J59" i="26"/>
  <c r="T56" i="26"/>
  <c r="X56" i="26"/>
  <c r="Y56" i="26"/>
  <c r="S57" i="26"/>
  <c r="T57" i="26"/>
  <c r="X57" i="26"/>
  <c r="Y57" i="26"/>
  <c r="R58" i="26"/>
  <c r="AI52" i="26"/>
  <c r="AF53" i="26"/>
  <c r="X53" i="13"/>
  <c r="Y53" i="13"/>
  <c r="T54" i="13"/>
  <c r="R56" i="13"/>
  <c r="S55" i="13"/>
  <c r="AI55" i="13"/>
  <c r="AF56" i="13"/>
  <c r="K57" i="18"/>
  <c r="O57" i="18"/>
  <c r="J58" i="18"/>
  <c r="K56" i="13"/>
  <c r="J57" i="13"/>
  <c r="O56" i="13"/>
  <c r="K59" i="26"/>
  <c r="O59" i="26"/>
  <c r="J60" i="26"/>
  <c r="S58" i="26"/>
  <c r="T58" i="26"/>
  <c r="X58" i="26"/>
  <c r="Y58" i="26"/>
  <c r="R59" i="26"/>
  <c r="AF54" i="26"/>
  <c r="AI53" i="26"/>
  <c r="X54" i="13"/>
  <c r="Y54" i="13"/>
  <c r="T55" i="13"/>
  <c r="R57" i="13"/>
  <c r="S56" i="13"/>
  <c r="AI56" i="13"/>
  <c r="AF57" i="13"/>
  <c r="J59" i="18"/>
  <c r="K58" i="18"/>
  <c r="O58" i="18"/>
  <c r="K57" i="13"/>
  <c r="J58" i="13"/>
  <c r="O57" i="13"/>
  <c r="J61" i="26"/>
  <c r="K60" i="26"/>
  <c r="O60" i="26"/>
  <c r="S59" i="26"/>
  <c r="T59" i="26"/>
  <c r="X59" i="26"/>
  <c r="Y59" i="26"/>
  <c r="R60" i="26"/>
  <c r="AI54" i="26"/>
  <c r="AF55" i="26"/>
  <c r="T56" i="13"/>
  <c r="X55" i="13"/>
  <c r="Y55" i="13"/>
  <c r="S57" i="13"/>
  <c r="R58" i="13"/>
  <c r="AF58" i="13"/>
  <c r="AI57" i="13"/>
  <c r="K59" i="18"/>
  <c r="O59" i="18"/>
  <c r="J60" i="18"/>
  <c r="K58" i="13"/>
  <c r="J59" i="13"/>
  <c r="O58" i="13"/>
  <c r="J62" i="26"/>
  <c r="K61" i="26"/>
  <c r="O61" i="26"/>
  <c r="AI55" i="26"/>
  <c r="AF56" i="26"/>
  <c r="S60" i="26"/>
  <c r="T60" i="26"/>
  <c r="X60" i="26"/>
  <c r="Y60" i="26"/>
  <c r="R61" i="26"/>
  <c r="X56" i="13"/>
  <c r="Y56" i="13"/>
  <c r="R59" i="13"/>
  <c r="S58" i="13"/>
  <c r="T57" i="13"/>
  <c r="AI58" i="13"/>
  <c r="AF59" i="13"/>
  <c r="J61" i="18"/>
  <c r="K60" i="18"/>
  <c r="O60" i="18"/>
  <c r="K59" i="13"/>
  <c r="J60" i="13"/>
  <c r="O59" i="13"/>
  <c r="K62" i="26"/>
  <c r="O62" i="26"/>
  <c r="J63" i="26"/>
  <c r="S61" i="26"/>
  <c r="T61" i="26"/>
  <c r="X61" i="26"/>
  <c r="Y61" i="26"/>
  <c r="R62" i="26"/>
  <c r="AI56" i="26"/>
  <c r="AF57" i="26"/>
  <c r="X57" i="13"/>
  <c r="Y57" i="13"/>
  <c r="T58" i="13"/>
  <c r="S59" i="13"/>
  <c r="R60" i="13"/>
  <c r="AF60" i="13"/>
  <c r="AI59" i="13"/>
  <c r="K61" i="18"/>
  <c r="O61" i="18"/>
  <c r="J62" i="18"/>
  <c r="K60" i="13"/>
  <c r="J61" i="13"/>
  <c r="AF66" i="18"/>
  <c r="O60" i="13"/>
  <c r="K63" i="26"/>
  <c r="O63" i="26"/>
  <c r="J64" i="26"/>
  <c r="AF58" i="26"/>
  <c r="AI57" i="26"/>
  <c r="S62" i="26"/>
  <c r="T62" i="26"/>
  <c r="X62" i="26"/>
  <c r="Y62" i="26"/>
  <c r="R63" i="26"/>
  <c r="X58" i="13"/>
  <c r="Y58" i="13"/>
  <c r="T59" i="13"/>
  <c r="R61" i="13"/>
  <c r="S60" i="13"/>
  <c r="AF61" i="13"/>
  <c r="AI60" i="13"/>
  <c r="J66" i="19"/>
  <c r="K62" i="18"/>
  <c r="O62" i="18"/>
  <c r="J63" i="18"/>
  <c r="K61" i="13"/>
  <c r="J62" i="13"/>
  <c r="AF67" i="18"/>
  <c r="O61" i="13"/>
  <c r="J65" i="26"/>
  <c r="K64" i="26"/>
  <c r="O64" i="26"/>
  <c r="S63" i="26"/>
  <c r="T63" i="26"/>
  <c r="X63" i="26"/>
  <c r="Y63" i="26"/>
  <c r="R64" i="26"/>
  <c r="AI58" i="26"/>
  <c r="AF59" i="26"/>
  <c r="X59" i="13"/>
  <c r="Y59" i="13"/>
  <c r="T60" i="13"/>
  <c r="S61" i="13"/>
  <c r="R62" i="13"/>
  <c r="J67" i="19"/>
  <c r="K67" i="19" s="1"/>
  <c r="AF62" i="13"/>
  <c r="AI61" i="13"/>
  <c r="K63" i="18"/>
  <c r="O63" i="18"/>
  <c r="J64" i="18"/>
  <c r="K62" i="13"/>
  <c r="J63" i="13"/>
  <c r="AF68" i="18"/>
  <c r="AH66" i="18"/>
  <c r="K65" i="26"/>
  <c r="O65" i="26"/>
  <c r="J66" i="26"/>
  <c r="O62" i="13"/>
  <c r="AF60" i="26"/>
  <c r="AI59" i="26"/>
  <c r="S64" i="26"/>
  <c r="T64" i="26"/>
  <c r="X64" i="26"/>
  <c r="Y64" i="26"/>
  <c r="R65" i="26"/>
  <c r="X60" i="13"/>
  <c r="Y60" i="13"/>
  <c r="T61" i="13"/>
  <c r="R63" i="13"/>
  <c r="S62" i="13"/>
  <c r="J68" i="19"/>
  <c r="K68" i="19" s="1"/>
  <c r="AF63" i="13"/>
  <c r="AI62" i="13"/>
  <c r="K64" i="18"/>
  <c r="O64" i="18"/>
  <c r="J65" i="18"/>
  <c r="K63" i="13"/>
  <c r="J64" i="13"/>
  <c r="AH67" i="18"/>
  <c r="AI66" i="18"/>
  <c r="AF69" i="18"/>
  <c r="K66" i="26"/>
  <c r="O66" i="26"/>
  <c r="J67" i="26"/>
  <c r="S65" i="26"/>
  <c r="T65" i="26"/>
  <c r="X65" i="26"/>
  <c r="Y65" i="26"/>
  <c r="R66" i="26"/>
  <c r="O63" i="13"/>
  <c r="AI60" i="26"/>
  <c r="AF61" i="26"/>
  <c r="X61" i="13"/>
  <c r="Y61" i="13"/>
  <c r="T62" i="13"/>
  <c r="R64" i="13"/>
  <c r="S63" i="13"/>
  <c r="J69" i="19"/>
  <c r="K69" i="19" s="1"/>
  <c r="AI63" i="13"/>
  <c r="AF64" i="13"/>
  <c r="K65" i="18"/>
  <c r="O65" i="18"/>
  <c r="J66" i="18"/>
  <c r="K64" i="13"/>
  <c r="J65" i="13"/>
  <c r="AF70" i="18"/>
  <c r="AH68" i="18"/>
  <c r="AI67" i="18"/>
  <c r="S66" i="26"/>
  <c r="T66" i="26"/>
  <c r="X66" i="26"/>
  <c r="R67" i="26"/>
  <c r="K67" i="26"/>
  <c r="J68" i="26"/>
  <c r="O67" i="26"/>
  <c r="O64" i="13"/>
  <c r="AF62" i="26"/>
  <c r="AI61" i="26"/>
  <c r="T63" i="13"/>
  <c r="X62" i="13"/>
  <c r="Y62" i="13"/>
  <c r="R65" i="13"/>
  <c r="S64" i="13"/>
  <c r="J70" i="19"/>
  <c r="AF65" i="13"/>
  <c r="AI64" i="13"/>
  <c r="K66" i="18"/>
  <c r="O66" i="18"/>
  <c r="J67" i="18"/>
  <c r="R66" i="18"/>
  <c r="S66" i="18" s="1"/>
  <c r="K65" i="13"/>
  <c r="J66" i="13"/>
  <c r="AH69" i="18"/>
  <c r="AI68" i="18"/>
  <c r="AF71" i="18"/>
  <c r="K68" i="26"/>
  <c r="O68" i="26"/>
  <c r="J69" i="26"/>
  <c r="S67" i="26"/>
  <c r="T67" i="26"/>
  <c r="X67" i="26"/>
  <c r="Y67" i="26"/>
  <c r="R68" i="26"/>
  <c r="Y66" i="26"/>
  <c r="O65" i="13"/>
  <c r="AI62" i="26"/>
  <c r="AF63" i="26"/>
  <c r="X63" i="13"/>
  <c r="Y63" i="13"/>
  <c r="T64" i="13"/>
  <c r="R66" i="13"/>
  <c r="S65" i="13"/>
  <c r="J71" i="19"/>
  <c r="K71" i="19" s="1"/>
  <c r="K70" i="19"/>
  <c r="AF66" i="13"/>
  <c r="AI65" i="13"/>
  <c r="K67" i="18"/>
  <c r="O67" i="18"/>
  <c r="J68" i="18"/>
  <c r="Y66" i="18"/>
  <c r="R67" i="18"/>
  <c r="S67" i="18" s="1"/>
  <c r="T67" i="18" s="1"/>
  <c r="K66" i="13"/>
  <c r="J67" i="13"/>
  <c r="AF72" i="18"/>
  <c r="AH70" i="18"/>
  <c r="AI69" i="18"/>
  <c r="S68" i="26"/>
  <c r="T68" i="26"/>
  <c r="X68" i="26"/>
  <c r="R69" i="26"/>
  <c r="K69" i="26"/>
  <c r="O69" i="26"/>
  <c r="J70" i="26"/>
  <c r="O66" i="13"/>
  <c r="AI63" i="26"/>
  <c r="AF64" i="26"/>
  <c r="X64" i="13"/>
  <c r="Y64" i="13"/>
  <c r="T65" i="13"/>
  <c r="R67" i="13"/>
  <c r="S66" i="13"/>
  <c r="J72" i="19"/>
  <c r="K72" i="19" s="1"/>
  <c r="AI66" i="13"/>
  <c r="AF67" i="13"/>
  <c r="K68" i="18"/>
  <c r="O68" i="18"/>
  <c r="J69" i="18"/>
  <c r="R68" i="18"/>
  <c r="S68" i="18" s="1"/>
  <c r="K67" i="13"/>
  <c r="J68" i="13"/>
  <c r="AH71" i="18"/>
  <c r="AI70" i="18"/>
  <c r="AF73" i="18"/>
  <c r="K70" i="26"/>
  <c r="O70" i="26"/>
  <c r="J71" i="26"/>
  <c r="S69" i="26"/>
  <c r="T69" i="26"/>
  <c r="X69" i="26"/>
  <c r="Y69" i="26"/>
  <c r="R70" i="26"/>
  <c r="Y68" i="26"/>
  <c r="O67" i="13"/>
  <c r="AI64" i="26"/>
  <c r="AF65" i="26"/>
  <c r="X65" i="13"/>
  <c r="Y65" i="13"/>
  <c r="T66" i="13"/>
  <c r="S67" i="13"/>
  <c r="R68" i="13"/>
  <c r="J73" i="19"/>
  <c r="K73" i="19" s="1"/>
  <c r="AI67" i="13"/>
  <c r="AF68" i="13"/>
  <c r="Y67" i="18"/>
  <c r="K69" i="18"/>
  <c r="O69" i="18"/>
  <c r="J70" i="18"/>
  <c r="Y68" i="18"/>
  <c r="R69" i="18"/>
  <c r="K68" i="13"/>
  <c r="J69" i="13"/>
  <c r="AF74" i="18"/>
  <c r="AH72" i="18"/>
  <c r="AI71" i="18"/>
  <c r="S70" i="26"/>
  <c r="T70" i="26"/>
  <c r="X70" i="26"/>
  <c r="R71" i="26"/>
  <c r="AI65" i="26"/>
  <c r="AF66" i="26"/>
  <c r="J72" i="26"/>
  <c r="K71" i="26"/>
  <c r="O71" i="26"/>
  <c r="O68" i="13"/>
  <c r="T67" i="13"/>
  <c r="X66" i="13"/>
  <c r="Y66" i="13"/>
  <c r="S68" i="13"/>
  <c r="R69" i="13"/>
  <c r="J74" i="19"/>
  <c r="AF69" i="13"/>
  <c r="AI68" i="13"/>
  <c r="K70" i="18"/>
  <c r="O70" i="18"/>
  <c r="J71" i="18"/>
  <c r="S69" i="18"/>
  <c r="T69" i="18" s="1"/>
  <c r="R70" i="18"/>
  <c r="K69" i="13"/>
  <c r="J70" i="13"/>
  <c r="AH73" i="18"/>
  <c r="AI72" i="18"/>
  <c r="AF75" i="18"/>
  <c r="J73" i="26"/>
  <c r="K72" i="26"/>
  <c r="O72" i="26"/>
  <c r="AF67" i="26"/>
  <c r="AI66" i="26"/>
  <c r="S71" i="26"/>
  <c r="T71" i="26"/>
  <c r="X71" i="26"/>
  <c r="Y71" i="26"/>
  <c r="R72" i="26"/>
  <c r="Y70" i="26"/>
  <c r="O69" i="13"/>
  <c r="X67" i="13"/>
  <c r="Y67" i="13"/>
  <c r="R70" i="13"/>
  <c r="S69" i="13"/>
  <c r="T68" i="13"/>
  <c r="R66" i="19"/>
  <c r="J75" i="19"/>
  <c r="K74" i="19"/>
  <c r="AF70" i="13"/>
  <c r="AI69" i="13"/>
  <c r="Y69" i="18"/>
  <c r="K71" i="18"/>
  <c r="O71" i="18"/>
  <c r="J72" i="18"/>
  <c r="S70" i="18"/>
  <c r="T70" i="18" s="1"/>
  <c r="Y70" i="18"/>
  <c r="R71" i="18"/>
  <c r="S71" i="18" s="1"/>
  <c r="T71" i="18" s="1"/>
  <c r="X71" i="18" s="1"/>
  <c r="K70" i="13"/>
  <c r="J71" i="13"/>
  <c r="AF76" i="18"/>
  <c r="AH74" i="18"/>
  <c r="AI73" i="18"/>
  <c r="AI67" i="26"/>
  <c r="AF68" i="26"/>
  <c r="S72" i="26"/>
  <c r="T72" i="26"/>
  <c r="X72" i="26"/>
  <c r="Y72" i="26"/>
  <c r="R73" i="26"/>
  <c r="K73" i="26"/>
  <c r="O73" i="26"/>
  <c r="J74" i="26"/>
  <c r="O70" i="13"/>
  <c r="T69" i="13"/>
  <c r="X68" i="13"/>
  <c r="Y68" i="13"/>
  <c r="R71" i="13"/>
  <c r="S70" i="13"/>
  <c r="K75" i="19"/>
  <c r="O75" i="19" s="1"/>
  <c r="J76" i="19"/>
  <c r="K76" i="19" s="1"/>
  <c r="R67" i="19"/>
  <c r="AI70" i="13"/>
  <c r="AF71" i="13"/>
  <c r="K72" i="18"/>
  <c r="O72" i="18"/>
  <c r="J73" i="18"/>
  <c r="Y71" i="18"/>
  <c r="R72" i="18"/>
  <c r="S72" i="18" s="1"/>
  <c r="K71" i="13"/>
  <c r="J72" i="13"/>
  <c r="AH75" i="18"/>
  <c r="AI74" i="18"/>
  <c r="AF77" i="18"/>
  <c r="S73" i="26"/>
  <c r="T73" i="26"/>
  <c r="X73" i="26"/>
  <c r="R74" i="26"/>
  <c r="AF69" i="26"/>
  <c r="AI68" i="26"/>
  <c r="K74" i="26"/>
  <c r="O74" i="26"/>
  <c r="J75" i="26"/>
  <c r="O71" i="13"/>
  <c r="T70" i="13"/>
  <c r="X69" i="13"/>
  <c r="Y69" i="13"/>
  <c r="R72" i="13"/>
  <c r="S71" i="13"/>
  <c r="R68" i="19"/>
  <c r="S68" i="19" s="1"/>
  <c r="J77" i="19"/>
  <c r="K77" i="19" s="1"/>
  <c r="AI71" i="13"/>
  <c r="AF72" i="13"/>
  <c r="R73" i="18"/>
  <c r="S73" i="18" s="1"/>
  <c r="T73" i="18" s="1"/>
  <c r="K73" i="18"/>
  <c r="O73" i="18"/>
  <c r="J74" i="18"/>
  <c r="K72" i="13"/>
  <c r="J73" i="13"/>
  <c r="AF78" i="18"/>
  <c r="AH76" i="18"/>
  <c r="AI75" i="18"/>
  <c r="K75" i="26"/>
  <c r="J76" i="26"/>
  <c r="O75" i="26"/>
  <c r="AI69" i="26"/>
  <c r="AF70" i="26"/>
  <c r="S74" i="26"/>
  <c r="T74" i="26"/>
  <c r="X74" i="26"/>
  <c r="Y74" i="26"/>
  <c r="R75" i="26"/>
  <c r="Y73" i="26"/>
  <c r="O72" i="13"/>
  <c r="X70" i="13"/>
  <c r="Y70" i="13"/>
  <c r="S72" i="13"/>
  <c r="R73" i="13"/>
  <c r="T71" i="13"/>
  <c r="Y66" i="19"/>
  <c r="J78" i="19"/>
  <c r="K78" i="19" s="1"/>
  <c r="R69" i="19"/>
  <c r="AF73" i="13"/>
  <c r="AI72" i="13"/>
  <c r="K74" i="18"/>
  <c r="O74" i="18"/>
  <c r="J75" i="18"/>
  <c r="Y73" i="18"/>
  <c r="R74" i="18"/>
  <c r="S74" i="18" s="1"/>
  <c r="T74" i="18" s="1"/>
  <c r="Y72" i="18"/>
  <c r="K73" i="13"/>
  <c r="J74" i="13"/>
  <c r="AH77" i="18"/>
  <c r="AI76" i="18"/>
  <c r="AF79" i="18"/>
  <c r="AF71" i="26"/>
  <c r="AI70" i="26"/>
  <c r="S75" i="26"/>
  <c r="T75" i="26"/>
  <c r="X75" i="26"/>
  <c r="Y75" i="26"/>
  <c r="R76" i="26"/>
  <c r="K76" i="26"/>
  <c r="O76" i="26"/>
  <c r="J77" i="26"/>
  <c r="O73" i="13"/>
  <c r="T72" i="13"/>
  <c r="X71" i="13"/>
  <c r="Y71" i="13"/>
  <c r="S73" i="13"/>
  <c r="R74" i="13"/>
  <c r="Y67" i="19"/>
  <c r="R70" i="19"/>
  <c r="J79" i="19"/>
  <c r="K79" i="19" s="1"/>
  <c r="AI73" i="13"/>
  <c r="AF74" i="13"/>
  <c r="K75" i="18"/>
  <c r="O75" i="18"/>
  <c r="J76" i="18"/>
  <c r="R75" i="18"/>
  <c r="S75" i="18" s="1"/>
  <c r="T75" i="18" s="1"/>
  <c r="X75" i="18" s="1"/>
  <c r="K74" i="13"/>
  <c r="J75" i="13"/>
  <c r="AF80" i="18"/>
  <c r="AH78" i="18"/>
  <c r="AI77" i="18"/>
  <c r="K77" i="26"/>
  <c r="O77" i="26"/>
  <c r="J78" i="26"/>
  <c r="S76" i="26"/>
  <c r="T76" i="26"/>
  <c r="X76" i="26"/>
  <c r="Y76" i="26"/>
  <c r="R77" i="26"/>
  <c r="AF72" i="26"/>
  <c r="AI71" i="26"/>
  <c r="O74" i="13"/>
  <c r="T73" i="13"/>
  <c r="X72" i="13"/>
  <c r="Y72" i="13"/>
  <c r="S74" i="13"/>
  <c r="R75" i="13"/>
  <c r="Y68" i="19"/>
  <c r="J80" i="19"/>
  <c r="K80" i="19" s="1"/>
  <c r="O80" i="19" s="1"/>
  <c r="R71" i="19"/>
  <c r="AF66" i="19"/>
  <c r="AI74" i="13"/>
  <c r="AF75" i="13"/>
  <c r="Y74" i="18"/>
  <c r="K76" i="18"/>
  <c r="O76" i="18"/>
  <c r="J77" i="18"/>
  <c r="Y75" i="18"/>
  <c r="R76" i="18"/>
  <c r="S76" i="18" s="1"/>
  <c r="T76" i="18" s="1"/>
  <c r="K75" i="13"/>
  <c r="J76" i="13"/>
  <c r="AH79" i="18"/>
  <c r="AI78" i="18"/>
  <c r="AF81" i="18"/>
  <c r="S77" i="26"/>
  <c r="T77" i="26"/>
  <c r="X77" i="26"/>
  <c r="Y77" i="26"/>
  <c r="R78" i="26"/>
  <c r="AF73" i="26"/>
  <c r="AI72" i="26"/>
  <c r="K78" i="26"/>
  <c r="O78" i="26"/>
  <c r="J79" i="26"/>
  <c r="O75" i="13"/>
  <c r="X73" i="13"/>
  <c r="Y73" i="13"/>
  <c r="S75" i="13"/>
  <c r="R76" i="13"/>
  <c r="T74" i="13"/>
  <c r="Y69" i="19"/>
  <c r="AI66" i="19"/>
  <c r="AF67" i="19"/>
  <c r="Y71" i="19"/>
  <c r="R72" i="19"/>
  <c r="Y70" i="19"/>
  <c r="J81" i="19"/>
  <c r="K81" i="19" s="1"/>
  <c r="O81" i="19" s="1"/>
  <c r="AF76" i="13"/>
  <c r="AI75" i="13"/>
  <c r="K77" i="18"/>
  <c r="O77" i="18"/>
  <c r="J78" i="18"/>
  <c r="R77" i="18"/>
  <c r="S77" i="18" s="1"/>
  <c r="T77" i="18" s="1"/>
  <c r="K76" i="13"/>
  <c r="J77" i="13"/>
  <c r="AF82" i="18"/>
  <c r="AH80" i="18"/>
  <c r="AI79" i="18"/>
  <c r="K79" i="26"/>
  <c r="O79" i="26"/>
  <c r="J80" i="26"/>
  <c r="AF74" i="26"/>
  <c r="AI73" i="26"/>
  <c r="S78" i="26"/>
  <c r="T78" i="26"/>
  <c r="X78" i="26"/>
  <c r="Y78" i="26"/>
  <c r="R79" i="26"/>
  <c r="O76" i="13"/>
  <c r="T75" i="13"/>
  <c r="X74" i="13"/>
  <c r="Y74" i="13"/>
  <c r="S76" i="13"/>
  <c r="R77" i="13"/>
  <c r="J82" i="19"/>
  <c r="K82" i="19" s="1"/>
  <c r="R73" i="19"/>
  <c r="AI67" i="19"/>
  <c r="AF68" i="19"/>
  <c r="AI76" i="13"/>
  <c r="AF77" i="13"/>
  <c r="Y76" i="18"/>
  <c r="K78" i="18"/>
  <c r="O78" i="18"/>
  <c r="J79" i="18"/>
  <c r="R78" i="18"/>
  <c r="K77" i="13"/>
  <c r="J78" i="13"/>
  <c r="AH81" i="18"/>
  <c r="AI80" i="18"/>
  <c r="AF83" i="18"/>
  <c r="AF75" i="26"/>
  <c r="AI74" i="26"/>
  <c r="S79" i="26"/>
  <c r="T79" i="26"/>
  <c r="X79" i="26"/>
  <c r="Y79" i="26"/>
  <c r="R80" i="26"/>
  <c r="K80" i="26"/>
  <c r="O80" i="26"/>
  <c r="J81" i="26"/>
  <c r="O77" i="13"/>
  <c r="X75" i="13"/>
  <c r="Y75" i="13"/>
  <c r="T76" i="13"/>
  <c r="R78" i="13"/>
  <c r="S77" i="13"/>
  <c r="AI68" i="19"/>
  <c r="AF69" i="19"/>
  <c r="R74" i="19"/>
  <c r="J83" i="19"/>
  <c r="K83" i="19" s="1"/>
  <c r="Y72" i="19"/>
  <c r="AF78" i="13"/>
  <c r="AI77" i="13"/>
  <c r="K79" i="18"/>
  <c r="O79" i="18"/>
  <c r="J80" i="18"/>
  <c r="S78" i="18"/>
  <c r="T78" i="18" s="1"/>
  <c r="Y78" i="18"/>
  <c r="R79" i="18"/>
  <c r="S79" i="18" s="1"/>
  <c r="Y77" i="18"/>
  <c r="K78" i="13"/>
  <c r="J79" i="13"/>
  <c r="AF84" i="18"/>
  <c r="AH82" i="18"/>
  <c r="AI81" i="18"/>
  <c r="J82" i="26"/>
  <c r="K81" i="26"/>
  <c r="O81" i="26"/>
  <c r="S80" i="26"/>
  <c r="T80" i="26"/>
  <c r="X80" i="26"/>
  <c r="Y80" i="26"/>
  <c r="R81" i="26"/>
  <c r="AI75" i="26"/>
  <c r="AF76" i="26"/>
  <c r="O78" i="13"/>
  <c r="X76" i="13"/>
  <c r="Y76" i="13"/>
  <c r="T77" i="13"/>
  <c r="R79" i="13"/>
  <c r="S78" i="13"/>
  <c r="R75" i="19"/>
  <c r="Y73" i="19"/>
  <c r="J84" i="19"/>
  <c r="K84" i="19" s="1"/>
  <c r="AI69" i="19"/>
  <c r="AF70" i="19"/>
  <c r="AI78" i="13"/>
  <c r="AF79" i="13"/>
  <c r="K80" i="18"/>
  <c r="O80" i="18"/>
  <c r="J81" i="18"/>
  <c r="R80" i="18"/>
  <c r="S80" i="18" s="1"/>
  <c r="T80" i="18" s="1"/>
  <c r="K79" i="13"/>
  <c r="J80" i="13"/>
  <c r="AH83" i="18"/>
  <c r="AI82" i="18"/>
  <c r="AF85" i="18"/>
  <c r="S81" i="26"/>
  <c r="T81" i="26"/>
  <c r="X81" i="26"/>
  <c r="Y81" i="26"/>
  <c r="R82" i="26"/>
  <c r="AF77" i="26"/>
  <c r="AI76" i="26"/>
  <c r="K82" i="26"/>
  <c r="O82" i="26"/>
  <c r="J83" i="26"/>
  <c r="O79" i="13"/>
  <c r="X77" i="13"/>
  <c r="Y77" i="13"/>
  <c r="T78" i="13"/>
  <c r="R80" i="13"/>
  <c r="S79" i="13"/>
  <c r="AI70" i="19"/>
  <c r="AF71" i="19"/>
  <c r="J85" i="19"/>
  <c r="K85" i="19" s="1"/>
  <c r="R76" i="19"/>
  <c r="Y74" i="19"/>
  <c r="AF80" i="13"/>
  <c r="AI79" i="13"/>
  <c r="K81" i="18"/>
  <c r="O81" i="18"/>
  <c r="J82" i="18"/>
  <c r="Y79" i="18"/>
  <c r="Y80" i="18"/>
  <c r="R81" i="18"/>
  <c r="S81" i="18" s="1"/>
  <c r="K80" i="13"/>
  <c r="J81" i="13"/>
  <c r="AF86" i="18"/>
  <c r="AH84" i="18"/>
  <c r="AI83" i="18"/>
  <c r="AI77" i="26"/>
  <c r="AF78" i="26"/>
  <c r="K83" i="26"/>
  <c r="O83" i="26"/>
  <c r="J84" i="26"/>
  <c r="S82" i="26"/>
  <c r="T82" i="26"/>
  <c r="X82" i="26"/>
  <c r="Y82" i="26"/>
  <c r="R83" i="26"/>
  <c r="O80" i="13"/>
  <c r="X78" i="13"/>
  <c r="Y78" i="13"/>
  <c r="R81" i="13"/>
  <c r="S80" i="13"/>
  <c r="T79" i="13"/>
  <c r="R77" i="19"/>
  <c r="Y75" i="19"/>
  <c r="J86" i="19"/>
  <c r="K86" i="19" s="1"/>
  <c r="AI71" i="19"/>
  <c r="AF72" i="19"/>
  <c r="AF81" i="13"/>
  <c r="AI80" i="13"/>
  <c r="Y81" i="18"/>
  <c r="R82" i="18"/>
  <c r="K82" i="18"/>
  <c r="O82" i="18"/>
  <c r="J83" i="18"/>
  <c r="K81" i="13"/>
  <c r="J82" i="13"/>
  <c r="AH85" i="18"/>
  <c r="AI84" i="18"/>
  <c r="AF87" i="18"/>
  <c r="S83" i="26"/>
  <c r="T83" i="26"/>
  <c r="X83" i="26"/>
  <c r="Y83" i="26"/>
  <c r="R84" i="26"/>
  <c r="K84" i="26"/>
  <c r="J85" i="26"/>
  <c r="O84" i="26"/>
  <c r="AF79" i="26"/>
  <c r="AI78" i="26"/>
  <c r="O81" i="13"/>
  <c r="X79" i="13"/>
  <c r="Y79" i="13"/>
  <c r="T80" i="13"/>
  <c r="S81" i="13"/>
  <c r="R82" i="13"/>
  <c r="J87" i="19"/>
  <c r="K87" i="19" s="1"/>
  <c r="R78" i="19"/>
  <c r="AI72" i="19"/>
  <c r="AF73" i="19"/>
  <c r="Y76" i="19"/>
  <c r="AF82" i="13"/>
  <c r="AI81" i="13"/>
  <c r="K83" i="18"/>
  <c r="O83" i="18"/>
  <c r="J84" i="18"/>
  <c r="S82" i="18"/>
  <c r="T82" i="18" s="1"/>
  <c r="Y82" i="18"/>
  <c r="R83" i="18"/>
  <c r="S83" i="18" s="1"/>
  <c r="K82" i="13"/>
  <c r="J83" i="13"/>
  <c r="AF88" i="18"/>
  <c r="AH86" i="18"/>
  <c r="AI85" i="18"/>
  <c r="K85" i="26"/>
  <c r="J86" i="26"/>
  <c r="O85" i="26"/>
  <c r="S84" i="26"/>
  <c r="T84" i="26"/>
  <c r="X84" i="26"/>
  <c r="Y84" i="26"/>
  <c r="R85" i="26"/>
  <c r="AF80" i="26"/>
  <c r="AI79" i="26"/>
  <c r="O82" i="13"/>
  <c r="T81" i="13"/>
  <c r="X80" i="13"/>
  <c r="Y80" i="13"/>
  <c r="R83" i="13"/>
  <c r="S82" i="13"/>
  <c r="AI73" i="19"/>
  <c r="AF74" i="19"/>
  <c r="R79" i="19"/>
  <c r="Y77" i="19"/>
  <c r="J88" i="19"/>
  <c r="K88" i="19" s="1"/>
  <c r="AF83" i="13"/>
  <c r="AI82" i="13"/>
  <c r="K84" i="18"/>
  <c r="O84" i="18"/>
  <c r="J85" i="18"/>
  <c r="Y83" i="18"/>
  <c r="R84" i="18"/>
  <c r="S84" i="18" s="1"/>
  <c r="K83" i="13"/>
  <c r="J84" i="13"/>
  <c r="AH87" i="18"/>
  <c r="AI86" i="18"/>
  <c r="AF89" i="18"/>
  <c r="S85" i="26"/>
  <c r="T85" i="26"/>
  <c r="X85" i="26"/>
  <c r="Y85" i="26"/>
  <c r="R86" i="26"/>
  <c r="AF81" i="26"/>
  <c r="AI80" i="26"/>
  <c r="K86" i="26"/>
  <c r="O86" i="26"/>
  <c r="J87" i="26"/>
  <c r="O83" i="13"/>
  <c r="X81" i="13"/>
  <c r="Y81" i="13"/>
  <c r="T82" i="13"/>
  <c r="S83" i="13"/>
  <c r="R84" i="13"/>
  <c r="J89" i="19"/>
  <c r="K89" i="19" s="1"/>
  <c r="Y79" i="19"/>
  <c r="R80" i="19"/>
  <c r="Y78" i="19"/>
  <c r="AI74" i="19"/>
  <c r="AF75" i="19"/>
  <c r="AI83" i="13"/>
  <c r="AF84" i="13"/>
  <c r="K85" i="18"/>
  <c r="O85" i="18"/>
  <c r="J86" i="18"/>
  <c r="Y84" i="18"/>
  <c r="R85" i="18"/>
  <c r="S85" i="18" s="1"/>
  <c r="T85" i="18" s="1"/>
  <c r="K84" i="13"/>
  <c r="J85" i="13"/>
  <c r="AF90" i="18"/>
  <c r="AH88" i="18"/>
  <c r="AI87" i="18"/>
  <c r="K87" i="26"/>
  <c r="O87" i="26"/>
  <c r="J88" i="26"/>
  <c r="AF82" i="26"/>
  <c r="AI81" i="26"/>
  <c r="S86" i="26"/>
  <c r="T86" i="26"/>
  <c r="X86" i="26"/>
  <c r="Y86" i="26"/>
  <c r="R87" i="26"/>
  <c r="O84" i="13"/>
  <c r="X82" i="13"/>
  <c r="Y82" i="13"/>
  <c r="T83" i="13"/>
  <c r="R85" i="13"/>
  <c r="S84" i="13"/>
  <c r="AI75" i="19"/>
  <c r="AF76" i="19"/>
  <c r="R81" i="19"/>
  <c r="J90" i="19"/>
  <c r="K90" i="19" s="1"/>
  <c r="AF85" i="13"/>
  <c r="AI84" i="13"/>
  <c r="Y85" i="18"/>
  <c r="R86" i="18"/>
  <c r="S86" i="18" s="1"/>
  <c r="T86" i="18" s="1"/>
  <c r="K86" i="18"/>
  <c r="O86" i="18"/>
  <c r="J87" i="18"/>
  <c r="K85" i="13"/>
  <c r="J86" i="13"/>
  <c r="AH89" i="18"/>
  <c r="AI88" i="18"/>
  <c r="AF91" i="18"/>
  <c r="S87" i="26"/>
  <c r="T87" i="26"/>
  <c r="X87" i="26"/>
  <c r="Y87" i="26"/>
  <c r="R88" i="26"/>
  <c r="AF83" i="26"/>
  <c r="AI82" i="26"/>
  <c r="K88" i="26"/>
  <c r="O88" i="26"/>
  <c r="J89" i="26"/>
  <c r="O85" i="13"/>
  <c r="X83" i="13"/>
  <c r="Y83" i="13"/>
  <c r="T84" i="13"/>
  <c r="R86" i="13"/>
  <c r="S85" i="13"/>
  <c r="J91" i="19"/>
  <c r="K91" i="19" s="1"/>
  <c r="O91" i="19" s="1"/>
  <c r="R82" i="19"/>
  <c r="Y80" i="19"/>
  <c r="AI76" i="19"/>
  <c r="AF77" i="19"/>
  <c r="AF86" i="13"/>
  <c r="AI85" i="13"/>
  <c r="K87" i="18"/>
  <c r="O87" i="18"/>
  <c r="J88" i="18"/>
  <c r="Y86" i="18"/>
  <c r="R87" i="18"/>
  <c r="S87" i="18" s="1"/>
  <c r="K86" i="13"/>
  <c r="J87" i="13"/>
  <c r="AF92" i="18"/>
  <c r="AH90" i="18"/>
  <c r="AI89" i="18"/>
  <c r="K89" i="26"/>
  <c r="J90" i="26"/>
  <c r="O89" i="26"/>
  <c r="AI83" i="26"/>
  <c r="AF84" i="26"/>
  <c r="S88" i="26"/>
  <c r="T88" i="26"/>
  <c r="X88" i="26"/>
  <c r="Y88" i="26"/>
  <c r="R89" i="26"/>
  <c r="O86" i="13"/>
  <c r="X84" i="13"/>
  <c r="Y84" i="13"/>
  <c r="T85" i="13"/>
  <c r="R87" i="13"/>
  <c r="S86" i="13"/>
  <c r="AI77" i="19"/>
  <c r="AF78" i="19"/>
  <c r="R83" i="19"/>
  <c r="Y81" i="19"/>
  <c r="J92" i="19"/>
  <c r="K92" i="19" s="1"/>
  <c r="O92" i="19" s="1"/>
  <c r="AI86" i="13"/>
  <c r="AF87" i="13"/>
  <c r="Y87" i="18"/>
  <c r="R88" i="18"/>
  <c r="K88" i="18"/>
  <c r="O88" i="18"/>
  <c r="J89" i="18"/>
  <c r="K87" i="13"/>
  <c r="J88" i="13"/>
  <c r="AH91" i="18"/>
  <c r="AI90" i="18"/>
  <c r="AF93" i="18"/>
  <c r="AF85" i="26"/>
  <c r="AI84" i="26"/>
  <c r="S89" i="26"/>
  <c r="T89" i="26"/>
  <c r="X89" i="26"/>
  <c r="Y89" i="26"/>
  <c r="R90" i="26"/>
  <c r="K90" i="26"/>
  <c r="O90" i="26"/>
  <c r="J91" i="26"/>
  <c r="O87" i="13"/>
  <c r="X85" i="13"/>
  <c r="Y85" i="13"/>
  <c r="T86" i="13"/>
  <c r="R88" i="13"/>
  <c r="S87" i="13"/>
  <c r="J93" i="19"/>
  <c r="K93" i="19" s="1"/>
  <c r="Y83" i="19"/>
  <c r="R84" i="19"/>
  <c r="Y82" i="19"/>
  <c r="AI78" i="19"/>
  <c r="AF79" i="19"/>
  <c r="AF88" i="13"/>
  <c r="AI87" i="13"/>
  <c r="K89" i="18"/>
  <c r="O89" i="18"/>
  <c r="J90" i="18"/>
  <c r="S88" i="18"/>
  <c r="Y88" i="18"/>
  <c r="R89" i="18"/>
  <c r="K88" i="13"/>
  <c r="J89" i="13"/>
  <c r="AF94" i="18"/>
  <c r="AH92" i="18"/>
  <c r="AI91" i="18"/>
  <c r="K91" i="26"/>
  <c r="J92" i="26"/>
  <c r="O91" i="26"/>
  <c r="S90" i="26"/>
  <c r="T90" i="26"/>
  <c r="X90" i="26"/>
  <c r="Y90" i="26"/>
  <c r="R91" i="26"/>
  <c r="AI85" i="26"/>
  <c r="AF86" i="26"/>
  <c r="O88" i="13"/>
  <c r="X86" i="13"/>
  <c r="Y86" i="13"/>
  <c r="T87" i="13"/>
  <c r="S88" i="13"/>
  <c r="R89" i="13"/>
  <c r="AI79" i="19"/>
  <c r="AF80" i="19"/>
  <c r="Y84" i="19"/>
  <c r="R85" i="19"/>
  <c r="J94" i="19"/>
  <c r="AI88" i="13"/>
  <c r="AF89" i="13"/>
  <c r="K90" i="18"/>
  <c r="O90" i="18"/>
  <c r="J91" i="18"/>
  <c r="S89" i="18"/>
  <c r="T89" i="18" s="1"/>
  <c r="Y89" i="18"/>
  <c r="R90" i="18"/>
  <c r="S90" i="18" s="1"/>
  <c r="T90" i="18" s="1"/>
  <c r="X90" i="18" s="1"/>
  <c r="K89" i="13"/>
  <c r="J90" i="13"/>
  <c r="AH93" i="18"/>
  <c r="AI92" i="18"/>
  <c r="AF95" i="18"/>
  <c r="AF96" i="18"/>
  <c r="S91" i="26"/>
  <c r="T91" i="26"/>
  <c r="X91" i="26"/>
  <c r="Y91" i="26"/>
  <c r="R92" i="26"/>
  <c r="K92" i="26"/>
  <c r="J93" i="26"/>
  <c r="O92" i="26"/>
  <c r="AF87" i="26"/>
  <c r="AI86" i="26"/>
  <c r="O89" i="13"/>
  <c r="X87" i="13"/>
  <c r="Y87" i="13"/>
  <c r="R90" i="13"/>
  <c r="S89" i="13"/>
  <c r="T88" i="13"/>
  <c r="J95" i="19"/>
  <c r="K95" i="19" s="1"/>
  <c r="K94" i="19"/>
  <c r="R86" i="19"/>
  <c r="AI80" i="19"/>
  <c r="AF81" i="19"/>
  <c r="AF90" i="13"/>
  <c r="AI89" i="13"/>
  <c r="AF97" i="18"/>
  <c r="K91" i="18"/>
  <c r="O91" i="18"/>
  <c r="J92" i="18"/>
  <c r="R91" i="18"/>
  <c r="S91" i="18" s="1"/>
  <c r="T91" i="18" s="1"/>
  <c r="K90" i="13"/>
  <c r="J91" i="13"/>
  <c r="AH94" i="18"/>
  <c r="AI93" i="18"/>
  <c r="K93" i="26"/>
  <c r="O93" i="26"/>
  <c r="J94" i="26"/>
  <c r="S92" i="26"/>
  <c r="R93" i="26"/>
  <c r="AF88" i="26"/>
  <c r="AI87" i="26"/>
  <c r="O90" i="13"/>
  <c r="X88" i="13"/>
  <c r="Y88" i="13"/>
  <c r="T89" i="13"/>
  <c r="S90" i="13"/>
  <c r="R91" i="13"/>
  <c r="AI81" i="19"/>
  <c r="AF82" i="19"/>
  <c r="R87" i="19"/>
  <c r="Y85" i="19"/>
  <c r="AI90" i="13"/>
  <c r="AF91" i="13"/>
  <c r="K92" i="18"/>
  <c r="J93" i="18"/>
  <c r="O92" i="18"/>
  <c r="Y90" i="18"/>
  <c r="Y91" i="18"/>
  <c r="R92" i="18"/>
  <c r="AF98" i="18"/>
  <c r="K91" i="13"/>
  <c r="J92" i="13"/>
  <c r="AH95" i="18"/>
  <c r="AI94" i="18"/>
  <c r="AI88" i="26"/>
  <c r="AF89" i="26"/>
  <c r="T92" i="26"/>
  <c r="X92" i="26"/>
  <c r="Y92" i="26"/>
  <c r="S93" i="26"/>
  <c r="T93" i="26"/>
  <c r="X93" i="26"/>
  <c r="Y93" i="26"/>
  <c r="R94" i="26"/>
  <c r="K94" i="26"/>
  <c r="O94" i="26"/>
  <c r="J95" i="26"/>
  <c r="J96" i="26"/>
  <c r="O91" i="13"/>
  <c r="X89" i="13"/>
  <c r="Y89" i="13"/>
  <c r="T90" i="13"/>
  <c r="R92" i="13"/>
  <c r="S91" i="13"/>
  <c r="Y87" i="19"/>
  <c r="R88" i="19"/>
  <c r="Y86" i="19"/>
  <c r="AI82" i="19"/>
  <c r="AF83" i="19"/>
  <c r="AF92" i="13"/>
  <c r="AI91" i="13"/>
  <c r="AF99" i="18"/>
  <c r="K93" i="18"/>
  <c r="O93" i="18"/>
  <c r="J94" i="18"/>
  <c r="AI95" i="18"/>
  <c r="AH96" i="18"/>
  <c r="S92" i="18"/>
  <c r="T92" i="18" s="1"/>
  <c r="R93" i="18"/>
  <c r="K92" i="13"/>
  <c r="J93" i="13"/>
  <c r="K96" i="26"/>
  <c r="J97" i="26"/>
  <c r="O96" i="26"/>
  <c r="K95" i="26"/>
  <c r="O95" i="26"/>
  <c r="S94" i="26"/>
  <c r="T94" i="26"/>
  <c r="X94" i="26"/>
  <c r="Y94" i="26"/>
  <c r="R95" i="26"/>
  <c r="AF90" i="26"/>
  <c r="AI89" i="26"/>
  <c r="O92" i="13"/>
  <c r="X90" i="13"/>
  <c r="Y90" i="13"/>
  <c r="T91" i="13"/>
  <c r="R93" i="13"/>
  <c r="S92" i="13"/>
  <c r="AI83" i="19"/>
  <c r="AF84" i="19"/>
  <c r="R89" i="19"/>
  <c r="AF93" i="13"/>
  <c r="AI92" i="13"/>
  <c r="K94" i="18"/>
  <c r="O94" i="18"/>
  <c r="J95" i="18"/>
  <c r="Y92" i="18"/>
  <c r="AH97" i="18"/>
  <c r="AI96" i="18"/>
  <c r="S93" i="18"/>
  <c r="T93" i="18" s="1"/>
  <c r="X93" i="18" s="1"/>
  <c r="R94" i="18"/>
  <c r="S94" i="18" s="1"/>
  <c r="AF100" i="18"/>
  <c r="K93" i="13"/>
  <c r="J94" i="13"/>
  <c r="K97" i="26"/>
  <c r="O97" i="26"/>
  <c r="J98" i="26"/>
  <c r="S95" i="26"/>
  <c r="T95" i="26"/>
  <c r="X95" i="26"/>
  <c r="R96" i="26"/>
  <c r="AF91" i="26"/>
  <c r="AI90" i="26"/>
  <c r="O93" i="13"/>
  <c r="H25" i="24"/>
  <c r="X91" i="13"/>
  <c r="Y91" i="13"/>
  <c r="T92" i="13"/>
  <c r="S93" i="13"/>
  <c r="R94" i="13"/>
  <c r="R90" i="19"/>
  <c r="Y88" i="19"/>
  <c r="AI84" i="19"/>
  <c r="AF85" i="19"/>
  <c r="AF94" i="13"/>
  <c r="AI93" i="13"/>
  <c r="Y93" i="18"/>
  <c r="AH98" i="18"/>
  <c r="AI97" i="18"/>
  <c r="K95" i="18"/>
  <c r="O95" i="18"/>
  <c r="J96" i="18"/>
  <c r="AF101" i="18"/>
  <c r="R95" i="18"/>
  <c r="S95" i="18" s="1"/>
  <c r="T95" i="18" s="1"/>
  <c r="K94" i="13"/>
  <c r="J95" i="13"/>
  <c r="S96" i="26"/>
  <c r="R97" i="26"/>
  <c r="K98" i="26"/>
  <c r="J99" i="26"/>
  <c r="O98" i="26"/>
  <c r="Y95" i="26"/>
  <c r="AI91" i="26"/>
  <c r="AF92" i="26"/>
  <c r="O94" i="13"/>
  <c r="T93" i="13"/>
  <c r="X92" i="13"/>
  <c r="Y92" i="13"/>
  <c r="R95" i="13"/>
  <c r="S94" i="13"/>
  <c r="R91" i="19"/>
  <c r="AI85" i="19"/>
  <c r="AF86" i="19"/>
  <c r="Y89" i="19"/>
  <c r="AF95" i="13"/>
  <c r="AI94" i="13"/>
  <c r="Y95" i="18"/>
  <c r="R96" i="18"/>
  <c r="S96" i="18" s="1"/>
  <c r="AF102" i="18"/>
  <c r="AH99" i="18"/>
  <c r="AI98" i="18"/>
  <c r="Y94" i="18"/>
  <c r="K96" i="18"/>
  <c r="O96" i="18"/>
  <c r="J97" i="18"/>
  <c r="K95" i="13"/>
  <c r="J96" i="13"/>
  <c r="K99" i="26"/>
  <c r="O99" i="26"/>
  <c r="J100" i="26"/>
  <c r="S97" i="26"/>
  <c r="T97" i="26"/>
  <c r="X97" i="26"/>
  <c r="Y97" i="26"/>
  <c r="R98" i="26"/>
  <c r="T96" i="26"/>
  <c r="X96" i="26"/>
  <c r="AF93" i="26"/>
  <c r="AI92" i="26"/>
  <c r="O95" i="13"/>
  <c r="X93" i="13"/>
  <c r="Y93" i="13"/>
  <c r="T94" i="13"/>
  <c r="S95" i="13"/>
  <c r="R96" i="13"/>
  <c r="AI86" i="19"/>
  <c r="AF87" i="19"/>
  <c r="Y91" i="19"/>
  <c r="R92" i="19"/>
  <c r="Y90" i="19"/>
  <c r="AI95" i="13"/>
  <c r="AF96" i="13"/>
  <c r="AF103" i="18"/>
  <c r="K97" i="18"/>
  <c r="O97" i="18"/>
  <c r="J98" i="18"/>
  <c r="Y96" i="18"/>
  <c r="R97" i="18"/>
  <c r="S97" i="18" s="1"/>
  <c r="T97" i="18" s="1"/>
  <c r="AH100" i="18"/>
  <c r="AI99" i="18"/>
  <c r="K96" i="13"/>
  <c r="J97" i="13"/>
  <c r="Y96" i="26"/>
  <c r="S98" i="26"/>
  <c r="T98" i="26"/>
  <c r="X98" i="26"/>
  <c r="Y98" i="26"/>
  <c r="R99" i="26"/>
  <c r="K100" i="26"/>
  <c r="O100" i="26"/>
  <c r="J101" i="26"/>
  <c r="AI93" i="26"/>
  <c r="AF94" i="26"/>
  <c r="O96" i="13"/>
  <c r="X94" i="13"/>
  <c r="Y94" i="13"/>
  <c r="T95" i="13"/>
  <c r="R97" i="13"/>
  <c r="S96" i="13"/>
  <c r="AI87" i="19"/>
  <c r="AF88" i="19"/>
  <c r="R93" i="19"/>
  <c r="S93" i="19" s="1"/>
  <c r="AF97" i="13"/>
  <c r="AI96" i="13"/>
  <c r="K98" i="18"/>
  <c r="O98" i="18"/>
  <c r="J99" i="18"/>
  <c r="Y97" i="18"/>
  <c r="R98" i="18"/>
  <c r="S98" i="18" s="1"/>
  <c r="AH101" i="18"/>
  <c r="AI100" i="18"/>
  <c r="AF104" i="18"/>
  <c r="K97" i="13"/>
  <c r="J98" i="13"/>
  <c r="S99" i="26"/>
  <c r="T99" i="26"/>
  <c r="X99" i="26"/>
  <c r="R100" i="26"/>
  <c r="K101" i="26"/>
  <c r="O101" i="26"/>
  <c r="J102" i="26"/>
  <c r="AF95" i="26"/>
  <c r="AI94" i="26"/>
  <c r="O97" i="13"/>
  <c r="X95" i="13"/>
  <c r="Y95" i="13"/>
  <c r="T96" i="13"/>
  <c r="S97" i="13"/>
  <c r="R98" i="13"/>
  <c r="Y92" i="19"/>
  <c r="AI88" i="19"/>
  <c r="AF89" i="19"/>
  <c r="R94" i="19"/>
  <c r="AF98" i="13"/>
  <c r="AI97" i="13"/>
  <c r="AH102" i="18"/>
  <c r="AI101" i="18"/>
  <c r="K99" i="18"/>
  <c r="O99" i="18"/>
  <c r="J100" i="18"/>
  <c r="AF105" i="18"/>
  <c r="R99" i="18"/>
  <c r="S99" i="18" s="1"/>
  <c r="K98" i="13"/>
  <c r="J99" i="13"/>
  <c r="AI95" i="26"/>
  <c r="AF96" i="26"/>
  <c r="K102" i="26"/>
  <c r="O102" i="26"/>
  <c r="J103" i="26"/>
  <c r="S100" i="26"/>
  <c r="R101" i="26"/>
  <c r="Y99" i="26"/>
  <c r="O98" i="13"/>
  <c r="T97" i="13"/>
  <c r="X96" i="13"/>
  <c r="Y96" i="13"/>
  <c r="S98" i="13"/>
  <c r="R99" i="13"/>
  <c r="Y93" i="19"/>
  <c r="R95" i="19"/>
  <c r="AI89" i="19"/>
  <c r="AF90" i="19"/>
  <c r="AI98" i="13"/>
  <c r="AF99" i="13"/>
  <c r="Y98" i="18"/>
  <c r="K100" i="18"/>
  <c r="O100" i="18"/>
  <c r="J101" i="18"/>
  <c r="AF106" i="18"/>
  <c r="Y99" i="18"/>
  <c r="R100" i="18"/>
  <c r="S100" i="18" s="1"/>
  <c r="AH103" i="18"/>
  <c r="AI102" i="18"/>
  <c r="K99" i="13"/>
  <c r="J100" i="13"/>
  <c r="K103" i="26"/>
  <c r="J104" i="26"/>
  <c r="O103" i="26"/>
  <c r="AI96" i="26"/>
  <c r="AF97" i="26"/>
  <c r="S101" i="26"/>
  <c r="T101" i="26"/>
  <c r="X101" i="26"/>
  <c r="Y101" i="26"/>
  <c r="R102" i="26"/>
  <c r="T100" i="26"/>
  <c r="X100" i="26"/>
  <c r="O99" i="13"/>
  <c r="X97" i="13"/>
  <c r="Y97" i="13"/>
  <c r="R100" i="13"/>
  <c r="S99" i="13"/>
  <c r="T98" i="13"/>
  <c r="Y95" i="19"/>
  <c r="AI90" i="19"/>
  <c r="AF91" i="19"/>
  <c r="AF100" i="13"/>
  <c r="AI99" i="13"/>
  <c r="K101" i="18"/>
  <c r="O101" i="18"/>
  <c r="J102" i="18"/>
  <c r="AF107" i="18"/>
  <c r="AH104" i="18"/>
  <c r="AI103" i="18"/>
  <c r="R101" i="18"/>
  <c r="S101" i="18" s="1"/>
  <c r="T101" i="18" s="1"/>
  <c r="X101" i="18" s="1"/>
  <c r="K100" i="13"/>
  <c r="J101" i="13"/>
  <c r="Y100" i="26"/>
  <c r="AI97" i="26"/>
  <c r="AF98" i="26"/>
  <c r="K104" i="26"/>
  <c r="O104" i="26"/>
  <c r="J105" i="26"/>
  <c r="S102" i="26"/>
  <c r="T102" i="26"/>
  <c r="X102" i="26"/>
  <c r="Y102" i="26"/>
  <c r="R103" i="26"/>
  <c r="O100" i="13"/>
  <c r="T99" i="13"/>
  <c r="X98" i="13"/>
  <c r="Y98" i="13"/>
  <c r="S100" i="13"/>
  <c r="R101" i="13"/>
  <c r="Y94" i="19"/>
  <c r="AI91" i="19"/>
  <c r="AF92" i="19"/>
  <c r="AI100" i="13"/>
  <c r="AF101" i="13"/>
  <c r="Y101" i="18"/>
  <c r="R102" i="18"/>
  <c r="S102" i="18" s="1"/>
  <c r="T102" i="18" s="1"/>
  <c r="X102" i="18" s="1"/>
  <c r="AF108" i="18"/>
  <c r="K102" i="18"/>
  <c r="O102" i="18"/>
  <c r="J103" i="18"/>
  <c r="Y100" i="18"/>
  <c r="AH105" i="18"/>
  <c r="AI104" i="18"/>
  <c r="K101" i="13"/>
  <c r="J102" i="13"/>
  <c r="K105" i="26"/>
  <c r="J106" i="26"/>
  <c r="O105" i="26"/>
  <c r="AF99" i="26"/>
  <c r="AI98" i="26"/>
  <c r="S103" i="26"/>
  <c r="T103" i="26"/>
  <c r="X103" i="26"/>
  <c r="Y103" i="26"/>
  <c r="R104" i="26"/>
  <c r="O101" i="13"/>
  <c r="T100" i="13"/>
  <c r="X99" i="13"/>
  <c r="Y99" i="13"/>
  <c r="R102" i="13"/>
  <c r="S101" i="13"/>
  <c r="AI92" i="19"/>
  <c r="AF93" i="19"/>
  <c r="G25" i="24"/>
  <c r="AF102" i="13"/>
  <c r="AI101" i="13"/>
  <c r="AF109" i="18"/>
  <c r="AH106" i="18"/>
  <c r="AI105" i="18"/>
  <c r="K103" i="18"/>
  <c r="O103" i="18"/>
  <c r="J104" i="18"/>
  <c r="Y102" i="18"/>
  <c r="R103" i="18"/>
  <c r="S103" i="18" s="1"/>
  <c r="T103" i="18" s="1"/>
  <c r="X103" i="18" s="1"/>
  <c r="K102" i="13"/>
  <c r="J103" i="13"/>
  <c r="S104" i="26"/>
  <c r="T104" i="26"/>
  <c r="X104" i="26"/>
  <c r="Y104" i="26"/>
  <c r="R105" i="26"/>
  <c r="AF100" i="26"/>
  <c r="AI99" i="26"/>
  <c r="K106" i="26"/>
  <c r="O106" i="26"/>
  <c r="J107" i="26"/>
  <c r="O102" i="13"/>
  <c r="T101" i="13"/>
  <c r="X100" i="13"/>
  <c r="Y100" i="13"/>
  <c r="R103" i="13"/>
  <c r="S102" i="13"/>
  <c r="AI93" i="19"/>
  <c r="AF94" i="19"/>
  <c r="AI102" i="13"/>
  <c r="AF103" i="13"/>
  <c r="AH107" i="18"/>
  <c r="AI106" i="18"/>
  <c r="K104" i="18"/>
  <c r="O104" i="18"/>
  <c r="J105" i="18"/>
  <c r="Y103" i="18"/>
  <c r="R104" i="18"/>
  <c r="S104" i="18" s="1"/>
  <c r="T104" i="18" s="1"/>
  <c r="X104" i="18" s="1"/>
  <c r="AF110" i="18"/>
  <c r="K103" i="13"/>
  <c r="J104" i="13"/>
  <c r="AF101" i="26"/>
  <c r="AI100" i="26"/>
  <c r="K107" i="26"/>
  <c r="O107" i="26"/>
  <c r="J108" i="26"/>
  <c r="S105" i="26"/>
  <c r="T105" i="26"/>
  <c r="X105" i="26"/>
  <c r="Y105" i="26"/>
  <c r="R106" i="26"/>
  <c r="O103" i="13"/>
  <c r="X101" i="13"/>
  <c r="Y101" i="13"/>
  <c r="T102" i="13"/>
  <c r="S103" i="13"/>
  <c r="R104" i="13"/>
  <c r="AI94" i="19"/>
  <c r="AF95" i="19"/>
  <c r="AI95" i="19"/>
  <c r="AF104" i="13"/>
  <c r="AI103" i="13"/>
  <c r="K105" i="18"/>
  <c r="O105" i="18"/>
  <c r="J106" i="18"/>
  <c r="AF111" i="18"/>
  <c r="R105" i="18"/>
  <c r="S105" i="18" s="1"/>
  <c r="AH108" i="18"/>
  <c r="AI107" i="18"/>
  <c r="K104" i="13"/>
  <c r="J105" i="13"/>
  <c r="S106" i="26"/>
  <c r="T106" i="26"/>
  <c r="X106" i="26"/>
  <c r="Y106" i="26"/>
  <c r="R107" i="26"/>
  <c r="K108" i="26"/>
  <c r="J109" i="26"/>
  <c r="O108" i="26"/>
  <c r="AF102" i="26"/>
  <c r="AI101" i="26"/>
  <c r="O104" i="13"/>
  <c r="X102" i="13"/>
  <c r="Y102" i="13"/>
  <c r="S104" i="13"/>
  <c r="R105" i="13"/>
  <c r="T103" i="13"/>
  <c r="AF105" i="13"/>
  <c r="AI104" i="13"/>
  <c r="AH109" i="18"/>
  <c r="AI108" i="18"/>
  <c r="AF112" i="18"/>
  <c r="R106" i="18"/>
  <c r="S106" i="18" s="1"/>
  <c r="T106" i="18" s="1"/>
  <c r="X106" i="18" s="1"/>
  <c r="K106" i="18"/>
  <c r="O106" i="18"/>
  <c r="J107" i="18"/>
  <c r="Y104" i="18"/>
  <c r="K105" i="13"/>
  <c r="J106" i="13"/>
  <c r="AI102" i="26"/>
  <c r="AF103" i="26"/>
  <c r="K109" i="26"/>
  <c r="O109" i="26"/>
  <c r="J110" i="26"/>
  <c r="S107" i="26"/>
  <c r="T107" i="26"/>
  <c r="X107" i="26"/>
  <c r="Y107" i="26"/>
  <c r="R108" i="26"/>
  <c r="O105" i="13"/>
  <c r="X103" i="13"/>
  <c r="Y103" i="13"/>
  <c r="T104" i="13"/>
  <c r="R106" i="13"/>
  <c r="S105" i="13"/>
  <c r="AI105" i="13"/>
  <c r="AF106" i="13"/>
  <c r="AF113" i="18"/>
  <c r="R107" i="18"/>
  <c r="S107" i="18" s="1"/>
  <c r="K107" i="18"/>
  <c r="O107" i="18"/>
  <c r="J108" i="18"/>
  <c r="Y105" i="18"/>
  <c r="AH110" i="18"/>
  <c r="AI109" i="18"/>
  <c r="K106" i="13"/>
  <c r="J107" i="13"/>
  <c r="AF104" i="26"/>
  <c r="AI103" i="26"/>
  <c r="S108" i="26"/>
  <c r="R109" i="26"/>
  <c r="K110" i="26"/>
  <c r="O110" i="26"/>
  <c r="J111" i="26"/>
  <c r="O106" i="13"/>
  <c r="T105" i="13"/>
  <c r="X104" i="13"/>
  <c r="Y104" i="13"/>
  <c r="S106" i="13"/>
  <c r="R107" i="13"/>
  <c r="AI106" i="13"/>
  <c r="AF107" i="13"/>
  <c r="Y107" i="18"/>
  <c r="R108" i="18"/>
  <c r="S108" i="18" s="1"/>
  <c r="T108" i="18" s="1"/>
  <c r="Y106" i="18"/>
  <c r="K108" i="18"/>
  <c r="O108" i="18"/>
  <c r="J109" i="18"/>
  <c r="AH111" i="18"/>
  <c r="AI110" i="18"/>
  <c r="AF114" i="18"/>
  <c r="K107" i="13"/>
  <c r="J108" i="13"/>
  <c r="S109" i="26"/>
  <c r="T109" i="26"/>
  <c r="X109" i="26"/>
  <c r="Y109" i="26"/>
  <c r="R110" i="26"/>
  <c r="T108" i="26"/>
  <c r="X108" i="26"/>
  <c r="Y108" i="26"/>
  <c r="K111" i="26"/>
  <c r="J112" i="26"/>
  <c r="O111" i="26"/>
  <c r="AI104" i="26"/>
  <c r="AF105" i="26"/>
  <c r="O107" i="13"/>
  <c r="T106" i="13"/>
  <c r="X105" i="13"/>
  <c r="Y105" i="13"/>
  <c r="S107" i="13"/>
  <c r="R108" i="13"/>
  <c r="AI107" i="13"/>
  <c r="AF108" i="13"/>
  <c r="AH112" i="18"/>
  <c r="AI111" i="18"/>
  <c r="AF115" i="18"/>
  <c r="K109" i="18"/>
  <c r="O109" i="18"/>
  <c r="J110" i="18"/>
  <c r="Y108" i="18"/>
  <c r="R109" i="18"/>
  <c r="K108" i="13"/>
  <c r="J109" i="13"/>
  <c r="K112" i="26"/>
  <c r="J113" i="26"/>
  <c r="O112" i="26"/>
  <c r="S110" i="26"/>
  <c r="T110" i="26"/>
  <c r="X110" i="26"/>
  <c r="Y110" i="26"/>
  <c r="R111" i="26"/>
  <c r="AF106" i="26"/>
  <c r="AI105" i="26"/>
  <c r="O108" i="13"/>
  <c r="T107" i="13"/>
  <c r="X106" i="13"/>
  <c r="Y106" i="13"/>
  <c r="R109" i="13"/>
  <c r="S108" i="13"/>
  <c r="AI108" i="13"/>
  <c r="AF109" i="13"/>
  <c r="K110" i="18"/>
  <c r="O110" i="18"/>
  <c r="J111" i="18"/>
  <c r="S109" i="18"/>
  <c r="T109" i="18" s="1"/>
  <c r="X109" i="18" s="1"/>
  <c r="Y109" i="18"/>
  <c r="R110" i="18"/>
  <c r="S110" i="18" s="1"/>
  <c r="AF116" i="18"/>
  <c r="AH113" i="18"/>
  <c r="AI112" i="18"/>
  <c r="K109" i="13"/>
  <c r="J110" i="13"/>
  <c r="AF107" i="26"/>
  <c r="AI106" i="26"/>
  <c r="K113" i="26"/>
  <c r="J114" i="26"/>
  <c r="O113" i="26"/>
  <c r="S111" i="26"/>
  <c r="T111" i="26"/>
  <c r="X111" i="26"/>
  <c r="Y111" i="26"/>
  <c r="R112" i="26"/>
  <c r="O109" i="13"/>
  <c r="X107" i="13"/>
  <c r="Y107" i="13"/>
  <c r="T108" i="13"/>
  <c r="S109" i="13"/>
  <c r="R110" i="13"/>
  <c r="AF110" i="13"/>
  <c r="AI109" i="13"/>
  <c r="AF117" i="18"/>
  <c r="K111" i="18"/>
  <c r="O111" i="18"/>
  <c r="J112" i="18"/>
  <c r="AH114" i="18"/>
  <c r="AI113" i="18"/>
  <c r="Y110" i="18"/>
  <c r="R111" i="18"/>
  <c r="S111" i="18" s="1"/>
  <c r="T111" i="18" s="1"/>
  <c r="X111" i="18" s="1"/>
  <c r="K110" i="13"/>
  <c r="J111" i="13"/>
  <c r="K114" i="26"/>
  <c r="O114" i="26"/>
  <c r="J115" i="26"/>
  <c r="S112" i="26"/>
  <c r="R113" i="26"/>
  <c r="AF108" i="26"/>
  <c r="AI107" i="26"/>
  <c r="O110" i="13"/>
  <c r="X108" i="13"/>
  <c r="Y108" i="13"/>
  <c r="R111" i="13"/>
  <c r="S110" i="13"/>
  <c r="T109" i="13"/>
  <c r="AI110" i="13"/>
  <c r="AF111" i="13"/>
  <c r="AH115" i="18"/>
  <c r="AI114" i="18"/>
  <c r="K112" i="18"/>
  <c r="O112" i="18"/>
  <c r="J113" i="18"/>
  <c r="R112" i="18"/>
  <c r="AF118" i="18"/>
  <c r="K111" i="13"/>
  <c r="J112" i="13"/>
  <c r="AF109" i="26"/>
  <c r="AI108" i="26"/>
  <c r="T112" i="26"/>
  <c r="X112" i="26"/>
  <c r="Y112" i="26"/>
  <c r="K115" i="26"/>
  <c r="O115" i="26"/>
  <c r="J116" i="26"/>
  <c r="S113" i="26"/>
  <c r="T113" i="26"/>
  <c r="X113" i="26"/>
  <c r="Y113" i="26"/>
  <c r="R114" i="26"/>
  <c r="O111" i="13"/>
  <c r="T110" i="13"/>
  <c r="X109" i="13"/>
  <c r="Y109" i="13"/>
  <c r="R112" i="13"/>
  <c r="S111" i="13"/>
  <c r="AF112" i="13"/>
  <c r="AI111" i="13"/>
  <c r="AF119" i="18"/>
  <c r="K113" i="18"/>
  <c r="O113" i="18"/>
  <c r="J114" i="18"/>
  <c r="S112" i="18"/>
  <c r="T112" i="18" s="1"/>
  <c r="R113" i="18"/>
  <c r="S113" i="18" s="1"/>
  <c r="Y111" i="18"/>
  <c r="AH116" i="18"/>
  <c r="AI115" i="18"/>
  <c r="K112" i="13"/>
  <c r="J113" i="13"/>
  <c r="K116" i="26"/>
  <c r="J117" i="26"/>
  <c r="O116" i="26"/>
  <c r="S114" i="26"/>
  <c r="T114" i="26"/>
  <c r="X114" i="26"/>
  <c r="Y114" i="26"/>
  <c r="R115" i="26"/>
  <c r="AF110" i="26"/>
  <c r="AI109" i="26"/>
  <c r="O112" i="13"/>
  <c r="T111" i="13"/>
  <c r="X110" i="13"/>
  <c r="Y110" i="13"/>
  <c r="S112" i="13"/>
  <c r="R113" i="13"/>
  <c r="AF113" i="13"/>
  <c r="AI112" i="13"/>
  <c r="K114" i="18"/>
  <c r="O114" i="18"/>
  <c r="J115" i="18"/>
  <c r="R114" i="18"/>
  <c r="S114" i="18" s="1"/>
  <c r="AH117" i="18"/>
  <c r="AI116" i="18"/>
  <c r="Y112" i="18"/>
  <c r="AF120" i="18"/>
  <c r="K113" i="13"/>
  <c r="J114" i="13"/>
  <c r="AI110" i="26"/>
  <c r="AF111" i="26"/>
  <c r="J118" i="26"/>
  <c r="K117" i="26"/>
  <c r="O117" i="26"/>
  <c r="S115" i="26"/>
  <c r="R116" i="26"/>
  <c r="O113" i="13"/>
  <c r="T112" i="13"/>
  <c r="X111" i="13"/>
  <c r="Y111" i="13"/>
  <c r="S113" i="13"/>
  <c r="R114" i="13"/>
  <c r="AF114" i="13"/>
  <c r="AI113" i="13"/>
  <c r="Y113" i="18"/>
  <c r="AH118" i="18"/>
  <c r="AI117" i="18"/>
  <c r="K115" i="18"/>
  <c r="O115" i="18"/>
  <c r="J116" i="18"/>
  <c r="AF121" i="18"/>
  <c r="Y114" i="18"/>
  <c r="R115" i="18"/>
  <c r="S115" i="18" s="1"/>
  <c r="K114" i="13"/>
  <c r="J115" i="13"/>
  <c r="T115" i="26"/>
  <c r="X115" i="26"/>
  <c r="Y115" i="26"/>
  <c r="AF112" i="26"/>
  <c r="AI111" i="26"/>
  <c r="S116" i="26"/>
  <c r="T116" i="26"/>
  <c r="X116" i="26"/>
  <c r="Y116" i="26"/>
  <c r="R117" i="26"/>
  <c r="K118" i="26"/>
  <c r="O118" i="26"/>
  <c r="J119" i="26"/>
  <c r="O114" i="13"/>
  <c r="X112" i="13"/>
  <c r="Y112" i="13"/>
  <c r="R115" i="13"/>
  <c r="S114" i="13"/>
  <c r="T113" i="13"/>
  <c r="AF115" i="13"/>
  <c r="AI114" i="13"/>
  <c r="AH119" i="18"/>
  <c r="AI118" i="18"/>
  <c r="AF122" i="18"/>
  <c r="R116" i="18"/>
  <c r="S116" i="18" s="1"/>
  <c r="K116" i="18"/>
  <c r="O116" i="18"/>
  <c r="J117" i="18"/>
  <c r="K115" i="13"/>
  <c r="J116" i="13"/>
  <c r="K119" i="26"/>
  <c r="J120" i="26"/>
  <c r="O119" i="26"/>
  <c r="S117" i="26"/>
  <c r="R118" i="26"/>
  <c r="AI112" i="26"/>
  <c r="AF113" i="26"/>
  <c r="O115" i="13"/>
  <c r="X113" i="13"/>
  <c r="Y113" i="13"/>
  <c r="T114" i="13"/>
  <c r="R116" i="13"/>
  <c r="S115" i="13"/>
  <c r="AF116" i="13"/>
  <c r="AI115" i="13"/>
  <c r="AF123" i="18"/>
  <c r="K117" i="18"/>
  <c r="O117" i="18"/>
  <c r="J118" i="18"/>
  <c r="R117" i="18"/>
  <c r="S117" i="18" s="1"/>
  <c r="T117" i="18" s="1"/>
  <c r="X117" i="18" s="1"/>
  <c r="Y115" i="18"/>
  <c r="AH120" i="18"/>
  <c r="AI119" i="18"/>
  <c r="K116" i="13"/>
  <c r="J117" i="13"/>
  <c r="T117" i="26"/>
  <c r="X117" i="26"/>
  <c r="Y117" i="26"/>
  <c r="AF114" i="26"/>
  <c r="AI113" i="26"/>
  <c r="K120" i="26"/>
  <c r="O120" i="26"/>
  <c r="J121" i="26"/>
  <c r="S118" i="26"/>
  <c r="T118" i="26"/>
  <c r="X118" i="26"/>
  <c r="Y118" i="26"/>
  <c r="R119" i="26"/>
  <c r="O116" i="13"/>
  <c r="T115" i="13"/>
  <c r="X114" i="13"/>
  <c r="Y114" i="13"/>
  <c r="R117" i="13"/>
  <c r="S116" i="13"/>
  <c r="AF117" i="13"/>
  <c r="AI116" i="13"/>
  <c r="K118" i="18"/>
  <c r="O118" i="18"/>
  <c r="J119" i="18"/>
  <c r="R118" i="18"/>
  <c r="S118" i="18" s="1"/>
  <c r="T118" i="18" s="1"/>
  <c r="AH121" i="18"/>
  <c r="AI120" i="18"/>
  <c r="Y116" i="18"/>
  <c r="AF124" i="18"/>
  <c r="K117" i="13"/>
  <c r="J118" i="13"/>
  <c r="K121" i="26"/>
  <c r="J122" i="26"/>
  <c r="O121" i="26"/>
  <c r="AF115" i="26"/>
  <c r="AI114" i="26"/>
  <c r="S119" i="26"/>
  <c r="R120" i="26"/>
  <c r="O117" i="13"/>
  <c r="X115" i="13"/>
  <c r="Y115" i="13"/>
  <c r="T116" i="13"/>
  <c r="R118" i="13"/>
  <c r="S117" i="13"/>
  <c r="AF118" i="13"/>
  <c r="AI117" i="13"/>
  <c r="AF125" i="18"/>
  <c r="K119" i="18"/>
  <c r="O119" i="18"/>
  <c r="J120" i="18"/>
  <c r="Y117" i="18"/>
  <c r="AH122" i="18"/>
  <c r="AI121" i="18"/>
  <c r="R119" i="18"/>
  <c r="S119" i="18" s="1"/>
  <c r="T119" i="18" s="1"/>
  <c r="K118" i="13"/>
  <c r="J119" i="13"/>
  <c r="AF116" i="26"/>
  <c r="AI115" i="26"/>
  <c r="T119" i="26"/>
  <c r="X119" i="26"/>
  <c r="Y119" i="26"/>
  <c r="K122" i="26"/>
  <c r="O122" i="26"/>
  <c r="J123" i="26"/>
  <c r="S120" i="26"/>
  <c r="T120" i="26"/>
  <c r="X120" i="26"/>
  <c r="Y120" i="26"/>
  <c r="R121" i="26"/>
  <c r="O118" i="13"/>
  <c r="T117" i="13"/>
  <c r="X116" i="13"/>
  <c r="Y116" i="13"/>
  <c r="S118" i="13"/>
  <c r="R119" i="13"/>
  <c r="AI118" i="13"/>
  <c r="AF119" i="13"/>
  <c r="AH123" i="18"/>
  <c r="AI122" i="18"/>
  <c r="K120" i="18"/>
  <c r="O120" i="18"/>
  <c r="J121" i="18"/>
  <c r="R120" i="18"/>
  <c r="S120" i="18" s="1"/>
  <c r="Y118" i="18"/>
  <c r="AF126" i="18"/>
  <c r="K119" i="13"/>
  <c r="J120" i="13"/>
  <c r="K123" i="26"/>
  <c r="J124" i="26"/>
  <c r="O123" i="26"/>
  <c r="S121" i="26"/>
  <c r="R122" i="26"/>
  <c r="AF117" i="26"/>
  <c r="AI116" i="26"/>
  <c r="O119" i="13"/>
  <c r="X117" i="13"/>
  <c r="Y117" i="13"/>
  <c r="R120" i="13"/>
  <c r="S119" i="13"/>
  <c r="T118" i="13"/>
  <c r="AF120" i="13"/>
  <c r="AI119" i="13"/>
  <c r="K121" i="18"/>
  <c r="O121" i="18"/>
  <c r="J122" i="18"/>
  <c r="AF127" i="18"/>
  <c r="Y119" i="18"/>
  <c r="Y120" i="18"/>
  <c r="R121" i="18"/>
  <c r="S121" i="18" s="1"/>
  <c r="AH124" i="18"/>
  <c r="AI123" i="18"/>
  <c r="K120" i="13"/>
  <c r="J121" i="13"/>
  <c r="AF118" i="26"/>
  <c r="AI117" i="26"/>
  <c r="S122" i="26"/>
  <c r="T122" i="26"/>
  <c r="X122" i="26"/>
  <c r="Y122" i="26"/>
  <c r="R123" i="26"/>
  <c r="K124" i="26"/>
  <c r="O124" i="26"/>
  <c r="J125" i="26"/>
  <c r="J126" i="26"/>
  <c r="T121" i="26"/>
  <c r="X121" i="26"/>
  <c r="Y121" i="26"/>
  <c r="O120" i="13"/>
  <c r="T119" i="13"/>
  <c r="X118" i="13"/>
  <c r="Y118" i="13"/>
  <c r="S120" i="13"/>
  <c r="R121" i="13"/>
  <c r="AI120" i="13"/>
  <c r="AF121" i="13"/>
  <c r="AF128" i="18"/>
  <c r="K122" i="18"/>
  <c r="O122" i="18"/>
  <c r="J123" i="18"/>
  <c r="R122" i="18"/>
  <c r="S122" i="18" s="1"/>
  <c r="AH125" i="18"/>
  <c r="AI124" i="18"/>
  <c r="K121" i="13"/>
  <c r="J122" i="13"/>
  <c r="K126" i="26"/>
  <c r="J127" i="26"/>
  <c r="O126" i="26"/>
  <c r="S123" i="26"/>
  <c r="R124" i="26"/>
  <c r="K125" i="26"/>
  <c r="O125" i="26"/>
  <c r="AI118" i="26"/>
  <c r="AF119" i="26"/>
  <c r="O121" i="13"/>
  <c r="X119" i="13"/>
  <c r="Y119" i="13"/>
  <c r="T120" i="13"/>
  <c r="S121" i="13"/>
  <c r="R122" i="13"/>
  <c r="AI121" i="13"/>
  <c r="AF122" i="13"/>
  <c r="Y122" i="18"/>
  <c r="R123" i="18"/>
  <c r="S123" i="18" s="1"/>
  <c r="T123" i="18" s="1"/>
  <c r="X123" i="18" s="1"/>
  <c r="AH126" i="18"/>
  <c r="AI125" i="18"/>
  <c r="K123" i="18"/>
  <c r="O123" i="18"/>
  <c r="J124" i="18"/>
  <c r="Y121" i="18"/>
  <c r="AF129" i="18"/>
  <c r="K122" i="13"/>
  <c r="J123" i="13"/>
  <c r="K127" i="26"/>
  <c r="J128" i="26"/>
  <c r="O127" i="26"/>
  <c r="AF120" i="26"/>
  <c r="AI119" i="26"/>
  <c r="S124" i="26"/>
  <c r="T124" i="26"/>
  <c r="X124" i="26"/>
  <c r="Y124" i="26"/>
  <c r="R125" i="26"/>
  <c r="T123" i="26"/>
  <c r="X123" i="26"/>
  <c r="Y123" i="26"/>
  <c r="O122" i="13"/>
  <c r="X120" i="13"/>
  <c r="Y120" i="13"/>
  <c r="S122" i="13"/>
  <c r="R123" i="13"/>
  <c r="T121" i="13"/>
  <c r="AF123" i="13"/>
  <c r="AI122" i="13"/>
  <c r="AH127" i="18"/>
  <c r="AI126" i="18"/>
  <c r="AF130" i="18"/>
  <c r="K124" i="18"/>
  <c r="O124" i="18"/>
  <c r="J125" i="18"/>
  <c r="R124" i="18"/>
  <c r="S124" i="18" s="1"/>
  <c r="K123" i="13"/>
  <c r="J124" i="13"/>
  <c r="K128" i="26"/>
  <c r="O128" i="26"/>
  <c r="J129" i="26"/>
  <c r="S125" i="26"/>
  <c r="T125" i="26"/>
  <c r="X125" i="26"/>
  <c r="Y125" i="26"/>
  <c r="R126" i="26"/>
  <c r="AI120" i="26"/>
  <c r="AF121" i="26"/>
  <c r="O123" i="13"/>
  <c r="X121" i="13"/>
  <c r="Y121" i="13"/>
  <c r="R124" i="13"/>
  <c r="S123" i="13"/>
  <c r="T122" i="13"/>
  <c r="AF124" i="13"/>
  <c r="AI123" i="13"/>
  <c r="AF131" i="18"/>
  <c r="Y123" i="18"/>
  <c r="K125" i="18"/>
  <c r="O125" i="18"/>
  <c r="J126" i="18"/>
  <c r="Y124" i="18"/>
  <c r="R125" i="18"/>
  <c r="S125" i="18" s="1"/>
  <c r="T125" i="18" s="1"/>
  <c r="AH128" i="18"/>
  <c r="AI127" i="18"/>
  <c r="K124" i="13"/>
  <c r="J125" i="13"/>
  <c r="S126" i="26"/>
  <c r="T126" i="26"/>
  <c r="X126" i="26"/>
  <c r="R127" i="26"/>
  <c r="K129" i="26"/>
  <c r="J130" i="26"/>
  <c r="O129" i="26"/>
  <c r="AF122" i="26"/>
  <c r="AI121" i="26"/>
  <c r="J126" i="13"/>
  <c r="K126" i="13"/>
  <c r="O124" i="13"/>
  <c r="T123" i="13"/>
  <c r="X122" i="13"/>
  <c r="Y122" i="13"/>
  <c r="R125" i="13"/>
  <c r="S124" i="13"/>
  <c r="J127" i="13"/>
  <c r="AI124" i="13"/>
  <c r="AF125" i="13"/>
  <c r="AH129" i="18"/>
  <c r="AI128" i="18"/>
  <c r="K126" i="18"/>
  <c r="O126" i="18"/>
  <c r="J127" i="18"/>
  <c r="R126" i="18"/>
  <c r="S126" i="18" s="1"/>
  <c r="T126" i="18" s="1"/>
  <c r="AF132" i="18"/>
  <c r="K125" i="13"/>
  <c r="K130" i="26"/>
  <c r="O130" i="26"/>
  <c r="J131" i="26"/>
  <c r="S127" i="26"/>
  <c r="T127" i="26"/>
  <c r="X127" i="26"/>
  <c r="Y127" i="26"/>
  <c r="R128" i="26"/>
  <c r="Y126" i="26"/>
  <c r="AF123" i="26"/>
  <c r="AI122" i="26"/>
  <c r="O126" i="13"/>
  <c r="O125" i="13"/>
  <c r="T124" i="13"/>
  <c r="X123" i="13"/>
  <c r="Y123" i="13"/>
  <c r="S125" i="13"/>
  <c r="R126" i="13"/>
  <c r="AF126" i="13"/>
  <c r="AI125" i="13"/>
  <c r="K127" i="13"/>
  <c r="J128" i="13"/>
  <c r="AF133" i="18"/>
  <c r="K127" i="18"/>
  <c r="O127" i="18"/>
  <c r="J128" i="18"/>
  <c r="R127" i="18"/>
  <c r="S127" i="18" s="1"/>
  <c r="T127" i="18" s="1"/>
  <c r="Y125" i="18"/>
  <c r="AH130" i="18"/>
  <c r="AI129" i="18"/>
  <c r="S128" i="26"/>
  <c r="T128" i="26"/>
  <c r="X128" i="26"/>
  <c r="R129" i="26"/>
  <c r="K131" i="26"/>
  <c r="J132" i="26"/>
  <c r="O131" i="26"/>
  <c r="AF124" i="26"/>
  <c r="AI123" i="26"/>
  <c r="O127" i="13"/>
  <c r="X124" i="13"/>
  <c r="Y124" i="13"/>
  <c r="T125" i="13"/>
  <c r="R127" i="13"/>
  <c r="S126" i="13"/>
  <c r="AF127" i="13"/>
  <c r="AI126" i="13"/>
  <c r="K128" i="13"/>
  <c r="J129" i="13"/>
  <c r="K128" i="18"/>
  <c r="O128" i="18"/>
  <c r="J129" i="18"/>
  <c r="R128" i="18"/>
  <c r="S128" i="18" s="1"/>
  <c r="AH131" i="18"/>
  <c r="AI130" i="18"/>
  <c r="Y126" i="18"/>
  <c r="AF134" i="18"/>
  <c r="K132" i="26"/>
  <c r="J133" i="26"/>
  <c r="O132" i="26"/>
  <c r="S129" i="26"/>
  <c r="T129" i="26"/>
  <c r="X129" i="26"/>
  <c r="Y129" i="26"/>
  <c r="R130" i="26"/>
  <c r="Y128" i="26"/>
  <c r="AF125" i="26"/>
  <c r="AI124" i="26"/>
  <c r="O128" i="13"/>
  <c r="X125" i="13"/>
  <c r="Y125" i="13"/>
  <c r="T126" i="13"/>
  <c r="S127" i="13"/>
  <c r="R128" i="13"/>
  <c r="K129" i="13"/>
  <c r="J130" i="13"/>
  <c r="AF128" i="13"/>
  <c r="AI127" i="13"/>
  <c r="AF135" i="18"/>
  <c r="Y127" i="18"/>
  <c r="AH132" i="18"/>
  <c r="AI131" i="18"/>
  <c r="K129" i="18"/>
  <c r="O129" i="18"/>
  <c r="J130" i="18"/>
  <c r="R129" i="18"/>
  <c r="S129" i="18" s="1"/>
  <c r="AI125" i="26"/>
  <c r="AF126" i="26"/>
  <c r="S130" i="26"/>
  <c r="T130" i="26"/>
  <c r="X130" i="26"/>
  <c r="R131" i="26"/>
  <c r="K133" i="26"/>
  <c r="J134" i="26"/>
  <c r="O133" i="26"/>
  <c r="O129" i="13"/>
  <c r="T127" i="13"/>
  <c r="X126" i="13"/>
  <c r="Y126" i="13"/>
  <c r="R129" i="13"/>
  <c r="S128" i="13"/>
  <c r="AF129" i="13"/>
  <c r="AI128" i="13"/>
  <c r="K130" i="13"/>
  <c r="J131" i="13"/>
  <c r="K130" i="18"/>
  <c r="O130" i="18"/>
  <c r="J131" i="18"/>
  <c r="R130" i="18"/>
  <c r="S130" i="18" s="1"/>
  <c r="Y128" i="18"/>
  <c r="AH133" i="18"/>
  <c r="AI132" i="18"/>
  <c r="AF136" i="18"/>
  <c r="J135" i="26"/>
  <c r="K134" i="26"/>
  <c r="O134" i="26"/>
  <c r="S131" i="26"/>
  <c r="T131" i="26"/>
  <c r="X131" i="26"/>
  <c r="Y131" i="26"/>
  <c r="R132" i="26"/>
  <c r="Y130" i="26"/>
  <c r="AF127" i="26"/>
  <c r="AI126" i="26"/>
  <c r="O130" i="13"/>
  <c r="X127" i="13"/>
  <c r="Y127" i="13"/>
  <c r="T128" i="13"/>
  <c r="S129" i="13"/>
  <c r="R130" i="13"/>
  <c r="AF130" i="13"/>
  <c r="AI129" i="13"/>
  <c r="K131" i="13"/>
  <c r="J132" i="13"/>
  <c r="Y129" i="18"/>
  <c r="AF137" i="18"/>
  <c r="K131" i="18"/>
  <c r="O131" i="18"/>
  <c r="J132" i="18"/>
  <c r="AH134" i="18"/>
  <c r="AI133" i="18"/>
  <c r="Y130" i="18"/>
  <c r="R131" i="18"/>
  <c r="S131" i="18" s="1"/>
  <c r="AI127" i="26"/>
  <c r="AF128" i="26"/>
  <c r="S132" i="26"/>
  <c r="T132" i="26"/>
  <c r="X132" i="26"/>
  <c r="R133" i="26"/>
  <c r="K135" i="26"/>
  <c r="J136" i="26"/>
  <c r="O135" i="26"/>
  <c r="O131" i="13"/>
  <c r="X128" i="13"/>
  <c r="Y128" i="13"/>
  <c r="T129" i="13"/>
  <c r="R131" i="13"/>
  <c r="S130" i="13"/>
  <c r="K132" i="13"/>
  <c r="J133" i="13"/>
  <c r="AF131" i="13"/>
  <c r="AI130" i="13"/>
  <c r="AF138" i="18"/>
  <c r="AH135" i="18"/>
  <c r="AI134" i="18"/>
  <c r="R132" i="18"/>
  <c r="S132" i="18" s="1"/>
  <c r="K132" i="18"/>
  <c r="O132" i="18"/>
  <c r="J133" i="18"/>
  <c r="K136" i="26"/>
  <c r="J137" i="26"/>
  <c r="O136" i="26"/>
  <c r="S133" i="26"/>
  <c r="T133" i="26"/>
  <c r="X133" i="26"/>
  <c r="Y133" i="26"/>
  <c r="R134" i="26"/>
  <c r="Y132" i="26"/>
  <c r="AI128" i="26"/>
  <c r="AF129" i="26"/>
  <c r="O132" i="13"/>
  <c r="T130" i="13"/>
  <c r="X129" i="13"/>
  <c r="Y129" i="13"/>
  <c r="S131" i="13"/>
  <c r="R132" i="13"/>
  <c r="K133" i="13"/>
  <c r="J134" i="13"/>
  <c r="AF132" i="13"/>
  <c r="AI131" i="13"/>
  <c r="AH136" i="18"/>
  <c r="AI135" i="18"/>
  <c r="R133" i="18"/>
  <c r="S133" i="18" s="1"/>
  <c r="T133" i="18" s="1"/>
  <c r="K133" i="18"/>
  <c r="O133" i="18"/>
  <c r="J134" i="18"/>
  <c r="Y131" i="18"/>
  <c r="AF139" i="18"/>
  <c r="S134" i="26"/>
  <c r="T134" i="26"/>
  <c r="X134" i="26"/>
  <c r="R135" i="26"/>
  <c r="K137" i="26"/>
  <c r="O137" i="26"/>
  <c r="J138" i="26"/>
  <c r="AF130" i="26"/>
  <c r="AI129" i="26"/>
  <c r="O133" i="13"/>
  <c r="T131" i="13"/>
  <c r="X130" i="13"/>
  <c r="Y130" i="13"/>
  <c r="R133" i="13"/>
  <c r="S132" i="13"/>
  <c r="K134" i="13"/>
  <c r="J135" i="13"/>
  <c r="AF133" i="13"/>
  <c r="AI132" i="13"/>
  <c r="Y132" i="18"/>
  <c r="R134" i="18"/>
  <c r="S134" i="18" s="1"/>
  <c r="T134" i="18" s="1"/>
  <c r="X134" i="18" s="1"/>
  <c r="K134" i="18"/>
  <c r="O134" i="18"/>
  <c r="J135" i="18"/>
  <c r="AF140" i="18"/>
  <c r="AH137" i="18"/>
  <c r="AI136" i="18"/>
  <c r="K138" i="26"/>
  <c r="O138" i="26"/>
  <c r="J139" i="26"/>
  <c r="AF131" i="26"/>
  <c r="AI130" i="26"/>
  <c r="S135" i="26"/>
  <c r="T135" i="26"/>
  <c r="X135" i="26"/>
  <c r="Y135" i="26"/>
  <c r="R136" i="26"/>
  <c r="Y134" i="26"/>
  <c r="O134" i="13"/>
  <c r="T132" i="13"/>
  <c r="X131" i="13"/>
  <c r="Y131" i="13"/>
  <c r="R134" i="13"/>
  <c r="S133" i="13"/>
  <c r="AF134" i="13"/>
  <c r="AI133" i="13"/>
  <c r="K135" i="13"/>
  <c r="J136" i="13"/>
  <c r="Y133" i="18"/>
  <c r="AF141" i="18"/>
  <c r="Y134" i="18"/>
  <c r="R135" i="18"/>
  <c r="K135" i="18"/>
  <c r="O135" i="18"/>
  <c r="J136" i="18"/>
  <c r="AH138" i="18"/>
  <c r="AI137" i="18"/>
  <c r="AF132" i="26"/>
  <c r="AI131" i="26"/>
  <c r="S136" i="26"/>
  <c r="T136" i="26"/>
  <c r="X136" i="26"/>
  <c r="Y136" i="26"/>
  <c r="R137" i="26"/>
  <c r="K139" i="26"/>
  <c r="O139" i="26"/>
  <c r="J140" i="26"/>
  <c r="O135" i="13"/>
  <c r="T133" i="13"/>
  <c r="X132" i="13"/>
  <c r="Y132" i="13"/>
  <c r="S134" i="13"/>
  <c r="R135" i="13"/>
  <c r="K136" i="13"/>
  <c r="J137" i="13"/>
  <c r="AF135" i="13"/>
  <c r="AI134" i="13"/>
  <c r="AF142" i="18"/>
  <c r="K136" i="18"/>
  <c r="O136" i="18"/>
  <c r="J137" i="18"/>
  <c r="AH139" i="18"/>
  <c r="AI138" i="18"/>
  <c r="S135" i="18"/>
  <c r="T135" i="18" s="1"/>
  <c r="X135" i="18" s="1"/>
  <c r="R136" i="18"/>
  <c r="S136" i="18" s="1"/>
  <c r="T136" i="18" s="1"/>
  <c r="X136" i="18" s="1"/>
  <c r="S137" i="26"/>
  <c r="T137" i="26"/>
  <c r="X137" i="26"/>
  <c r="Y137" i="26"/>
  <c r="R138" i="26"/>
  <c r="K140" i="26"/>
  <c r="O140" i="26"/>
  <c r="D113" i="26"/>
  <c r="AF133" i="26"/>
  <c r="AI132" i="26"/>
  <c r="O136" i="13"/>
  <c r="X133" i="13"/>
  <c r="Y133" i="13"/>
  <c r="T134" i="13"/>
  <c r="R136" i="13"/>
  <c r="S135" i="13"/>
  <c r="AF136" i="13"/>
  <c r="AI135" i="13"/>
  <c r="K137" i="13"/>
  <c r="J138" i="13"/>
  <c r="Y135" i="18"/>
  <c r="AH140" i="18"/>
  <c r="AI139" i="18"/>
  <c r="K137" i="18"/>
  <c r="O137" i="18"/>
  <c r="J138" i="18"/>
  <c r="R137" i="18"/>
  <c r="S137" i="18" s="1"/>
  <c r="AF143" i="18"/>
  <c r="AI133" i="26"/>
  <c r="AF134" i="26"/>
  <c r="S138" i="26"/>
  <c r="T138" i="26"/>
  <c r="X138" i="26"/>
  <c r="Y138" i="26"/>
  <c r="R139" i="26"/>
  <c r="O137" i="13"/>
  <c r="X134" i="13"/>
  <c r="Y134" i="13"/>
  <c r="T135" i="13"/>
  <c r="R137" i="13"/>
  <c r="S136" i="13"/>
  <c r="K138" i="13"/>
  <c r="J139" i="13"/>
  <c r="AF137" i="13"/>
  <c r="AI136" i="13"/>
  <c r="Y136" i="18"/>
  <c r="R138" i="18"/>
  <c r="S138" i="18" s="1"/>
  <c r="AH141" i="18"/>
  <c r="AI140" i="18"/>
  <c r="K138" i="18"/>
  <c r="O138" i="18"/>
  <c r="J139" i="18"/>
  <c r="AF144" i="18"/>
  <c r="S139" i="26"/>
  <c r="T139" i="26"/>
  <c r="X139" i="26"/>
  <c r="Y139" i="26"/>
  <c r="R140" i="26"/>
  <c r="S140" i="26"/>
  <c r="T140" i="26"/>
  <c r="X140" i="26"/>
  <c r="AF135" i="26"/>
  <c r="AI134" i="26"/>
  <c r="O138" i="13"/>
  <c r="T136" i="13"/>
  <c r="X135" i="13"/>
  <c r="Y135" i="13"/>
  <c r="S137" i="13"/>
  <c r="R138" i="13"/>
  <c r="AF138" i="13"/>
  <c r="AI137" i="13"/>
  <c r="K139" i="13"/>
  <c r="J140" i="13"/>
  <c r="Y137" i="18"/>
  <c r="AF145" i="18"/>
  <c r="K139" i="18"/>
  <c r="O139" i="18"/>
  <c r="J140" i="18"/>
  <c r="Y138" i="18"/>
  <c r="R139" i="18"/>
  <c r="S139" i="18" s="1"/>
  <c r="T139" i="18" s="1"/>
  <c r="AH142" i="18"/>
  <c r="AI141" i="18"/>
  <c r="AI135" i="26"/>
  <c r="AF136" i="26"/>
  <c r="Y140" i="26"/>
  <c r="C113" i="26"/>
  <c r="E113" i="26"/>
  <c r="C127" i="26"/>
  <c r="O139" i="13"/>
  <c r="X136" i="13"/>
  <c r="Y136" i="13"/>
  <c r="T137" i="13"/>
  <c r="R139" i="13"/>
  <c r="S138" i="13"/>
  <c r="AF139" i="13"/>
  <c r="AI138" i="13"/>
  <c r="K140" i="13"/>
  <c r="J141" i="13"/>
  <c r="AF146" i="18"/>
  <c r="R140" i="18"/>
  <c r="S140" i="18" s="1"/>
  <c r="K140" i="18"/>
  <c r="O140" i="18"/>
  <c r="J141" i="18"/>
  <c r="AH143" i="18"/>
  <c r="AI142" i="18"/>
  <c r="AF137" i="26"/>
  <c r="AI136" i="26"/>
  <c r="F127" i="26"/>
  <c r="O140" i="13"/>
  <c r="X137" i="13"/>
  <c r="Y137" i="13"/>
  <c r="T138" i="13"/>
  <c r="S139" i="13"/>
  <c r="R140" i="13"/>
  <c r="K141" i="13"/>
  <c r="J142" i="13"/>
  <c r="AF140" i="13"/>
  <c r="AI139" i="13"/>
  <c r="Y139" i="18"/>
  <c r="R141" i="18"/>
  <c r="K141" i="18"/>
  <c r="O141" i="18"/>
  <c r="J142" i="18"/>
  <c r="AH144" i="18"/>
  <c r="AI143" i="18"/>
  <c r="AF147" i="18"/>
  <c r="J25" i="24"/>
  <c r="I25" i="24"/>
  <c r="AF138" i="26"/>
  <c r="AI137" i="26"/>
  <c r="O141" i="13"/>
  <c r="X138" i="13"/>
  <c r="Y138" i="13"/>
  <c r="T139" i="13"/>
  <c r="R141" i="13"/>
  <c r="S140" i="13"/>
  <c r="AF141" i="13"/>
  <c r="AI140" i="13"/>
  <c r="K142" i="13"/>
  <c r="J143" i="13"/>
  <c r="AH145" i="18"/>
  <c r="AI144" i="18"/>
  <c r="Y140" i="18"/>
  <c r="S141" i="18"/>
  <c r="T141" i="18" s="1"/>
  <c r="R142" i="18"/>
  <c r="S142" i="18" s="1"/>
  <c r="K142" i="18"/>
  <c r="O142" i="18"/>
  <c r="J143" i="18"/>
  <c r="AF148" i="18"/>
  <c r="AF139" i="26"/>
  <c r="AI138" i="26"/>
  <c r="O142" i="13"/>
  <c r="T140" i="13"/>
  <c r="X139" i="13"/>
  <c r="Y139" i="13"/>
  <c r="R142" i="13"/>
  <c r="S141" i="13"/>
  <c r="AF142" i="13"/>
  <c r="AI141" i="13"/>
  <c r="K143" i="13"/>
  <c r="J144" i="13"/>
  <c r="K143" i="18"/>
  <c r="O143" i="18"/>
  <c r="J144" i="18"/>
  <c r="AF149" i="18"/>
  <c r="R143" i="18"/>
  <c r="S143" i="18" s="1"/>
  <c r="Y141" i="18"/>
  <c r="AH146" i="18"/>
  <c r="AI145" i="18"/>
  <c r="AI139" i="26"/>
  <c r="AF140" i="26"/>
  <c r="AI140" i="26"/>
  <c r="O143" i="13"/>
  <c r="T141" i="13"/>
  <c r="X140" i="13"/>
  <c r="Y140" i="13"/>
  <c r="R143" i="13"/>
  <c r="S142" i="13"/>
  <c r="AF143" i="13"/>
  <c r="AI142" i="13"/>
  <c r="K144" i="13"/>
  <c r="J145" i="13"/>
  <c r="AF150" i="18"/>
  <c r="R144" i="18"/>
  <c r="S144" i="18" s="1"/>
  <c r="T144" i="18" s="1"/>
  <c r="K144" i="18"/>
  <c r="O144" i="18"/>
  <c r="J145" i="18"/>
  <c r="AH147" i="18"/>
  <c r="AI146" i="18"/>
  <c r="Y142" i="18"/>
  <c r="O144" i="13"/>
  <c r="T142" i="13"/>
  <c r="X141" i="13"/>
  <c r="Y141" i="13"/>
  <c r="S143" i="13"/>
  <c r="R144" i="13"/>
  <c r="AF144" i="13"/>
  <c r="AI143" i="13"/>
  <c r="K145" i="13"/>
  <c r="J146" i="13"/>
  <c r="AH148" i="18"/>
  <c r="AI147" i="18"/>
  <c r="R145" i="18"/>
  <c r="S145" i="18" s="1"/>
  <c r="T145" i="18" s="1"/>
  <c r="X145" i="18" s="1"/>
  <c r="Y143" i="18"/>
  <c r="K145" i="18"/>
  <c r="O145" i="18"/>
  <c r="J146" i="18"/>
  <c r="AF151" i="18"/>
  <c r="O145" i="13"/>
  <c r="T143" i="13"/>
  <c r="X142" i="13"/>
  <c r="Y142" i="13"/>
  <c r="S144" i="13"/>
  <c r="R145" i="13"/>
  <c r="AF145" i="13"/>
  <c r="AI144" i="13"/>
  <c r="K146" i="13"/>
  <c r="J147" i="13"/>
  <c r="Y144" i="18"/>
  <c r="K146" i="18"/>
  <c r="O146" i="18"/>
  <c r="J147" i="18"/>
  <c r="R146" i="18"/>
  <c r="S146" i="18" s="1"/>
  <c r="T146" i="18" s="1"/>
  <c r="X146" i="18" s="1"/>
  <c r="AF152" i="18"/>
  <c r="AH149" i="18"/>
  <c r="AI148" i="18"/>
  <c r="O146" i="13"/>
  <c r="X143" i="13"/>
  <c r="Y143" i="13"/>
  <c r="R146" i="13"/>
  <c r="S145" i="13"/>
  <c r="T144" i="13"/>
  <c r="K147" i="13"/>
  <c r="J148" i="13"/>
  <c r="AF146" i="13"/>
  <c r="AI145" i="13"/>
  <c r="AF153" i="18"/>
  <c r="Y146" i="18"/>
  <c r="R147" i="18"/>
  <c r="S147" i="18" s="1"/>
  <c r="T147" i="18" s="1"/>
  <c r="AH150" i="18"/>
  <c r="AI149" i="18"/>
  <c r="Y145" i="18"/>
  <c r="K147" i="18"/>
  <c r="O147" i="18"/>
  <c r="J148" i="18"/>
  <c r="O147" i="13"/>
  <c r="X144" i="13"/>
  <c r="Y144" i="13"/>
  <c r="T145" i="13"/>
  <c r="S146" i="13"/>
  <c r="R147" i="13"/>
  <c r="AF147" i="13"/>
  <c r="AI146" i="13"/>
  <c r="K148" i="13"/>
  <c r="J149" i="13"/>
  <c r="R148" i="18"/>
  <c r="S148" i="18" s="1"/>
  <c r="T148" i="18" s="1"/>
  <c r="X148" i="18" s="1"/>
  <c r="K148" i="18"/>
  <c r="O148" i="18"/>
  <c r="J149" i="18"/>
  <c r="AH151" i="18"/>
  <c r="AI150" i="18"/>
  <c r="AF154" i="18"/>
  <c r="O148" i="13"/>
  <c r="X145" i="13"/>
  <c r="Y145" i="13"/>
  <c r="T146" i="13"/>
  <c r="S147" i="13"/>
  <c r="R148" i="13"/>
  <c r="AF148" i="13"/>
  <c r="AI147" i="13"/>
  <c r="K149" i="13"/>
  <c r="J150" i="13"/>
  <c r="AF155" i="18"/>
  <c r="K149" i="18"/>
  <c r="O149" i="18"/>
  <c r="J150" i="18"/>
  <c r="AH152" i="18"/>
  <c r="AI151" i="18"/>
  <c r="R149" i="18"/>
  <c r="Y147" i="18"/>
  <c r="O149" i="13"/>
  <c r="T147" i="13"/>
  <c r="X146" i="13"/>
  <c r="Y146" i="13"/>
  <c r="S148" i="13"/>
  <c r="R149" i="13"/>
  <c r="AF149" i="13"/>
  <c r="AI148" i="13"/>
  <c r="J151" i="13"/>
  <c r="K150" i="13"/>
  <c r="Y148" i="18"/>
  <c r="K150" i="18"/>
  <c r="O150" i="18"/>
  <c r="J151" i="18"/>
  <c r="S149" i="18"/>
  <c r="T149" i="18" s="1"/>
  <c r="X149" i="18" s="1"/>
  <c r="R150" i="18"/>
  <c r="S150" i="18" s="1"/>
  <c r="T150" i="18" s="1"/>
  <c r="X150" i="18" s="1"/>
  <c r="AH153" i="18"/>
  <c r="AI152" i="18"/>
  <c r="AF156" i="18"/>
  <c r="O150" i="13"/>
  <c r="X147" i="13"/>
  <c r="Y147" i="13"/>
  <c r="S149" i="13"/>
  <c r="R150" i="13"/>
  <c r="T148" i="13"/>
  <c r="AF150" i="13"/>
  <c r="AI149" i="13"/>
  <c r="K151" i="13"/>
  <c r="J152" i="13"/>
  <c r="AH154" i="18"/>
  <c r="AI153" i="18"/>
  <c r="Y150" i="18"/>
  <c r="R151" i="18"/>
  <c r="S151" i="18" s="1"/>
  <c r="T151" i="18" s="1"/>
  <c r="AF157" i="18"/>
  <c r="Y149" i="18"/>
  <c r="K151" i="18"/>
  <c r="O151" i="18"/>
  <c r="J152" i="18"/>
  <c r="O151" i="13"/>
  <c r="T149" i="13"/>
  <c r="X148" i="13"/>
  <c r="Y148" i="13"/>
  <c r="R151" i="13"/>
  <c r="S150" i="13"/>
  <c r="K152" i="13"/>
  <c r="J153" i="13"/>
  <c r="AF151" i="13"/>
  <c r="AI150" i="13"/>
  <c r="R152" i="18"/>
  <c r="S152" i="18" s="1"/>
  <c r="T152" i="18" s="1"/>
  <c r="X152" i="18" s="1"/>
  <c r="K152" i="18"/>
  <c r="O152" i="18"/>
  <c r="J153" i="18"/>
  <c r="AF158" i="18"/>
  <c r="AH155" i="18"/>
  <c r="AI154" i="18"/>
  <c r="O152" i="13"/>
  <c r="X149" i="13"/>
  <c r="Y149" i="13"/>
  <c r="T150" i="13"/>
  <c r="S151" i="13"/>
  <c r="R152" i="13"/>
  <c r="K153" i="13"/>
  <c r="J154" i="13"/>
  <c r="AF152" i="13"/>
  <c r="AI151" i="13"/>
  <c r="AH156" i="18"/>
  <c r="AI155" i="18"/>
  <c r="AF159" i="18"/>
  <c r="R153" i="18"/>
  <c r="S153" i="18" s="1"/>
  <c r="T153" i="18" s="1"/>
  <c r="X153" i="18" s="1"/>
  <c r="K153" i="18"/>
  <c r="O153" i="18"/>
  <c r="J154" i="18"/>
  <c r="Y151" i="18"/>
  <c r="O153" i="13"/>
  <c r="X150" i="13"/>
  <c r="Y150" i="13"/>
  <c r="T151" i="13"/>
  <c r="S152" i="13"/>
  <c r="R153" i="13"/>
  <c r="AF153" i="13"/>
  <c r="AI152" i="13"/>
  <c r="K154" i="13"/>
  <c r="J155" i="13"/>
  <c r="AF160" i="18"/>
  <c r="R154" i="18"/>
  <c r="S154" i="18" s="1"/>
  <c r="T154" i="18" s="1"/>
  <c r="K154" i="18"/>
  <c r="O154" i="18"/>
  <c r="J155" i="18"/>
  <c r="Y152" i="18"/>
  <c r="AH157" i="18"/>
  <c r="AI156" i="18"/>
  <c r="O154" i="13"/>
  <c r="X151" i="13"/>
  <c r="Y151" i="13"/>
  <c r="T152" i="13"/>
  <c r="S153" i="13"/>
  <c r="R154" i="13"/>
  <c r="K155" i="13"/>
  <c r="J156" i="13"/>
  <c r="AF154" i="13"/>
  <c r="AI153" i="13"/>
  <c r="Y153" i="18"/>
  <c r="Y154" i="18"/>
  <c r="R155" i="18"/>
  <c r="S155" i="18" s="1"/>
  <c r="AH158" i="18"/>
  <c r="AI157" i="18"/>
  <c r="K155" i="18"/>
  <c r="O155" i="18"/>
  <c r="J156" i="18"/>
  <c r="AF161" i="18"/>
  <c r="O155" i="13"/>
  <c r="X152" i="13"/>
  <c r="Y152" i="13"/>
  <c r="S154" i="13"/>
  <c r="R155" i="13"/>
  <c r="T153" i="13"/>
  <c r="K156" i="13"/>
  <c r="J157" i="13"/>
  <c r="AF155" i="13"/>
  <c r="AI154" i="13"/>
  <c r="K156" i="18"/>
  <c r="O156" i="18"/>
  <c r="J157" i="18"/>
  <c r="R156" i="18"/>
  <c r="S156" i="18" s="1"/>
  <c r="T156" i="18" s="1"/>
  <c r="X156" i="18" s="1"/>
  <c r="AF162" i="18"/>
  <c r="AH159" i="18"/>
  <c r="AI158" i="18"/>
  <c r="O156" i="13"/>
  <c r="T154" i="13"/>
  <c r="X153" i="13"/>
  <c r="Y153" i="13"/>
  <c r="S155" i="13"/>
  <c r="R156" i="13"/>
  <c r="AF156" i="13"/>
  <c r="AI155" i="13"/>
  <c r="K157" i="13"/>
  <c r="J158" i="13"/>
  <c r="AH160" i="18"/>
  <c r="AI159" i="18"/>
  <c r="Y155" i="18"/>
  <c r="K157" i="18"/>
  <c r="O157" i="18"/>
  <c r="J158" i="18"/>
  <c r="AF163" i="18"/>
  <c r="R157" i="18"/>
  <c r="S157" i="18" s="1"/>
  <c r="T157" i="18" s="1"/>
  <c r="X157" i="18" s="1"/>
  <c r="O157" i="13"/>
  <c r="X154" i="13"/>
  <c r="Y154" i="13"/>
  <c r="S156" i="13"/>
  <c r="R157" i="13"/>
  <c r="T155" i="13"/>
  <c r="AF157" i="13"/>
  <c r="AI156" i="13"/>
  <c r="K158" i="13"/>
  <c r="J159" i="13"/>
  <c r="AF164" i="18"/>
  <c r="R158" i="18"/>
  <c r="K158" i="18"/>
  <c r="O158" i="18"/>
  <c r="J159" i="18"/>
  <c r="Y156" i="18"/>
  <c r="AH161" i="18"/>
  <c r="AI160" i="18"/>
  <c r="O158" i="13"/>
  <c r="T156" i="13"/>
  <c r="X155" i="13"/>
  <c r="Y155" i="13"/>
  <c r="R158" i="13"/>
  <c r="S157" i="13"/>
  <c r="K159" i="13"/>
  <c r="J160" i="13"/>
  <c r="AF158" i="13"/>
  <c r="AI157" i="13"/>
  <c r="S158" i="18"/>
  <c r="T158" i="18" s="1"/>
  <c r="R159" i="18"/>
  <c r="S159" i="18" s="1"/>
  <c r="Y157" i="18"/>
  <c r="K159" i="18"/>
  <c r="O159" i="18"/>
  <c r="J160" i="18"/>
  <c r="AH162" i="18"/>
  <c r="AI161" i="18"/>
  <c r="AF165" i="18"/>
  <c r="O159" i="13"/>
  <c r="X156" i="13"/>
  <c r="Y156" i="13"/>
  <c r="T157" i="13"/>
  <c r="S158" i="13"/>
  <c r="R159" i="13"/>
  <c r="K160" i="13"/>
  <c r="J161" i="13"/>
  <c r="AF159" i="13"/>
  <c r="AI158" i="13"/>
  <c r="R160" i="18"/>
  <c r="AH163" i="18"/>
  <c r="AI162" i="18"/>
  <c r="AF166" i="18"/>
  <c r="K160" i="18"/>
  <c r="O160" i="18"/>
  <c r="J161" i="18"/>
  <c r="Y158" i="18"/>
  <c r="O160" i="13"/>
  <c r="X157" i="13"/>
  <c r="Y157" i="13"/>
  <c r="T158" i="13"/>
  <c r="S159" i="13"/>
  <c r="R160" i="13"/>
  <c r="AF160" i="13"/>
  <c r="AI159" i="13"/>
  <c r="K161" i="13"/>
  <c r="J162" i="13"/>
  <c r="AH164" i="18"/>
  <c r="AI163" i="18"/>
  <c r="K161" i="18"/>
  <c r="O161" i="18"/>
  <c r="J162" i="18"/>
  <c r="S160" i="18"/>
  <c r="T160" i="18" s="1"/>
  <c r="R161" i="18"/>
  <c r="AF167" i="18"/>
  <c r="Y159" i="18"/>
  <c r="O161" i="13"/>
  <c r="X158" i="13"/>
  <c r="Y158" i="13"/>
  <c r="R161" i="13"/>
  <c r="S160" i="13"/>
  <c r="T159" i="13"/>
  <c r="K162" i="13"/>
  <c r="J163" i="13"/>
  <c r="AF161" i="13"/>
  <c r="AI160" i="13"/>
  <c r="K162" i="18"/>
  <c r="O162" i="18"/>
  <c r="J163" i="18"/>
  <c r="S161" i="18"/>
  <c r="R162" i="18"/>
  <c r="S162" i="18" s="1"/>
  <c r="AF168" i="18"/>
  <c r="Y160" i="18"/>
  <c r="AH165" i="18"/>
  <c r="AI164" i="18"/>
  <c r="O162" i="13"/>
  <c r="X159" i="13"/>
  <c r="Y159" i="13"/>
  <c r="T160" i="13"/>
  <c r="S161" i="13"/>
  <c r="R162" i="13"/>
  <c r="AF162" i="13"/>
  <c r="AI161" i="13"/>
  <c r="K163" i="13"/>
  <c r="J164" i="13"/>
  <c r="T161" i="18"/>
  <c r="Y161" i="18"/>
  <c r="AF169" i="18"/>
  <c r="K163" i="18"/>
  <c r="O163" i="18"/>
  <c r="J164" i="18"/>
  <c r="AH166" i="18"/>
  <c r="AI165" i="18"/>
  <c r="R163" i="18"/>
  <c r="S163" i="18" s="1"/>
  <c r="T163" i="18" s="1"/>
  <c r="O163" i="13"/>
  <c r="X160" i="13"/>
  <c r="Y160" i="13"/>
  <c r="T161" i="13"/>
  <c r="S162" i="13"/>
  <c r="R163" i="13"/>
  <c r="K164" i="13"/>
  <c r="J165" i="13"/>
  <c r="AF163" i="13"/>
  <c r="AI162" i="13"/>
  <c r="R164" i="18"/>
  <c r="S164" i="18" s="1"/>
  <c r="AF170" i="18"/>
  <c r="Y162" i="18"/>
  <c r="K164" i="18"/>
  <c r="O164" i="18"/>
  <c r="J165" i="18"/>
  <c r="AH167" i="18"/>
  <c r="AI166" i="18"/>
  <c r="O164" i="13"/>
  <c r="X161" i="13"/>
  <c r="Y161" i="13"/>
  <c r="T162" i="13"/>
  <c r="R164" i="13"/>
  <c r="S163" i="13"/>
  <c r="AF164" i="13"/>
  <c r="AI163" i="13"/>
  <c r="K165" i="13"/>
  <c r="AF171" i="18"/>
  <c r="AH168" i="18"/>
  <c r="AI167" i="18"/>
  <c r="R165" i="18"/>
  <c r="K165" i="18"/>
  <c r="O165" i="18"/>
  <c r="J166" i="18"/>
  <c r="Y163" i="18"/>
  <c r="O165" i="13"/>
  <c r="X162" i="13"/>
  <c r="Y162" i="13"/>
  <c r="T163" i="13"/>
  <c r="R165" i="13"/>
  <c r="S164" i="13"/>
  <c r="D113" i="13"/>
  <c r="AF165" i="13"/>
  <c r="AI165" i="13"/>
  <c r="AI164" i="13"/>
  <c r="K166" i="18"/>
  <c r="J167" i="18"/>
  <c r="O166" i="18"/>
  <c r="AH169" i="18"/>
  <c r="AI168" i="18"/>
  <c r="S165" i="18"/>
  <c r="T165" i="18" s="1"/>
  <c r="R166" i="18"/>
  <c r="Y164" i="18"/>
  <c r="AF172" i="18"/>
  <c r="T164" i="13"/>
  <c r="X163" i="13"/>
  <c r="Y163" i="13"/>
  <c r="S165" i="13"/>
  <c r="Y164" i="13"/>
  <c r="S166" i="18"/>
  <c r="T166" i="18" s="1"/>
  <c r="X166" i="18" s="1"/>
  <c r="Y166" i="18"/>
  <c r="R167" i="18"/>
  <c r="S167" i="18" s="1"/>
  <c r="T167" i="18" s="1"/>
  <c r="AF173" i="18"/>
  <c r="Y165" i="18"/>
  <c r="K167" i="18"/>
  <c r="O167" i="18"/>
  <c r="J168" i="18"/>
  <c r="AH170" i="18"/>
  <c r="AI169" i="18"/>
  <c r="T165" i="13"/>
  <c r="X164" i="13"/>
  <c r="AF174" i="18"/>
  <c r="AH171" i="18"/>
  <c r="AI170" i="18"/>
  <c r="R168" i="18"/>
  <c r="S168" i="18" s="1"/>
  <c r="T168" i="18" s="1"/>
  <c r="K168" i="18"/>
  <c r="O168" i="18"/>
  <c r="J169" i="18"/>
  <c r="X165" i="13"/>
  <c r="C113" i="13"/>
  <c r="E113" i="13"/>
  <c r="C127" i="13"/>
  <c r="Y165" i="13"/>
  <c r="K169" i="18"/>
  <c r="O169" i="18"/>
  <c r="J170" i="18"/>
  <c r="AH172" i="18"/>
  <c r="AI171" i="18"/>
  <c r="R169" i="18"/>
  <c r="S169" i="18" s="1"/>
  <c r="Y167" i="18"/>
  <c r="AF175" i="18"/>
  <c r="E21" i="24"/>
  <c r="E25" i="24"/>
  <c r="F127" i="13"/>
  <c r="AH173" i="18"/>
  <c r="AI172" i="18"/>
  <c r="Y169" i="18"/>
  <c r="R170" i="18"/>
  <c r="S170" i="18" s="1"/>
  <c r="K170" i="18"/>
  <c r="O170" i="18"/>
  <c r="J171" i="18"/>
  <c r="AF176" i="18"/>
  <c r="Y168" i="18"/>
  <c r="AF177" i="18"/>
  <c r="K171" i="18"/>
  <c r="O171" i="18"/>
  <c r="J172" i="18"/>
  <c r="R171" i="18"/>
  <c r="AH174" i="18"/>
  <c r="AI173" i="18"/>
  <c r="AH175" i="18"/>
  <c r="AI174" i="18"/>
  <c r="K172" i="18"/>
  <c r="O172" i="18"/>
  <c r="J173" i="18"/>
  <c r="S171" i="18"/>
  <c r="T171" i="18" s="1"/>
  <c r="X171" i="18" s="1"/>
  <c r="R172" i="18"/>
  <c r="S172" i="18" s="1"/>
  <c r="Y170" i="18"/>
  <c r="AF178" i="18"/>
  <c r="K173" i="18"/>
  <c r="O173" i="18"/>
  <c r="J174" i="18"/>
  <c r="Y172" i="18"/>
  <c r="R173" i="18"/>
  <c r="S173" i="18" s="1"/>
  <c r="AF179" i="18"/>
  <c r="Y171" i="18"/>
  <c r="AH176" i="18"/>
  <c r="AI175" i="18"/>
  <c r="Y173" i="18"/>
  <c r="R174" i="18"/>
  <c r="S174" i="18" s="1"/>
  <c r="T174" i="18" s="1"/>
  <c r="K174" i="18"/>
  <c r="O174" i="18"/>
  <c r="J175" i="18"/>
  <c r="AH177" i="18"/>
  <c r="AI176" i="18"/>
  <c r="AF180" i="18"/>
  <c r="K175" i="18"/>
  <c r="O175" i="18"/>
  <c r="J176" i="18"/>
  <c r="AH178" i="18"/>
  <c r="AI177" i="18"/>
  <c r="R175" i="18"/>
  <c r="AF181" i="18"/>
  <c r="AH179" i="18"/>
  <c r="AI178" i="18"/>
  <c r="K176" i="18"/>
  <c r="O176" i="18"/>
  <c r="J177" i="18"/>
  <c r="AF182" i="18"/>
  <c r="S175" i="18"/>
  <c r="T175" i="18" s="1"/>
  <c r="R176" i="18"/>
  <c r="S176" i="18" s="1"/>
  <c r="Y174" i="18"/>
  <c r="K177" i="18"/>
  <c r="O177" i="18"/>
  <c r="J178" i="18"/>
  <c r="AF183" i="18"/>
  <c r="Y175" i="18"/>
  <c r="R177" i="18"/>
  <c r="S177" i="18" s="1"/>
  <c r="AH180" i="18"/>
  <c r="AI179" i="18"/>
  <c r="Y176" i="18"/>
  <c r="AH181" i="18"/>
  <c r="AI180" i="18"/>
  <c r="K178" i="18"/>
  <c r="O178" i="18"/>
  <c r="J179" i="18"/>
  <c r="AF184" i="18"/>
  <c r="Y177" i="18"/>
  <c r="R178" i="18"/>
  <c r="S178" i="18" s="1"/>
  <c r="AH182" i="18"/>
  <c r="AI181" i="18"/>
  <c r="AF185" i="18"/>
  <c r="Y178" i="18"/>
  <c r="R179" i="18"/>
  <c r="S179" i="18" s="1"/>
  <c r="T179" i="18" s="1"/>
  <c r="X179" i="18" s="1"/>
  <c r="K179" i="18"/>
  <c r="O179" i="18"/>
  <c r="J180" i="18"/>
  <c r="AF186" i="18"/>
  <c r="K180" i="18"/>
  <c r="O180" i="18"/>
  <c r="J181" i="18"/>
  <c r="Y179" i="18"/>
  <c r="R180" i="18"/>
  <c r="AH183" i="18"/>
  <c r="AI182" i="18"/>
  <c r="AH184" i="18"/>
  <c r="AI183" i="18"/>
  <c r="K181" i="18"/>
  <c r="O181" i="18"/>
  <c r="J182" i="18"/>
  <c r="S180" i="18"/>
  <c r="T180" i="18" s="1"/>
  <c r="Y180" i="18"/>
  <c r="R181" i="18"/>
  <c r="S181" i="18" s="1"/>
  <c r="T181" i="18" s="1"/>
  <c r="AF187" i="18"/>
  <c r="Y181" i="18"/>
  <c r="R182" i="18"/>
  <c r="S182" i="18" s="1"/>
  <c r="T182" i="18" s="1"/>
  <c r="AF188" i="18"/>
  <c r="K182" i="18"/>
  <c r="O182" i="18"/>
  <c r="J183" i="18"/>
  <c r="AH185" i="18"/>
  <c r="AI184" i="18"/>
  <c r="AH186" i="18"/>
  <c r="AI185" i="18"/>
  <c r="AF189" i="18"/>
  <c r="K183" i="18"/>
  <c r="O183" i="18"/>
  <c r="J184" i="18"/>
  <c r="Y182" i="18"/>
  <c r="R183" i="18"/>
  <c r="S183" i="18" s="1"/>
  <c r="T183" i="18" s="1"/>
  <c r="R184" i="18"/>
  <c r="S184" i="18" s="1"/>
  <c r="AF190" i="18"/>
  <c r="K184" i="18"/>
  <c r="O184" i="18"/>
  <c r="J185" i="18"/>
  <c r="AH187" i="18"/>
  <c r="AI186" i="18"/>
  <c r="AH188" i="18"/>
  <c r="AI187" i="18"/>
  <c r="K185" i="18"/>
  <c r="O185" i="18"/>
  <c r="J186" i="18"/>
  <c r="Y184" i="18"/>
  <c r="R185" i="18"/>
  <c r="S185" i="18" s="1"/>
  <c r="AF191" i="18"/>
  <c r="Y183" i="18"/>
  <c r="Y185" i="18"/>
  <c r="R186" i="18"/>
  <c r="AF192" i="18"/>
  <c r="K186" i="18"/>
  <c r="O186" i="18"/>
  <c r="J187" i="18"/>
  <c r="AH189" i="18"/>
  <c r="AI188" i="18"/>
  <c r="AF193" i="18"/>
  <c r="S186" i="18"/>
  <c r="T186" i="18"/>
  <c r="Y186" i="18"/>
  <c r="R187" i="18"/>
  <c r="S187" i="18" s="1"/>
  <c r="AH190" i="18"/>
  <c r="AI189" i="18"/>
  <c r="K187" i="18"/>
  <c r="O187" i="18"/>
  <c r="J188" i="18"/>
  <c r="K188" i="18"/>
  <c r="O188" i="18"/>
  <c r="J189" i="18"/>
  <c r="Y187" i="18"/>
  <c r="R188" i="18"/>
  <c r="S188" i="18" s="1"/>
  <c r="AH191" i="18"/>
  <c r="AI190" i="18"/>
  <c r="AF194" i="18"/>
  <c r="AF195" i="18"/>
  <c r="AH192" i="18"/>
  <c r="AI191" i="18"/>
  <c r="K189" i="18"/>
  <c r="O189" i="18"/>
  <c r="J190" i="18"/>
  <c r="Y188" i="18"/>
  <c r="R189" i="18"/>
  <c r="S189" i="18" s="1"/>
  <c r="AH193" i="18"/>
  <c r="AI192" i="18"/>
  <c r="K190" i="18"/>
  <c r="O190" i="18"/>
  <c r="J191" i="18"/>
  <c r="R190" i="18"/>
  <c r="S190" i="18" s="1"/>
  <c r="AF196" i="18"/>
  <c r="AF197" i="18"/>
  <c r="K191" i="18"/>
  <c r="O191" i="18"/>
  <c r="J192" i="18"/>
  <c r="Y190" i="18"/>
  <c r="R191" i="18"/>
  <c r="S191" i="18" s="1"/>
  <c r="Y189" i="18"/>
  <c r="AH194" i="18"/>
  <c r="AI193" i="18"/>
  <c r="AH195" i="18"/>
  <c r="AI194" i="18"/>
  <c r="K192" i="18"/>
  <c r="O192" i="18"/>
  <c r="J193" i="18"/>
  <c r="R192" i="18"/>
  <c r="S192" i="18" s="1"/>
  <c r="AF198" i="18"/>
  <c r="K193" i="18"/>
  <c r="O193" i="18"/>
  <c r="J194" i="18"/>
  <c r="AF199" i="18"/>
  <c r="Y192" i="18"/>
  <c r="R193" i="18"/>
  <c r="S193" i="18" s="1"/>
  <c r="Y191" i="18"/>
  <c r="AH196" i="18"/>
  <c r="AI195" i="18"/>
  <c r="AF200" i="18"/>
  <c r="Y193" i="18"/>
  <c r="R194" i="18"/>
  <c r="K194" i="18"/>
  <c r="O194" i="18"/>
  <c r="J195" i="18"/>
  <c r="AH197" i="18"/>
  <c r="AI196" i="18"/>
  <c r="AH198" i="18"/>
  <c r="AI197" i="18"/>
  <c r="S194" i="18"/>
  <c r="T194" i="18" s="1"/>
  <c r="Y194" i="18"/>
  <c r="R195" i="18"/>
  <c r="S195" i="18" s="1"/>
  <c r="K195" i="18"/>
  <c r="O195" i="18"/>
  <c r="J196" i="18"/>
  <c r="AF201" i="18"/>
  <c r="AF202" i="18"/>
  <c r="Y195" i="18"/>
  <c r="R196" i="18"/>
  <c r="K196" i="18"/>
  <c r="O196" i="18"/>
  <c r="J197" i="18"/>
  <c r="AH199" i="18"/>
  <c r="AI198" i="18"/>
  <c r="AH200" i="18"/>
  <c r="AI199" i="18"/>
  <c r="S196" i="18"/>
  <c r="Y196" i="18"/>
  <c r="R197" i="18"/>
  <c r="S197" i="18" s="1"/>
  <c r="K197" i="18"/>
  <c r="O197" i="18"/>
  <c r="J198" i="18"/>
  <c r="AF203" i="18"/>
  <c r="AF204" i="18"/>
  <c r="R198" i="18"/>
  <c r="S198" i="18" s="1"/>
  <c r="T198" i="18" s="1"/>
  <c r="X198" i="18" s="1"/>
  <c r="K198" i="18"/>
  <c r="O198" i="18"/>
  <c r="J199" i="18"/>
  <c r="AH201" i="18"/>
  <c r="AI200" i="18"/>
  <c r="AH202" i="18"/>
  <c r="AI201" i="18"/>
  <c r="Y198" i="18"/>
  <c r="R199" i="18"/>
  <c r="S199" i="18" s="1"/>
  <c r="T199" i="18" s="1"/>
  <c r="X199" i="18" s="1"/>
  <c r="Y197" i="18"/>
  <c r="K199" i="18"/>
  <c r="O199" i="18"/>
  <c r="J200" i="18"/>
  <c r="AF205" i="18"/>
  <c r="R200" i="18"/>
  <c r="S200" i="18" s="1"/>
  <c r="K200" i="18"/>
  <c r="O200" i="18"/>
  <c r="J201" i="18"/>
  <c r="AH203" i="18"/>
  <c r="AI202" i="18"/>
  <c r="AH204" i="18"/>
  <c r="AI203" i="18"/>
  <c r="Y200" i="18"/>
  <c r="R201" i="18"/>
  <c r="S201" i="18" s="1"/>
  <c r="K201" i="18"/>
  <c r="O201" i="18"/>
  <c r="J202" i="18"/>
  <c r="Y199" i="18"/>
  <c r="Y201" i="18"/>
  <c r="R202" i="18"/>
  <c r="S202" i="18" s="1"/>
  <c r="T202" i="18" s="1"/>
  <c r="K202" i="18"/>
  <c r="O202" i="18"/>
  <c r="J203" i="18"/>
  <c r="AH205" i="18"/>
  <c r="AI205" i="18"/>
  <c r="AI204" i="18"/>
  <c r="K203" i="18"/>
  <c r="O203" i="18"/>
  <c r="J204" i="18"/>
  <c r="Y202" i="18"/>
  <c r="R203" i="18"/>
  <c r="S203" i="18" s="1"/>
  <c r="K204" i="18"/>
  <c r="O204" i="18"/>
  <c r="J205" i="18"/>
  <c r="K205" i="18"/>
  <c r="O205" i="18"/>
  <c r="Y203" i="18"/>
  <c r="R204" i="18"/>
  <c r="S204" i="18" s="1"/>
  <c r="T204" i="18" s="1"/>
  <c r="D113" i="18"/>
  <c r="Y204" i="18"/>
  <c r="R205" i="18"/>
  <c r="S205" i="18" s="1"/>
  <c r="Y205" i="18"/>
  <c r="O96" i="19" l="1"/>
  <c r="O124" i="19"/>
  <c r="O155" i="19"/>
  <c r="O146" i="19"/>
  <c r="S74" i="27"/>
  <c r="S120" i="27"/>
  <c r="S141" i="27"/>
  <c r="S28" i="27"/>
  <c r="S206" i="27"/>
  <c r="S174" i="27"/>
  <c r="S86" i="27"/>
  <c r="S189" i="27"/>
  <c r="S84" i="27"/>
  <c r="S180" i="27"/>
  <c r="S158" i="27"/>
  <c r="S39" i="27"/>
  <c r="S43" i="27"/>
  <c r="S32" i="27"/>
  <c r="S98" i="27"/>
  <c r="S73" i="27"/>
  <c r="L5" i="27"/>
  <c r="S22" i="27"/>
  <c r="S144" i="27"/>
  <c r="S109" i="27"/>
  <c r="S207" i="27"/>
  <c r="S221" i="27"/>
  <c r="S131" i="27"/>
  <c r="S27" i="27"/>
  <c r="L24" i="27"/>
  <c r="L26" i="27"/>
  <c r="L23" i="27"/>
  <c r="L35" i="27"/>
  <c r="L31" i="27"/>
  <c r="L28" i="27"/>
  <c r="L25" i="27"/>
  <c r="L32" i="27"/>
  <c r="L29" i="27"/>
  <c r="L33" i="27"/>
  <c r="L34" i="27"/>
  <c r="L27" i="27"/>
  <c r="L30" i="27"/>
  <c r="Q182" i="27"/>
  <c r="R182" i="27" s="1"/>
  <c r="Q185" i="27"/>
  <c r="R185" i="27" s="1"/>
  <c r="Q147" i="27"/>
  <c r="R147" i="27" s="1"/>
  <c r="Q169" i="27"/>
  <c r="R169" i="27" s="1"/>
  <c r="Q157" i="27"/>
  <c r="R157" i="27" s="1"/>
  <c r="Q194" i="27"/>
  <c r="R194" i="27" s="1"/>
  <c r="Q216" i="27"/>
  <c r="R216" i="27" s="1"/>
  <c r="Q136" i="27"/>
  <c r="R136" i="27" s="1"/>
  <c r="Q174" i="27"/>
  <c r="R174" i="27" s="1"/>
  <c r="Q176" i="27"/>
  <c r="R176" i="27" s="1"/>
  <c r="Q128" i="27"/>
  <c r="R128" i="27" s="1"/>
  <c r="Q61" i="27"/>
  <c r="R61" i="27" s="1"/>
  <c r="Q120" i="27"/>
  <c r="R120" i="27" s="1"/>
  <c r="Q74" i="27"/>
  <c r="R74" i="27" s="1"/>
  <c r="Q64" i="27"/>
  <c r="R64" i="27" s="1"/>
  <c r="Q69" i="27"/>
  <c r="R69" i="27" s="1"/>
  <c r="Q161" i="27"/>
  <c r="R161" i="27" s="1"/>
  <c r="Q211" i="27"/>
  <c r="R211" i="27" s="1"/>
  <c r="Q114" i="27"/>
  <c r="R114" i="27" s="1"/>
  <c r="Q184" i="27"/>
  <c r="R184" i="27" s="1"/>
  <c r="Q86" i="27"/>
  <c r="R86" i="27" s="1"/>
  <c r="Q186" i="27"/>
  <c r="R186" i="27" s="1"/>
  <c r="Q135" i="27"/>
  <c r="R135" i="27" s="1"/>
  <c r="Q160" i="27"/>
  <c r="R160" i="27" s="1"/>
  <c r="Q75" i="27"/>
  <c r="R75" i="27" s="1"/>
  <c r="Q117" i="27"/>
  <c r="R117" i="27" s="1"/>
  <c r="Q111" i="27"/>
  <c r="R111" i="27" s="1"/>
  <c r="Q214" i="27"/>
  <c r="R214" i="27" s="1"/>
  <c r="Q217" i="27"/>
  <c r="R217" i="27" s="1"/>
  <c r="Q207" i="27"/>
  <c r="R207" i="27" s="1"/>
  <c r="Q171" i="27"/>
  <c r="R171" i="27" s="1"/>
  <c r="Q189" i="27"/>
  <c r="R189" i="27" s="1"/>
  <c r="Q150" i="27"/>
  <c r="R150" i="27" s="1"/>
  <c r="Q188" i="27"/>
  <c r="R188" i="27" s="1"/>
  <c r="Q168" i="27"/>
  <c r="R168" i="27" s="1"/>
  <c r="Q206" i="27"/>
  <c r="R206" i="27" s="1"/>
  <c r="Q173" i="27"/>
  <c r="R173" i="27" s="1"/>
  <c r="Q83" i="27"/>
  <c r="R83" i="27" s="1"/>
  <c r="Q125" i="27"/>
  <c r="R125" i="27" s="1"/>
  <c r="Q155" i="27"/>
  <c r="R155" i="27" s="1"/>
  <c r="Q33" i="27"/>
  <c r="R33" i="27" s="1"/>
  <c r="Q59" i="27"/>
  <c r="R59" i="27" s="1"/>
  <c r="Q133" i="27"/>
  <c r="R133" i="27" s="1"/>
  <c r="Q132" i="27"/>
  <c r="R132" i="27" s="1"/>
  <c r="Q31" i="27"/>
  <c r="R31" i="27" s="1"/>
  <c r="Q73" i="27"/>
  <c r="R73" i="27" s="1"/>
  <c r="Q195" i="27"/>
  <c r="R195" i="27" s="1"/>
  <c r="Q45" i="27"/>
  <c r="R45" i="27" s="1"/>
  <c r="Q200" i="27"/>
  <c r="R200" i="27" s="1"/>
  <c r="Q90" i="27"/>
  <c r="R90" i="27" s="1"/>
  <c r="Q198" i="27"/>
  <c r="R198" i="27" s="1"/>
  <c r="Q30" i="27"/>
  <c r="R30" i="27" s="1"/>
  <c r="Q138" i="27"/>
  <c r="R138" i="27" s="1"/>
  <c r="Q34" i="27"/>
  <c r="R34" i="27" s="1"/>
  <c r="Q56" i="27"/>
  <c r="R56" i="27" s="1"/>
  <c r="P26" i="27"/>
  <c r="R26" i="27" s="1"/>
  <c r="Q177" i="27"/>
  <c r="R177" i="27" s="1"/>
  <c r="Q44" i="27"/>
  <c r="R44" i="27" s="1"/>
  <c r="Q146" i="27"/>
  <c r="R146" i="27" s="1"/>
  <c r="Q115" i="27"/>
  <c r="R115" i="27" s="1"/>
  <c r="Q220" i="27"/>
  <c r="R220" i="27" s="1"/>
  <c r="Q96" i="27"/>
  <c r="R96" i="27" s="1"/>
  <c r="Q65" i="27"/>
  <c r="R65" i="27" s="1"/>
  <c r="Q91" i="27"/>
  <c r="R91" i="27" s="1"/>
  <c r="Q139" i="27"/>
  <c r="R139" i="27" s="1"/>
  <c r="Q197" i="27"/>
  <c r="R197" i="27" s="1"/>
  <c r="Q63" i="27"/>
  <c r="R63" i="27" s="1"/>
  <c r="Q105" i="27"/>
  <c r="R105" i="27" s="1"/>
  <c r="Q35" i="27"/>
  <c r="R35" i="27" s="1"/>
  <c r="Q77" i="27"/>
  <c r="R77" i="27" s="1"/>
  <c r="Q203" i="27"/>
  <c r="R203" i="27" s="1"/>
  <c r="Q122" i="27"/>
  <c r="R122" i="27" s="1"/>
  <c r="Q40" i="27"/>
  <c r="R40" i="27" s="1"/>
  <c r="Q62" i="27"/>
  <c r="R62" i="27" s="1"/>
  <c r="Q202" i="27"/>
  <c r="R202" i="27" s="1"/>
  <c r="Q66" i="27"/>
  <c r="R66" i="27" s="1"/>
  <c r="Q196" i="27"/>
  <c r="R196" i="27" s="1"/>
  <c r="Q79" i="27"/>
  <c r="R79" i="27" s="1"/>
  <c r="O21" i="27"/>
  <c r="R21" i="27" s="1"/>
  <c r="Q172" i="27"/>
  <c r="R172" i="27" s="1"/>
  <c r="Q191" i="27"/>
  <c r="R191" i="27" s="1"/>
  <c r="Q108" i="27"/>
  <c r="R108" i="27" s="1"/>
  <c r="Q159" i="27"/>
  <c r="R159" i="27" s="1"/>
  <c r="Q145" i="27"/>
  <c r="R145" i="27" s="1"/>
  <c r="Q52" i="27"/>
  <c r="R52" i="27" s="1"/>
  <c r="Q221" i="27"/>
  <c r="R221" i="27" s="1"/>
  <c r="Q215" i="27"/>
  <c r="R215" i="27" s="1"/>
  <c r="Q158" i="27"/>
  <c r="R158" i="27" s="1"/>
  <c r="Q201" i="27"/>
  <c r="R201" i="27" s="1"/>
  <c r="Q175" i="27"/>
  <c r="R175" i="27" s="1"/>
  <c r="Q210" i="27"/>
  <c r="R210" i="27" s="1"/>
  <c r="Q38" i="27"/>
  <c r="R38" i="27" s="1"/>
  <c r="Q100" i="27"/>
  <c r="R100" i="27" s="1"/>
  <c r="Q55" i="27"/>
  <c r="R55" i="27" s="1"/>
  <c r="Q97" i="27"/>
  <c r="R97" i="27" s="1"/>
  <c r="Q123" i="27"/>
  <c r="R123" i="27" s="1"/>
  <c r="Q124" i="27"/>
  <c r="R124" i="27" s="1"/>
  <c r="Q170" i="27"/>
  <c r="R170" i="27" s="1"/>
  <c r="Q95" i="27"/>
  <c r="R95" i="27" s="1"/>
  <c r="Q141" i="27"/>
  <c r="R141" i="27" s="1"/>
  <c r="Q67" i="27"/>
  <c r="R67" i="27" s="1"/>
  <c r="Q109" i="27"/>
  <c r="R109" i="27" s="1"/>
  <c r="Q179" i="27"/>
  <c r="R179" i="27" s="1"/>
  <c r="Q49" i="27"/>
  <c r="R49" i="27" s="1"/>
  <c r="Q187" i="27"/>
  <c r="R187" i="27" s="1"/>
  <c r="Q94" i="27"/>
  <c r="R94" i="27" s="1"/>
  <c r="Q130" i="27"/>
  <c r="R130" i="27" s="1"/>
  <c r="P24" i="27"/>
  <c r="R24" i="27" s="1"/>
  <c r="Q209" i="27"/>
  <c r="R209" i="27" s="1"/>
  <c r="Q104" i="27"/>
  <c r="R104" i="27" s="1"/>
  <c r="Q88" i="27"/>
  <c r="R88" i="27" s="1"/>
  <c r="Q70" i="27"/>
  <c r="R70" i="27" s="1"/>
  <c r="Q181" i="27"/>
  <c r="R181" i="27" s="1"/>
  <c r="Q87" i="27"/>
  <c r="R87" i="27" s="1"/>
  <c r="Q129" i="27"/>
  <c r="R129" i="27" s="1"/>
  <c r="Q46" i="27"/>
  <c r="R46" i="27" s="1"/>
  <c r="Q193" i="27"/>
  <c r="R193" i="27" s="1"/>
  <c r="Q166" i="27"/>
  <c r="R166" i="27" s="1"/>
  <c r="Q127" i="27"/>
  <c r="R127" i="27" s="1"/>
  <c r="Q205" i="27"/>
  <c r="R205" i="27" s="1"/>
  <c r="Q99" i="27"/>
  <c r="R99" i="27" s="1"/>
  <c r="Q36" i="27"/>
  <c r="R36" i="27" s="1"/>
  <c r="Q39" i="27"/>
  <c r="R39" i="27" s="1"/>
  <c r="Q81" i="27"/>
  <c r="R81" i="27" s="1"/>
  <c r="Q212" i="27"/>
  <c r="R212" i="27" s="1"/>
  <c r="Q126" i="27"/>
  <c r="R126" i="27" s="1"/>
  <c r="Q68" i="27"/>
  <c r="R68" i="27" s="1"/>
  <c r="Q47" i="27"/>
  <c r="R47" i="27" s="1"/>
  <c r="Q140" i="27"/>
  <c r="R140" i="27" s="1"/>
  <c r="P22" i="27"/>
  <c r="R22" i="27" s="1"/>
  <c r="Q28" i="27"/>
  <c r="R28" i="27" s="1"/>
  <c r="Q151" i="27"/>
  <c r="R151" i="27" s="1"/>
  <c r="Q152" i="27"/>
  <c r="R152" i="27" s="1"/>
  <c r="Q190" i="27"/>
  <c r="R190" i="27" s="1"/>
  <c r="Q208" i="27"/>
  <c r="R208" i="27" s="1"/>
  <c r="Q116" i="27"/>
  <c r="R116" i="27" s="1"/>
  <c r="Q162" i="27"/>
  <c r="R162" i="27" s="1"/>
  <c r="Q148" i="27"/>
  <c r="R148" i="27" s="1"/>
  <c r="Q76" i="27"/>
  <c r="R76" i="27" s="1"/>
  <c r="Q143" i="27"/>
  <c r="R143" i="27" s="1"/>
  <c r="Q72" i="27"/>
  <c r="R72" i="27" s="1"/>
  <c r="Q137" i="27"/>
  <c r="R137" i="27" s="1"/>
  <c r="Q102" i="27"/>
  <c r="R102" i="27" s="1"/>
  <c r="Q154" i="27"/>
  <c r="R154" i="27" s="1"/>
  <c r="Q119" i="27"/>
  <c r="R119" i="27" s="1"/>
  <c r="Q80" i="27"/>
  <c r="R80" i="27" s="1"/>
  <c r="Q78" i="27"/>
  <c r="R78" i="27" s="1"/>
  <c r="Q167" i="27"/>
  <c r="R167" i="27" s="1"/>
  <c r="Q164" i="27"/>
  <c r="R164" i="27" s="1"/>
  <c r="Q50" i="27"/>
  <c r="R50" i="27" s="1"/>
  <c r="Q178" i="27"/>
  <c r="R178" i="27" s="1"/>
  <c r="Q131" i="27"/>
  <c r="R131" i="27" s="1"/>
  <c r="Q149" i="27"/>
  <c r="R149" i="27" s="1"/>
  <c r="Q71" i="27"/>
  <c r="R71" i="27" s="1"/>
  <c r="Q113" i="27"/>
  <c r="R113" i="27" s="1"/>
  <c r="Q153" i="27"/>
  <c r="R153" i="27" s="1"/>
  <c r="Q53" i="27"/>
  <c r="R53" i="27" s="1"/>
  <c r="Q57" i="27"/>
  <c r="R57" i="27" s="1"/>
  <c r="P25" i="27"/>
  <c r="R25" i="27" s="1"/>
  <c r="Q92" i="27"/>
  <c r="R92" i="27" s="1"/>
  <c r="Q192" i="27"/>
  <c r="R192" i="27" s="1"/>
  <c r="Q180" i="27"/>
  <c r="R180" i="27" s="1"/>
  <c r="Q29" i="27"/>
  <c r="R29" i="27" s="1"/>
  <c r="Q218" i="27"/>
  <c r="R218" i="27" s="1"/>
  <c r="Q42" i="27"/>
  <c r="R42" i="27" s="1"/>
  <c r="Q142" i="27"/>
  <c r="R142" i="27" s="1"/>
  <c r="Q110" i="27"/>
  <c r="R110" i="27" s="1"/>
  <c r="Q163" i="27"/>
  <c r="R163" i="27" s="1"/>
  <c r="Q48" i="27"/>
  <c r="R48" i="27" s="1"/>
  <c r="Q82" i="27"/>
  <c r="R82" i="27" s="1"/>
  <c r="Q183" i="27"/>
  <c r="R183" i="27" s="1"/>
  <c r="Q54" i="27"/>
  <c r="R54" i="27" s="1"/>
  <c r="Q213" i="27"/>
  <c r="R213" i="27" s="1"/>
  <c r="Q103" i="27"/>
  <c r="R103" i="27" s="1"/>
  <c r="Q60" i="27"/>
  <c r="R60" i="27" s="1"/>
  <c r="Q43" i="27"/>
  <c r="R43" i="27" s="1"/>
  <c r="Q85" i="27"/>
  <c r="R85" i="27" s="1"/>
  <c r="Q156" i="27"/>
  <c r="R156" i="27" s="1"/>
  <c r="Q89" i="27"/>
  <c r="R89" i="27" s="1"/>
  <c r="Q121" i="27"/>
  <c r="R121" i="27" s="1"/>
  <c r="Z93" i="27"/>
  <c r="Z101" i="27"/>
  <c r="Z109" i="27"/>
  <c r="Z91" i="27"/>
  <c r="Y85" i="27"/>
  <c r="E43" i="27"/>
  <c r="Y87" i="27"/>
  <c r="X89" i="27"/>
  <c r="Z88" i="27"/>
  <c r="X86" i="27"/>
  <c r="Y110" i="27"/>
  <c r="X95" i="27"/>
  <c r="X111" i="27"/>
  <c r="Z84" i="27"/>
  <c r="Y83" i="27"/>
  <c r="X94" i="27"/>
  <c r="Z82" i="27"/>
  <c r="X103" i="27"/>
  <c r="Y102" i="27"/>
  <c r="W104" i="27"/>
  <c r="V104" i="27" s="1"/>
  <c r="W96" i="27"/>
  <c r="Y94" i="27"/>
  <c r="Z90" i="27"/>
  <c r="Z83" i="27"/>
  <c r="X88" i="27"/>
  <c r="W89" i="27"/>
  <c r="Y82" i="27"/>
  <c r="W90" i="27"/>
  <c r="W86" i="27"/>
  <c r="W87" i="27"/>
  <c r="Y84" i="27"/>
  <c r="X85" i="27"/>
  <c r="W91" i="27"/>
  <c r="C49" i="27"/>
  <c r="Z114" i="27"/>
  <c r="Y115" i="27"/>
  <c r="X116" i="27"/>
  <c r="W117" i="27"/>
  <c r="Z122" i="27"/>
  <c r="V122" i="27" s="1"/>
  <c r="Y123" i="27"/>
  <c r="X124" i="27"/>
  <c r="W125" i="27"/>
  <c r="Z130" i="27"/>
  <c r="Y131" i="27"/>
  <c r="X132" i="27"/>
  <c r="W133" i="27"/>
  <c r="Z138" i="27"/>
  <c r="V138" i="27" s="1"/>
  <c r="Y139" i="27"/>
  <c r="X140" i="27"/>
  <c r="W141" i="27"/>
  <c r="Z146" i="27"/>
  <c r="Y147" i="27"/>
  <c r="X148" i="27"/>
  <c r="W149" i="27"/>
  <c r="Z154" i="27"/>
  <c r="V154" i="27" s="1"/>
  <c r="Y155" i="27"/>
  <c r="X156" i="27"/>
  <c r="W157" i="27"/>
  <c r="Z162" i="27"/>
  <c r="Y163" i="27"/>
  <c r="X164" i="27"/>
  <c r="W165" i="27"/>
  <c r="Z170" i="27"/>
  <c r="V170" i="27" s="1"/>
  <c r="Y171" i="27"/>
  <c r="X172" i="27"/>
  <c r="W173" i="27"/>
  <c r="Z178" i="27"/>
  <c r="Y179" i="27"/>
  <c r="X180" i="27"/>
  <c r="W181" i="27"/>
  <c r="Z186" i="27"/>
  <c r="V186" i="27" s="1"/>
  <c r="Y187" i="27"/>
  <c r="X188" i="27"/>
  <c r="W189" i="27"/>
  <c r="Z194" i="27"/>
  <c r="Y195" i="27"/>
  <c r="X196" i="27"/>
  <c r="W197" i="27"/>
  <c r="Z202" i="27"/>
  <c r="V202" i="27" s="1"/>
  <c r="Y203" i="27"/>
  <c r="X204" i="27"/>
  <c r="W205" i="27"/>
  <c r="Z210" i="27"/>
  <c r="Y211" i="27"/>
  <c r="X212" i="27"/>
  <c r="W213" i="27"/>
  <c r="Z218" i="27"/>
  <c r="V218" i="27" s="1"/>
  <c r="Y219" i="27"/>
  <c r="X220" i="27"/>
  <c r="W221" i="27"/>
  <c r="Y86" i="27"/>
  <c r="Z85" i="27"/>
  <c r="J47" i="27"/>
  <c r="H47" i="27"/>
  <c r="K47" i="27"/>
  <c r="I47" i="27"/>
  <c r="W88" i="27"/>
  <c r="H88" i="18"/>
  <c r="AC46" i="18"/>
  <c r="Z115" i="27"/>
  <c r="Y116" i="27"/>
  <c r="X117" i="27"/>
  <c r="W118" i="27"/>
  <c r="Z123" i="27"/>
  <c r="Y124" i="27"/>
  <c r="X125" i="27"/>
  <c r="W126" i="27"/>
  <c r="Z131" i="27"/>
  <c r="Y132" i="27"/>
  <c r="X133" i="27"/>
  <c r="W134" i="27"/>
  <c r="Z139" i="27"/>
  <c r="Y140" i="27"/>
  <c r="X141" i="27"/>
  <c r="W142" i="27"/>
  <c r="Z147" i="27"/>
  <c r="Y148" i="27"/>
  <c r="X149" i="27"/>
  <c r="W150" i="27"/>
  <c r="Z155" i="27"/>
  <c r="Y156" i="27"/>
  <c r="X157" i="27"/>
  <c r="W158" i="27"/>
  <c r="Z163" i="27"/>
  <c r="Y164" i="27"/>
  <c r="X165" i="27"/>
  <c r="W166" i="27"/>
  <c r="Z171" i="27"/>
  <c r="Y172" i="27"/>
  <c r="X173" i="27"/>
  <c r="W174" i="27"/>
  <c r="Z179" i="27"/>
  <c r="Y180" i="27"/>
  <c r="X181" i="27"/>
  <c r="W182" i="27"/>
  <c r="Z187" i="27"/>
  <c r="Y188" i="27"/>
  <c r="X189" i="27"/>
  <c r="W190" i="27"/>
  <c r="Z195" i="27"/>
  <c r="Y196" i="27"/>
  <c r="X197" i="27"/>
  <c r="W198" i="27"/>
  <c r="Z203" i="27"/>
  <c r="Y204" i="27"/>
  <c r="X205" i="27"/>
  <c r="W206" i="27"/>
  <c r="Z211" i="27"/>
  <c r="Y212" i="27"/>
  <c r="X213" i="27"/>
  <c r="W214" i="27"/>
  <c r="Z219" i="27"/>
  <c r="Y220" i="27"/>
  <c r="X221" i="27"/>
  <c r="B42" i="27"/>
  <c r="W127" i="27"/>
  <c r="V127" i="27" s="1"/>
  <c r="W151" i="27"/>
  <c r="V151" i="27" s="1"/>
  <c r="Z156" i="27"/>
  <c r="W175" i="27"/>
  <c r="W183" i="27"/>
  <c r="V183" i="27" s="1"/>
  <c r="W191" i="27"/>
  <c r="W199" i="27"/>
  <c r="W207" i="27"/>
  <c r="W215" i="27"/>
  <c r="X67" i="18"/>
  <c r="W99" i="27"/>
  <c r="W107" i="27"/>
  <c r="V107" i="27" s="1"/>
  <c r="W85" i="27"/>
  <c r="X106" i="27"/>
  <c r="AB56" i="18"/>
  <c r="AE46" i="18"/>
  <c r="AL41" i="18"/>
  <c r="AT41" i="18" s="1"/>
  <c r="Z86" i="27"/>
  <c r="X91" i="27"/>
  <c r="AE36" i="18"/>
  <c r="X98" i="27"/>
  <c r="V98" i="27" s="1"/>
  <c r="Y97" i="27"/>
  <c r="Z96" i="27"/>
  <c r="Y89" i="27"/>
  <c r="Y105" i="27"/>
  <c r="V105" i="27" s="1"/>
  <c r="AO24" i="19"/>
  <c r="AQ21" i="19"/>
  <c r="AB6" i="19"/>
  <c r="AE7" i="19"/>
  <c r="AM20" i="19"/>
  <c r="AO8" i="19"/>
  <c r="AP5" i="19"/>
  <c r="AO28" i="19"/>
  <c r="AB61" i="19"/>
  <c r="AB34" i="19"/>
  <c r="AP54" i="19"/>
  <c r="AN46" i="19"/>
  <c r="AB55" i="19"/>
  <c r="AP19" i="19"/>
  <c r="AE50" i="19"/>
  <c r="I60" i="27"/>
  <c r="K60" i="27"/>
  <c r="J60" i="27"/>
  <c r="H60" i="27"/>
  <c r="J57" i="27"/>
  <c r="K57" i="27"/>
  <c r="I57" i="27"/>
  <c r="L57" i="27" s="1"/>
  <c r="AE38" i="19"/>
  <c r="AL23" i="19"/>
  <c r="AD64" i="19"/>
  <c r="AB33" i="19"/>
  <c r="AL19" i="19"/>
  <c r="AE63" i="19"/>
  <c r="AC19" i="19"/>
  <c r="AE58" i="19"/>
  <c r="AO47" i="19"/>
  <c r="AO58" i="19"/>
  <c r="AB19" i="19"/>
  <c r="AN24" i="19"/>
  <c r="AL35" i="19"/>
  <c r="AB54" i="19"/>
  <c r="AB15" i="19"/>
  <c r="AM19" i="19"/>
  <c r="AN5" i="19"/>
  <c r="AO13" i="19"/>
  <c r="AS13" i="19" s="1"/>
  <c r="AB51" i="19"/>
  <c r="AD9" i="19"/>
  <c r="AB44" i="19"/>
  <c r="AC27" i="19"/>
  <c r="AC35" i="19"/>
  <c r="AN41" i="19"/>
  <c r="AN37" i="19"/>
  <c r="AL55" i="19"/>
  <c r="H57" i="27"/>
  <c r="AE59" i="19"/>
  <c r="AN28" i="19"/>
  <c r="AO14" i="19"/>
  <c r="AC63" i="19"/>
  <c r="AD52" i="19"/>
  <c r="AD49" i="19"/>
  <c r="AD17" i="19"/>
  <c r="AP62" i="19"/>
  <c r="AP48" i="19"/>
  <c r="AO37" i="19"/>
  <c r="AP35" i="19"/>
  <c r="AP50" i="19"/>
  <c r="AC55" i="19"/>
  <c r="AD30" i="19"/>
  <c r="AM29" i="19"/>
  <c r="AC31" i="19"/>
  <c r="AO31" i="19"/>
  <c r="AP28" i="19"/>
  <c r="AP10" i="19"/>
  <c r="AL18" i="19"/>
  <c r="AL34" i="19"/>
  <c r="AN27" i="19"/>
  <c r="AP36" i="19"/>
  <c r="AP47" i="19"/>
  <c r="AL36" i="19"/>
  <c r="AL59" i="19"/>
  <c r="AL54" i="19"/>
  <c r="AN43" i="19"/>
  <c r="AL61" i="19"/>
  <c r="AP55" i="19"/>
  <c r="AP43" i="19"/>
  <c r="AM46" i="19"/>
  <c r="AL57" i="19"/>
  <c r="AT57" i="19" s="1"/>
  <c r="AM54" i="19"/>
  <c r="AM65" i="19"/>
  <c r="AP57" i="19"/>
  <c r="AO60" i="19"/>
  <c r="AP64" i="19"/>
  <c r="AP56" i="19"/>
  <c r="AO30" i="19"/>
  <c r="AL25" i="19"/>
  <c r="AE25" i="19"/>
  <c r="AD8" i="19"/>
  <c r="AE26" i="19"/>
  <c r="AD54" i="19"/>
  <c r="AC14" i="19"/>
  <c r="AC15" i="19"/>
  <c r="AE36" i="19"/>
  <c r="AE52" i="19"/>
  <c r="AC34" i="19"/>
  <c r="AE62" i="19"/>
  <c r="AC58" i="19"/>
  <c r="AC43" i="19"/>
  <c r="AC57" i="19"/>
  <c r="AE51" i="19"/>
  <c r="AM28" i="19"/>
  <c r="AL24" i="19"/>
  <c r="AM26" i="19"/>
  <c r="AD10" i="19"/>
  <c r="AB13" i="19"/>
  <c r="AL9" i="19"/>
  <c r="AL32" i="19"/>
  <c r="AO26" i="19"/>
  <c r="AN20" i="19"/>
  <c r="AB37" i="19"/>
  <c r="AE31" i="19"/>
  <c r="AB39" i="19"/>
  <c r="AC12" i="19"/>
  <c r="AO23" i="19"/>
  <c r="AM11" i="19"/>
  <c r="AM13" i="19"/>
  <c r="AQ13" i="19" s="1"/>
  <c r="AL8" i="19"/>
  <c r="AB23" i="19"/>
  <c r="AD62" i="19"/>
  <c r="AD51" i="19"/>
  <c r="AE61" i="19"/>
  <c r="AL7" i="19"/>
  <c r="AP49" i="19"/>
  <c r="AM56" i="19"/>
  <c r="AN55" i="19"/>
  <c r="AO61" i="19"/>
  <c r="AD19" i="19"/>
  <c r="AD23" i="19"/>
  <c r="AL50" i="19"/>
  <c r="AO45" i="19"/>
  <c r="AB45" i="19"/>
  <c r="AB50" i="19"/>
  <c r="AO25" i="19"/>
  <c r="AE11" i="19"/>
  <c r="AM23" i="19"/>
  <c r="AP7" i="19"/>
  <c r="AD43" i="19"/>
  <c r="AB46" i="19"/>
  <c r="AM15" i="19"/>
  <c r="AQ15" i="19" s="1"/>
  <c r="AN15" i="19"/>
  <c r="AR15" i="19" s="1"/>
  <c r="AL37" i="19"/>
  <c r="AS37" i="19" s="1"/>
  <c r="AN59" i="19"/>
  <c r="AO50" i="19"/>
  <c r="AS50" i="19" s="1"/>
  <c r="AM52" i="19"/>
  <c r="AN47" i="19"/>
  <c r="AL51" i="19"/>
  <c r="AL63" i="19"/>
  <c r="AT63" i="19" s="1"/>
  <c r="AM58" i="19"/>
  <c r="AN54" i="19"/>
  <c r="AO63" i="19"/>
  <c r="AM48" i="19"/>
  <c r="AL58" i="19"/>
  <c r="AM57" i="19"/>
  <c r="AN48" i="19"/>
  <c r="AP58" i="19"/>
  <c r="AT58" i="19" s="1"/>
  <c r="AP41" i="19"/>
  <c r="AL43" i="19"/>
  <c r="AL30" i="19"/>
  <c r="AC25" i="19"/>
  <c r="AM25" i="19"/>
  <c r="AC9" i="19"/>
  <c r="AE55" i="19"/>
  <c r="AC49" i="19"/>
  <c r="AB57" i="19"/>
  <c r="AC18" i="19"/>
  <c r="AD39" i="19"/>
  <c r="AC17" i="19"/>
  <c r="AC60" i="19"/>
  <c r="AB24" i="19"/>
  <c r="AC6" i="19"/>
  <c r="AF6" i="19" s="1"/>
  <c r="AC11" i="19"/>
  <c r="AC53" i="19"/>
  <c r="AC32" i="19"/>
  <c r="AC33" i="19"/>
  <c r="AE15" i="19"/>
  <c r="AD6" i="19"/>
  <c r="AE23" i="19"/>
  <c r="AB38" i="19"/>
  <c r="AD29" i="19"/>
  <c r="AP29" i="19"/>
  <c r="AP18" i="19"/>
  <c r="AT18" i="19" s="1"/>
  <c r="AP20" i="19"/>
  <c r="AD65" i="19"/>
  <c r="AL10" i="19"/>
  <c r="AP16" i="19"/>
  <c r="AN11" i="19"/>
  <c r="AO10" i="19"/>
  <c r="AS10" i="19" s="1"/>
  <c r="AC39" i="19"/>
  <c r="AM33" i="19"/>
  <c r="AC20" i="19"/>
  <c r="AP23" i="19"/>
  <c r="AB12" i="19"/>
  <c r="AC13" i="19"/>
  <c r="AM8" i="19"/>
  <c r="AL40" i="19"/>
  <c r="AS40" i="19" s="1"/>
  <c r="AE45" i="19"/>
  <c r="AO18" i="19"/>
  <c r="AS18" i="19" s="1"/>
  <c r="AM34" i="19"/>
  <c r="AQ34" i="19" s="1"/>
  <c r="AP38" i="19"/>
  <c r="AO39" i="19"/>
  <c r="AP65" i="19"/>
  <c r="AP51" i="19"/>
  <c r="AE14" i="19"/>
  <c r="AM35" i="19"/>
  <c r="AM40" i="19"/>
  <c r="AC45" i="19"/>
  <c r="AB40" i="19"/>
  <c r="AP24" i="19"/>
  <c r="AB53" i="19"/>
  <c r="AO6" i="19"/>
  <c r="AC52" i="19"/>
  <c r="AN34" i="19"/>
  <c r="AB47" i="19"/>
  <c r="AM18" i="19"/>
  <c r="AN18" i="19"/>
  <c r="AR18" i="19" s="1"/>
  <c r="AD27" i="19"/>
  <c r="AN64" i="19"/>
  <c r="AN63" i="19"/>
  <c r="AM59" i="19"/>
  <c r="AN56" i="19"/>
  <c r="AL60" i="19"/>
  <c r="AN39" i="19"/>
  <c r="AM36" i="19"/>
  <c r="AO65" i="19"/>
  <c r="AL48" i="19"/>
  <c r="AN57" i="19"/>
  <c r="AL64" i="19"/>
  <c r="AR64" i="19" s="1"/>
  <c r="AN42" i="19"/>
  <c r="AO44" i="19"/>
  <c r="AL56" i="19"/>
  <c r="AP63" i="19"/>
  <c r="AL39" i="19"/>
  <c r="AL53" i="19"/>
  <c r="AB35" i="19"/>
  <c r="AB22" i="19"/>
  <c r="AB25" i="19"/>
  <c r="AE46" i="19"/>
  <c r="AE33" i="19"/>
  <c r="AC26" i="19"/>
  <c r="AB62" i="19"/>
  <c r="AC41" i="19"/>
  <c r="AD36" i="19"/>
  <c r="AC29" i="19"/>
  <c r="AN7" i="19"/>
  <c r="AE12" i="19"/>
  <c r="AC23" i="19"/>
  <c r="AB18" i="19"/>
  <c r="AE16" i="19"/>
  <c r="AC37" i="19"/>
  <c r="AC28" i="19"/>
  <c r="AP31" i="19"/>
  <c r="AO29" i="19"/>
  <c r="AO12" i="19"/>
  <c r="AE43" i="19"/>
  <c r="AD26" i="19"/>
  <c r="AN14" i="19"/>
  <c r="AN17" i="19"/>
  <c r="AD59" i="19"/>
  <c r="AN31" i="19"/>
  <c r="AC5" i="19"/>
  <c r="AN6" i="19"/>
  <c r="AM6" i="19"/>
  <c r="AE48" i="19"/>
  <c r="AD38" i="19"/>
  <c r="AC38" i="19"/>
  <c r="AC47" i="19"/>
  <c r="AD20" i="19"/>
  <c r="AL17" i="19"/>
  <c r="AL29" i="19"/>
  <c r="AL14" i="19"/>
  <c r="AM7" i="19"/>
  <c r="AN45" i="19"/>
  <c r="AE40" i="19"/>
  <c r="AN65" i="19"/>
  <c r="AN60" i="19"/>
  <c r="AM44" i="19"/>
  <c r="AL62" i="19"/>
  <c r="AC61" i="19"/>
  <c r="AN50" i="19"/>
  <c r="AR50" i="19" s="1"/>
  <c r="AO40" i="19"/>
  <c r="AL45" i="19"/>
  <c r="AD45" i="19"/>
  <c r="AC40" i="19"/>
  <c r="AE10" i="19"/>
  <c r="AM32" i="19"/>
  <c r="AM10" i="19"/>
  <c r="AM31" i="19"/>
  <c r="AP6" i="19"/>
  <c r="AB58" i="19"/>
  <c r="AM9" i="19"/>
  <c r="AP52" i="19"/>
  <c r="AM51" i="19"/>
  <c r="AP61" i="19"/>
  <c r="AT61" i="19" s="1"/>
  <c r="AN51" i="19"/>
  <c r="AO56" i="19"/>
  <c r="AM63" i="19"/>
  <c r="AO52" i="19"/>
  <c r="AN53" i="19"/>
  <c r="AM61" i="19"/>
  <c r="AP46" i="19"/>
  <c r="AO48" i="19"/>
  <c r="AS48" i="19" s="1"/>
  <c r="AM43" i="19"/>
  <c r="AQ43" i="19" s="1"/>
  <c r="AM39" i="19"/>
  <c r="AL46" i="19"/>
  <c r="AO38" i="19"/>
  <c r="AM55" i="19"/>
  <c r="AC30" i="19"/>
  <c r="AN22" i="19"/>
  <c r="AO22" i="19"/>
  <c r="AE20" i="19"/>
  <c r="AD5" i="19"/>
  <c r="AE29" i="19"/>
  <c r="AB16" i="19"/>
  <c r="AD24" i="19"/>
  <c r="AD53" i="19"/>
  <c r="AD44" i="19"/>
  <c r="AC54" i="19"/>
  <c r="AD28" i="19"/>
  <c r="AC56" i="19"/>
  <c r="AD46" i="19"/>
  <c r="AD16" i="19"/>
  <c r="AB28" i="19"/>
  <c r="AE53" i="19"/>
  <c r="AM16" i="19"/>
  <c r="AO20" i="19"/>
  <c r="AN23" i="19"/>
  <c r="AC46" i="19"/>
  <c r="AD57" i="19"/>
  <c r="AD15" i="19"/>
  <c r="AE60" i="19"/>
  <c r="AD13" i="19"/>
  <c r="AB11" i="19"/>
  <c r="AE44" i="19"/>
  <c r="AP8" i="19"/>
  <c r="AP14" i="19"/>
  <c r="AL33" i="19"/>
  <c r="AO9" i="19"/>
  <c r="AE47" i="19"/>
  <c r="AL11" i="19"/>
  <c r="AQ11" i="19" s="1"/>
  <c r="AO34" i="19"/>
  <c r="AC59" i="19"/>
  <c r="AO17" i="19"/>
  <c r="AM12" i="19"/>
  <c r="B56" i="27"/>
  <c r="AO35" i="19"/>
  <c r="AP40" i="19"/>
  <c r="AE30" i="19"/>
  <c r="AD50" i="19"/>
  <c r="AE35" i="19"/>
  <c r="AP9" i="19"/>
  <c r="AE42" i="19"/>
  <c r="AO27" i="19"/>
  <c r="AL20" i="19"/>
  <c r="AB60" i="19"/>
  <c r="AP33" i="19"/>
  <c r="AD34" i="19"/>
  <c r="AO36" i="19"/>
  <c r="AP39" i="19"/>
  <c r="AT39" i="19" s="1"/>
  <c r="AL47" i="19"/>
  <c r="AM64" i="19"/>
  <c r="AP44" i="19"/>
  <c r="AM50" i="19"/>
  <c r="AQ50" i="19" s="1"/>
  <c r="AO57" i="19"/>
  <c r="AS57" i="19" s="1"/>
  <c r="AP60" i="19"/>
  <c r="AP37" i="19"/>
  <c r="AN36" i="19"/>
  <c r="AM49" i="19"/>
  <c r="AL49" i="19"/>
  <c r="AO51" i="19"/>
  <c r="AM37" i="19"/>
  <c r="AL44" i="19"/>
  <c r="AO55" i="19"/>
  <c r="AS55" i="19" s="1"/>
  <c r="AP30" i="19"/>
  <c r="AD22" i="19"/>
  <c r="AC22" i="19"/>
  <c r="AC36" i="19"/>
  <c r="AC8" i="19"/>
  <c r="AE34" i="19"/>
  <c r="AB48" i="19"/>
  <c r="AE9" i="19"/>
  <c r="AC64" i="19"/>
  <c r="AE49" i="19"/>
  <c r="AE41" i="19"/>
  <c r="AB42" i="19"/>
  <c r="AC51" i="19"/>
  <c r="AD11" i="19"/>
  <c r="AC42" i="19"/>
  <c r="AE17" i="19"/>
  <c r="AE13" i="19"/>
  <c r="AB27" i="19"/>
  <c r="AE24" i="19"/>
  <c r="AE32" i="19"/>
  <c r="AD14" i="19"/>
  <c r="AL5" i="19"/>
  <c r="AN10" i="19"/>
  <c r="AR10" i="19" s="1"/>
  <c r="AD37" i="19"/>
  <c r="AD63" i="19"/>
  <c r="AD61" i="19"/>
  <c r="AB20" i="19"/>
  <c r="AL16" i="19"/>
  <c r="AD56" i="19"/>
  <c r="AN19" i="19"/>
  <c r="AR19" i="19" s="1"/>
  <c r="AP26" i="19"/>
  <c r="AN12" i="19"/>
  <c r="AM14" i="19"/>
  <c r="AB52" i="19"/>
  <c r="AB7" i="19"/>
  <c r="AE56" i="19"/>
  <c r="AD33" i="19"/>
  <c r="AM45" i="19"/>
  <c r="AQ45" i="19" s="1"/>
  <c r="AD35" i="19"/>
  <c r="AB49" i="19"/>
  <c r="AO7" i="19"/>
  <c r="AS7" i="19" s="1"/>
  <c r="AO43" i="19"/>
  <c r="AM38" i="19"/>
  <c r="AM42" i="19"/>
  <c r="AM30" i="19"/>
  <c r="AP22" i="19"/>
  <c r="AE5" i="19"/>
  <c r="AN35" i="19"/>
  <c r="AP45" i="19"/>
  <c r="AT45" i="19" s="1"/>
  <c r="AD55" i="19"/>
  <c r="AN30" i="19"/>
  <c r="AL28" i="19"/>
  <c r="AL22" i="19"/>
  <c r="AQ22" i="19" s="1"/>
  <c r="AE64" i="19"/>
  <c r="AN26" i="19"/>
  <c r="AE18" i="19"/>
  <c r="AE28" i="19"/>
  <c r="AO16" i="19"/>
  <c r="AS16" i="19" s="1"/>
  <c r="AO15" i="19"/>
  <c r="AS15" i="19" s="1"/>
  <c r="AN52" i="19"/>
  <c r="AN38" i="19"/>
  <c r="AN58" i="19"/>
  <c r="AR58" i="19" s="1"/>
  <c r="AL42" i="19"/>
  <c r="AS42" i="19" s="1"/>
  <c r="AO46" i="19"/>
  <c r="AS46" i="19" s="1"/>
  <c r="AN44" i="19"/>
  <c r="AO62" i="19"/>
  <c r="AM41" i="19"/>
  <c r="AO59" i="19"/>
  <c r="AO54" i="19"/>
  <c r="AO41" i="19"/>
  <c r="AN49" i="19"/>
  <c r="AR49" i="19" s="1"/>
  <c r="AM60" i="19"/>
  <c r="AP53" i="19"/>
  <c r="AN61" i="19"/>
  <c r="AM62" i="19"/>
  <c r="AO64" i="19"/>
  <c r="AB30" i="19"/>
  <c r="AN25" i="19"/>
  <c r="AD25" i="19"/>
  <c r="AB32" i="19"/>
  <c r="AB59" i="19"/>
  <c r="AD31" i="19"/>
  <c r="AD42" i="19"/>
  <c r="AC62" i="19"/>
  <c r="AB14" i="19"/>
  <c r="AB10" i="19"/>
  <c r="AC44" i="19"/>
  <c r="AC10" i="19"/>
  <c r="AB63" i="19"/>
  <c r="AC48" i="19"/>
  <c r="AE39" i="19"/>
  <c r="AB5" i="19"/>
  <c r="AE65" i="19"/>
  <c r="AN29" i="19"/>
  <c r="AP11" i="19"/>
  <c r="AT11" i="19" s="1"/>
  <c r="AO32" i="19"/>
  <c r="AP15" i="19"/>
  <c r="AT15" i="19" s="1"/>
  <c r="AD48" i="19"/>
  <c r="AE27" i="19"/>
  <c r="AP13" i="19"/>
  <c r="AN32" i="19"/>
  <c r="AN9" i="19"/>
  <c r="AR9" i="19" s="1"/>
  <c r="AL27" i="19"/>
  <c r="AR27" i="19" s="1"/>
  <c r="AP12" i="19"/>
  <c r="AD18" i="19"/>
  <c r="AN16" i="19"/>
  <c r="AR16" i="19" s="1"/>
  <c r="AO11" i="19"/>
  <c r="AB9" i="19"/>
  <c r="AN8" i="19"/>
  <c r="AM5" i="19"/>
  <c r="AD7" i="19"/>
  <c r="AM24" i="19"/>
  <c r="AO19" i="19"/>
  <c r="AS19" i="19" s="1"/>
  <c r="AO5" i="19"/>
  <c r="AB64" i="19"/>
  <c r="AN62" i="19"/>
  <c r="AL38" i="19"/>
  <c r="AE22" i="19"/>
  <c r="AD47" i="19"/>
  <c r="AC24" i="19"/>
  <c r="AL12" i="19"/>
  <c r="AS12" i="19" s="1"/>
  <c r="AB56" i="19"/>
  <c r="AE6" i="19"/>
  <c r="AH6" i="19" s="1"/>
  <c r="AH7" i="19" s="1"/>
  <c r="AP25" i="19"/>
  <c r="AM47" i="19"/>
  <c r="AN33" i="19"/>
  <c r="AR33" i="19" s="1"/>
  <c r="AD12" i="19"/>
  <c r="AP27" i="19"/>
  <c r="AD60" i="19"/>
  <c r="AB43" i="19"/>
  <c r="AM17" i="19"/>
  <c r="AB8" i="19"/>
  <c r="AC7" i="19"/>
  <c r="AC65" i="19"/>
  <c r="AL52" i="19"/>
  <c r="AR52" i="19" s="1"/>
  <c r="AO53" i="19"/>
  <c r="AS53" i="19" s="1"/>
  <c r="AE8" i="19"/>
  <c r="AC50" i="19"/>
  <c r="J59" i="27"/>
  <c r="K59" i="27"/>
  <c r="H59" i="27"/>
  <c r="I59" i="27"/>
  <c r="L59" i="27" s="1"/>
  <c r="AL6" i="19"/>
  <c r="AY6" i="19" s="1"/>
  <c r="AE37" i="19"/>
  <c r="AM27" i="19"/>
  <c r="AD41" i="19"/>
  <c r="AM53" i="19"/>
  <c r="AQ53" i="19" s="1"/>
  <c r="AD58" i="19"/>
  <c r="AN40" i="19"/>
  <c r="AN13" i="19"/>
  <c r="AR13" i="19" s="1"/>
  <c r="AE19" i="19"/>
  <c r="AB17" i="19"/>
  <c r="AB29" i="19"/>
  <c r="AP34" i="19"/>
  <c r="AE57" i="19"/>
  <c r="AP42" i="19"/>
  <c r="AP59" i="19"/>
  <c r="AD32" i="19"/>
  <c r="AD40" i="19"/>
  <c r="AL31" i="19"/>
  <c r="AL41" i="19"/>
  <c r="AS41" i="19" s="1"/>
  <c r="AL65" i="19"/>
  <c r="AS65" i="19" s="1"/>
  <c r="C56" i="27"/>
  <c r="C55" i="27"/>
  <c r="L55" i="27" s="1"/>
  <c r="H89" i="19"/>
  <c r="AB31" i="19"/>
  <c r="Z116" i="27"/>
  <c r="Y117" i="27"/>
  <c r="X118" i="27"/>
  <c r="W119" i="27"/>
  <c r="V119" i="27" s="1"/>
  <c r="Z124" i="27"/>
  <c r="V124" i="27" s="1"/>
  <c r="Y125" i="27"/>
  <c r="X126" i="27"/>
  <c r="Z132" i="27"/>
  <c r="Y133" i="27"/>
  <c r="X134" i="27"/>
  <c r="W135" i="27"/>
  <c r="V135" i="27" s="1"/>
  <c r="Z140" i="27"/>
  <c r="V140" i="27" s="1"/>
  <c r="Y141" i="27"/>
  <c r="X142" i="27"/>
  <c r="W143" i="27"/>
  <c r="V143" i="27" s="1"/>
  <c r="Z148" i="27"/>
  <c r="Y149" i="27"/>
  <c r="X150" i="27"/>
  <c r="Y157" i="27"/>
  <c r="X158" i="27"/>
  <c r="Z164" i="27"/>
  <c r="Y165" i="27"/>
  <c r="X166" i="27"/>
  <c r="W167" i="27"/>
  <c r="V167" i="27" s="1"/>
  <c r="Z172" i="27"/>
  <c r="V172" i="27" s="1"/>
  <c r="Y173" i="27"/>
  <c r="X174" i="27"/>
  <c r="Z180" i="27"/>
  <c r="Y181" i="27"/>
  <c r="X182" i="27"/>
  <c r="Z188" i="27"/>
  <c r="V188" i="27" s="1"/>
  <c r="Y189" i="27"/>
  <c r="V189" i="27" s="1"/>
  <c r="X190" i="27"/>
  <c r="Z196" i="27"/>
  <c r="Y197" i="27"/>
  <c r="X198" i="27"/>
  <c r="Z204" i="27"/>
  <c r="V204" i="27" s="1"/>
  <c r="Y205" i="27"/>
  <c r="X206" i="27"/>
  <c r="Z212" i="27"/>
  <c r="Y213" i="27"/>
  <c r="X214" i="27"/>
  <c r="Z220" i="27"/>
  <c r="Y221" i="27"/>
  <c r="AT54" i="19"/>
  <c r="AT59" i="19"/>
  <c r="AQ42" i="19"/>
  <c r="AB26" i="19"/>
  <c r="AT37" i="19"/>
  <c r="AL26" i="19"/>
  <c r="AQ57" i="19"/>
  <c r="AR54" i="19"/>
  <c r="AQ20" i="19"/>
  <c r="AS49" i="19"/>
  <c r="AR38" i="19"/>
  <c r="AS20" i="19"/>
  <c r="AR21" i="19"/>
  <c r="AS33" i="19"/>
  <c r="AQ38" i="19"/>
  <c r="AQ18" i="19"/>
  <c r="AT50" i="19"/>
  <c r="AQ19" i="19"/>
  <c r="AR46" i="19"/>
  <c r="AB41" i="19"/>
  <c r="H85" i="19"/>
  <c r="C58" i="27"/>
  <c r="L58" i="27" s="1"/>
  <c r="AT17" i="19"/>
  <c r="AT53" i="19"/>
  <c r="AQ46" i="19"/>
  <c r="AT19" i="19"/>
  <c r="AT13" i="19"/>
  <c r="AT16" i="19"/>
  <c r="AR45" i="19"/>
  <c r="T79" i="18"/>
  <c r="X79" i="18"/>
  <c r="Y175" i="27"/>
  <c r="X176" i="27"/>
  <c r="V176" i="27" s="1"/>
  <c r="W177" i="27"/>
  <c r="V177" i="27" s="1"/>
  <c r="Z182" i="27"/>
  <c r="X184" i="27"/>
  <c r="V184" i="27" s="1"/>
  <c r="W185" i="27"/>
  <c r="V185" i="27" s="1"/>
  <c r="Z190" i="27"/>
  <c r="Y191" i="27"/>
  <c r="W193" i="27"/>
  <c r="V193" i="27" s="1"/>
  <c r="Z198" i="27"/>
  <c r="Y199" i="27"/>
  <c r="X200" i="27"/>
  <c r="V200" i="27" s="1"/>
  <c r="Z206" i="27"/>
  <c r="Y207" i="27"/>
  <c r="X208" i="27"/>
  <c r="V208" i="27" s="1"/>
  <c r="W209" i="27"/>
  <c r="V209" i="27" s="1"/>
  <c r="Z214" i="27"/>
  <c r="Y215" i="27"/>
  <c r="X216" i="27"/>
  <c r="V216" i="27" s="1"/>
  <c r="W217" i="27"/>
  <c r="V217" i="27" s="1"/>
  <c r="X151" i="18"/>
  <c r="L45" i="27"/>
  <c r="L43" i="27"/>
  <c r="L39" i="27"/>
  <c r="M38" i="19"/>
  <c r="M41" i="19"/>
  <c r="M60" i="19"/>
  <c r="M39" i="19"/>
  <c r="M50" i="19"/>
  <c r="M53" i="19"/>
  <c r="M56" i="19"/>
  <c r="M27" i="19"/>
  <c r="O105" i="19"/>
  <c r="O175" i="19"/>
  <c r="K113" i="19"/>
  <c r="O113" i="19" s="1"/>
  <c r="M46" i="19"/>
  <c r="M49" i="19"/>
  <c r="M47" i="19"/>
  <c r="M58" i="19"/>
  <c r="M61" i="19"/>
  <c r="M64" i="19"/>
  <c r="L65" i="19"/>
  <c r="L51" i="19"/>
  <c r="L48" i="19"/>
  <c r="L45" i="19"/>
  <c r="L38" i="19"/>
  <c r="L24" i="19"/>
  <c r="L25" i="19"/>
  <c r="O149" i="19"/>
  <c r="O112" i="19"/>
  <c r="L59" i="19"/>
  <c r="M54" i="19"/>
  <c r="M57" i="19"/>
  <c r="M12" i="19"/>
  <c r="M55" i="19"/>
  <c r="M8" i="19"/>
  <c r="L6" i="19"/>
  <c r="L62" i="19"/>
  <c r="M59" i="19"/>
  <c r="L49" i="19"/>
  <c r="L42" i="19"/>
  <c r="L36" i="19"/>
  <c r="L37" i="19"/>
  <c r="O131" i="19"/>
  <c r="L9" i="19"/>
  <c r="O137" i="19"/>
  <c r="K122" i="19"/>
  <c r="O122" i="19" s="1"/>
  <c r="M62" i="19"/>
  <c r="M65" i="19"/>
  <c r="M20" i="19"/>
  <c r="M63" i="19"/>
  <c r="M10" i="19"/>
  <c r="M13" i="19"/>
  <c r="M16" i="19"/>
  <c r="L16" i="19"/>
  <c r="L13" i="19"/>
  <c r="L63" i="19"/>
  <c r="L60" i="19"/>
  <c r="L53" i="19"/>
  <c r="L54" i="19"/>
  <c r="O143" i="19"/>
  <c r="L22" i="19"/>
  <c r="O129" i="19"/>
  <c r="M6" i="19"/>
  <c r="M9" i="19"/>
  <c r="M28" i="19"/>
  <c r="M7" i="19"/>
  <c r="M18" i="19"/>
  <c r="M21" i="19"/>
  <c r="M24" i="19"/>
  <c r="L31" i="19"/>
  <c r="L17" i="19"/>
  <c r="L14" i="19"/>
  <c r="M11" i="19"/>
  <c r="L64" i="19"/>
  <c r="L57" i="19"/>
  <c r="L11" i="19"/>
  <c r="O145" i="19"/>
  <c r="O185" i="19"/>
  <c r="L21" i="19"/>
  <c r="M51" i="19"/>
  <c r="M14" i="19"/>
  <c r="M17" i="19"/>
  <c r="M36" i="19"/>
  <c r="M15" i="19"/>
  <c r="M26" i="19"/>
  <c r="M29" i="19"/>
  <c r="M32" i="19"/>
  <c r="L35" i="19"/>
  <c r="L28" i="19"/>
  <c r="L18" i="19"/>
  <c r="L15" i="19"/>
  <c r="L8" i="19"/>
  <c r="L40" i="19"/>
  <c r="L20" i="19"/>
  <c r="O99" i="19"/>
  <c r="O147" i="19"/>
  <c r="O159" i="19"/>
  <c r="M35" i="19"/>
  <c r="O134" i="19"/>
  <c r="O192" i="19"/>
  <c r="O77" i="19"/>
  <c r="M22" i="19"/>
  <c r="M25" i="19"/>
  <c r="M44" i="19"/>
  <c r="M23" i="19"/>
  <c r="M5" i="19"/>
  <c r="O5" i="19" s="1"/>
  <c r="M34" i="19"/>
  <c r="M37" i="19"/>
  <c r="M40" i="19"/>
  <c r="L46" i="19"/>
  <c r="L32" i="19"/>
  <c r="L29" i="19"/>
  <c r="L19" i="19"/>
  <c r="L26" i="19"/>
  <c r="L52" i="19"/>
  <c r="L41" i="19"/>
  <c r="L56" i="19"/>
  <c r="O204" i="19"/>
  <c r="O161" i="19"/>
  <c r="O177" i="19"/>
  <c r="O201" i="19"/>
  <c r="O136" i="19"/>
  <c r="O74" i="19"/>
  <c r="O69" i="19"/>
  <c r="O104" i="19"/>
  <c r="O103" i="19"/>
  <c r="O119" i="19"/>
  <c r="O163" i="19"/>
  <c r="O179" i="19"/>
  <c r="O191" i="19"/>
  <c r="O73" i="19"/>
  <c r="O70" i="19"/>
  <c r="O107" i="19"/>
  <c r="O139" i="19"/>
  <c r="O195" i="19"/>
  <c r="O109" i="19"/>
  <c r="O125" i="19"/>
  <c r="O157" i="19"/>
  <c r="O173" i="19"/>
  <c r="O205" i="19"/>
  <c r="O130" i="19"/>
  <c r="O132" i="19"/>
  <c r="O127" i="19"/>
  <c r="O171" i="19"/>
  <c r="O183" i="19"/>
  <c r="O82" i="19"/>
  <c r="O141" i="19"/>
  <c r="O197" i="19"/>
  <c r="O194" i="19"/>
  <c r="O97" i="19"/>
  <c r="O114" i="19"/>
  <c r="O102" i="19"/>
  <c r="U65" i="19"/>
  <c r="U62" i="19"/>
  <c r="L39" i="19"/>
  <c r="O85" i="19"/>
  <c r="O123" i="19"/>
  <c r="U34" i="19"/>
  <c r="O189" i="19"/>
  <c r="O199" i="19"/>
  <c r="O150" i="19"/>
  <c r="O176" i="19"/>
  <c r="O188" i="19"/>
  <c r="O116" i="19"/>
  <c r="U30" i="19"/>
  <c r="O6" i="19"/>
  <c r="O162" i="19"/>
  <c r="O121" i="19"/>
  <c r="O169" i="19"/>
  <c r="O178" i="19"/>
  <c r="O110" i="19"/>
  <c r="O94" i="19"/>
  <c r="O181" i="19"/>
  <c r="O184" i="19"/>
  <c r="O126" i="19"/>
  <c r="O203" i="19"/>
  <c r="O160" i="19"/>
  <c r="O172" i="19"/>
  <c r="O186" i="19"/>
  <c r="O100" i="19"/>
  <c r="O196" i="19"/>
  <c r="O71" i="19"/>
  <c r="O138" i="19"/>
  <c r="O193" i="19"/>
  <c r="O148" i="19"/>
  <c r="O174" i="19"/>
  <c r="O200" i="19"/>
  <c r="O164" i="19"/>
  <c r="O83" i="19"/>
  <c r="O101" i="19"/>
  <c r="O167" i="19"/>
  <c r="O140" i="19"/>
  <c r="O154" i="19"/>
  <c r="O166" i="19"/>
  <c r="O168" i="19"/>
  <c r="O180" i="19"/>
  <c r="O133" i="19"/>
  <c r="O152" i="19"/>
  <c r="O190" i="19"/>
  <c r="O88" i="19"/>
  <c r="O78" i="19"/>
  <c r="O118" i="19"/>
  <c r="O151" i="19"/>
  <c r="O120" i="19"/>
  <c r="O144" i="19"/>
  <c r="O156" i="19"/>
  <c r="O170" i="19"/>
  <c r="O182" i="19"/>
  <c r="S151" i="27"/>
  <c r="S149" i="27"/>
  <c r="S106" i="27"/>
  <c r="S215" i="27"/>
  <c r="S154" i="27"/>
  <c r="S188" i="27"/>
  <c r="S114" i="27"/>
  <c r="S210" i="27"/>
  <c r="S178" i="27"/>
  <c r="S147" i="27"/>
  <c r="S94" i="27"/>
  <c r="S30" i="27"/>
  <c r="S193" i="27"/>
  <c r="S161" i="27"/>
  <c r="S57" i="27"/>
  <c r="S68" i="27"/>
  <c r="S79" i="27"/>
  <c r="S93" i="27"/>
  <c r="S104" i="27"/>
  <c r="S115" i="27"/>
  <c r="S129" i="27"/>
  <c r="S26" i="27"/>
  <c r="S80" i="27"/>
  <c r="S123" i="27"/>
  <c r="S107" i="27"/>
  <c r="S24" i="27"/>
  <c r="S90" i="27"/>
  <c r="S208" i="27"/>
  <c r="S42" i="27"/>
  <c r="S199" i="27"/>
  <c r="S138" i="27"/>
  <c r="S172" i="27"/>
  <c r="S82" i="27"/>
  <c r="S202" i="27"/>
  <c r="S171" i="27"/>
  <c r="S139" i="27"/>
  <c r="S78" i="27"/>
  <c r="S217" i="27"/>
  <c r="S185" i="27"/>
  <c r="S153" i="27"/>
  <c r="S89" i="27"/>
  <c r="S100" i="27"/>
  <c r="S111" i="27"/>
  <c r="S125" i="27"/>
  <c r="S25" i="27"/>
  <c r="S33" i="27"/>
  <c r="S44" i="27"/>
  <c r="S55" i="27"/>
  <c r="S91" i="27"/>
  <c r="S117" i="27"/>
  <c r="S58" i="27"/>
  <c r="S192" i="27"/>
  <c r="S219" i="27"/>
  <c r="S191" i="27"/>
  <c r="S134" i="27"/>
  <c r="S159" i="27"/>
  <c r="S66" i="27"/>
  <c r="S198" i="27"/>
  <c r="S168" i="27"/>
  <c r="S136" i="27"/>
  <c r="S70" i="27"/>
  <c r="S213" i="27"/>
  <c r="S181" i="27"/>
  <c r="S150" i="27"/>
  <c r="S105" i="27"/>
  <c r="S116" i="27"/>
  <c r="S127" i="27"/>
  <c r="S23" i="27"/>
  <c r="S35" i="27"/>
  <c r="S49" i="27"/>
  <c r="S60" i="27"/>
  <c r="S71" i="27"/>
  <c r="S37" i="27"/>
  <c r="S64" i="27"/>
  <c r="S216" i="27"/>
  <c r="S211" i="27"/>
  <c r="S176" i="27"/>
  <c r="S203" i="27"/>
  <c r="S183" i="27"/>
  <c r="S220" i="27"/>
  <c r="S156" i="27"/>
  <c r="S50" i="27"/>
  <c r="S194" i="27"/>
  <c r="S163" i="27"/>
  <c r="S126" i="27"/>
  <c r="S62" i="27"/>
  <c r="S209" i="27"/>
  <c r="S177" i="27"/>
  <c r="S145" i="27"/>
  <c r="S121" i="27"/>
  <c r="S132" i="27"/>
  <c r="S29" i="27"/>
  <c r="S40" i="27"/>
  <c r="S51" i="27"/>
  <c r="S65" i="27"/>
  <c r="S76" i="27"/>
  <c r="S87" i="27"/>
  <c r="S101" i="27"/>
  <c r="S128" i="27"/>
  <c r="S200" i="27"/>
  <c r="S195" i="27"/>
  <c r="S167" i="27"/>
  <c r="S187" i="27"/>
  <c r="S175" i="27"/>
  <c r="S212" i="27"/>
  <c r="S143" i="27"/>
  <c r="S34" i="27"/>
  <c r="S190" i="27"/>
  <c r="S160" i="27"/>
  <c r="S118" i="27"/>
  <c r="S54" i="27"/>
  <c r="S205" i="27"/>
  <c r="S173" i="27"/>
  <c r="S142" i="27"/>
  <c r="S21" i="27"/>
  <c r="S31" i="27"/>
  <c r="S45" i="27"/>
  <c r="S56" i="27"/>
  <c r="S67" i="27"/>
  <c r="S81" i="27"/>
  <c r="S92" i="27"/>
  <c r="S103" i="27"/>
  <c r="S48" i="27"/>
  <c r="S75" i="27"/>
  <c r="S184" i="27"/>
  <c r="S179" i="27"/>
  <c r="S148" i="27"/>
  <c r="S165" i="27"/>
  <c r="S170" i="27"/>
  <c r="S204" i="27"/>
  <c r="S140" i="27"/>
  <c r="S218" i="27"/>
  <c r="S186" i="27"/>
  <c r="S155" i="27"/>
  <c r="S110" i="27"/>
  <c r="S46" i="27"/>
  <c r="S201" i="27"/>
  <c r="S169" i="27"/>
  <c r="S137" i="27"/>
  <c r="S36" i="27"/>
  <c r="S47" i="27"/>
  <c r="S61" i="27"/>
  <c r="S72" i="27"/>
  <c r="S83" i="27"/>
  <c r="S97" i="27"/>
  <c r="S108" i="27"/>
  <c r="S119" i="27"/>
  <c r="S69" i="27"/>
  <c r="S112" i="27"/>
  <c r="S96" i="27"/>
  <c r="S164" i="27"/>
  <c r="S162" i="27"/>
  <c r="S135" i="27"/>
  <c r="S146" i="27"/>
  <c r="S157" i="27"/>
  <c r="S196" i="27"/>
  <c r="S130" i="27"/>
  <c r="S214" i="27"/>
  <c r="S182" i="27"/>
  <c r="S152" i="27"/>
  <c r="S102" i="27"/>
  <c r="S38" i="27"/>
  <c r="S197" i="27"/>
  <c r="S166" i="27"/>
  <c r="S41" i="27"/>
  <c r="S52" i="27"/>
  <c r="S63" i="27"/>
  <c r="S77" i="27"/>
  <c r="S88" i="27"/>
  <c r="S99" i="27"/>
  <c r="S113" i="27"/>
  <c r="S124" i="27"/>
  <c r="S133" i="27"/>
  <c r="S59" i="27"/>
  <c r="O95" i="19"/>
  <c r="O79" i="19"/>
  <c r="O76" i="19"/>
  <c r="J8" i="19"/>
  <c r="K7" i="19"/>
  <c r="O7" i="19" s="1"/>
  <c r="O72" i="19"/>
  <c r="O93" i="19"/>
  <c r="O90" i="19"/>
  <c r="O84" i="19"/>
  <c r="AS52" i="19"/>
  <c r="AQ65" i="19"/>
  <c r="O89" i="19"/>
  <c r="O87" i="19"/>
  <c r="O86" i="19"/>
  <c r="O68" i="19"/>
  <c r="AB65" i="19"/>
  <c r="H94" i="19"/>
  <c r="C67" i="27"/>
  <c r="L67" i="27" s="1"/>
  <c r="AT10" i="19"/>
  <c r="K66" i="19"/>
  <c r="O66" i="19" s="1"/>
  <c r="O67" i="19"/>
  <c r="O158" i="19"/>
  <c r="O142" i="19"/>
  <c r="O202" i="19"/>
  <c r="K198" i="19"/>
  <c r="O198" i="19" s="1"/>
  <c r="H65" i="27"/>
  <c r="L65" i="27" s="1"/>
  <c r="X199" i="19"/>
  <c r="X175" i="19"/>
  <c r="X167" i="19"/>
  <c r="X159" i="19"/>
  <c r="X151" i="19"/>
  <c r="X143" i="19"/>
  <c r="X135" i="19"/>
  <c r="L66" i="27"/>
  <c r="L64" i="27"/>
  <c r="S75" i="19"/>
  <c r="T75" i="19" s="1"/>
  <c r="X75" i="19" s="1"/>
  <c r="S92" i="19"/>
  <c r="S85" i="19"/>
  <c r="T85" i="19" s="1"/>
  <c r="X85" i="19" s="1"/>
  <c r="S74" i="19"/>
  <c r="T74" i="19" s="1"/>
  <c r="S204" i="19"/>
  <c r="S196" i="19"/>
  <c r="T196" i="19" s="1"/>
  <c r="X196" i="19" s="1"/>
  <c r="S188" i="19"/>
  <c r="T188" i="19" s="1"/>
  <c r="X188" i="19" s="1"/>
  <c r="S180" i="19"/>
  <c r="S172" i="19"/>
  <c r="T172" i="19" s="1"/>
  <c r="X172" i="19" s="1"/>
  <c r="S164" i="19"/>
  <c r="T164" i="19" s="1"/>
  <c r="X164" i="19" s="1"/>
  <c r="S156" i="19"/>
  <c r="T156" i="19" s="1"/>
  <c r="X156" i="19" s="1"/>
  <c r="S148" i="19"/>
  <c r="T148" i="19" s="1"/>
  <c r="X148" i="19" s="1"/>
  <c r="S140" i="19"/>
  <c r="T140" i="19" s="1"/>
  <c r="X140" i="19" s="1"/>
  <c r="S132" i="19"/>
  <c r="T132" i="19" s="1"/>
  <c r="X132" i="19" s="1"/>
  <c r="S124" i="19"/>
  <c r="T124" i="19" s="1"/>
  <c r="X124" i="19" s="1"/>
  <c r="S116" i="19"/>
  <c r="T116" i="19" s="1"/>
  <c r="X116" i="19" s="1"/>
  <c r="S108" i="19"/>
  <c r="T108" i="19" s="1"/>
  <c r="X108" i="19" s="1"/>
  <c r="S100" i="19"/>
  <c r="T100" i="19" s="1"/>
  <c r="X100" i="19" s="1"/>
  <c r="E26" i="19"/>
  <c r="F26" i="19" s="1"/>
  <c r="E30" i="19"/>
  <c r="F30" i="19" s="1"/>
  <c r="E34" i="19"/>
  <c r="F34" i="19" s="1"/>
  <c r="S81" i="19"/>
  <c r="T81" i="19" s="1"/>
  <c r="X81" i="19" s="1"/>
  <c r="S79" i="19"/>
  <c r="T79" i="19" s="1"/>
  <c r="S71" i="19"/>
  <c r="S69" i="19"/>
  <c r="T69" i="19" s="1"/>
  <c r="X69" i="19" s="1"/>
  <c r="S201" i="19"/>
  <c r="T201" i="19" s="1"/>
  <c r="X201" i="19" s="1"/>
  <c r="S193" i="19"/>
  <c r="T193" i="19" s="1"/>
  <c r="X193" i="19" s="1"/>
  <c r="S185" i="19"/>
  <c r="T185" i="19" s="1"/>
  <c r="X185" i="19" s="1"/>
  <c r="S177" i="19"/>
  <c r="T177" i="19" s="1"/>
  <c r="X177" i="19" s="1"/>
  <c r="S169" i="19"/>
  <c r="T169" i="19" s="1"/>
  <c r="X169" i="19" s="1"/>
  <c r="S161" i="19"/>
  <c r="T161" i="19" s="1"/>
  <c r="X161" i="19" s="1"/>
  <c r="S153" i="19"/>
  <c r="T153" i="19" s="1"/>
  <c r="X153" i="19" s="1"/>
  <c r="S145" i="19"/>
  <c r="T145" i="19" s="1"/>
  <c r="X145" i="19" s="1"/>
  <c r="S137" i="19"/>
  <c r="S129" i="19"/>
  <c r="T129" i="19" s="1"/>
  <c r="X129" i="19" s="1"/>
  <c r="S121" i="19"/>
  <c r="T121" i="19" s="1"/>
  <c r="X121" i="19" s="1"/>
  <c r="S113" i="19"/>
  <c r="T113" i="19" s="1"/>
  <c r="X113" i="19" s="1"/>
  <c r="S105" i="19"/>
  <c r="T105" i="19" s="1"/>
  <c r="X105" i="19" s="1"/>
  <c r="S97" i="19"/>
  <c r="T97" i="19" s="1"/>
  <c r="X97" i="19" s="1"/>
  <c r="S89" i="19"/>
  <c r="T89" i="19" s="1"/>
  <c r="S83" i="19"/>
  <c r="T83" i="19" s="1"/>
  <c r="S73" i="19"/>
  <c r="T73" i="19" s="1"/>
  <c r="S198" i="19"/>
  <c r="T198" i="19" s="1"/>
  <c r="X198" i="19" s="1"/>
  <c r="S190" i="19"/>
  <c r="T190" i="19" s="1"/>
  <c r="X190" i="19" s="1"/>
  <c r="S182" i="19"/>
  <c r="T182" i="19" s="1"/>
  <c r="X182" i="19" s="1"/>
  <c r="S174" i="19"/>
  <c r="T174" i="19" s="1"/>
  <c r="X174" i="19" s="1"/>
  <c r="S166" i="19"/>
  <c r="T166" i="19" s="1"/>
  <c r="X166" i="19" s="1"/>
  <c r="S158" i="19"/>
  <c r="T158" i="19" s="1"/>
  <c r="X158" i="19" s="1"/>
  <c r="S150" i="19"/>
  <c r="T150" i="19" s="1"/>
  <c r="X150" i="19" s="1"/>
  <c r="S142" i="19"/>
  <c r="T142" i="19" s="1"/>
  <c r="X142" i="19" s="1"/>
  <c r="S134" i="19"/>
  <c r="T134" i="19" s="1"/>
  <c r="X134" i="19" s="1"/>
  <c r="S126" i="19"/>
  <c r="T126" i="19" s="1"/>
  <c r="X126" i="19" s="1"/>
  <c r="S118" i="19"/>
  <c r="T118" i="19" s="1"/>
  <c r="X118" i="19" s="1"/>
  <c r="S110" i="19"/>
  <c r="T110" i="19" s="1"/>
  <c r="X110" i="19" s="1"/>
  <c r="S102" i="19"/>
  <c r="T102" i="19" s="1"/>
  <c r="X102" i="19" s="1"/>
  <c r="E27" i="19"/>
  <c r="F27" i="19" s="1"/>
  <c r="E31" i="19"/>
  <c r="F31" i="19" s="1"/>
  <c r="E33" i="19"/>
  <c r="F33" i="19" s="1"/>
  <c r="S5" i="19"/>
  <c r="S203" i="19"/>
  <c r="T203" i="19" s="1"/>
  <c r="X203" i="19" s="1"/>
  <c r="S195" i="19"/>
  <c r="T195" i="19" s="1"/>
  <c r="X195" i="19" s="1"/>
  <c r="S187" i="19"/>
  <c r="T187" i="19" s="1"/>
  <c r="X187" i="19" s="1"/>
  <c r="S179" i="19"/>
  <c r="T179" i="19" s="1"/>
  <c r="X179" i="19" s="1"/>
  <c r="S171" i="19"/>
  <c r="S163" i="19"/>
  <c r="T163" i="19" s="1"/>
  <c r="X163" i="19" s="1"/>
  <c r="S155" i="19"/>
  <c r="T155" i="19" s="1"/>
  <c r="X155" i="19" s="1"/>
  <c r="S147" i="19"/>
  <c r="T147" i="19" s="1"/>
  <c r="X147" i="19" s="1"/>
  <c r="S139" i="19"/>
  <c r="T139" i="19" s="1"/>
  <c r="X139" i="19" s="1"/>
  <c r="S131" i="19"/>
  <c r="T131" i="19" s="1"/>
  <c r="X131" i="19" s="1"/>
  <c r="S123" i="19"/>
  <c r="T123" i="19" s="1"/>
  <c r="X123" i="19" s="1"/>
  <c r="S115" i="19"/>
  <c r="T115" i="19" s="1"/>
  <c r="X115" i="19" s="1"/>
  <c r="S107" i="19"/>
  <c r="S99" i="19"/>
  <c r="E37" i="19"/>
  <c r="F37" i="19" s="1"/>
  <c r="S95" i="19"/>
  <c r="T95" i="19" s="1"/>
  <c r="X95" i="19" s="1"/>
  <c r="S86" i="19"/>
  <c r="T86" i="19" s="1"/>
  <c r="X86" i="19" s="1"/>
  <c r="S77" i="19"/>
  <c r="T77" i="19" s="1"/>
  <c r="S90" i="19"/>
  <c r="T90" i="19" s="1"/>
  <c r="X90" i="19" s="1"/>
  <c r="S84" i="19"/>
  <c r="T84" i="19" s="1"/>
  <c r="X84" i="19" s="1"/>
  <c r="S82" i="19"/>
  <c r="T82" i="19" s="1"/>
  <c r="X82" i="19" s="1"/>
  <c r="S80" i="19"/>
  <c r="T80" i="19" s="1"/>
  <c r="X80" i="19" s="1"/>
  <c r="S76" i="19"/>
  <c r="T76" i="19" s="1"/>
  <c r="X76" i="19" s="1"/>
  <c r="S200" i="19"/>
  <c r="T200" i="19" s="1"/>
  <c r="X200" i="19" s="1"/>
  <c r="S192" i="19"/>
  <c r="T192" i="19" s="1"/>
  <c r="X192" i="19" s="1"/>
  <c r="S184" i="19"/>
  <c r="T184" i="19" s="1"/>
  <c r="X184" i="19" s="1"/>
  <c r="S176" i="19"/>
  <c r="S168" i="19"/>
  <c r="T168" i="19" s="1"/>
  <c r="X168" i="19" s="1"/>
  <c r="S160" i="19"/>
  <c r="T160" i="19" s="1"/>
  <c r="X160" i="19" s="1"/>
  <c r="S152" i="19"/>
  <c r="T152" i="19" s="1"/>
  <c r="X152" i="19" s="1"/>
  <c r="S144" i="19"/>
  <c r="T144" i="19" s="1"/>
  <c r="X144" i="19" s="1"/>
  <c r="S136" i="19"/>
  <c r="T136" i="19" s="1"/>
  <c r="X136" i="19" s="1"/>
  <c r="S128" i="19"/>
  <c r="T128" i="19" s="1"/>
  <c r="X128" i="19" s="1"/>
  <c r="S120" i="19"/>
  <c r="T120" i="19" s="1"/>
  <c r="X120" i="19" s="1"/>
  <c r="S112" i="19"/>
  <c r="T112" i="19" s="1"/>
  <c r="X112" i="19" s="1"/>
  <c r="S104" i="19"/>
  <c r="T104" i="19" s="1"/>
  <c r="X104" i="19" s="1"/>
  <c r="S96" i="19"/>
  <c r="T96" i="19" s="1"/>
  <c r="X96" i="19" s="1"/>
  <c r="E28" i="19"/>
  <c r="F28" i="19" s="1"/>
  <c r="E32" i="19"/>
  <c r="F32" i="19" s="1"/>
  <c r="G32" i="19" s="1"/>
  <c r="S87" i="19"/>
  <c r="T87" i="19" s="1"/>
  <c r="S78" i="19"/>
  <c r="T78" i="19" s="1"/>
  <c r="X78" i="19" s="1"/>
  <c r="S205" i="19"/>
  <c r="T205" i="19" s="1"/>
  <c r="X205" i="19" s="1"/>
  <c r="S197" i="19"/>
  <c r="T197" i="19" s="1"/>
  <c r="X197" i="19" s="1"/>
  <c r="S189" i="19"/>
  <c r="T189" i="19" s="1"/>
  <c r="X189" i="19" s="1"/>
  <c r="S181" i="19"/>
  <c r="T181" i="19" s="1"/>
  <c r="X181" i="19" s="1"/>
  <c r="S173" i="19"/>
  <c r="T173" i="19" s="1"/>
  <c r="X173" i="19" s="1"/>
  <c r="S165" i="19"/>
  <c r="T165" i="19" s="1"/>
  <c r="X165" i="19" s="1"/>
  <c r="S157" i="19"/>
  <c r="T157" i="19" s="1"/>
  <c r="X157" i="19" s="1"/>
  <c r="S149" i="19"/>
  <c r="T149" i="19" s="1"/>
  <c r="X149" i="19" s="1"/>
  <c r="S141" i="19"/>
  <c r="T141" i="19" s="1"/>
  <c r="X141" i="19" s="1"/>
  <c r="S133" i="19"/>
  <c r="T133" i="19" s="1"/>
  <c r="X133" i="19" s="1"/>
  <c r="S125" i="19"/>
  <c r="T125" i="19" s="1"/>
  <c r="X125" i="19" s="1"/>
  <c r="S117" i="19"/>
  <c r="S109" i="19"/>
  <c r="T109" i="19" s="1"/>
  <c r="X109" i="19" s="1"/>
  <c r="S101" i="19"/>
  <c r="T101" i="19" s="1"/>
  <c r="X101" i="19" s="1"/>
  <c r="E29" i="19"/>
  <c r="F29" i="19" s="1"/>
  <c r="E36" i="19"/>
  <c r="F36" i="19" s="1"/>
  <c r="S72" i="19"/>
  <c r="T72" i="19" s="1"/>
  <c r="X72" i="19" s="1"/>
  <c r="S94" i="19"/>
  <c r="S91" i="19"/>
  <c r="T91" i="19" s="1"/>
  <c r="X91" i="19" s="1"/>
  <c r="S88" i="19"/>
  <c r="T88" i="19" s="1"/>
  <c r="X88" i="19" s="1"/>
  <c r="S70" i="19"/>
  <c r="T70" i="19" s="1"/>
  <c r="X70" i="19" s="1"/>
  <c r="S67" i="19"/>
  <c r="T67" i="19" s="1"/>
  <c r="S66" i="19"/>
  <c r="T66" i="19" s="1"/>
  <c r="S202" i="19"/>
  <c r="T202" i="19" s="1"/>
  <c r="X202" i="19" s="1"/>
  <c r="S194" i="19"/>
  <c r="T194" i="19" s="1"/>
  <c r="X194" i="19" s="1"/>
  <c r="S186" i="19"/>
  <c r="T186" i="19" s="1"/>
  <c r="X186" i="19" s="1"/>
  <c r="S178" i="19"/>
  <c r="T178" i="19" s="1"/>
  <c r="X178" i="19" s="1"/>
  <c r="S170" i="19"/>
  <c r="T170" i="19" s="1"/>
  <c r="X170" i="19" s="1"/>
  <c r="S162" i="19"/>
  <c r="T162" i="19" s="1"/>
  <c r="X162" i="19" s="1"/>
  <c r="S154" i="19"/>
  <c r="T154" i="19" s="1"/>
  <c r="X154" i="19" s="1"/>
  <c r="S146" i="19"/>
  <c r="T146" i="19" s="1"/>
  <c r="X146" i="19" s="1"/>
  <c r="S138" i="19"/>
  <c r="T138" i="19" s="1"/>
  <c r="X138" i="19" s="1"/>
  <c r="S130" i="19"/>
  <c r="T130" i="19" s="1"/>
  <c r="X130" i="19" s="1"/>
  <c r="S122" i="19"/>
  <c r="T122" i="19" s="1"/>
  <c r="X122" i="19" s="1"/>
  <c r="S114" i="19"/>
  <c r="T114" i="19" s="1"/>
  <c r="X114" i="19" s="1"/>
  <c r="S106" i="19"/>
  <c r="T106" i="19" s="1"/>
  <c r="X106" i="19" s="1"/>
  <c r="S98" i="19"/>
  <c r="T98" i="19" s="1"/>
  <c r="X98" i="19" s="1"/>
  <c r="E25" i="19"/>
  <c r="F25" i="19" s="1"/>
  <c r="G25" i="19" s="1"/>
  <c r="E35" i="19"/>
  <c r="F35" i="19" s="1"/>
  <c r="G35" i="19" s="1"/>
  <c r="I62" i="27"/>
  <c r="K62" i="27"/>
  <c r="K63" i="27"/>
  <c r="H63" i="27"/>
  <c r="V192" i="27"/>
  <c r="AG6" i="19"/>
  <c r="J63" i="27"/>
  <c r="V162" i="27"/>
  <c r="V112" i="27"/>
  <c r="V201" i="27"/>
  <c r="K61" i="27"/>
  <c r="V145" i="27"/>
  <c r="V152" i="27"/>
  <c r="V121" i="27"/>
  <c r="V159" i="27"/>
  <c r="I61" i="27"/>
  <c r="T124" i="18"/>
  <c r="X124" i="18" s="1"/>
  <c r="J41" i="27"/>
  <c r="H41" i="27"/>
  <c r="I41" i="27"/>
  <c r="K41" i="27"/>
  <c r="X158" i="18"/>
  <c r="X126" i="18"/>
  <c r="H44" i="27"/>
  <c r="K44" i="27"/>
  <c r="I44" i="27"/>
  <c r="J44" i="27"/>
  <c r="X202" i="18"/>
  <c r="T87" i="18"/>
  <c r="X87" i="18" s="1"/>
  <c r="T98" i="18"/>
  <c r="X98" i="18" s="1"/>
  <c r="V120" i="27"/>
  <c r="T187" i="18"/>
  <c r="X187" i="18" s="1"/>
  <c r="T197" i="18"/>
  <c r="X197" i="18" s="1"/>
  <c r="T172" i="18"/>
  <c r="X172" i="18" s="1"/>
  <c r="V144" i="27"/>
  <c r="X97" i="18"/>
  <c r="X85" i="18"/>
  <c r="Z89" i="27"/>
  <c r="AC41" i="18"/>
  <c r="AP26" i="18"/>
  <c r="AB31" i="18"/>
  <c r="AD31" i="18"/>
  <c r="AC56" i="18"/>
  <c r="AN36" i="18"/>
  <c r="AP36" i="18"/>
  <c r="AO46" i="18"/>
  <c r="AM36" i="18"/>
  <c r="X183" i="18"/>
  <c r="X180" i="18"/>
  <c r="X163" i="18"/>
  <c r="X118" i="18"/>
  <c r="Z92" i="27"/>
  <c r="V92" i="27" s="1"/>
  <c r="Y93" i="27"/>
  <c r="V93" i="27" s="1"/>
  <c r="X87" i="27"/>
  <c r="Z108" i="27"/>
  <c r="V108" i="27" s="1"/>
  <c r="W82" i="27"/>
  <c r="V82" i="27" s="1"/>
  <c r="X90" i="27"/>
  <c r="AP31" i="18"/>
  <c r="AD41" i="18"/>
  <c r="AE26" i="18"/>
  <c r="AN31" i="18"/>
  <c r="AM41" i="18"/>
  <c r="AO41" i="18"/>
  <c r="W83" i="27"/>
  <c r="Y101" i="27"/>
  <c r="W95" i="27"/>
  <c r="W111" i="27"/>
  <c r="V111" i="27" s="1"/>
  <c r="Z100" i="27"/>
  <c r="V100" i="27" s="1"/>
  <c r="L48" i="27"/>
  <c r="AD26" i="18"/>
  <c r="AB26" i="18"/>
  <c r="AE41" i="18"/>
  <c r="AB41" i="18"/>
  <c r="AL46" i="18"/>
  <c r="AN46" i="18"/>
  <c r="AM56" i="18"/>
  <c r="V113" i="27"/>
  <c r="AD36" i="18"/>
  <c r="AB46" i="18"/>
  <c r="AO31" i="18"/>
  <c r="AP56" i="18"/>
  <c r="AO56" i="18"/>
  <c r="B40" i="27"/>
  <c r="Y88" i="27"/>
  <c r="V88" i="27" s="1"/>
  <c r="Y91" i="27"/>
  <c r="V91" i="27" s="1"/>
  <c r="X204" i="18"/>
  <c r="X181" i="18"/>
  <c r="X161" i="18"/>
  <c r="X141" i="18"/>
  <c r="W103" i="27"/>
  <c r="X102" i="27"/>
  <c r="V102" i="27" s="1"/>
  <c r="Y109" i="27"/>
  <c r="V109" i="27" s="1"/>
  <c r="AD46" i="18"/>
  <c r="AD56" i="18"/>
  <c r="AL26" i="18"/>
  <c r="AM26" i="18"/>
  <c r="AN26" i="18"/>
  <c r="AO36" i="18"/>
  <c r="AL56" i="18"/>
  <c r="AP46" i="18"/>
  <c r="X125" i="18"/>
  <c r="AE31" i="18"/>
  <c r="AC31" i="18"/>
  <c r="AL31" i="18"/>
  <c r="AM31" i="18"/>
  <c r="AN41" i="18"/>
  <c r="AL36" i="18"/>
  <c r="AC36" i="18"/>
  <c r="X186" i="18"/>
  <c r="X110" i="27"/>
  <c r="V110" i="27" s="1"/>
  <c r="W84" i="27"/>
  <c r="V129" i="27"/>
  <c r="V169" i="27"/>
  <c r="V115" i="27"/>
  <c r="AE56" i="18"/>
  <c r="AC26" i="18"/>
  <c r="AB36" i="18"/>
  <c r="AO26" i="18"/>
  <c r="AM46" i="18"/>
  <c r="AN56" i="18"/>
  <c r="T164" i="18"/>
  <c r="X164" i="18" s="1"/>
  <c r="T140" i="18"/>
  <c r="X140" i="18" s="1"/>
  <c r="T130" i="18"/>
  <c r="X130" i="18" s="1"/>
  <c r="T132" i="18"/>
  <c r="X132" i="18" s="1"/>
  <c r="T129" i="18"/>
  <c r="X129" i="18" s="1"/>
  <c r="T122" i="18"/>
  <c r="X122" i="18" s="1"/>
  <c r="T83" i="18"/>
  <c r="X83" i="18" s="1"/>
  <c r="T184" i="18"/>
  <c r="X184" i="18" s="1"/>
  <c r="T173" i="18"/>
  <c r="X173" i="18" s="1"/>
  <c r="T159" i="18"/>
  <c r="X159" i="18" s="1"/>
  <c r="T205" i="18"/>
  <c r="X205" i="18" s="1"/>
  <c r="T201" i="18"/>
  <c r="X201" i="18" s="1"/>
  <c r="T178" i="18"/>
  <c r="X178" i="18" s="1"/>
  <c r="T155" i="18"/>
  <c r="X155" i="18" s="1"/>
  <c r="T115" i="18"/>
  <c r="X115" i="18" s="1"/>
  <c r="T110" i="18"/>
  <c r="X110" i="18" s="1"/>
  <c r="T94" i="18"/>
  <c r="X94" i="18" s="1"/>
  <c r="T128" i="18"/>
  <c r="X128" i="18" s="1"/>
  <c r="T72" i="18"/>
  <c r="X72" i="18" s="1"/>
  <c r="T189" i="18"/>
  <c r="X189" i="18" s="1"/>
  <c r="T185" i="18"/>
  <c r="X185" i="18" s="1"/>
  <c r="T176" i="18"/>
  <c r="X176" i="18" s="1"/>
  <c r="T162" i="18"/>
  <c r="X162" i="18" s="1"/>
  <c r="T142" i="18"/>
  <c r="X142" i="18"/>
  <c r="T137" i="18"/>
  <c r="X137" i="18" s="1"/>
  <c r="T99" i="18"/>
  <c r="X99" i="18" s="1"/>
  <c r="T113" i="18"/>
  <c r="X113" i="18" s="1"/>
  <c r="T105" i="18"/>
  <c r="X105" i="18" s="1"/>
  <c r="T177" i="18"/>
  <c r="X177" i="18" s="1"/>
  <c r="T203" i="18"/>
  <c r="X203" i="18" s="1"/>
  <c r="T192" i="18"/>
  <c r="X192" i="18"/>
  <c r="T190" i="18"/>
  <c r="X190" i="18" s="1"/>
  <c r="T170" i="18"/>
  <c r="X170" i="18" s="1"/>
  <c r="T107" i="18"/>
  <c r="X107" i="18" s="1"/>
  <c r="T100" i="18"/>
  <c r="X100" i="18" s="1"/>
  <c r="T195" i="18"/>
  <c r="X195" i="18" s="1"/>
  <c r="T193" i="18"/>
  <c r="X193" i="18" s="1"/>
  <c r="T191" i="18"/>
  <c r="X191" i="18" s="1"/>
  <c r="T188" i="18"/>
  <c r="X188" i="18" s="1"/>
  <c r="T169" i="18"/>
  <c r="X169" i="18" s="1"/>
  <c r="T143" i="18"/>
  <c r="X143" i="18" s="1"/>
  <c r="T138" i="18"/>
  <c r="X138" i="18" s="1"/>
  <c r="T131" i="18"/>
  <c r="X131" i="18" s="1"/>
  <c r="T121" i="18"/>
  <c r="X121" i="18" s="1"/>
  <c r="T116" i="18"/>
  <c r="X116" i="18" s="1"/>
  <c r="T96" i="18"/>
  <c r="X96" i="18" s="1"/>
  <c r="T200" i="18"/>
  <c r="X200" i="18" s="1"/>
  <c r="T196" i="18"/>
  <c r="X196" i="18" s="1"/>
  <c r="T120" i="18"/>
  <c r="X120" i="18" s="1"/>
  <c r="T114" i="18"/>
  <c r="X114" i="18" s="1"/>
  <c r="X89" i="18"/>
  <c r="T84" i="18"/>
  <c r="X84" i="18" s="1"/>
  <c r="X133" i="18"/>
  <c r="X78" i="18"/>
  <c r="X168" i="18"/>
  <c r="X165" i="18"/>
  <c r="X154" i="18"/>
  <c r="X127" i="18"/>
  <c r="X119" i="18"/>
  <c r="X95" i="18"/>
  <c r="X82" i="18"/>
  <c r="T81" i="18"/>
  <c r="X81" i="18" s="1"/>
  <c r="X73" i="18"/>
  <c r="T68" i="18"/>
  <c r="X68" i="18" s="1"/>
  <c r="X174" i="18"/>
  <c r="X144" i="18"/>
  <c r="X76" i="18"/>
  <c r="X74" i="18"/>
  <c r="T66" i="18"/>
  <c r="X66" i="18" s="1"/>
  <c r="X194" i="18"/>
  <c r="X182" i="18"/>
  <c r="X175" i="18"/>
  <c r="X167" i="18"/>
  <c r="X147" i="18"/>
  <c r="T88" i="18"/>
  <c r="X88" i="18" s="1"/>
  <c r="X80" i="18"/>
  <c r="X69" i="18"/>
  <c r="X160" i="18"/>
  <c r="X139" i="18"/>
  <c r="X112" i="18"/>
  <c r="X108" i="18"/>
  <c r="X92" i="18"/>
  <c r="X91" i="18"/>
  <c r="X77" i="18"/>
  <c r="X86" i="18"/>
  <c r="X70" i="18"/>
  <c r="V161" i="27"/>
  <c r="V146" i="27"/>
  <c r="V168" i="27"/>
  <c r="B92" i="18"/>
  <c r="V99" i="27"/>
  <c r="V210" i="27"/>
  <c r="V194" i="27"/>
  <c r="V178" i="27"/>
  <c r="V153" i="27"/>
  <c r="V128" i="27"/>
  <c r="V114" i="27"/>
  <c r="V136" i="27"/>
  <c r="V137" i="27"/>
  <c r="V130" i="27"/>
  <c r="T99" i="19"/>
  <c r="X99" i="19" s="1"/>
  <c r="V106" i="27"/>
  <c r="V97" i="27"/>
  <c r="V160" i="27"/>
  <c r="T176" i="19"/>
  <c r="X176" i="19" s="1"/>
  <c r="T107" i="19"/>
  <c r="X107" i="19" s="1"/>
  <c r="T68" i="19"/>
  <c r="X68" i="19" s="1"/>
  <c r="T137" i="19"/>
  <c r="X137" i="19" s="1"/>
  <c r="T71" i="19"/>
  <c r="X71" i="19" s="1"/>
  <c r="X89" i="19"/>
  <c r="T94" i="19"/>
  <c r="X94" i="19" s="1"/>
  <c r="T93" i="19"/>
  <c r="X93" i="19" s="1"/>
  <c r="T92" i="19"/>
  <c r="X92" i="19" s="1"/>
  <c r="T127" i="19"/>
  <c r="X127" i="19" s="1"/>
  <c r="T191" i="19"/>
  <c r="X191" i="19" s="1"/>
  <c r="T204" i="19"/>
  <c r="X204" i="19" s="1"/>
  <c r="T180" i="19"/>
  <c r="X180" i="19" s="1"/>
  <c r="T171" i="19"/>
  <c r="X171" i="19" s="1"/>
  <c r="T117" i="19"/>
  <c r="X117" i="19" s="1"/>
  <c r="T103" i="19"/>
  <c r="X103" i="19" s="1"/>
  <c r="T183" i="19"/>
  <c r="X183" i="19" s="1"/>
  <c r="T111" i="19"/>
  <c r="X111" i="19" s="1"/>
  <c r="T119" i="19"/>
  <c r="X119" i="19" s="1"/>
  <c r="V101" i="27" l="1"/>
  <c r="L60" i="27"/>
  <c r="Q84" i="27"/>
  <c r="R84" i="27" s="1"/>
  <c r="Q134" i="27"/>
  <c r="R134" i="27" s="1"/>
  <c r="Q101" i="27"/>
  <c r="R101" i="27" s="1"/>
  <c r="Q144" i="27"/>
  <c r="R144" i="27" s="1"/>
  <c r="Q58" i="27"/>
  <c r="R58" i="27" s="1"/>
  <c r="Q27" i="27"/>
  <c r="R27" i="27" s="1"/>
  <c r="Q98" i="27"/>
  <c r="R98" i="27" s="1"/>
  <c r="Q199" i="27"/>
  <c r="R199" i="27" s="1"/>
  <c r="Q106" i="27"/>
  <c r="R106" i="27" s="1"/>
  <c r="Q118" i="27"/>
  <c r="R118" i="27" s="1"/>
  <c r="Q112" i="27"/>
  <c r="R112" i="27" s="1"/>
  <c r="Q219" i="27"/>
  <c r="R219" i="27" s="1"/>
  <c r="Q93" i="27"/>
  <c r="R93" i="27" s="1"/>
  <c r="Q41" i="27"/>
  <c r="R41" i="27" s="1"/>
  <c r="Q51" i="27"/>
  <c r="R51" i="27" s="1"/>
  <c r="Q107" i="27"/>
  <c r="R107" i="27" s="1"/>
  <c r="Q37" i="27"/>
  <c r="R37" i="27" s="1"/>
  <c r="Q204" i="27"/>
  <c r="R204" i="27" s="1"/>
  <c r="Q165" i="27"/>
  <c r="R165" i="27" s="1"/>
  <c r="Q32" i="27"/>
  <c r="R32" i="27" s="1"/>
  <c r="V156" i="27"/>
  <c r="V181" i="27"/>
  <c r="V197" i="27"/>
  <c r="V117" i="27"/>
  <c r="V213" i="27"/>
  <c r="V149" i="27"/>
  <c r="V133" i="27"/>
  <c r="V165" i="27"/>
  <c r="V171" i="27"/>
  <c r="V123" i="27"/>
  <c r="V94" i="27"/>
  <c r="V191" i="27"/>
  <c r="V220" i="27"/>
  <c r="V87" i="27"/>
  <c r="V175" i="27"/>
  <c r="V118" i="27"/>
  <c r="V211" i="27"/>
  <c r="V195" i="27"/>
  <c r="V179" i="27"/>
  <c r="V163" i="27"/>
  <c r="V147" i="27"/>
  <c r="V131" i="27"/>
  <c r="V83" i="27"/>
  <c r="V84" i="27"/>
  <c r="V196" i="27"/>
  <c r="V86" i="27"/>
  <c r="AR41" i="18"/>
  <c r="V95" i="27"/>
  <c r="AS41" i="18"/>
  <c r="Y57" i="27" s="1"/>
  <c r="V90" i="27"/>
  <c r="AQ41" i="18"/>
  <c r="V215" i="27"/>
  <c r="V180" i="27"/>
  <c r="V116" i="27"/>
  <c r="V212" i="27"/>
  <c r="V148" i="27"/>
  <c r="V132" i="27"/>
  <c r="V96" i="27"/>
  <c r="V125" i="27"/>
  <c r="V164" i="27"/>
  <c r="V199" i="27"/>
  <c r="V205" i="27"/>
  <c r="V85" i="27"/>
  <c r="V219" i="27"/>
  <c r="V203" i="27"/>
  <c r="V187" i="27"/>
  <c r="V155" i="27"/>
  <c r="V139" i="27"/>
  <c r="V141" i="27"/>
  <c r="V221" i="27"/>
  <c r="V103" i="27"/>
  <c r="V157" i="27"/>
  <c r="V173" i="27"/>
  <c r="L47" i="27"/>
  <c r="V158" i="27"/>
  <c r="V142" i="27"/>
  <c r="V126" i="27"/>
  <c r="V182" i="27"/>
  <c r="V207" i="27"/>
  <c r="V150" i="27"/>
  <c r="V134" i="27"/>
  <c r="V166" i="27"/>
  <c r="V89" i="27"/>
  <c r="I42" i="27"/>
  <c r="J42" i="27"/>
  <c r="K42" i="27"/>
  <c r="H42" i="27"/>
  <c r="V174" i="27"/>
  <c r="X73" i="19"/>
  <c r="AQ52" i="19"/>
  <c r="AS27" i="19"/>
  <c r="AT6" i="19"/>
  <c r="AT27" i="19"/>
  <c r="AS32" i="19"/>
  <c r="AQ40" i="19"/>
  <c r="AT52" i="19"/>
  <c r="V190" i="27"/>
  <c r="AQ63" i="19"/>
  <c r="AT40" i="19"/>
  <c r="AR6" i="19"/>
  <c r="AR40" i="19"/>
  <c r="AR32" i="19"/>
  <c r="AT42" i="19"/>
  <c r="AS64" i="19"/>
  <c r="AR26" i="19"/>
  <c r="AS11" i="19"/>
  <c r="AS47" i="19"/>
  <c r="AQ14" i="19"/>
  <c r="AQ6" i="19"/>
  <c r="AT20" i="19"/>
  <c r="AT30" i="19"/>
  <c r="AS63" i="19"/>
  <c r="AT24" i="19"/>
  <c r="AQ25" i="19"/>
  <c r="AR36" i="19"/>
  <c r="AT48" i="19"/>
  <c r="AQ27" i="19"/>
  <c r="AR44" i="19"/>
  <c r="AS22" i="19"/>
  <c r="AR60" i="19"/>
  <c r="AT8" i="19"/>
  <c r="AR20" i="19"/>
  <c r="AS25" i="19"/>
  <c r="AR8" i="19"/>
  <c r="AQ31" i="19"/>
  <c r="AQ24" i="19"/>
  <c r="AT12" i="19"/>
  <c r="AQ60" i="19"/>
  <c r="AT60" i="19"/>
  <c r="AR22" i="19"/>
  <c r="AT46" i="19"/>
  <c r="AS17" i="19"/>
  <c r="AS29" i="19"/>
  <c r="AT29" i="19"/>
  <c r="AT41" i="19"/>
  <c r="Z57" i="27" s="1"/>
  <c r="AT56" i="19"/>
  <c r="AT43" i="19"/>
  <c r="AS28" i="19"/>
  <c r="AR14" i="19"/>
  <c r="AQ37" i="19"/>
  <c r="AT14" i="19"/>
  <c r="V214" i="27"/>
  <c r="AQ41" i="19"/>
  <c r="AS30" i="19"/>
  <c r="AR29" i="19"/>
  <c r="AR25" i="19"/>
  <c r="AT22" i="19"/>
  <c r="AQ8" i="19"/>
  <c r="AS36" i="19"/>
  <c r="AR57" i="19"/>
  <c r="AS8" i="19"/>
  <c r="AG7" i="19"/>
  <c r="AG8" i="19" s="1"/>
  <c r="AG9" i="19" s="1"/>
  <c r="AG10" i="19" s="1"/>
  <c r="AG11" i="19" s="1"/>
  <c r="AG12" i="19" s="1"/>
  <c r="AG13" i="19" s="1"/>
  <c r="AG14" i="19" s="1"/>
  <c r="AG15" i="19" s="1"/>
  <c r="AG16" i="19" s="1"/>
  <c r="AG17" i="19" s="1"/>
  <c r="AG18" i="19" s="1"/>
  <c r="AG19" i="19" s="1"/>
  <c r="AG20" i="19" s="1"/>
  <c r="AG21" i="19" s="1"/>
  <c r="AG22" i="19" s="1"/>
  <c r="AG23" i="19" s="1"/>
  <c r="AG24" i="19" s="1"/>
  <c r="AG25" i="19" s="1"/>
  <c r="AG26" i="19" s="1"/>
  <c r="AG27" i="19" s="1"/>
  <c r="AG28" i="19" s="1"/>
  <c r="AG29" i="19" s="1"/>
  <c r="AG30" i="19" s="1"/>
  <c r="AG31" i="19" s="1"/>
  <c r="AG32" i="19" s="1"/>
  <c r="AG33" i="19" s="1"/>
  <c r="AG34" i="19" s="1"/>
  <c r="AG35" i="19" s="1"/>
  <c r="AG36" i="19" s="1"/>
  <c r="AG37" i="19" s="1"/>
  <c r="AG38" i="19" s="1"/>
  <c r="AG39" i="19" s="1"/>
  <c r="AG40" i="19" s="1"/>
  <c r="AG41" i="19" s="1"/>
  <c r="AG42" i="19" s="1"/>
  <c r="AG43" i="19" s="1"/>
  <c r="AG44" i="19" s="1"/>
  <c r="AG45" i="19" s="1"/>
  <c r="AG46" i="19" s="1"/>
  <c r="AG47" i="19" s="1"/>
  <c r="AG48" i="19" s="1"/>
  <c r="AG49" i="19" s="1"/>
  <c r="AG50" i="19" s="1"/>
  <c r="AG51" i="19" s="1"/>
  <c r="AG52" i="19" s="1"/>
  <c r="AG53" i="19" s="1"/>
  <c r="AG54" i="19" s="1"/>
  <c r="AG55" i="19" s="1"/>
  <c r="AG56" i="19" s="1"/>
  <c r="AG57" i="19" s="1"/>
  <c r="AG58" i="19" s="1"/>
  <c r="AG59" i="19" s="1"/>
  <c r="AG60" i="19" s="1"/>
  <c r="AG61" i="19" s="1"/>
  <c r="AG62" i="19" s="1"/>
  <c r="AG63" i="19" s="1"/>
  <c r="AG64" i="19" s="1"/>
  <c r="AG65" i="19" s="1"/>
  <c r="AT65" i="19"/>
  <c r="AT25" i="19"/>
  <c r="X83" i="19"/>
  <c r="V198" i="27"/>
  <c r="AQ17" i="19"/>
  <c r="AH8" i="19"/>
  <c r="AH9" i="19" s="1"/>
  <c r="AQ62" i="19"/>
  <c r="AQ12" i="19"/>
  <c r="AQ39" i="19"/>
  <c r="AS56" i="19"/>
  <c r="AQ36" i="19"/>
  <c r="AQ48" i="19"/>
  <c r="AQ59" i="19"/>
  <c r="AQ35" i="19"/>
  <c r="X74" i="19"/>
  <c r="AF7" i="19"/>
  <c r="AF8" i="19" s="1"/>
  <c r="AF9" i="19" s="1"/>
  <c r="AR35" i="19"/>
  <c r="AR12" i="19"/>
  <c r="AR62" i="19"/>
  <c r="AQ33" i="19"/>
  <c r="AR55" i="19"/>
  <c r="AS35" i="19"/>
  <c r="AR59" i="19"/>
  <c r="AR42" i="19"/>
  <c r="AT55" i="19"/>
  <c r="AR37" i="19"/>
  <c r="AT35" i="19"/>
  <c r="AQ23" i="19"/>
  <c r="AR17" i="19"/>
  <c r="AQ55" i="19"/>
  <c r="AR65" i="19"/>
  <c r="AS6" i="19"/>
  <c r="AR11" i="19"/>
  <c r="AR48" i="19"/>
  <c r="AQ51" i="19"/>
  <c r="AQ7" i="19"/>
  <c r="AS9" i="19"/>
  <c r="AS60" i="19"/>
  <c r="AQ61" i="19"/>
  <c r="AS34" i="19"/>
  <c r="AT38" i="19"/>
  <c r="AR31" i="19"/>
  <c r="AY7" i="19"/>
  <c r="AY8" i="19" s="1"/>
  <c r="AY9" i="19" s="1"/>
  <c r="AY10" i="19" s="1"/>
  <c r="AY11" i="19" s="1"/>
  <c r="AY12" i="19" s="1"/>
  <c r="AY13" i="19" s="1"/>
  <c r="AY14" i="19" s="1"/>
  <c r="AY15" i="19" s="1"/>
  <c r="AY16" i="19" s="1"/>
  <c r="AY17" i="19" s="1"/>
  <c r="AY18" i="19" s="1"/>
  <c r="AY19" i="19" s="1"/>
  <c r="AY20" i="19" s="1"/>
  <c r="AY21" i="19" s="1"/>
  <c r="AY22" i="19" s="1"/>
  <c r="AY23" i="19" s="1"/>
  <c r="AY24" i="19" s="1"/>
  <c r="AY25" i="19" s="1"/>
  <c r="AY26" i="19" s="1"/>
  <c r="AY27" i="19" s="1"/>
  <c r="AY28" i="19" s="1"/>
  <c r="AY29" i="19" s="1"/>
  <c r="AY30" i="19" s="1"/>
  <c r="AY31" i="19" s="1"/>
  <c r="AY32" i="19" s="1"/>
  <c r="AY33" i="19" s="1"/>
  <c r="AY34" i="19" s="1"/>
  <c r="AY35" i="19" s="1"/>
  <c r="C123" i="19" s="1"/>
  <c r="E123" i="19" s="1"/>
  <c r="E127" i="19" s="1"/>
  <c r="AR41" i="19"/>
  <c r="AQ44" i="19"/>
  <c r="AS44" i="19"/>
  <c r="AT44" i="19"/>
  <c r="AQ64" i="19"/>
  <c r="AR63" i="19"/>
  <c r="AQ32" i="19"/>
  <c r="AT64" i="19"/>
  <c r="AT7" i="19"/>
  <c r="AR51" i="19"/>
  <c r="AT34" i="19"/>
  <c r="AT9" i="19"/>
  <c r="AS61" i="19"/>
  <c r="AQ47" i="19"/>
  <c r="AS38" i="19"/>
  <c r="AS45" i="19"/>
  <c r="AR53" i="19"/>
  <c r="AR47" i="19"/>
  <c r="AR43" i="19"/>
  <c r="AH10" i="19"/>
  <c r="AH11" i="19" s="1"/>
  <c r="AH12" i="19" s="1"/>
  <c r="AH13" i="19" s="1"/>
  <c r="AH14" i="19" s="1"/>
  <c r="AH15" i="19" s="1"/>
  <c r="AH16" i="19" s="1"/>
  <c r="AH17" i="19" s="1"/>
  <c r="AH18" i="19" s="1"/>
  <c r="AH19" i="19" s="1"/>
  <c r="AH20" i="19" s="1"/>
  <c r="AH21" i="19" s="1"/>
  <c r="AH22" i="19" s="1"/>
  <c r="AH23" i="19" s="1"/>
  <c r="AH24" i="19" s="1"/>
  <c r="AH25" i="19" s="1"/>
  <c r="AH26" i="19" s="1"/>
  <c r="AH27" i="19" s="1"/>
  <c r="AH28" i="19" s="1"/>
  <c r="AH29" i="19" s="1"/>
  <c r="AH30" i="19" s="1"/>
  <c r="AH31" i="19" s="1"/>
  <c r="AH32" i="19" s="1"/>
  <c r="AH33" i="19" s="1"/>
  <c r="AH34" i="19" s="1"/>
  <c r="AH35" i="19" s="1"/>
  <c r="AH36" i="19" s="1"/>
  <c r="AH37" i="19" s="1"/>
  <c r="AH38" i="19" s="1"/>
  <c r="AH39" i="19" s="1"/>
  <c r="AH40" i="19" s="1"/>
  <c r="AH41" i="19" s="1"/>
  <c r="AH42" i="19" s="1"/>
  <c r="AH43" i="19" s="1"/>
  <c r="AH44" i="19" s="1"/>
  <c r="AH45" i="19" s="1"/>
  <c r="AH46" i="19" s="1"/>
  <c r="AH47" i="19" s="1"/>
  <c r="AH48" i="19" s="1"/>
  <c r="AH49" i="19" s="1"/>
  <c r="AH50" i="19" s="1"/>
  <c r="AH51" i="19" s="1"/>
  <c r="AH52" i="19" s="1"/>
  <c r="AH53" i="19" s="1"/>
  <c r="AH54" i="19" s="1"/>
  <c r="AH55" i="19" s="1"/>
  <c r="AH56" i="19" s="1"/>
  <c r="AH57" i="19" s="1"/>
  <c r="AH58" i="19" s="1"/>
  <c r="AH59" i="19" s="1"/>
  <c r="AH60" i="19" s="1"/>
  <c r="AH61" i="19" s="1"/>
  <c r="AH62" i="19" s="1"/>
  <c r="AH63" i="19" s="1"/>
  <c r="AH64" i="19" s="1"/>
  <c r="AH65" i="19" s="1"/>
  <c r="AQ9" i="19"/>
  <c r="AQ16" i="19"/>
  <c r="AT49" i="19"/>
  <c r="AQ49" i="19"/>
  <c r="I56" i="27"/>
  <c r="J56" i="27"/>
  <c r="H56" i="27"/>
  <c r="K56" i="27"/>
  <c r="AT33" i="19"/>
  <c r="AS39" i="19"/>
  <c r="AR39" i="19"/>
  <c r="AQ10" i="19"/>
  <c r="AS58" i="19"/>
  <c r="AQ58" i="19"/>
  <c r="AS54" i="19"/>
  <c r="AQ54" i="19"/>
  <c r="AR23" i="19"/>
  <c r="AR61" i="19"/>
  <c r="AS59" i="19"/>
  <c r="AT28" i="19"/>
  <c r="AS14" i="19"/>
  <c r="AT23" i="19"/>
  <c r="AR34" i="19"/>
  <c r="AS51" i="19"/>
  <c r="AS31" i="19"/>
  <c r="AT31" i="19"/>
  <c r="AS62" i="19"/>
  <c r="AR56" i="19"/>
  <c r="AQ56" i="19"/>
  <c r="AR30" i="19"/>
  <c r="AQ30" i="19"/>
  <c r="AS24" i="19"/>
  <c r="AR24" i="19"/>
  <c r="AT36" i="19"/>
  <c r="AR28" i="19"/>
  <c r="AT32" i="19"/>
  <c r="AR7" i="19"/>
  <c r="AS23" i="19"/>
  <c r="AQ26" i="19"/>
  <c r="AS43" i="19"/>
  <c r="AQ28" i="19"/>
  <c r="AT47" i="19"/>
  <c r="L61" i="27"/>
  <c r="AT51" i="19"/>
  <c r="V206" i="27"/>
  <c r="AQ29" i="19"/>
  <c r="AT62" i="19"/>
  <c r="AS26" i="19"/>
  <c r="AT26" i="19"/>
  <c r="G28" i="19"/>
  <c r="G31" i="19"/>
  <c r="G33" i="19"/>
  <c r="Q45" i="19" s="1"/>
  <c r="X67" i="19"/>
  <c r="X66" i="19"/>
  <c r="Q43" i="19"/>
  <c r="Q13" i="19"/>
  <c r="Q12" i="19"/>
  <c r="Q8" i="19"/>
  <c r="Q7" i="19"/>
  <c r="Q25" i="19"/>
  <c r="Q17" i="19"/>
  <c r="Q16" i="19"/>
  <c r="Q11" i="19"/>
  <c r="Q20" i="19"/>
  <c r="Q15" i="19"/>
  <c r="Q9" i="19"/>
  <c r="Q19" i="19"/>
  <c r="Q22" i="19"/>
  <c r="Q10" i="19"/>
  <c r="Q18" i="19"/>
  <c r="Q14" i="19"/>
  <c r="Q6" i="19"/>
  <c r="R6" i="19" s="1"/>
  <c r="G37" i="19"/>
  <c r="Q55" i="19" s="1"/>
  <c r="L44" i="27"/>
  <c r="L63" i="27"/>
  <c r="J9" i="19"/>
  <c r="K8" i="19"/>
  <c r="O8" i="19" s="1"/>
  <c r="AI6" i="19"/>
  <c r="AI7" i="19"/>
  <c r="X77" i="19"/>
  <c r="X79" i="19"/>
  <c r="G38" i="19"/>
  <c r="G26" i="19"/>
  <c r="Q26" i="19" s="1"/>
  <c r="X87" i="19"/>
  <c r="L62" i="27"/>
  <c r="G30" i="19"/>
  <c r="Q36" i="19" s="1"/>
  <c r="G29" i="19"/>
  <c r="T5" i="19"/>
  <c r="X5" i="19" s="1"/>
  <c r="Y5" i="19" s="1"/>
  <c r="G36" i="19"/>
  <c r="G27" i="19"/>
  <c r="Q23" i="19" s="1"/>
  <c r="G34" i="19"/>
  <c r="AR31" i="18"/>
  <c r="AQ31" i="18"/>
  <c r="W47" i="27" s="1"/>
  <c r="AS31" i="18"/>
  <c r="AT31" i="18"/>
  <c r="Z47" i="27" s="1"/>
  <c r="AR56" i="18"/>
  <c r="AQ56" i="18"/>
  <c r="AT56" i="18"/>
  <c r="Z72" i="27" s="1"/>
  <c r="AS56" i="18"/>
  <c r="Y72" i="27" s="1"/>
  <c r="H40" i="27"/>
  <c r="I40" i="27"/>
  <c r="K40" i="27"/>
  <c r="J40" i="27"/>
  <c r="AT46" i="18"/>
  <c r="AR46" i="18"/>
  <c r="X62" i="27" s="1"/>
  <c r="AQ46" i="18"/>
  <c r="W62" i="27" s="1"/>
  <c r="AS46" i="18"/>
  <c r="Y62" i="27" s="1"/>
  <c r="AQ36" i="18"/>
  <c r="AR36" i="18"/>
  <c r="X52" i="27" s="1"/>
  <c r="AS36" i="18"/>
  <c r="Y52" i="27" s="1"/>
  <c r="AT36" i="18"/>
  <c r="Z52" i="27" s="1"/>
  <c r="AQ26" i="18"/>
  <c r="AT26" i="18"/>
  <c r="AR26" i="18"/>
  <c r="X42" i="27" s="1"/>
  <c r="AS26" i="18"/>
  <c r="L41" i="27"/>
  <c r="B49" i="27"/>
  <c r="B93" i="18"/>
  <c r="AL51" i="18" s="1"/>
  <c r="AI8" i="19"/>
  <c r="W72" i="27" l="1"/>
  <c r="W57" i="27"/>
  <c r="X57" i="27"/>
  <c r="V57" i="27" s="1"/>
  <c r="L42" i="27"/>
  <c r="Q53" i="19"/>
  <c r="Q50" i="19"/>
  <c r="Q21" i="19"/>
  <c r="Y47" i="27"/>
  <c r="Z62" i="27"/>
  <c r="V62" i="27" s="1"/>
  <c r="W52" i="27"/>
  <c r="V52" i="27" s="1"/>
  <c r="X47" i="27"/>
  <c r="X72" i="27"/>
  <c r="Q52" i="19"/>
  <c r="Q54" i="19"/>
  <c r="Q48" i="19"/>
  <c r="Q49" i="19"/>
  <c r="Q56" i="19"/>
  <c r="Q47" i="19"/>
  <c r="Q46" i="19"/>
  <c r="Q38" i="19"/>
  <c r="Q51" i="19"/>
  <c r="Q24" i="19"/>
  <c r="L56" i="27"/>
  <c r="Q41" i="19"/>
  <c r="Y42" i="27"/>
  <c r="Q37" i="19"/>
  <c r="Q31" i="19"/>
  <c r="Q39" i="19"/>
  <c r="W42" i="27"/>
  <c r="Q40" i="19"/>
  <c r="Z42" i="27"/>
  <c r="Q44" i="19"/>
  <c r="Q42" i="19"/>
  <c r="Q57" i="19"/>
  <c r="Q58" i="19"/>
  <c r="Q63" i="19"/>
  <c r="Q59" i="19"/>
  <c r="Q61" i="19"/>
  <c r="Q64" i="19"/>
  <c r="Q62" i="19"/>
  <c r="Q65" i="19"/>
  <c r="Q60" i="19"/>
  <c r="Q29" i="19"/>
  <c r="Q28" i="19"/>
  <c r="Q27" i="19"/>
  <c r="Q30" i="19"/>
  <c r="R7" i="19"/>
  <c r="S6" i="19"/>
  <c r="T6" i="19" s="1"/>
  <c r="X6" i="19" s="1"/>
  <c r="Y6" i="19" s="1"/>
  <c r="Q33" i="19"/>
  <c r="Q32" i="19"/>
  <c r="Q35" i="19"/>
  <c r="Q34" i="19"/>
  <c r="AM51" i="18"/>
  <c r="AQ51" i="18" s="1"/>
  <c r="W67" i="27" s="1"/>
  <c r="AB51" i="18"/>
  <c r="AM21" i="18"/>
  <c r="AC61" i="18"/>
  <c r="AP21" i="18"/>
  <c r="AN51" i="18"/>
  <c r="AR51" i="18" s="1"/>
  <c r="X67" i="27" s="1"/>
  <c r="AD51" i="18"/>
  <c r="AB21" i="18"/>
  <c r="AP51" i="18"/>
  <c r="AT51" i="18" s="1"/>
  <c r="Z67" i="27" s="1"/>
  <c r="AE61" i="18"/>
  <c r="AO21" i="18"/>
  <c r="AL61" i="18"/>
  <c r="AL21" i="18"/>
  <c r="AD21" i="18"/>
  <c r="AO51" i="18"/>
  <c r="AS51" i="18" s="1"/>
  <c r="Y67" i="27" s="1"/>
  <c r="AM61" i="18"/>
  <c r="AN21" i="18"/>
  <c r="AP61" i="18"/>
  <c r="AC21" i="18"/>
  <c r="B50" i="27"/>
  <c r="AA93" i="27" s="1"/>
  <c r="AC51" i="18"/>
  <c r="AN61" i="18"/>
  <c r="AB61" i="18"/>
  <c r="AD61" i="18"/>
  <c r="AO61" i="18"/>
  <c r="AE21" i="18"/>
  <c r="AE51" i="18"/>
  <c r="K9" i="19"/>
  <c r="O9" i="19" s="1"/>
  <c r="J10" i="19"/>
  <c r="V72" i="27"/>
  <c r="L40" i="27"/>
  <c r="AB6" i="18"/>
  <c r="AC54" i="18"/>
  <c r="AN6" i="18"/>
  <c r="AB60" i="18"/>
  <c r="AC44" i="18"/>
  <c r="AO44" i="18"/>
  <c r="AN53" i="18"/>
  <c r="AE29" i="18"/>
  <c r="AD27" i="18"/>
  <c r="AB27" i="18"/>
  <c r="AO6" i="18"/>
  <c r="AP32" i="18"/>
  <c r="AM62" i="18"/>
  <c r="AE37" i="18"/>
  <c r="AD39" i="18"/>
  <c r="AE39" i="18"/>
  <c r="AL19" i="18"/>
  <c r="AE25" i="18"/>
  <c r="AD33" i="18"/>
  <c r="AP48" i="18"/>
  <c r="AN43" i="18"/>
  <c r="AM50" i="18"/>
  <c r="AP13" i="18"/>
  <c r="AC34" i="18"/>
  <c r="AE24" i="18"/>
  <c r="AB8" i="18"/>
  <c r="AN18" i="18"/>
  <c r="AN49" i="18"/>
  <c r="AM42" i="18"/>
  <c r="AP55" i="18"/>
  <c r="AB54" i="18"/>
  <c r="AN9" i="18"/>
  <c r="AC11" i="18"/>
  <c r="AE35" i="18"/>
  <c r="AB29" i="18"/>
  <c r="AM48" i="18"/>
  <c r="AL35" i="18"/>
  <c r="AL17" i="18"/>
  <c r="AD28" i="18"/>
  <c r="AN27" i="18"/>
  <c r="AE43" i="18"/>
  <c r="AL20" i="18"/>
  <c r="AM59" i="18"/>
  <c r="AL63" i="18"/>
  <c r="AD63" i="18"/>
  <c r="AL27" i="18"/>
  <c r="AD40" i="18"/>
  <c r="AB20" i="18"/>
  <c r="AP11" i="18"/>
  <c r="AL48" i="18"/>
  <c r="AE11" i="18"/>
  <c r="AE13" i="18"/>
  <c r="AO28" i="18"/>
  <c r="AD49" i="18"/>
  <c r="AM29" i="18"/>
  <c r="AC28" i="18"/>
  <c r="AN57" i="18"/>
  <c r="AP53" i="18"/>
  <c r="AB38" i="18"/>
  <c r="AM19" i="18"/>
  <c r="AD60" i="18"/>
  <c r="AP19" i="18"/>
  <c r="AL59" i="18"/>
  <c r="I49" i="27"/>
  <c r="H49" i="27"/>
  <c r="J49" i="27"/>
  <c r="K49" i="27"/>
  <c r="AA23" i="27"/>
  <c r="AB23" i="27" s="1"/>
  <c r="AA198" i="27"/>
  <c r="AA218" i="27"/>
  <c r="AA32" i="27"/>
  <c r="AB32" i="27" s="1"/>
  <c r="AA70" i="27"/>
  <c r="AB70" i="27" s="1"/>
  <c r="AA48" i="27"/>
  <c r="AB48" i="27" s="1"/>
  <c r="AA213" i="27"/>
  <c r="AA201" i="27"/>
  <c r="AA24" i="27"/>
  <c r="AB24" i="27" s="1"/>
  <c r="AA107" i="27"/>
  <c r="AA64" i="27"/>
  <c r="AB64" i="27" s="1"/>
  <c r="AA33" i="27"/>
  <c r="AB33" i="27" s="1"/>
  <c r="AA181" i="27"/>
  <c r="AA216" i="27"/>
  <c r="AA180" i="27"/>
  <c r="AA220" i="27"/>
  <c r="AA41" i="27"/>
  <c r="AB41" i="27" s="1"/>
  <c r="AA210" i="27"/>
  <c r="AA88" i="27"/>
  <c r="AB88" i="27" s="1"/>
  <c r="AA190" i="27"/>
  <c r="AA221" i="27"/>
  <c r="AA54" i="27"/>
  <c r="AB54" i="27" s="1"/>
  <c r="AA147" i="27"/>
  <c r="AA217" i="27"/>
  <c r="AA214" i="27"/>
  <c r="AA83" i="27"/>
  <c r="AB83" i="27" s="1"/>
  <c r="AA130" i="27"/>
  <c r="AA100" i="27"/>
  <c r="AA158" i="27"/>
  <c r="AA135" i="27"/>
  <c r="AA191" i="27"/>
  <c r="AA78" i="27"/>
  <c r="AB78" i="27" s="1"/>
  <c r="AA142" i="27"/>
  <c r="AA172" i="27"/>
  <c r="AA192" i="27"/>
  <c r="AA139" i="27"/>
  <c r="AA175" i="27"/>
  <c r="AA113" i="27"/>
  <c r="AA57" i="27"/>
  <c r="AB57" i="27" s="1"/>
  <c r="AA120" i="27"/>
  <c r="AA174" i="27"/>
  <c r="AA156" i="27"/>
  <c r="AA146" i="27"/>
  <c r="AA177" i="27"/>
  <c r="AA211" i="27"/>
  <c r="AA204" i="27"/>
  <c r="AA76" i="27"/>
  <c r="AB76" i="27" s="1"/>
  <c r="AA92" i="27"/>
  <c r="AA151" i="27"/>
  <c r="AA96" i="27"/>
  <c r="AA166" i="27"/>
  <c r="AA176" i="27"/>
  <c r="AA94" i="27"/>
  <c r="AA61" i="27"/>
  <c r="AB61" i="27" s="1"/>
  <c r="AA133" i="27"/>
  <c r="AA185" i="27"/>
  <c r="AA55" i="27"/>
  <c r="AB55" i="27" s="1"/>
  <c r="AA103" i="27"/>
  <c r="AA62" i="27"/>
  <c r="AB62" i="27" s="1"/>
  <c r="AA105" i="27"/>
  <c r="AA109" i="27"/>
  <c r="AA112" i="27"/>
  <c r="AA138" i="27"/>
  <c r="AA168" i="27"/>
  <c r="AA129" i="27"/>
  <c r="AA30" i="27"/>
  <c r="AB30" i="27" s="1"/>
  <c r="AA195" i="27"/>
  <c r="AA66" i="27"/>
  <c r="AB66" i="27" s="1"/>
  <c r="AA215" i="27"/>
  <c r="AA205" i="27"/>
  <c r="AA123" i="27"/>
  <c r="AA44" i="27"/>
  <c r="AB44" i="27" s="1"/>
  <c r="AA189" i="27"/>
  <c r="AA137" i="27"/>
  <c r="AA122" i="27"/>
  <c r="AA152" i="27"/>
  <c r="AA26" i="27"/>
  <c r="AB26" i="27" s="1"/>
  <c r="AA73" i="27"/>
  <c r="AB73" i="27" s="1"/>
  <c r="AA161" i="27"/>
  <c r="AA143" i="27"/>
  <c r="AA134" i="27"/>
  <c r="AA219" i="27"/>
  <c r="AA170" i="27"/>
  <c r="AA42" i="27"/>
  <c r="AB42" i="27" s="1"/>
  <c r="AA58" i="27"/>
  <c r="AB58" i="27" s="1"/>
  <c r="AA37" i="27"/>
  <c r="AB37" i="27" s="1"/>
  <c r="AA125" i="27"/>
  <c r="AA212" i="27"/>
  <c r="AA188" i="27"/>
  <c r="AA90" i="27"/>
  <c r="AB90" i="27" s="1"/>
  <c r="AA193" i="27"/>
  <c r="AA194" i="27"/>
  <c r="AA136" i="27"/>
  <c r="AA196" i="27"/>
  <c r="AA207" i="27"/>
  <c r="AA40" i="27"/>
  <c r="AB40" i="27" s="1"/>
  <c r="AA50" i="27"/>
  <c r="AB50" i="27" s="1"/>
  <c r="AA110" i="27"/>
  <c r="AA164" i="27"/>
  <c r="AA53" i="27"/>
  <c r="AB53" i="27" s="1"/>
  <c r="AA159" i="27"/>
  <c r="AA200" i="27"/>
  <c r="AA114" i="27"/>
  <c r="AA154" i="27"/>
  <c r="AA208" i="27"/>
  <c r="AA69" i="27"/>
  <c r="AB69" i="27" s="1"/>
  <c r="AA84" i="27"/>
  <c r="AB84" i="27" s="1"/>
  <c r="AA155" i="27"/>
  <c r="AA28" i="27"/>
  <c r="AB28" i="27" s="1"/>
  <c r="AA150" i="27"/>
  <c r="AA106" i="27"/>
  <c r="AA131" i="27"/>
  <c r="AA141" i="27"/>
  <c r="AA108" i="27"/>
  <c r="AA63" i="27"/>
  <c r="AB63" i="27" s="1"/>
  <c r="AA91" i="27"/>
  <c r="AB91" i="27" s="1"/>
  <c r="AA38" i="27"/>
  <c r="AB38" i="27" s="1"/>
  <c r="AA115" i="27"/>
  <c r="AA160" i="27"/>
  <c r="AA60" i="27"/>
  <c r="AB60" i="27" s="1"/>
  <c r="AA203" i="27"/>
  <c r="AA148" i="27"/>
  <c r="AA117" i="27"/>
  <c r="AA179" i="27"/>
  <c r="AA167" i="27"/>
  <c r="AA186" i="27"/>
  <c r="AA124" i="27"/>
  <c r="AA182" i="27"/>
  <c r="AA111" i="27"/>
  <c r="AA72" i="27"/>
  <c r="AB72" i="27" s="1"/>
  <c r="AA52" i="27"/>
  <c r="AB52" i="27" s="1"/>
  <c r="AA209" i="27"/>
  <c r="AA140" i="27"/>
  <c r="AA119" i="27"/>
  <c r="AA163" i="27"/>
  <c r="AA169" i="27"/>
  <c r="AA121" i="27"/>
  <c r="AA149" i="27"/>
  <c r="AA31" i="27"/>
  <c r="AB31" i="27" s="1"/>
  <c r="AA101" i="27"/>
  <c r="AA157" i="27"/>
  <c r="AA25" i="27"/>
  <c r="AB25" i="27" s="1"/>
  <c r="AA206" i="27"/>
  <c r="AA197" i="27"/>
  <c r="AA165" i="27"/>
  <c r="AA68" i="27"/>
  <c r="AB68" i="27" s="1"/>
  <c r="AA98" i="27"/>
  <c r="AA39" i="27"/>
  <c r="AB39" i="27" s="1"/>
  <c r="AA144" i="27"/>
  <c r="AA199" i="27"/>
  <c r="AA51" i="27"/>
  <c r="AB51" i="27" s="1"/>
  <c r="AA173" i="27"/>
  <c r="AA132" i="27"/>
  <c r="AA43" i="27"/>
  <c r="AB43" i="27" s="1"/>
  <c r="AA183" i="27"/>
  <c r="AA67" i="27"/>
  <c r="AB67" i="27" s="1"/>
  <c r="AA118" i="27"/>
  <c r="AA171" i="27"/>
  <c r="AA153" i="27"/>
  <c r="AA36" i="27"/>
  <c r="AB36" i="27" s="1"/>
  <c r="AA145" i="27"/>
  <c r="AA102" i="27"/>
  <c r="AA202" i="27"/>
  <c r="AA178" i="27"/>
  <c r="AA49" i="27"/>
  <c r="AB49" i="27" s="1"/>
  <c r="AA187" i="27"/>
  <c r="AA34" i="27"/>
  <c r="AB34" i="27" s="1"/>
  <c r="AA89" i="27"/>
  <c r="AB89" i="27" s="1"/>
  <c r="AA65" i="27"/>
  <c r="AB65" i="27" s="1"/>
  <c r="AA46" i="27"/>
  <c r="AB46" i="27" s="1"/>
  <c r="AA59" i="27"/>
  <c r="AB59" i="27" s="1"/>
  <c r="AA184" i="27"/>
  <c r="AA97" i="27"/>
  <c r="AA128" i="27"/>
  <c r="AA45" i="27"/>
  <c r="AB45" i="27" s="1"/>
  <c r="AA71" i="27"/>
  <c r="AB71" i="27" s="1"/>
  <c r="AA162" i="27"/>
  <c r="AA104" i="27"/>
  <c r="AA29" i="27"/>
  <c r="AB29" i="27" s="1"/>
  <c r="AA27" i="27"/>
  <c r="AB27" i="27" s="1"/>
  <c r="AA116" i="27"/>
  <c r="AA47" i="27"/>
  <c r="AB47" i="27" s="1"/>
  <c r="AA126" i="27"/>
  <c r="AA77" i="27"/>
  <c r="AB77" i="27" s="1"/>
  <c r="AA79" i="27"/>
  <c r="AB79" i="27" s="1"/>
  <c r="AA82" i="27"/>
  <c r="AB82" i="27" s="1"/>
  <c r="AA74" i="27"/>
  <c r="AB74" i="27" s="1"/>
  <c r="AA87" i="27"/>
  <c r="AB87" i="27" s="1"/>
  <c r="AA75" i="27"/>
  <c r="AB75" i="27" s="1"/>
  <c r="AA85" i="27"/>
  <c r="AB85" i="27" s="1"/>
  <c r="AA86" i="27"/>
  <c r="AB86" i="27" s="1"/>
  <c r="AA95" i="27"/>
  <c r="AA80" i="27"/>
  <c r="AB80" i="27" s="1"/>
  <c r="AA21" i="27"/>
  <c r="AB21" i="27" s="1"/>
  <c r="AD54" i="18"/>
  <c r="AO7" i="18"/>
  <c r="AB59" i="18"/>
  <c r="AN19" i="18"/>
  <c r="AO5" i="18"/>
  <c r="AN38" i="18"/>
  <c r="AC9" i="18"/>
  <c r="AC13" i="18"/>
  <c r="AM9" i="18"/>
  <c r="AM32" i="18"/>
  <c r="AM8" i="18"/>
  <c r="AB9" i="18"/>
  <c r="AP42" i="18"/>
  <c r="AP57" i="18"/>
  <c r="AP40" i="18"/>
  <c r="AB18" i="18"/>
  <c r="AD11" i="18"/>
  <c r="AM11" i="18"/>
  <c r="AB40" i="18"/>
  <c r="AD43" i="18"/>
  <c r="AN65" i="18"/>
  <c r="AP59" i="18"/>
  <c r="AN50" i="18"/>
  <c r="AE57" i="18"/>
  <c r="AM22" i="18"/>
  <c r="AC43" i="18"/>
  <c r="AO11" i="18"/>
  <c r="AO13" i="18"/>
  <c r="AN47" i="18"/>
  <c r="AO60" i="18"/>
  <c r="AM30" i="18"/>
  <c r="AE32" i="18"/>
  <c r="AC15" i="18"/>
  <c r="AM13" i="18"/>
  <c r="AD52" i="18"/>
  <c r="AM44" i="18"/>
  <c r="AD53" i="18"/>
  <c r="AP5" i="18"/>
  <c r="AC14" i="18"/>
  <c r="AL16" i="18"/>
  <c r="AB52" i="18"/>
  <c r="AD35" i="18"/>
  <c r="AN62" i="18"/>
  <c r="AP29" i="18"/>
  <c r="AN7" i="18"/>
  <c r="AC18" i="18"/>
  <c r="AE59" i="18"/>
  <c r="AB24" i="18"/>
  <c r="AN13" i="18"/>
  <c r="AN63" i="18"/>
  <c r="AC52" i="18"/>
  <c r="Q14" i="18"/>
  <c r="Q16" i="18"/>
  <c r="Q36" i="18"/>
  <c r="Q8" i="18"/>
  <c r="Q60" i="18"/>
  <c r="Q12" i="18"/>
  <c r="Q15" i="18"/>
  <c r="Q7" i="18"/>
  <c r="Q59" i="18"/>
  <c r="Q38" i="18"/>
  <c r="Q42" i="18"/>
  <c r="Q6" i="18"/>
  <c r="R6" i="18" s="1"/>
  <c r="S6" i="18" s="1"/>
  <c r="Q11" i="18"/>
  <c r="Q58" i="18"/>
  <c r="Q19" i="18"/>
  <c r="Q10" i="18"/>
  <c r="Q64" i="18"/>
  <c r="Q17" i="18"/>
  <c r="Q9" i="18"/>
  <c r="Q18" i="18"/>
  <c r="Q63" i="18"/>
  <c r="Q20" i="18"/>
  <c r="Q13" i="18"/>
  <c r="Q65" i="18"/>
  <c r="Q27" i="18"/>
  <c r="Q43" i="18"/>
  <c r="Q23" i="18"/>
  <c r="Q26" i="18"/>
  <c r="Q55" i="18"/>
  <c r="Q22" i="18"/>
  <c r="Q28" i="18"/>
  <c r="Q44" i="18"/>
  <c r="Q50" i="18"/>
  <c r="Q40" i="18"/>
  <c r="Q61" i="18"/>
  <c r="Q25" i="18"/>
  <c r="Q48" i="18"/>
  <c r="Q62" i="18"/>
  <c r="Q46" i="18"/>
  <c r="Q39" i="18"/>
  <c r="Q49" i="18"/>
  <c r="Q56" i="18"/>
  <c r="Q45" i="18"/>
  <c r="Q37" i="18"/>
  <c r="Q53" i="18"/>
  <c r="Q57" i="18"/>
  <c r="Q34" i="18"/>
  <c r="Q24" i="18"/>
  <c r="Q52" i="18"/>
  <c r="Q41" i="18"/>
  <c r="Q29" i="18"/>
  <c r="Q30" i="18"/>
  <c r="Q32" i="18"/>
  <c r="Q33" i="18"/>
  <c r="Q54" i="18"/>
  <c r="Q21" i="18"/>
  <c r="Q35" i="18"/>
  <c r="Q31" i="18"/>
  <c r="Q47" i="18"/>
  <c r="Q51" i="18"/>
  <c r="AD57" i="18"/>
  <c r="AD18" i="18"/>
  <c r="AE58" i="18"/>
  <c r="AN32" i="18"/>
  <c r="AL5" i="18"/>
  <c r="AD45" i="18"/>
  <c r="AO65" i="18"/>
  <c r="AM10" i="18"/>
  <c r="AD17" i="18"/>
  <c r="AP18" i="18"/>
  <c r="AE8" i="18"/>
  <c r="AO32" i="18"/>
  <c r="AC60" i="18"/>
  <c r="AP52" i="18"/>
  <c r="AP35" i="18"/>
  <c r="AC45" i="18"/>
  <c r="AN20" i="18"/>
  <c r="AB63" i="18"/>
  <c r="AM34" i="18"/>
  <c r="AL12" i="18"/>
  <c r="AP58" i="18"/>
  <c r="AM63" i="18"/>
  <c r="AP45" i="18"/>
  <c r="AB50" i="18"/>
  <c r="AE15" i="18"/>
  <c r="AM24" i="18"/>
  <c r="AD14" i="18"/>
  <c r="AB13" i="18"/>
  <c r="AM43" i="18"/>
  <c r="AD24" i="18"/>
  <c r="AD44" i="18"/>
  <c r="AN12" i="18"/>
  <c r="AB7" i="18"/>
  <c r="AE42" i="18"/>
  <c r="AO24" i="18"/>
  <c r="AD15" i="18"/>
  <c r="AN64" i="18"/>
  <c r="AD5" i="18"/>
  <c r="AB58" i="18"/>
  <c r="AL11" i="18"/>
  <c r="AC47" i="18"/>
  <c r="AB53" i="18"/>
  <c r="AL49" i="18"/>
  <c r="AP49" i="18"/>
  <c r="AM28" i="18"/>
  <c r="AO18" i="18"/>
  <c r="AD38" i="18"/>
  <c r="AL29" i="18"/>
  <c r="AD42" i="18"/>
  <c r="AC12" i="18"/>
  <c r="AP60" i="18"/>
  <c r="AM20" i="18"/>
  <c r="AC50" i="18"/>
  <c r="AO17" i="18"/>
  <c r="AN16" i="18"/>
  <c r="AD8" i="18"/>
  <c r="AO49" i="18"/>
  <c r="AP8" i="18"/>
  <c r="AE22" i="18"/>
  <c r="AP15" i="18"/>
  <c r="AC27" i="18"/>
  <c r="AL18" i="18"/>
  <c r="AC16" i="18"/>
  <c r="AO38" i="18"/>
  <c r="AN45" i="18"/>
  <c r="AE30" i="18"/>
  <c r="AC58" i="18"/>
  <c r="AL8" i="18"/>
  <c r="AB32" i="18"/>
  <c r="AE28" i="18"/>
  <c r="AL52" i="18"/>
  <c r="AO40" i="18"/>
  <c r="AE38" i="18"/>
  <c r="AL32" i="18"/>
  <c r="AE16" i="18"/>
  <c r="AD6" i="18"/>
  <c r="AD7" i="18"/>
  <c r="AO58" i="18"/>
  <c r="AL39" i="18"/>
  <c r="AC20" i="18"/>
  <c r="AD47" i="18"/>
  <c r="AP7" i="18"/>
  <c r="AC7" i="18"/>
  <c r="AL10" i="18"/>
  <c r="AM7" i="18"/>
  <c r="AO53" i="18"/>
  <c r="AO16" i="18"/>
  <c r="AD23" i="18"/>
  <c r="AP23" i="18"/>
  <c r="AB39" i="18"/>
  <c r="AN11" i="18"/>
  <c r="AB37" i="18"/>
  <c r="AO63" i="18"/>
  <c r="AP43" i="18"/>
  <c r="AE5" i="18"/>
  <c r="AD64" i="18"/>
  <c r="AL24" i="18"/>
  <c r="AE52" i="18"/>
  <c r="AL30" i="18"/>
  <c r="AO47" i="18"/>
  <c r="AO62" i="18"/>
  <c r="AM55" i="18"/>
  <c r="AB30" i="18"/>
  <c r="AE40" i="18"/>
  <c r="AC19" i="18"/>
  <c r="AE53" i="18"/>
  <c r="AL7" i="18"/>
  <c r="AM64" i="18"/>
  <c r="AO50" i="18"/>
  <c r="AN33" i="18"/>
  <c r="AD48" i="18"/>
  <c r="AP30" i="18"/>
  <c r="AO29" i="18"/>
  <c r="AM33" i="18"/>
  <c r="AL64" i="18"/>
  <c r="AO35" i="18"/>
  <c r="I50" i="27"/>
  <c r="H50" i="27"/>
  <c r="J50" i="27"/>
  <c r="K50" i="27"/>
  <c r="AO34" i="18"/>
  <c r="AL6" i="18"/>
  <c r="AP28" i="18"/>
  <c r="AC59" i="18"/>
  <c r="AE12" i="18"/>
  <c r="AL15" i="18"/>
  <c r="AO54" i="18"/>
  <c r="AP50" i="18"/>
  <c r="AO10" i="18"/>
  <c r="AD65" i="18"/>
  <c r="AP20" i="18"/>
  <c r="AB64" i="18"/>
  <c r="AC32" i="18"/>
  <c r="AO43" i="18"/>
  <c r="AN55" i="18"/>
  <c r="AM12" i="18"/>
  <c r="AC30" i="18"/>
  <c r="AO9" i="18"/>
  <c r="AE18" i="18"/>
  <c r="AL33" i="18"/>
  <c r="AP47" i="18"/>
  <c r="AM58" i="18"/>
  <c r="AD34" i="18"/>
  <c r="AE48" i="18"/>
  <c r="AO20" i="18"/>
  <c r="AC39" i="18"/>
  <c r="AP22" i="18"/>
  <c r="AC64" i="18"/>
  <c r="AN59" i="18"/>
  <c r="AE45" i="18"/>
  <c r="AC53" i="18"/>
  <c r="AC6" i="18"/>
  <c r="AD20" i="18"/>
  <c r="AN24" i="18"/>
  <c r="AM23" i="18"/>
  <c r="AM38" i="18"/>
  <c r="AB49" i="18"/>
  <c r="AC25" i="18"/>
  <c r="AE65" i="18"/>
  <c r="AB11" i="18"/>
  <c r="AL13" i="18"/>
  <c r="AM5" i="18"/>
  <c r="AM65" i="18"/>
  <c r="AL57" i="18"/>
  <c r="AO55" i="18"/>
  <c r="AB62" i="18"/>
  <c r="AO12" i="18"/>
  <c r="AD50" i="18"/>
  <c r="AP14" i="18"/>
  <c r="AM49" i="18"/>
  <c r="AM37" i="18"/>
  <c r="AM35" i="18"/>
  <c r="AB34" i="18"/>
  <c r="AE50" i="18"/>
  <c r="AC23" i="18"/>
  <c r="AD62" i="18"/>
  <c r="AO8" i="18"/>
  <c r="AL37" i="18"/>
  <c r="AL55" i="18"/>
  <c r="AC37" i="18"/>
  <c r="AM17" i="18"/>
  <c r="AB23" i="18"/>
  <c r="AE9" i="18"/>
  <c r="AC40" i="18"/>
  <c r="AO39" i="18"/>
  <c r="AN42" i="18"/>
  <c r="AN35" i="18"/>
  <c r="AN23" i="18"/>
  <c r="AB5" i="18"/>
  <c r="AL34" i="18"/>
  <c r="AE10" i="18"/>
  <c r="AO59" i="18"/>
  <c r="AN60" i="18"/>
  <c r="AM25" i="18"/>
  <c r="AC62" i="18"/>
  <c r="AN22" i="18"/>
  <c r="AN8" i="18"/>
  <c r="AE63" i="18"/>
  <c r="AP63" i="18"/>
  <c r="AB17" i="18"/>
  <c r="AC17" i="18"/>
  <c r="AP10" i="18"/>
  <c r="AP33" i="18"/>
  <c r="AE34" i="18"/>
  <c r="AP16" i="18"/>
  <c r="AN58" i="18"/>
  <c r="AP37" i="18"/>
  <c r="AL23" i="18"/>
  <c r="AN15" i="18"/>
  <c r="AC38" i="18"/>
  <c r="AE33" i="18"/>
  <c r="AB12" i="18"/>
  <c r="AE54" i="18"/>
  <c r="AO37" i="18"/>
  <c r="AO45" i="18"/>
  <c r="AC57" i="18"/>
  <c r="AN25" i="18"/>
  <c r="AB43" i="18"/>
  <c r="AB16" i="18"/>
  <c r="AB57" i="18"/>
  <c r="AP39" i="18"/>
  <c r="AM53" i="18"/>
  <c r="AL45" i="18"/>
  <c r="AE6" i="18"/>
  <c r="AO25" i="18"/>
  <c r="AE60" i="18"/>
  <c r="AP27" i="18"/>
  <c r="AM39" i="18"/>
  <c r="AP54" i="18"/>
  <c r="AE44" i="18"/>
  <c r="AD10" i="18"/>
  <c r="AM14" i="18"/>
  <c r="AC55" i="18"/>
  <c r="AC24" i="18"/>
  <c r="AL38" i="18"/>
  <c r="AL53" i="18"/>
  <c r="AM60" i="18"/>
  <c r="AN5" i="18"/>
  <c r="AD9" i="18"/>
  <c r="AN30" i="18"/>
  <c r="AB55" i="18"/>
  <c r="AP17" i="18"/>
  <c r="AP24" i="18"/>
  <c r="AL54" i="18"/>
  <c r="AL42" i="18"/>
  <c r="AN29" i="18"/>
  <c r="AB10" i="18"/>
  <c r="AN17" i="18"/>
  <c r="AC63" i="18"/>
  <c r="AP6" i="18"/>
  <c r="AM57" i="18"/>
  <c r="AN37" i="18"/>
  <c r="AN34" i="18"/>
  <c r="AB14" i="18"/>
  <c r="AE7" i="18"/>
  <c r="AC35" i="18"/>
  <c r="AP34" i="18"/>
  <c r="AC48" i="18"/>
  <c r="AN54" i="18"/>
  <c r="AM15" i="18"/>
  <c r="AC49" i="18"/>
  <c r="AL22" i="18"/>
  <c r="AB35" i="18"/>
  <c r="AP9" i="18"/>
  <c r="AE19" i="18"/>
  <c r="AN44" i="18"/>
  <c r="AN48" i="18"/>
  <c r="AL40" i="18"/>
  <c r="AN28" i="18"/>
  <c r="AD19" i="18"/>
  <c r="AP12" i="18"/>
  <c r="AB44" i="18"/>
  <c r="AL25" i="18"/>
  <c r="AP44" i="18"/>
  <c r="AL50" i="18"/>
  <c r="AD55" i="18"/>
  <c r="AC10" i="18"/>
  <c r="AD30" i="18"/>
  <c r="AB48" i="18"/>
  <c r="AE62" i="18"/>
  <c r="AO52" i="18"/>
  <c r="AP64" i="18"/>
  <c r="AE49" i="18"/>
  <c r="AC5" i="18"/>
  <c r="AB15" i="18"/>
  <c r="AO14" i="18"/>
  <c r="AD25" i="18"/>
  <c r="AM54" i="18"/>
  <c r="AO48" i="18"/>
  <c r="AC33" i="18"/>
  <c r="AE14" i="18"/>
  <c r="AM27" i="18"/>
  <c r="AD59" i="18"/>
  <c r="AM18" i="18"/>
  <c r="AN52" i="18"/>
  <c r="AP65" i="18"/>
  <c r="AM45" i="18"/>
  <c r="AL9" i="18"/>
  <c r="AC22" i="18"/>
  <c r="AD58" i="18"/>
  <c r="AB28" i="18"/>
  <c r="AE55" i="18"/>
  <c r="AO42" i="18"/>
  <c r="AL58" i="18"/>
  <c r="AD29" i="18"/>
  <c r="AB42" i="18"/>
  <c r="AO30" i="18"/>
  <c r="AE17" i="18"/>
  <c r="AO19" i="18"/>
  <c r="AM52" i="18"/>
  <c r="AD16" i="18"/>
  <c r="AO23" i="18"/>
  <c r="AD37" i="18"/>
  <c r="AM6" i="18"/>
  <c r="AD13" i="18"/>
  <c r="AN10" i="18"/>
  <c r="AL28" i="18"/>
  <c r="AL44" i="18"/>
  <c r="AM40" i="18"/>
  <c r="AE47" i="18"/>
  <c r="AO33" i="18"/>
  <c r="AD12" i="18"/>
  <c r="AO22" i="18"/>
  <c r="AB25" i="18"/>
  <c r="AL62" i="18"/>
  <c r="AP62" i="18"/>
  <c r="AN40" i="18"/>
  <c r="AB22" i="18"/>
  <c r="AE23" i="18"/>
  <c r="AP25" i="18"/>
  <c r="AD22" i="18"/>
  <c r="AE27" i="18"/>
  <c r="AO57" i="18"/>
  <c r="AL60" i="18"/>
  <c r="AE64" i="18"/>
  <c r="AC42" i="18"/>
  <c r="AN14" i="18"/>
  <c r="AD32" i="18"/>
  <c r="AB45" i="18"/>
  <c r="AM47" i="18"/>
  <c r="AL47" i="18"/>
  <c r="AC29" i="18"/>
  <c r="AL14" i="18"/>
  <c r="AB47" i="18"/>
  <c r="AO27" i="18"/>
  <c r="AC8" i="18"/>
  <c r="AN39" i="18"/>
  <c r="AO64" i="18"/>
  <c r="AC65" i="18"/>
  <c r="AO15" i="18"/>
  <c r="AB19" i="18"/>
  <c r="AM16" i="18"/>
  <c r="AE20" i="18"/>
  <c r="AL43" i="18"/>
  <c r="AP38" i="18"/>
  <c r="AB33" i="18"/>
  <c r="AI9" i="19"/>
  <c r="AF10" i="19"/>
  <c r="V47" i="27" l="1"/>
  <c r="AA35" i="27"/>
  <c r="AB35" i="27" s="1"/>
  <c r="AA127" i="27"/>
  <c r="AA56" i="27"/>
  <c r="AB56" i="27" s="1"/>
  <c r="AA99" i="27"/>
  <c r="V42" i="27"/>
  <c r="R8" i="19"/>
  <c r="S7" i="19"/>
  <c r="T7" i="19" s="1"/>
  <c r="X7" i="19" s="1"/>
  <c r="Y7" i="19" s="1"/>
  <c r="AR21" i="18"/>
  <c r="X37" i="27" s="1"/>
  <c r="AQ21" i="18"/>
  <c r="W37" i="27" s="1"/>
  <c r="AS21" i="18"/>
  <c r="Y37" i="27" s="1"/>
  <c r="AT21" i="18"/>
  <c r="Z37" i="27" s="1"/>
  <c r="AT61" i="18"/>
  <c r="Z77" i="27" s="1"/>
  <c r="AR61" i="18"/>
  <c r="X77" i="27" s="1"/>
  <c r="AQ61" i="18"/>
  <c r="W77" i="27" s="1"/>
  <c r="AS61" i="18"/>
  <c r="Y77" i="27" s="1"/>
  <c r="V67" i="27"/>
  <c r="K10" i="19"/>
  <c r="O10" i="19" s="1"/>
  <c r="J11" i="19"/>
  <c r="L50" i="27"/>
  <c r="R7" i="18"/>
  <c r="S7" i="18" s="1"/>
  <c r="T7" i="18" s="1"/>
  <c r="X7" i="18" s="1"/>
  <c r="Y7" i="18" s="1"/>
  <c r="L49" i="27"/>
  <c r="AR35" i="18"/>
  <c r="X51" i="27" s="1"/>
  <c r="AS35" i="18"/>
  <c r="Y51" i="27" s="1"/>
  <c r="AT35" i="18"/>
  <c r="Z51" i="27" s="1"/>
  <c r="AQ35" i="18"/>
  <c r="W51" i="27" s="1"/>
  <c r="AT40" i="18"/>
  <c r="Z56" i="27" s="1"/>
  <c r="AQ40" i="18"/>
  <c r="W56" i="27" s="1"/>
  <c r="AR40" i="18"/>
  <c r="X56" i="27" s="1"/>
  <c r="AS40" i="18"/>
  <c r="Y56" i="27" s="1"/>
  <c r="AS54" i="18"/>
  <c r="Y70" i="27" s="1"/>
  <c r="AR54" i="18"/>
  <c r="X70" i="27" s="1"/>
  <c r="AQ54" i="18"/>
  <c r="W70" i="27" s="1"/>
  <c r="AT54" i="18"/>
  <c r="Z70" i="27" s="1"/>
  <c r="AR45" i="18"/>
  <c r="X61" i="27" s="1"/>
  <c r="AT45" i="18"/>
  <c r="Z61" i="27" s="1"/>
  <c r="AQ45" i="18"/>
  <c r="W61" i="27" s="1"/>
  <c r="AS45" i="18"/>
  <c r="Y61" i="27" s="1"/>
  <c r="AQ16" i="18"/>
  <c r="W32" i="27" s="1"/>
  <c r="AS16" i="18"/>
  <c r="Y32" i="27" s="1"/>
  <c r="AR16" i="18"/>
  <c r="X32" i="27" s="1"/>
  <c r="AT16" i="18"/>
  <c r="Z32" i="27" s="1"/>
  <c r="AT63" i="18"/>
  <c r="Z79" i="27" s="1"/>
  <c r="AS63" i="18"/>
  <c r="Y79" i="27" s="1"/>
  <c r="AQ63" i="18"/>
  <c r="W79" i="27" s="1"/>
  <c r="AR63" i="18"/>
  <c r="X79" i="27" s="1"/>
  <c r="AS50" i="18"/>
  <c r="Y66" i="27" s="1"/>
  <c r="AR50" i="18"/>
  <c r="X66" i="27" s="1"/>
  <c r="AT50" i="18"/>
  <c r="Z66" i="27" s="1"/>
  <c r="AQ50" i="18"/>
  <c r="W66" i="27" s="1"/>
  <c r="AR39" i="18"/>
  <c r="X55" i="27" s="1"/>
  <c r="AT39" i="18"/>
  <c r="Z55" i="27" s="1"/>
  <c r="AQ39" i="18"/>
  <c r="W55" i="27" s="1"/>
  <c r="AS39" i="18"/>
  <c r="Y55" i="27" s="1"/>
  <c r="AQ52" i="18"/>
  <c r="W68" i="27" s="1"/>
  <c r="AR52" i="18"/>
  <c r="X68" i="27" s="1"/>
  <c r="AT52" i="18"/>
  <c r="Z68" i="27" s="1"/>
  <c r="AS52" i="18"/>
  <c r="Y68" i="27" s="1"/>
  <c r="AT29" i="18"/>
  <c r="Z45" i="27" s="1"/>
  <c r="AR29" i="18"/>
  <c r="X45" i="27" s="1"/>
  <c r="AS29" i="18"/>
  <c r="Y45" i="27" s="1"/>
  <c r="AQ29" i="18"/>
  <c r="W45" i="27" s="1"/>
  <c r="AQ11" i="18"/>
  <c r="W27" i="27" s="1"/>
  <c r="AT11" i="18"/>
  <c r="Z27" i="27" s="1"/>
  <c r="AR11" i="18"/>
  <c r="X27" i="27" s="1"/>
  <c r="AS11" i="18"/>
  <c r="Y27" i="27" s="1"/>
  <c r="T6" i="18"/>
  <c r="X6" i="18" s="1"/>
  <c r="C94" i="18"/>
  <c r="AQ48" i="18"/>
  <c r="W64" i="27" s="1"/>
  <c r="AR48" i="18"/>
  <c r="X64" i="27" s="1"/>
  <c r="AT48" i="18"/>
  <c r="Z64" i="27" s="1"/>
  <c r="AS48" i="18"/>
  <c r="Y64" i="27" s="1"/>
  <c r="AQ20" i="18"/>
  <c r="W36" i="27" s="1"/>
  <c r="AR20" i="18"/>
  <c r="X36" i="27" s="1"/>
  <c r="AS20" i="18"/>
  <c r="Y36" i="27" s="1"/>
  <c r="AT20" i="18"/>
  <c r="Z36" i="27" s="1"/>
  <c r="AQ28" i="18"/>
  <c r="W44" i="27" s="1"/>
  <c r="AS28" i="18"/>
  <c r="Y44" i="27" s="1"/>
  <c r="AT28" i="18"/>
  <c r="Z44" i="27" s="1"/>
  <c r="AR28" i="18"/>
  <c r="X44" i="27" s="1"/>
  <c r="AS34" i="18"/>
  <c r="Y50" i="27" s="1"/>
  <c r="AQ34" i="18"/>
  <c r="W50" i="27" s="1"/>
  <c r="AT34" i="18"/>
  <c r="Z50" i="27" s="1"/>
  <c r="AR34" i="18"/>
  <c r="X50" i="27" s="1"/>
  <c r="AQ18" i="18"/>
  <c r="W34" i="27" s="1"/>
  <c r="AT18" i="18"/>
  <c r="Z34" i="27" s="1"/>
  <c r="AS18" i="18"/>
  <c r="Y34" i="27" s="1"/>
  <c r="AR18" i="18"/>
  <c r="X34" i="27" s="1"/>
  <c r="AQ19" i="18"/>
  <c r="W35" i="27" s="1"/>
  <c r="AT19" i="18"/>
  <c r="Z35" i="27" s="1"/>
  <c r="AS19" i="18"/>
  <c r="Y35" i="27" s="1"/>
  <c r="AR19" i="18"/>
  <c r="X35" i="27" s="1"/>
  <c r="AH6" i="18"/>
  <c r="AH7" i="18" s="1"/>
  <c r="AH8" i="18" s="1"/>
  <c r="AH9" i="18" s="1"/>
  <c r="AH10" i="18" s="1"/>
  <c r="AH11" i="18" s="1"/>
  <c r="AH12" i="18" s="1"/>
  <c r="AH13" i="18" s="1"/>
  <c r="AH14" i="18" s="1"/>
  <c r="AH15" i="18" s="1"/>
  <c r="AH16" i="18" s="1"/>
  <c r="AH17" i="18" s="1"/>
  <c r="AH18" i="18" s="1"/>
  <c r="AH19" i="18" s="1"/>
  <c r="AH20" i="18" s="1"/>
  <c r="AH21" i="18" s="1"/>
  <c r="AH22" i="18" s="1"/>
  <c r="AH23" i="18" s="1"/>
  <c r="AH24" i="18" s="1"/>
  <c r="AH25" i="18" s="1"/>
  <c r="AH26" i="18" s="1"/>
  <c r="AH27" i="18" s="1"/>
  <c r="AH28" i="18" s="1"/>
  <c r="AH29" i="18" s="1"/>
  <c r="AH30" i="18" s="1"/>
  <c r="AH31" i="18" s="1"/>
  <c r="AH32" i="18" s="1"/>
  <c r="AH33" i="18" s="1"/>
  <c r="AH34" i="18" s="1"/>
  <c r="AH35" i="18" s="1"/>
  <c r="AH36" i="18" s="1"/>
  <c r="AH37" i="18" s="1"/>
  <c r="AH38" i="18" s="1"/>
  <c r="AH39" i="18" s="1"/>
  <c r="AH40" i="18" s="1"/>
  <c r="AH41" i="18" s="1"/>
  <c r="AH42" i="18" s="1"/>
  <c r="AH43" i="18" s="1"/>
  <c r="AH44" i="18" s="1"/>
  <c r="AH45" i="18" s="1"/>
  <c r="AH46" i="18" s="1"/>
  <c r="AH47" i="18" s="1"/>
  <c r="AH48" i="18" s="1"/>
  <c r="AH49" i="18" s="1"/>
  <c r="AH50" i="18" s="1"/>
  <c r="AH51" i="18" s="1"/>
  <c r="AH52" i="18" s="1"/>
  <c r="AH53" i="18" s="1"/>
  <c r="AH54" i="18" s="1"/>
  <c r="AH55" i="18" s="1"/>
  <c r="AH56" i="18" s="1"/>
  <c r="AH57" i="18" s="1"/>
  <c r="AH58" i="18" s="1"/>
  <c r="AH59" i="18" s="1"/>
  <c r="AH60" i="18" s="1"/>
  <c r="AH61" i="18" s="1"/>
  <c r="AH62" i="18" s="1"/>
  <c r="AH63" i="18" s="1"/>
  <c r="AH64" i="18" s="1"/>
  <c r="AF6" i="18"/>
  <c r="AG6" i="18"/>
  <c r="AG7" i="18" s="1"/>
  <c r="AG8" i="18" s="1"/>
  <c r="AG9" i="18" s="1"/>
  <c r="AG10" i="18" s="1"/>
  <c r="AG11" i="18" s="1"/>
  <c r="AG12" i="18" s="1"/>
  <c r="AG13" i="18" s="1"/>
  <c r="AG14" i="18" s="1"/>
  <c r="AG15" i="18" s="1"/>
  <c r="AG16" i="18" s="1"/>
  <c r="AG17" i="18" s="1"/>
  <c r="AG18" i="18" s="1"/>
  <c r="AG19" i="18" s="1"/>
  <c r="AG20" i="18" s="1"/>
  <c r="AG21" i="18" s="1"/>
  <c r="AG22" i="18" s="1"/>
  <c r="AG23" i="18" s="1"/>
  <c r="AG24" i="18" s="1"/>
  <c r="AG25" i="18" s="1"/>
  <c r="AG26" i="18" s="1"/>
  <c r="AG27" i="18" s="1"/>
  <c r="AG28" i="18" s="1"/>
  <c r="AG29" i="18" s="1"/>
  <c r="AG30" i="18" s="1"/>
  <c r="AG31" i="18" s="1"/>
  <c r="AG32" i="18" s="1"/>
  <c r="AG33" i="18" s="1"/>
  <c r="AG34" i="18" s="1"/>
  <c r="AG35" i="18" s="1"/>
  <c r="AG36" i="18" s="1"/>
  <c r="AG37" i="18" s="1"/>
  <c r="AG38" i="18" s="1"/>
  <c r="AG39" i="18" s="1"/>
  <c r="AG40" i="18" s="1"/>
  <c r="AG41" i="18" s="1"/>
  <c r="AG42" i="18" s="1"/>
  <c r="AG43" i="18" s="1"/>
  <c r="AG44" i="18" s="1"/>
  <c r="AG45" i="18" s="1"/>
  <c r="AG46" i="18" s="1"/>
  <c r="AG47" i="18" s="1"/>
  <c r="AG48" i="18" s="1"/>
  <c r="AG49" i="18" s="1"/>
  <c r="AG50" i="18" s="1"/>
  <c r="AG51" i="18" s="1"/>
  <c r="AG52" i="18" s="1"/>
  <c r="AG53" i="18" s="1"/>
  <c r="AG54" i="18" s="1"/>
  <c r="AG55" i="18" s="1"/>
  <c r="AG56" i="18" s="1"/>
  <c r="AG57" i="18" s="1"/>
  <c r="AG58" i="18" s="1"/>
  <c r="AG59" i="18" s="1"/>
  <c r="AG60" i="18" s="1"/>
  <c r="AG61" i="18" s="1"/>
  <c r="AG62" i="18" s="1"/>
  <c r="AG63" i="18" s="1"/>
  <c r="AG64" i="18" s="1"/>
  <c r="AS47" i="18"/>
  <c r="Y63" i="27" s="1"/>
  <c r="AQ47" i="18"/>
  <c r="W63" i="27" s="1"/>
  <c r="AR47" i="18"/>
  <c r="X63" i="27" s="1"/>
  <c r="AT47" i="18"/>
  <c r="Z63" i="27" s="1"/>
  <c r="AT42" i="18"/>
  <c r="Z58" i="27" s="1"/>
  <c r="AQ42" i="18"/>
  <c r="W58" i="27" s="1"/>
  <c r="AR42" i="18"/>
  <c r="X58" i="27" s="1"/>
  <c r="AS42" i="18"/>
  <c r="Y58" i="27" s="1"/>
  <c r="AS23" i="18"/>
  <c r="Y39" i="27" s="1"/>
  <c r="AT23" i="18"/>
  <c r="Z39" i="27" s="1"/>
  <c r="AR23" i="18"/>
  <c r="X39" i="27" s="1"/>
  <c r="AQ23" i="18"/>
  <c r="W39" i="27" s="1"/>
  <c r="AS24" i="18"/>
  <c r="Y40" i="27" s="1"/>
  <c r="AR24" i="18"/>
  <c r="X40" i="27" s="1"/>
  <c r="AQ24" i="18"/>
  <c r="W40" i="27" s="1"/>
  <c r="AT24" i="18"/>
  <c r="Z40" i="27" s="1"/>
  <c r="AT25" i="18"/>
  <c r="Z41" i="27" s="1"/>
  <c r="AS25" i="18"/>
  <c r="Y41" i="27" s="1"/>
  <c r="AQ25" i="18"/>
  <c r="W41" i="27" s="1"/>
  <c r="AR25" i="18"/>
  <c r="X41" i="27" s="1"/>
  <c r="AR53" i="18"/>
  <c r="X69" i="27" s="1"/>
  <c r="AQ53" i="18"/>
  <c r="W69" i="27" s="1"/>
  <c r="AS53" i="18"/>
  <c r="Y69" i="27" s="1"/>
  <c r="AT53" i="18"/>
  <c r="Z69" i="27" s="1"/>
  <c r="AQ58" i="18"/>
  <c r="W74" i="27" s="1"/>
  <c r="AS58" i="18"/>
  <c r="Y74" i="27" s="1"/>
  <c r="AT58" i="18"/>
  <c r="Z74" i="27" s="1"/>
  <c r="AR58" i="18"/>
  <c r="X74" i="27" s="1"/>
  <c r="AT38" i="18"/>
  <c r="Z54" i="27" s="1"/>
  <c r="AS38" i="18"/>
  <c r="Y54" i="27" s="1"/>
  <c r="AR38" i="18"/>
  <c r="X54" i="27" s="1"/>
  <c r="AQ38" i="18"/>
  <c r="W54" i="27" s="1"/>
  <c r="AR57" i="18"/>
  <c r="X73" i="27" s="1"/>
  <c r="AS57" i="18"/>
  <c r="Y73" i="27" s="1"/>
  <c r="AQ57" i="18"/>
  <c r="W73" i="27" s="1"/>
  <c r="AT57" i="18"/>
  <c r="Z73" i="27" s="1"/>
  <c r="AR33" i="18"/>
  <c r="X49" i="27" s="1"/>
  <c r="AQ33" i="18"/>
  <c r="W49" i="27" s="1"/>
  <c r="AS33" i="18"/>
  <c r="Y49" i="27" s="1"/>
  <c r="AT33" i="18"/>
  <c r="Z49" i="27" s="1"/>
  <c r="AR10" i="18"/>
  <c r="X26" i="27" s="1"/>
  <c r="AQ10" i="18"/>
  <c r="W26" i="27" s="1"/>
  <c r="AS10" i="18"/>
  <c r="Y26" i="27" s="1"/>
  <c r="AT10" i="18"/>
  <c r="Z26" i="27" s="1"/>
  <c r="AT8" i="18"/>
  <c r="Z24" i="27" s="1"/>
  <c r="AS8" i="18"/>
  <c r="Y24" i="27" s="1"/>
  <c r="AR8" i="18"/>
  <c r="X24" i="27" s="1"/>
  <c r="AQ8" i="18"/>
  <c r="W24" i="27" s="1"/>
  <c r="AQ5" i="18"/>
  <c r="W21" i="27" s="1"/>
  <c r="AR5" i="18"/>
  <c r="X21" i="27" s="1"/>
  <c r="AT5" i="18"/>
  <c r="Z21" i="27" s="1"/>
  <c r="AS5" i="18"/>
  <c r="Y21" i="27" s="1"/>
  <c r="AS43" i="18"/>
  <c r="Y59" i="27" s="1"/>
  <c r="AQ43" i="18"/>
  <c r="W59" i="27" s="1"/>
  <c r="AT43" i="18"/>
  <c r="Z59" i="27" s="1"/>
  <c r="AR43" i="18"/>
  <c r="X59" i="27" s="1"/>
  <c r="AT15" i="18"/>
  <c r="Z31" i="27" s="1"/>
  <c r="AQ15" i="18"/>
  <c r="W31" i="27" s="1"/>
  <c r="AS15" i="18"/>
  <c r="Y31" i="27" s="1"/>
  <c r="AR15" i="18"/>
  <c r="X31" i="27" s="1"/>
  <c r="AT55" i="18"/>
  <c r="Z71" i="27" s="1"/>
  <c r="AS55" i="18"/>
  <c r="Y71" i="27" s="1"/>
  <c r="AR55" i="18"/>
  <c r="X71" i="27" s="1"/>
  <c r="AQ55" i="18"/>
  <c r="W71" i="27" s="1"/>
  <c r="AQ64" i="18"/>
  <c r="W80" i="27" s="1"/>
  <c r="AS64" i="18"/>
  <c r="Y80" i="27" s="1"/>
  <c r="AR64" i="18"/>
  <c r="X80" i="27" s="1"/>
  <c r="AT64" i="18"/>
  <c r="Z80" i="27" s="1"/>
  <c r="AR7" i="18"/>
  <c r="X23" i="27" s="1"/>
  <c r="AT7" i="18"/>
  <c r="Z23" i="27" s="1"/>
  <c r="AQ7" i="18"/>
  <c r="W23" i="27" s="1"/>
  <c r="AS7" i="18"/>
  <c r="Y23" i="27" s="1"/>
  <c r="AR30" i="18"/>
  <c r="X46" i="27" s="1"/>
  <c r="AQ30" i="18"/>
  <c r="W46" i="27" s="1"/>
  <c r="AS30" i="18"/>
  <c r="Y46" i="27" s="1"/>
  <c r="AT30" i="18"/>
  <c r="Z46" i="27" s="1"/>
  <c r="AR12" i="18"/>
  <c r="X28" i="27" s="1"/>
  <c r="AS12" i="18"/>
  <c r="Y28" i="27" s="1"/>
  <c r="AQ12" i="18"/>
  <c r="W28" i="27" s="1"/>
  <c r="AT12" i="18"/>
  <c r="Z28" i="27" s="1"/>
  <c r="AR59" i="18"/>
  <c r="X75" i="27" s="1"/>
  <c r="AS59" i="18"/>
  <c r="Y75" i="27" s="1"/>
  <c r="AQ59" i="18"/>
  <c r="W75" i="27" s="1"/>
  <c r="AT59" i="18"/>
  <c r="Z75" i="27" s="1"/>
  <c r="AT62" i="18"/>
  <c r="Z78" i="27" s="1"/>
  <c r="AS62" i="18"/>
  <c r="Y78" i="27" s="1"/>
  <c r="AQ62" i="18"/>
  <c r="W78" i="27" s="1"/>
  <c r="AR62" i="18"/>
  <c r="X78" i="27" s="1"/>
  <c r="AR13" i="18"/>
  <c r="X29" i="27" s="1"/>
  <c r="AS13" i="18"/>
  <c r="Y29" i="27" s="1"/>
  <c r="AQ13" i="18"/>
  <c r="W29" i="27" s="1"/>
  <c r="AT13" i="18"/>
  <c r="Z29" i="27" s="1"/>
  <c r="AR9" i="18"/>
  <c r="X25" i="27" s="1"/>
  <c r="AQ9" i="18"/>
  <c r="W25" i="27" s="1"/>
  <c r="AS9" i="18"/>
  <c r="Y25" i="27" s="1"/>
  <c r="AT9" i="18"/>
  <c r="Z25" i="27" s="1"/>
  <c r="AQ14" i="18"/>
  <c r="W30" i="27" s="1"/>
  <c r="AR14" i="18"/>
  <c r="X30" i="27" s="1"/>
  <c r="AS14" i="18"/>
  <c r="Y30" i="27" s="1"/>
  <c r="AT14" i="18"/>
  <c r="Z30" i="27" s="1"/>
  <c r="AQ60" i="18"/>
  <c r="W76" i="27" s="1"/>
  <c r="AR60" i="18"/>
  <c r="X76" i="27" s="1"/>
  <c r="AT60" i="18"/>
  <c r="Z76" i="27" s="1"/>
  <c r="AS60" i="18"/>
  <c r="Y76" i="27" s="1"/>
  <c r="AR44" i="18"/>
  <c r="X60" i="27" s="1"/>
  <c r="AS44" i="18"/>
  <c r="Y60" i="27" s="1"/>
  <c r="AQ44" i="18"/>
  <c r="W60" i="27" s="1"/>
  <c r="AT44" i="18"/>
  <c r="Z60" i="27" s="1"/>
  <c r="AR22" i="18"/>
  <c r="X38" i="27" s="1"/>
  <c r="AQ22" i="18"/>
  <c r="W38" i="27" s="1"/>
  <c r="AT22" i="18"/>
  <c r="Z38" i="27" s="1"/>
  <c r="AS22" i="18"/>
  <c r="Y38" i="27" s="1"/>
  <c r="AR37" i="18"/>
  <c r="X53" i="27" s="1"/>
  <c r="AS37" i="18"/>
  <c r="Y53" i="27" s="1"/>
  <c r="AT37" i="18"/>
  <c r="Z53" i="27" s="1"/>
  <c r="AQ37" i="18"/>
  <c r="W53" i="27" s="1"/>
  <c r="AY6" i="18"/>
  <c r="AY7" i="18" s="1"/>
  <c r="AY8" i="18" s="1"/>
  <c r="AY9" i="18" s="1"/>
  <c r="AY10" i="18" s="1"/>
  <c r="AY11" i="18" s="1"/>
  <c r="AY12" i="18" s="1"/>
  <c r="AY13" i="18" s="1"/>
  <c r="AY14" i="18" s="1"/>
  <c r="AY15" i="18" s="1"/>
  <c r="AY16" i="18" s="1"/>
  <c r="AY17" i="18" s="1"/>
  <c r="AY18" i="18" s="1"/>
  <c r="AY19" i="18" s="1"/>
  <c r="AY20" i="18" s="1"/>
  <c r="AY21" i="18" s="1"/>
  <c r="AY22" i="18" s="1"/>
  <c r="AY23" i="18" s="1"/>
  <c r="AY24" i="18" s="1"/>
  <c r="AY25" i="18" s="1"/>
  <c r="AY26" i="18" s="1"/>
  <c r="AY27" i="18" s="1"/>
  <c r="AY28" i="18" s="1"/>
  <c r="AY29" i="18" s="1"/>
  <c r="AY30" i="18" s="1"/>
  <c r="AY31" i="18" s="1"/>
  <c r="AY32" i="18" s="1"/>
  <c r="AY33" i="18" s="1"/>
  <c r="AY34" i="18" s="1"/>
  <c r="AY35" i="18" s="1"/>
  <c r="C123" i="18" s="1"/>
  <c r="E123" i="18" s="1"/>
  <c r="E127" i="18" s="1"/>
  <c r="F23" i="24" s="1"/>
  <c r="AQ6" i="18"/>
  <c r="W22" i="27" s="1"/>
  <c r="AS6" i="18"/>
  <c r="Y22" i="27" s="1"/>
  <c r="AT6" i="18"/>
  <c r="Z22" i="27" s="1"/>
  <c r="AR6" i="18"/>
  <c r="X22" i="27" s="1"/>
  <c r="AQ32" i="18"/>
  <c r="W48" i="27" s="1"/>
  <c r="AT32" i="18"/>
  <c r="Z48" i="27" s="1"/>
  <c r="AR32" i="18"/>
  <c r="X48" i="27" s="1"/>
  <c r="AS32" i="18"/>
  <c r="Y48" i="27" s="1"/>
  <c r="AS49" i="18"/>
  <c r="Y65" i="27" s="1"/>
  <c r="AT49" i="18"/>
  <c r="Z65" i="27" s="1"/>
  <c r="AR49" i="18"/>
  <c r="X65" i="27" s="1"/>
  <c r="AQ49" i="18"/>
  <c r="W65" i="27" s="1"/>
  <c r="AT27" i="18"/>
  <c r="Z43" i="27" s="1"/>
  <c r="AR27" i="18"/>
  <c r="X43" i="27" s="1"/>
  <c r="AQ27" i="18"/>
  <c r="W43" i="27" s="1"/>
  <c r="AS27" i="18"/>
  <c r="Y43" i="27" s="1"/>
  <c r="AT17" i="18"/>
  <c r="Z33" i="27" s="1"/>
  <c r="AS17" i="18"/>
  <c r="Y33" i="27" s="1"/>
  <c r="AQ17" i="18"/>
  <c r="W33" i="27" s="1"/>
  <c r="AR17" i="18"/>
  <c r="X33" i="27" s="1"/>
  <c r="AF11" i="19"/>
  <c r="AI10" i="19"/>
  <c r="AA22" i="27" l="1"/>
  <c r="AB22" i="27" s="1"/>
  <c r="R8" i="18"/>
  <c r="S8" i="18" s="1"/>
  <c r="V77" i="27"/>
  <c r="S8" i="19"/>
  <c r="T8" i="19" s="1"/>
  <c r="X8" i="19" s="1"/>
  <c r="Y8" i="19" s="1"/>
  <c r="R9" i="19"/>
  <c r="V37" i="27"/>
  <c r="J12" i="19"/>
  <c r="K11" i="19"/>
  <c r="O11" i="19" s="1"/>
  <c r="V51" i="27"/>
  <c r="V54" i="27"/>
  <c r="V65" i="27"/>
  <c r="V39" i="27"/>
  <c r="V68" i="27"/>
  <c r="V60" i="27"/>
  <c r="V75" i="27"/>
  <c r="V50" i="27"/>
  <c r="V43" i="27"/>
  <c r="V53" i="27"/>
  <c r="V58" i="27"/>
  <c r="V70" i="27"/>
  <c r="V30" i="27"/>
  <c r="V33" i="27"/>
  <c r="V41" i="27"/>
  <c r="V32" i="27"/>
  <c r="V26" i="27"/>
  <c r="V36" i="27"/>
  <c r="V22" i="27"/>
  <c r="V38" i="27"/>
  <c r="V21" i="27"/>
  <c r="V56" i="27"/>
  <c r="R23" i="24"/>
  <c r="J34" i="24"/>
  <c r="V74" i="27"/>
  <c r="T8" i="18"/>
  <c r="X8" i="18" s="1"/>
  <c r="V55" i="27"/>
  <c r="V79" i="27"/>
  <c r="V61" i="27"/>
  <c r="V48" i="27"/>
  <c r="V29" i="27"/>
  <c r="V44" i="27"/>
  <c r="Y6" i="18"/>
  <c r="V46" i="27"/>
  <c r="V28" i="27"/>
  <c r="V80" i="27"/>
  <c r="V31" i="27"/>
  <c r="V64" i="27"/>
  <c r="V76" i="27"/>
  <c r="V23" i="27"/>
  <c r="V71" i="27"/>
  <c r="V49" i="27"/>
  <c r="V69" i="27"/>
  <c r="V63" i="27"/>
  <c r="V66" i="27"/>
  <c r="V25" i="27"/>
  <c r="V35" i="27"/>
  <c r="V34" i="27"/>
  <c r="R9" i="18"/>
  <c r="V27" i="27"/>
  <c r="V40" i="27"/>
  <c r="V78" i="27"/>
  <c r="V59" i="27"/>
  <c r="V24" i="27"/>
  <c r="V73" i="27"/>
  <c r="AF7" i="18"/>
  <c r="AI6" i="18"/>
  <c r="H94" i="18"/>
  <c r="C51" i="27"/>
  <c r="L51" i="27" s="1"/>
  <c r="AA81" i="27" s="1"/>
  <c r="AB81" i="27" s="1"/>
  <c r="AL65" i="18"/>
  <c r="AB65" i="18"/>
  <c r="AH65" i="18" s="1"/>
  <c r="V45" i="27"/>
  <c r="AI11" i="19"/>
  <c r="AF12" i="19"/>
  <c r="D4" i="27" l="1"/>
  <c r="P11" i="24" s="1"/>
  <c r="S9" i="19"/>
  <c r="T9" i="19" s="1"/>
  <c r="X9" i="19" s="1"/>
  <c r="Y9" i="19" s="1"/>
  <c r="R10" i="19"/>
  <c r="K12" i="19"/>
  <c r="O12" i="19" s="1"/>
  <c r="J13" i="19"/>
  <c r="Y8" i="18"/>
  <c r="S9" i="18"/>
  <c r="R10" i="18"/>
  <c r="AI7" i="18"/>
  <c r="AF8" i="18"/>
  <c r="AG65" i="18"/>
  <c r="K34" i="24"/>
  <c r="AS65" i="18"/>
  <c r="Y81" i="27" s="1"/>
  <c r="AR65" i="18"/>
  <c r="X81" i="27" s="1"/>
  <c r="AQ65" i="18"/>
  <c r="W81" i="27" s="1"/>
  <c r="AT65" i="18"/>
  <c r="Z81" i="27" s="1"/>
  <c r="AF13" i="19"/>
  <c r="AI12" i="19"/>
  <c r="D6" i="27" l="1"/>
  <c r="P13" i="24" s="1"/>
  <c r="R11" i="19"/>
  <c r="S10" i="19"/>
  <c r="J14" i="19"/>
  <c r="K13" i="19"/>
  <c r="O13" i="19" s="1"/>
  <c r="AI8" i="18"/>
  <c r="AF9" i="18"/>
  <c r="V81" i="27"/>
  <c r="S10" i="18"/>
  <c r="R11" i="18"/>
  <c r="T9" i="18"/>
  <c r="X9" i="18" s="1"/>
  <c r="AF14" i="19"/>
  <c r="AI13" i="19"/>
  <c r="R12" i="19" l="1"/>
  <c r="S11" i="19"/>
  <c r="T11" i="19" s="1"/>
  <c r="X11" i="19" s="1"/>
  <c r="Y11" i="19" s="1"/>
  <c r="T10" i="19"/>
  <c r="X10" i="19" s="1"/>
  <c r="Y10" i="19" s="1"/>
  <c r="K14" i="19"/>
  <c r="O14" i="19" s="1"/>
  <c r="J15" i="19"/>
  <c r="S11" i="18"/>
  <c r="R12" i="18"/>
  <c r="T10" i="18"/>
  <c r="X10" i="18" s="1"/>
  <c r="AF10" i="18"/>
  <c r="AI9" i="18"/>
  <c r="Y9" i="18"/>
  <c r="AI14" i="19"/>
  <c r="AF15" i="19"/>
  <c r="R13" i="19" l="1"/>
  <c r="S12" i="19"/>
  <c r="T12" i="19" s="1"/>
  <c r="X12" i="19" s="1"/>
  <c r="Y12" i="19" s="1"/>
  <c r="K15" i="19"/>
  <c r="O15" i="19" s="1"/>
  <c r="J16" i="19"/>
  <c r="Y10" i="18"/>
  <c r="S12" i="18"/>
  <c r="R13" i="18"/>
  <c r="AI10" i="18"/>
  <c r="AF11" i="18"/>
  <c r="T11" i="18"/>
  <c r="X11" i="18" s="1"/>
  <c r="AF16" i="19"/>
  <c r="AI15" i="19"/>
  <c r="R14" i="19" l="1"/>
  <c r="S13" i="19"/>
  <c r="T13" i="19" s="1"/>
  <c r="X13" i="19" s="1"/>
  <c r="Y13" i="19" s="1"/>
  <c r="J17" i="19"/>
  <c r="K16" i="19"/>
  <c r="O16" i="19" s="1"/>
  <c r="Y11" i="18"/>
  <c r="T12" i="18"/>
  <c r="X12" i="18" s="1"/>
  <c r="Y12" i="18" s="1"/>
  <c r="S13" i="18"/>
  <c r="R14" i="18"/>
  <c r="AF12" i="18"/>
  <c r="AI11" i="18"/>
  <c r="AI16" i="19"/>
  <c r="AF17" i="19"/>
  <c r="R15" i="19" l="1"/>
  <c r="S14" i="19"/>
  <c r="T14" i="19" s="1"/>
  <c r="X14" i="19" s="1"/>
  <c r="Y14" i="19" s="1"/>
  <c r="J18" i="19"/>
  <c r="K17" i="19"/>
  <c r="O17" i="19" s="1"/>
  <c r="AF13" i="18"/>
  <c r="AI12" i="18"/>
  <c r="T13" i="18"/>
  <c r="X13" i="18" s="1"/>
  <c r="Y13" i="18" s="1"/>
  <c r="S14" i="18"/>
  <c r="R15" i="18"/>
  <c r="AI17" i="19"/>
  <c r="AF18" i="19"/>
  <c r="R16" i="19" l="1"/>
  <c r="S15" i="19"/>
  <c r="T15" i="19" s="1"/>
  <c r="X15" i="19" s="1"/>
  <c r="Y15" i="19" s="1"/>
  <c r="J19" i="19"/>
  <c r="K18" i="19"/>
  <c r="O18" i="19" s="1"/>
  <c r="S15" i="18"/>
  <c r="R16" i="18"/>
  <c r="T14" i="18"/>
  <c r="X14" i="18" s="1"/>
  <c r="Y14" i="18" s="1"/>
  <c r="AI13" i="18"/>
  <c r="AF14" i="18"/>
  <c r="AI18" i="19"/>
  <c r="AF19" i="19"/>
  <c r="R17" i="19" l="1"/>
  <c r="S16" i="19"/>
  <c r="T16" i="19" s="1"/>
  <c r="X16" i="19" s="1"/>
  <c r="Y16" i="19" s="1"/>
  <c r="J20" i="19"/>
  <c r="K19" i="19"/>
  <c r="O19" i="19" s="1"/>
  <c r="S16" i="18"/>
  <c r="R17" i="18"/>
  <c r="AF15" i="18"/>
  <c r="AI14" i="18"/>
  <c r="T15" i="18"/>
  <c r="X15" i="18" s="1"/>
  <c r="Y15" i="18" s="1"/>
  <c r="AI19" i="19"/>
  <c r="AF20" i="19"/>
  <c r="R18" i="19" l="1"/>
  <c r="S17" i="19"/>
  <c r="J21" i="19"/>
  <c r="K20" i="19"/>
  <c r="O20" i="19"/>
  <c r="S17" i="18"/>
  <c r="R18" i="18"/>
  <c r="AI15" i="18"/>
  <c r="AF16" i="18"/>
  <c r="T16" i="18"/>
  <c r="X16" i="18" s="1"/>
  <c r="Y16" i="18" s="1"/>
  <c r="AF21" i="19"/>
  <c r="AI20" i="19"/>
  <c r="R19" i="19" l="1"/>
  <c r="S18" i="19"/>
  <c r="T18" i="19" s="1"/>
  <c r="X18" i="19" s="1"/>
  <c r="Y18" i="19" s="1"/>
  <c r="T17" i="19"/>
  <c r="X17" i="19" s="1"/>
  <c r="Y17" i="19" s="1"/>
  <c r="J22" i="19"/>
  <c r="K21" i="19"/>
  <c r="O21" i="19" s="1"/>
  <c r="AF17" i="18"/>
  <c r="AI16" i="18"/>
  <c r="S18" i="18"/>
  <c r="R19" i="18"/>
  <c r="T17" i="18"/>
  <c r="X17" i="18" s="1"/>
  <c r="Y17" i="18" s="1"/>
  <c r="AI21" i="19"/>
  <c r="AF22" i="19"/>
  <c r="R20" i="19" l="1"/>
  <c r="S19" i="19"/>
  <c r="T19" i="19" s="1"/>
  <c r="X19" i="19" s="1"/>
  <c r="Y19" i="19" s="1"/>
  <c r="K22" i="19"/>
  <c r="O22" i="19" s="1"/>
  <c r="J23" i="19"/>
  <c r="S19" i="18"/>
  <c r="R20" i="18"/>
  <c r="T18" i="18"/>
  <c r="X18" i="18" s="1"/>
  <c r="Y18" i="18" s="1"/>
  <c r="AF18" i="18"/>
  <c r="AI17" i="18"/>
  <c r="AI22" i="19"/>
  <c r="AF23" i="19"/>
  <c r="R21" i="19" l="1"/>
  <c r="S20" i="19"/>
  <c r="J24" i="19"/>
  <c r="K23" i="19"/>
  <c r="O23" i="19" s="1"/>
  <c r="AF19" i="18"/>
  <c r="AI18" i="18"/>
  <c r="S20" i="18"/>
  <c r="R21" i="18"/>
  <c r="T19" i="18"/>
  <c r="X19" i="18" s="1"/>
  <c r="Y19" i="18" s="1"/>
  <c r="AF24" i="19"/>
  <c r="AI23" i="19"/>
  <c r="R22" i="19" l="1"/>
  <c r="S21" i="19"/>
  <c r="T21" i="19" s="1"/>
  <c r="X21" i="19" s="1"/>
  <c r="Y21" i="19" s="1"/>
  <c r="T20" i="19"/>
  <c r="X20" i="19" s="1"/>
  <c r="Y20" i="19" s="1"/>
  <c r="J25" i="19"/>
  <c r="K24" i="19"/>
  <c r="O24" i="19" s="1"/>
  <c r="S21" i="18"/>
  <c r="R22" i="18"/>
  <c r="T20" i="18"/>
  <c r="X20" i="18" s="1"/>
  <c r="Y20" i="18" s="1"/>
  <c r="AF20" i="18"/>
  <c r="AI19" i="18"/>
  <c r="AF25" i="19"/>
  <c r="AI24" i="19"/>
  <c r="R23" i="19" l="1"/>
  <c r="S22" i="19"/>
  <c r="T22" i="19" s="1"/>
  <c r="X22" i="19" s="1"/>
  <c r="Y22" i="19" s="1"/>
  <c r="J26" i="19"/>
  <c r="K25" i="19"/>
  <c r="O25" i="19" s="1"/>
  <c r="AF21" i="18"/>
  <c r="AI20" i="18"/>
  <c r="S22" i="18"/>
  <c r="R23" i="18"/>
  <c r="T21" i="18"/>
  <c r="X21" i="18" s="1"/>
  <c r="Y21" i="18" s="1"/>
  <c r="AI25" i="19"/>
  <c r="AF26" i="19"/>
  <c r="R24" i="19" l="1"/>
  <c r="S23" i="19"/>
  <c r="T23" i="19" s="1"/>
  <c r="X23" i="19" s="1"/>
  <c r="Y23" i="19" s="1"/>
  <c r="J27" i="19"/>
  <c r="K26" i="19"/>
  <c r="O26" i="19" s="1"/>
  <c r="S23" i="18"/>
  <c r="R24" i="18"/>
  <c r="T22" i="18"/>
  <c r="X22" i="18" s="1"/>
  <c r="Y22" i="18" s="1"/>
  <c r="AI21" i="18"/>
  <c r="AF22" i="18"/>
  <c r="AI26" i="19"/>
  <c r="AF27" i="19"/>
  <c r="R25" i="19" l="1"/>
  <c r="S24" i="19"/>
  <c r="T24" i="19" s="1"/>
  <c r="X24" i="19" s="1"/>
  <c r="Y24" i="19" s="1"/>
  <c r="J28" i="19"/>
  <c r="K27" i="19"/>
  <c r="O27" i="19" s="1"/>
  <c r="AF23" i="18"/>
  <c r="AI22" i="18"/>
  <c r="S24" i="18"/>
  <c r="R25" i="18"/>
  <c r="T23" i="18"/>
  <c r="X23" i="18" s="1"/>
  <c r="Y23" i="18" s="1"/>
  <c r="AI27" i="19"/>
  <c r="AF28" i="19"/>
  <c r="R26" i="19" l="1"/>
  <c r="S25" i="19"/>
  <c r="T25" i="19" s="1"/>
  <c r="X25" i="19" s="1"/>
  <c r="Y25" i="19" s="1"/>
  <c r="J29" i="19"/>
  <c r="K28" i="19"/>
  <c r="O28" i="19" s="1"/>
  <c r="S25" i="18"/>
  <c r="R26" i="18"/>
  <c r="T24" i="18"/>
  <c r="X24" i="18" s="1"/>
  <c r="Y24" i="18" s="1"/>
  <c r="AF24" i="18"/>
  <c r="AI23" i="18"/>
  <c r="AF29" i="19"/>
  <c r="AI28" i="19"/>
  <c r="R27" i="19" l="1"/>
  <c r="S26" i="19"/>
  <c r="J30" i="19"/>
  <c r="K29" i="19"/>
  <c r="O29" i="19" s="1"/>
  <c r="AF25" i="18"/>
  <c r="AI24" i="18"/>
  <c r="S26" i="18"/>
  <c r="R27" i="18"/>
  <c r="T25" i="18"/>
  <c r="X25" i="18" s="1"/>
  <c r="Y25" i="18" s="1"/>
  <c r="AF30" i="19"/>
  <c r="AI29" i="19"/>
  <c r="T26" i="19" l="1"/>
  <c r="X26" i="19" s="1"/>
  <c r="Y26" i="19" s="1"/>
  <c r="R28" i="19"/>
  <c r="S27" i="19"/>
  <c r="K30" i="19"/>
  <c r="O30" i="19" s="1"/>
  <c r="J31" i="19"/>
  <c r="T26" i="18"/>
  <c r="X26" i="18" s="1"/>
  <c r="Y26" i="18" s="1"/>
  <c r="S27" i="18"/>
  <c r="R28" i="18"/>
  <c r="AF26" i="18"/>
  <c r="AI25" i="18"/>
  <c r="AF31" i="19"/>
  <c r="AI30" i="19"/>
  <c r="R29" i="19" l="1"/>
  <c r="S28" i="19"/>
  <c r="T28" i="19" s="1"/>
  <c r="X28" i="19" s="1"/>
  <c r="Y28" i="19" s="1"/>
  <c r="T27" i="19"/>
  <c r="X27" i="19" s="1"/>
  <c r="Y27" i="19" s="1"/>
  <c r="J32" i="19"/>
  <c r="K31" i="19"/>
  <c r="O31" i="19" s="1"/>
  <c r="S28" i="18"/>
  <c r="R29" i="18"/>
  <c r="T27" i="18"/>
  <c r="X27" i="18" s="1"/>
  <c r="Y27" i="18" s="1"/>
  <c r="AI26" i="18"/>
  <c r="AF27" i="18"/>
  <c r="AF32" i="19"/>
  <c r="AI31" i="19"/>
  <c r="S29" i="19" l="1"/>
  <c r="T29" i="19" s="1"/>
  <c r="X29" i="19" s="1"/>
  <c r="Y29" i="19" s="1"/>
  <c r="R30" i="19"/>
  <c r="K32" i="19"/>
  <c r="O32" i="19" s="1"/>
  <c r="J33" i="19"/>
  <c r="S29" i="18"/>
  <c r="R30" i="18"/>
  <c r="AI27" i="18"/>
  <c r="AF28" i="18"/>
  <c r="T28" i="18"/>
  <c r="X28" i="18" s="1"/>
  <c r="Y28" i="18" s="1"/>
  <c r="AF33" i="19"/>
  <c r="AI32" i="19"/>
  <c r="R31" i="19" l="1"/>
  <c r="S30" i="19"/>
  <c r="J34" i="19"/>
  <c r="K33" i="19"/>
  <c r="O33" i="19" s="1"/>
  <c r="AI28" i="18"/>
  <c r="AF29" i="18"/>
  <c r="S30" i="18"/>
  <c r="R31" i="18"/>
  <c r="T29" i="18"/>
  <c r="X29" i="18" s="1"/>
  <c r="Y29" i="18" s="1"/>
  <c r="AI33" i="19"/>
  <c r="AF34" i="19"/>
  <c r="S31" i="19" l="1"/>
  <c r="T31" i="19" s="1"/>
  <c r="X31" i="19" s="1"/>
  <c r="Y31" i="19" s="1"/>
  <c r="R32" i="19"/>
  <c r="T30" i="19"/>
  <c r="X30" i="19" s="1"/>
  <c r="Y30" i="19" s="1"/>
  <c r="K34" i="19"/>
  <c r="J35" i="19"/>
  <c r="O34" i="19"/>
  <c r="AF30" i="18"/>
  <c r="AI29" i="18"/>
  <c r="S31" i="18"/>
  <c r="R32" i="18"/>
  <c r="T30" i="18"/>
  <c r="X30" i="18" s="1"/>
  <c r="Y30" i="18" s="1"/>
  <c r="AI34" i="19"/>
  <c r="AF35" i="19"/>
  <c r="R33" i="19" l="1"/>
  <c r="S32" i="19"/>
  <c r="T32" i="19" s="1"/>
  <c r="X32" i="19" s="1"/>
  <c r="Y32" i="19" s="1"/>
  <c r="AI35" i="19"/>
  <c r="C118" i="19" s="1"/>
  <c r="E118" i="19" s="1"/>
  <c r="D127" i="19" s="1"/>
  <c r="AF36" i="19"/>
  <c r="K35" i="19"/>
  <c r="J36" i="19"/>
  <c r="O35" i="19"/>
  <c r="T31" i="18"/>
  <c r="X31" i="18" s="1"/>
  <c r="Y31" i="18" s="1"/>
  <c r="S32" i="18"/>
  <c r="R33" i="18"/>
  <c r="AI30" i="18"/>
  <c r="AF31" i="18"/>
  <c r="R34" i="19" l="1"/>
  <c r="S33" i="19"/>
  <c r="T33" i="19" s="1"/>
  <c r="X33" i="19" s="1"/>
  <c r="Y33" i="19" s="1"/>
  <c r="K36" i="19"/>
  <c r="O36" i="19" s="1"/>
  <c r="J37" i="19"/>
  <c r="D114" i="19"/>
  <c r="AF37" i="19"/>
  <c r="AI36" i="19"/>
  <c r="AI31" i="18"/>
  <c r="AF32" i="18"/>
  <c r="S33" i="18"/>
  <c r="R34" i="18"/>
  <c r="T32" i="18"/>
  <c r="X32" i="18" s="1"/>
  <c r="Y32" i="18" s="1"/>
  <c r="R35" i="19" l="1"/>
  <c r="S34" i="19"/>
  <c r="T34" i="19" s="1"/>
  <c r="X34" i="19" s="1"/>
  <c r="Y34" i="19" s="1"/>
  <c r="AI37" i="19"/>
  <c r="AF38" i="19"/>
  <c r="J38" i="19"/>
  <c r="K37" i="19"/>
  <c r="O37" i="19" s="1"/>
  <c r="AI32" i="18"/>
  <c r="AF33" i="18"/>
  <c r="S34" i="18"/>
  <c r="R35" i="18"/>
  <c r="T33" i="18"/>
  <c r="X33" i="18" s="1"/>
  <c r="Y33" i="18" s="1"/>
  <c r="S35" i="19" l="1"/>
  <c r="T35" i="19" s="1"/>
  <c r="X35" i="19" s="1"/>
  <c r="R36" i="19"/>
  <c r="K38" i="19"/>
  <c r="O38" i="19" s="1"/>
  <c r="J39" i="19"/>
  <c r="AI38" i="19"/>
  <c r="AF39" i="19"/>
  <c r="AI33" i="18"/>
  <c r="AF34" i="18"/>
  <c r="S35" i="18"/>
  <c r="R36" i="18"/>
  <c r="T34" i="18"/>
  <c r="X34" i="18" s="1"/>
  <c r="Y34" i="18" s="1"/>
  <c r="C114" i="19" l="1"/>
  <c r="Y35" i="19"/>
  <c r="E114" i="19" s="1"/>
  <c r="S36" i="19"/>
  <c r="T36" i="19" s="1"/>
  <c r="X36" i="19" s="1"/>
  <c r="Y36" i="19" s="1"/>
  <c r="R37" i="19"/>
  <c r="AF40" i="19"/>
  <c r="AI39" i="19"/>
  <c r="K39" i="19"/>
  <c r="O39" i="19" s="1"/>
  <c r="J40" i="19"/>
  <c r="AI34" i="18"/>
  <c r="AF35" i="18"/>
  <c r="S36" i="18"/>
  <c r="R37" i="18"/>
  <c r="T35" i="18"/>
  <c r="X35" i="18" s="1"/>
  <c r="S37" i="19" l="1"/>
  <c r="R38" i="19"/>
  <c r="AI40" i="19"/>
  <c r="AF41" i="19"/>
  <c r="J41" i="19"/>
  <c r="K40" i="19"/>
  <c r="O40" i="19" s="1"/>
  <c r="AI35" i="18"/>
  <c r="C118" i="18" s="1"/>
  <c r="E118" i="18" s="1"/>
  <c r="D127" i="18" s="1"/>
  <c r="F22" i="24" s="1"/>
  <c r="AF36" i="18"/>
  <c r="C114" i="18"/>
  <c r="Y35" i="18"/>
  <c r="E114" i="18" s="1"/>
  <c r="S37" i="18"/>
  <c r="R38" i="18"/>
  <c r="T36" i="18"/>
  <c r="X36" i="18" s="1"/>
  <c r="Y36" i="18" s="1"/>
  <c r="S38" i="19" l="1"/>
  <c r="T38" i="19" s="1"/>
  <c r="X38" i="19" s="1"/>
  <c r="Y38" i="19" s="1"/>
  <c r="R39" i="19"/>
  <c r="T37" i="19"/>
  <c r="X37" i="19" s="1"/>
  <c r="Y37" i="19" s="1"/>
  <c r="J42" i="19"/>
  <c r="K41" i="19"/>
  <c r="O41" i="19" s="1"/>
  <c r="AI41" i="19"/>
  <c r="AF42" i="19"/>
  <c r="T37" i="18"/>
  <c r="X37" i="18" s="1"/>
  <c r="Y37" i="18" s="1"/>
  <c r="S38" i="18"/>
  <c r="R39" i="18"/>
  <c r="AF37" i="18"/>
  <c r="AI36" i="18"/>
  <c r="R22" i="24"/>
  <c r="J33" i="24"/>
  <c r="R40" i="19" l="1"/>
  <c r="S39" i="19"/>
  <c r="T39" i="19" s="1"/>
  <c r="X39" i="19" s="1"/>
  <c r="Y39" i="19" s="1"/>
  <c r="AI42" i="19"/>
  <c r="AF43" i="19"/>
  <c r="K42" i="19"/>
  <c r="O42" i="19" s="1"/>
  <c r="J43" i="19"/>
  <c r="K33" i="24"/>
  <c r="AI37" i="18"/>
  <c r="AF38" i="18"/>
  <c r="S39" i="18"/>
  <c r="R40" i="18"/>
  <c r="T38" i="18"/>
  <c r="X38" i="18" s="1"/>
  <c r="Y38" i="18" s="1"/>
  <c r="R41" i="19" l="1"/>
  <c r="S40" i="19"/>
  <c r="T40" i="19" s="1"/>
  <c r="X40" i="19" s="1"/>
  <c r="Y40" i="19" s="1"/>
  <c r="J44" i="19"/>
  <c r="K43" i="19"/>
  <c r="O43" i="19" s="1"/>
  <c r="AF44" i="19"/>
  <c r="AI43" i="19"/>
  <c r="S40" i="18"/>
  <c r="R41" i="18"/>
  <c r="T39" i="18"/>
  <c r="X39" i="18" s="1"/>
  <c r="Y39" i="18" s="1"/>
  <c r="AF39" i="18"/>
  <c r="AI38" i="18"/>
  <c r="S41" i="19" l="1"/>
  <c r="T41" i="19" s="1"/>
  <c r="X41" i="19" s="1"/>
  <c r="Y41" i="19" s="1"/>
  <c r="R42" i="19"/>
  <c r="AF45" i="19"/>
  <c r="AI44" i="19"/>
  <c r="K44" i="19"/>
  <c r="O44" i="19" s="1"/>
  <c r="J45" i="19"/>
  <c r="AI39" i="18"/>
  <c r="AF40" i="18"/>
  <c r="S41" i="18"/>
  <c r="R42" i="18"/>
  <c r="T40" i="18"/>
  <c r="X40" i="18" s="1"/>
  <c r="Y40" i="18" s="1"/>
  <c r="R43" i="19" l="1"/>
  <c r="S42" i="19"/>
  <c r="AI45" i="19"/>
  <c r="AF46" i="19"/>
  <c r="K45" i="19"/>
  <c r="O45" i="19" s="1"/>
  <c r="J46" i="19"/>
  <c r="S42" i="18"/>
  <c r="R43" i="18"/>
  <c r="T41" i="18"/>
  <c r="X41" i="18" s="1"/>
  <c r="Y41" i="18" s="1"/>
  <c r="AI40" i="18"/>
  <c r="AF41" i="18"/>
  <c r="T42" i="19" l="1"/>
  <c r="X42" i="19" s="1"/>
  <c r="R44" i="19"/>
  <c r="S43" i="19"/>
  <c r="T43" i="19" s="1"/>
  <c r="X43" i="19" s="1"/>
  <c r="Y43" i="19" s="1"/>
  <c r="K46" i="19"/>
  <c r="O46" i="19" s="1"/>
  <c r="J47" i="19"/>
  <c r="AI46" i="19"/>
  <c r="AF47" i="19"/>
  <c r="AF42" i="18"/>
  <c r="AI41" i="18"/>
  <c r="S43" i="18"/>
  <c r="R44" i="18"/>
  <c r="T42" i="18"/>
  <c r="X42" i="18" s="1"/>
  <c r="Y42" i="18" s="1"/>
  <c r="R45" i="19" l="1"/>
  <c r="S44" i="19"/>
  <c r="Y42" i="19"/>
  <c r="K47" i="19"/>
  <c r="O47" i="19" s="1"/>
  <c r="J48" i="19"/>
  <c r="AI47" i="19"/>
  <c r="AF48" i="19"/>
  <c r="S44" i="18"/>
  <c r="R45" i="18"/>
  <c r="T43" i="18"/>
  <c r="X43" i="18" s="1"/>
  <c r="Y43" i="18" s="1"/>
  <c r="AI42" i="18"/>
  <c r="AF43" i="18"/>
  <c r="T44" i="19" l="1"/>
  <c r="X44" i="19" s="1"/>
  <c r="S45" i="19"/>
  <c r="R46" i="19"/>
  <c r="J49" i="19"/>
  <c r="K48" i="19"/>
  <c r="O48" i="19" s="1"/>
  <c r="AF49" i="19"/>
  <c r="AI48" i="19"/>
  <c r="AI43" i="18"/>
  <c r="AF44" i="18"/>
  <c r="S45" i="18"/>
  <c r="R46" i="18"/>
  <c r="T44" i="18"/>
  <c r="X44" i="18" s="1"/>
  <c r="Y44" i="18" s="1"/>
  <c r="T45" i="19" l="1"/>
  <c r="X45" i="19" s="1"/>
  <c r="Y45" i="19" s="1"/>
  <c r="Y44" i="19"/>
  <c r="R47" i="19"/>
  <c r="S46" i="19"/>
  <c r="T46" i="19" s="1"/>
  <c r="X46" i="19" s="1"/>
  <c r="Y46" i="19" s="1"/>
  <c r="AF50" i="19"/>
  <c r="AI49" i="19"/>
  <c r="K49" i="19"/>
  <c r="O49" i="19" s="1"/>
  <c r="J50" i="19"/>
  <c r="AF45" i="18"/>
  <c r="AI44" i="18"/>
  <c r="S46" i="18"/>
  <c r="R47" i="18"/>
  <c r="T45" i="18"/>
  <c r="X45" i="18" s="1"/>
  <c r="Y45" i="18" s="1"/>
  <c r="S47" i="19" l="1"/>
  <c r="T47" i="19" s="1"/>
  <c r="X47" i="19" s="1"/>
  <c r="Y47" i="19" s="1"/>
  <c r="R48" i="19"/>
  <c r="K50" i="19"/>
  <c r="O50" i="19" s="1"/>
  <c r="J51" i="19"/>
  <c r="AF51" i="19"/>
  <c r="AI50" i="19"/>
  <c r="T46" i="18"/>
  <c r="X46" i="18" s="1"/>
  <c r="Y46" i="18" s="1"/>
  <c r="S47" i="18"/>
  <c r="R48" i="18"/>
  <c r="AF46" i="18"/>
  <c r="AI45" i="18"/>
  <c r="R49" i="19" l="1"/>
  <c r="S48" i="19"/>
  <c r="T48" i="19" s="1"/>
  <c r="X48" i="19" s="1"/>
  <c r="Y48" i="19" s="1"/>
  <c r="AF52" i="19"/>
  <c r="AI51" i="19"/>
  <c r="K51" i="19"/>
  <c r="O51" i="19" s="1"/>
  <c r="J52" i="19"/>
  <c r="S48" i="18"/>
  <c r="R49" i="18"/>
  <c r="AF47" i="18"/>
  <c r="AI46" i="18"/>
  <c r="T47" i="18"/>
  <c r="X47" i="18" s="1"/>
  <c r="Y47" i="18" s="1"/>
  <c r="S49" i="19" l="1"/>
  <c r="T49" i="19" s="1"/>
  <c r="X49" i="19" s="1"/>
  <c r="R50" i="19"/>
  <c r="K52" i="19"/>
  <c r="O52" i="19" s="1"/>
  <c r="J53" i="19"/>
  <c r="AI52" i="19"/>
  <c r="AF53" i="19"/>
  <c r="AF48" i="18"/>
  <c r="AI47" i="18"/>
  <c r="S49" i="18"/>
  <c r="R50" i="18"/>
  <c r="T48" i="18"/>
  <c r="X48" i="18" s="1"/>
  <c r="Y48" i="18" s="1"/>
  <c r="R51" i="19" l="1"/>
  <c r="S50" i="19"/>
  <c r="T50" i="19" s="1"/>
  <c r="X50" i="19" s="1"/>
  <c r="Y50" i="19" s="1"/>
  <c r="Y49" i="19"/>
  <c r="AI53" i="19"/>
  <c r="AF54" i="19"/>
  <c r="K53" i="19"/>
  <c r="O53" i="19" s="1"/>
  <c r="J54" i="19"/>
  <c r="T49" i="18"/>
  <c r="X49" i="18" s="1"/>
  <c r="Y49" i="18" s="1"/>
  <c r="S50" i="18"/>
  <c r="R51" i="18"/>
  <c r="AF49" i="18"/>
  <c r="AI48" i="18"/>
  <c r="S51" i="19" l="1"/>
  <c r="T51" i="19" s="1"/>
  <c r="X51" i="19" s="1"/>
  <c r="Y51" i="19" s="1"/>
  <c r="R52" i="19"/>
  <c r="K54" i="19"/>
  <c r="O54" i="19" s="1"/>
  <c r="J55" i="19"/>
  <c r="AI54" i="19"/>
  <c r="AF55" i="19"/>
  <c r="AF50" i="18"/>
  <c r="AI49" i="18"/>
  <c r="S51" i="18"/>
  <c r="R52" i="18"/>
  <c r="T50" i="18"/>
  <c r="X50" i="18" s="1"/>
  <c r="Y50" i="18" s="1"/>
  <c r="R53" i="19" l="1"/>
  <c r="S52" i="19"/>
  <c r="T52" i="19" s="1"/>
  <c r="X52" i="19" s="1"/>
  <c r="Y52" i="19" s="1"/>
  <c r="K55" i="19"/>
  <c r="O55" i="19" s="1"/>
  <c r="J56" i="19"/>
  <c r="AI55" i="19"/>
  <c r="AF56" i="19"/>
  <c r="S52" i="18"/>
  <c r="R53" i="18"/>
  <c r="T51" i="18"/>
  <c r="X51" i="18" s="1"/>
  <c r="Y51" i="18" s="1"/>
  <c r="AF51" i="18"/>
  <c r="AI50" i="18"/>
  <c r="R54" i="19" l="1"/>
  <c r="S53" i="19"/>
  <c r="T53" i="19" s="1"/>
  <c r="X53" i="19" s="1"/>
  <c r="Y53" i="19" s="1"/>
  <c r="AF57" i="19"/>
  <c r="AI56" i="19"/>
  <c r="J57" i="19"/>
  <c r="K56" i="19"/>
  <c r="O56" i="19" s="1"/>
  <c r="AI51" i="18"/>
  <c r="AF52" i="18"/>
  <c r="S53" i="18"/>
  <c r="R54" i="18"/>
  <c r="T52" i="18"/>
  <c r="X52" i="18" s="1"/>
  <c r="Y52" i="18" s="1"/>
  <c r="R55" i="19" l="1"/>
  <c r="S54" i="19"/>
  <c r="T54" i="19" s="1"/>
  <c r="X54" i="19" s="1"/>
  <c r="Y54" i="19" s="1"/>
  <c r="J58" i="19"/>
  <c r="K57" i="19"/>
  <c r="O57" i="19" s="1"/>
  <c r="AF58" i="19"/>
  <c r="AI57" i="19"/>
  <c r="AF53" i="18"/>
  <c r="AI52" i="18"/>
  <c r="S54" i="18"/>
  <c r="R55" i="18"/>
  <c r="T53" i="18"/>
  <c r="X53" i="18" s="1"/>
  <c r="Y53" i="18" s="1"/>
  <c r="R56" i="19" l="1"/>
  <c r="S55" i="19"/>
  <c r="T55" i="19" s="1"/>
  <c r="X55" i="19" s="1"/>
  <c r="Y55" i="19" s="1"/>
  <c r="AF59" i="19"/>
  <c r="AI58" i="19"/>
  <c r="J59" i="19"/>
  <c r="K58" i="19"/>
  <c r="O58" i="19" s="1"/>
  <c r="S55" i="18"/>
  <c r="R56" i="18"/>
  <c r="T54" i="18"/>
  <c r="X54" i="18" s="1"/>
  <c r="Y54" i="18" s="1"/>
  <c r="AI53" i="18"/>
  <c r="AF54" i="18"/>
  <c r="R57" i="19" l="1"/>
  <c r="S56" i="19"/>
  <c r="K59" i="19"/>
  <c r="J60" i="19"/>
  <c r="O59" i="19"/>
  <c r="AF60" i="19"/>
  <c r="AI59" i="19"/>
  <c r="AI54" i="18"/>
  <c r="AF55" i="18"/>
  <c r="S56" i="18"/>
  <c r="R57" i="18"/>
  <c r="T55" i="18"/>
  <c r="X55" i="18" s="1"/>
  <c r="Y55" i="18" s="1"/>
  <c r="R58" i="19" l="1"/>
  <c r="S57" i="19"/>
  <c r="T57" i="19" s="1"/>
  <c r="X57" i="19" s="1"/>
  <c r="Y57" i="19" s="1"/>
  <c r="T56" i="19"/>
  <c r="X56" i="19" s="1"/>
  <c r="Y56" i="19" s="1"/>
  <c r="AI60" i="19"/>
  <c r="AF61" i="19"/>
  <c r="K60" i="19"/>
  <c r="O60" i="19" s="1"/>
  <c r="J61" i="19"/>
  <c r="AF56" i="18"/>
  <c r="AI55" i="18"/>
  <c r="S57" i="18"/>
  <c r="R58" i="18"/>
  <c r="T56" i="18"/>
  <c r="X56" i="18" s="1"/>
  <c r="Y56" i="18" s="1"/>
  <c r="S58" i="19" l="1"/>
  <c r="T58" i="19" s="1"/>
  <c r="X58" i="19" s="1"/>
  <c r="Y58" i="19" s="1"/>
  <c r="R59" i="19"/>
  <c r="AF62" i="19"/>
  <c r="AI61" i="19"/>
  <c r="J62" i="19"/>
  <c r="K61" i="19"/>
  <c r="O61" i="19" s="1"/>
  <c r="S58" i="18"/>
  <c r="R59" i="18"/>
  <c r="T57" i="18"/>
  <c r="X57" i="18" s="1"/>
  <c r="Y57" i="18" s="1"/>
  <c r="AI56" i="18"/>
  <c r="AF57" i="18"/>
  <c r="S59" i="19" l="1"/>
  <c r="R60" i="19"/>
  <c r="K62" i="19"/>
  <c r="O62" i="19" s="1"/>
  <c r="J63" i="19"/>
  <c r="AI62" i="19"/>
  <c r="AF63" i="19"/>
  <c r="AI57" i="18"/>
  <c r="AF58" i="18"/>
  <c r="S59" i="18"/>
  <c r="R60" i="18"/>
  <c r="T58" i="18"/>
  <c r="X58" i="18" s="1"/>
  <c r="Y58" i="18" s="1"/>
  <c r="R61" i="19" l="1"/>
  <c r="S60" i="19"/>
  <c r="T60" i="19" s="1"/>
  <c r="X60" i="19" s="1"/>
  <c r="Y60" i="19" s="1"/>
  <c r="T59" i="19"/>
  <c r="X59" i="19" s="1"/>
  <c r="Y59" i="19" s="1"/>
  <c r="AF64" i="19"/>
  <c r="AI63" i="19"/>
  <c r="J64" i="19"/>
  <c r="K63" i="19"/>
  <c r="O63" i="19" s="1"/>
  <c r="AF59" i="18"/>
  <c r="AI58" i="18"/>
  <c r="S60" i="18"/>
  <c r="R61" i="18"/>
  <c r="T59" i="18"/>
  <c r="X59" i="18" s="1"/>
  <c r="Y59" i="18" s="1"/>
  <c r="R62" i="19" l="1"/>
  <c r="S61" i="19"/>
  <c r="T61" i="19" s="1"/>
  <c r="X61" i="19" s="1"/>
  <c r="Y61" i="19" s="1"/>
  <c r="J65" i="19"/>
  <c r="K64" i="19"/>
  <c r="O64" i="19" s="1"/>
  <c r="AI64" i="19"/>
  <c r="AF65" i="19"/>
  <c r="AI65" i="19" s="1"/>
  <c r="T60" i="18"/>
  <c r="X60" i="18" s="1"/>
  <c r="Y60" i="18" s="1"/>
  <c r="S61" i="18"/>
  <c r="R62" i="18"/>
  <c r="AF60" i="18"/>
  <c r="AI59" i="18"/>
  <c r="R63" i="19" l="1"/>
  <c r="S62" i="19"/>
  <c r="T62" i="19" s="1"/>
  <c r="X62" i="19" s="1"/>
  <c r="Y62" i="19" s="1"/>
  <c r="K65" i="19"/>
  <c r="O65" i="19" s="1"/>
  <c r="AF61" i="18"/>
  <c r="AI60" i="18"/>
  <c r="S62" i="18"/>
  <c r="R63" i="18"/>
  <c r="T61" i="18"/>
  <c r="X61" i="18" s="1"/>
  <c r="Y61" i="18" s="1"/>
  <c r="R64" i="19" l="1"/>
  <c r="S63" i="19"/>
  <c r="T63" i="19" s="1"/>
  <c r="X63" i="19" s="1"/>
  <c r="Y63" i="19" s="1"/>
  <c r="D113" i="19"/>
  <c r="S63" i="18"/>
  <c r="R64" i="18"/>
  <c r="T62" i="18"/>
  <c r="X62" i="18" s="1"/>
  <c r="Y62" i="18" s="1"/>
  <c r="AF62" i="18"/>
  <c r="AI61" i="18"/>
  <c r="S64" i="19" l="1"/>
  <c r="R65" i="19"/>
  <c r="S65" i="19" s="1"/>
  <c r="T65" i="19" s="1"/>
  <c r="X65" i="19" s="1"/>
  <c r="AF63" i="18"/>
  <c r="AI62" i="18"/>
  <c r="S64" i="18"/>
  <c r="R65" i="18"/>
  <c r="S65" i="18" s="1"/>
  <c r="T63" i="18"/>
  <c r="X63" i="18" s="1"/>
  <c r="Y63" i="18" s="1"/>
  <c r="Y65" i="19" l="1"/>
  <c r="T64" i="19"/>
  <c r="X64" i="19" s="1"/>
  <c r="T64" i="18"/>
  <c r="X64" i="18" s="1"/>
  <c r="Y64" i="18" s="1"/>
  <c r="T65" i="18"/>
  <c r="X65" i="18" s="1"/>
  <c r="AI63" i="18"/>
  <c r="AF64" i="18"/>
  <c r="Y64" i="19" l="1"/>
  <c r="C113" i="19"/>
  <c r="E113" i="19" s="1"/>
  <c r="C127" i="19" s="1"/>
  <c r="F127" i="19" s="1"/>
  <c r="Y65" i="18"/>
  <c r="C113" i="18"/>
  <c r="E113" i="18" s="1"/>
  <c r="C127" i="18" s="1"/>
  <c r="AF65" i="18"/>
  <c r="AI65" i="18" s="1"/>
  <c r="AI64" i="18"/>
  <c r="F21" i="24" l="1"/>
  <c r="F127" i="18"/>
  <c r="F25" i="24" l="1"/>
  <c r="J32" i="24"/>
  <c r="R21" i="24"/>
  <c r="K32" i="24" l="1"/>
  <c r="J36" i="24"/>
  <c r="R36" i="24" s="1"/>
  <c r="R25" i="24"/>
</calcChain>
</file>

<file path=xl/comments1.xml><?xml version="1.0" encoding="utf-8"?>
<comments xmlns="http://schemas.openxmlformats.org/spreadsheetml/2006/main">
  <authors>
    <author>Thomas M.</author>
  </authors>
  <commentList>
    <comment ref="G108" authorId="0" shapeId="0">
      <text>
        <r>
          <rPr>
            <b/>
            <sz val="9"/>
            <color indexed="81"/>
            <rFont val="Tahoma"/>
            <family val="2"/>
          </rPr>
          <t>Thomas M.:</t>
        </r>
        <r>
          <rPr>
            <sz val="9"/>
            <color indexed="81"/>
            <rFont val="Tahoma"/>
            <family val="2"/>
          </rPr>
          <t xml:space="preserve">
compte tenu de la sylviculture pratiquée, non intensive, le coefficient de substitution pour le pin maritime ne semble pas approprié, il lui est préféré le coefficient des résineux, plus conservateur</t>
        </r>
      </text>
    </comment>
  </commentList>
</comments>
</file>

<file path=xl/sharedStrings.xml><?xml version="1.0" encoding="utf-8"?>
<sst xmlns="http://schemas.openxmlformats.org/spreadsheetml/2006/main" count="2011" uniqueCount="306">
  <si>
    <t>Vignes et vergers</t>
  </si>
  <si>
    <t>Cultures</t>
  </si>
  <si>
    <t>Prairies permanentes</t>
  </si>
  <si>
    <t>S(n)</t>
  </si>
  <si>
    <t xml:space="preserve">Arbousier </t>
  </si>
  <si>
    <t xml:space="preserve">Essence </t>
  </si>
  <si>
    <r>
      <t>Infradensité (tMS/m</t>
    </r>
    <r>
      <rPr>
        <b/>
        <sz val="7"/>
        <color rgb="FF000000"/>
        <rFont val="Times New Roman"/>
        <family val="1"/>
      </rPr>
      <t>3</t>
    </r>
    <r>
      <rPr>
        <b/>
        <sz val="11"/>
        <color rgb="FF000000"/>
        <rFont val="Times New Roman"/>
        <family val="1"/>
      </rPr>
      <t xml:space="preserve">) </t>
    </r>
  </si>
  <si>
    <t xml:space="preserve">Alisier torminal </t>
  </si>
  <si>
    <t xml:space="preserve">Aulne vert </t>
  </si>
  <si>
    <t xml:space="preserve">Grands aulnes </t>
  </si>
  <si>
    <t xml:space="preserve">Bouleaux </t>
  </si>
  <si>
    <t xml:space="preserve">Cèdre de l’Atlas </t>
  </si>
  <si>
    <t xml:space="preserve">Charme </t>
  </si>
  <si>
    <t xml:space="preserve">Charme-houblon </t>
  </si>
  <si>
    <t xml:space="preserve">Châtaignier </t>
  </si>
  <si>
    <t xml:space="preserve">Chêne chevelu </t>
  </si>
  <si>
    <t xml:space="preserve">Chêne-liège </t>
  </si>
  <si>
    <t xml:space="preserve">Chêne pédonculé </t>
  </si>
  <si>
    <t xml:space="preserve">Chêne pubescent </t>
  </si>
  <si>
    <t xml:space="preserve">Chêne rouge d’Amérique </t>
  </si>
  <si>
    <t xml:space="preserve">Chêne rouvre (sessile) </t>
  </si>
  <si>
    <t xml:space="preserve">Chêne tauzin </t>
  </si>
  <si>
    <t xml:space="preserve">Chêne vert </t>
  </si>
  <si>
    <t xml:space="preserve">Chênes indifférenciés </t>
  </si>
  <si>
    <t xml:space="preserve">Cornouiller mâle </t>
  </si>
  <si>
    <t xml:space="preserve">Cyprès </t>
  </si>
  <si>
    <t xml:space="preserve">Cytise aubour </t>
  </si>
  <si>
    <t xml:space="preserve">Douglas </t>
  </si>
  <si>
    <t xml:space="preserve">Epicéa commun </t>
  </si>
  <si>
    <t xml:space="preserve">Epicéa de Sitka </t>
  </si>
  <si>
    <t xml:space="preserve">Grands érables </t>
  </si>
  <si>
    <t xml:space="preserve">Petits érables </t>
  </si>
  <si>
    <t xml:space="preserve">Eucalyptus </t>
  </si>
  <si>
    <t xml:space="preserve">Genévrier thurifère </t>
  </si>
  <si>
    <t xml:space="preserve">Hêtre </t>
  </si>
  <si>
    <t xml:space="preserve">Frênes </t>
  </si>
  <si>
    <t xml:space="preserve">Fruitiers </t>
  </si>
  <si>
    <t xml:space="preserve">If </t>
  </si>
  <si>
    <t xml:space="preserve">Mélèze d’Europe </t>
  </si>
  <si>
    <t xml:space="preserve">Mélèze du Japon </t>
  </si>
  <si>
    <t xml:space="preserve">Merisier </t>
  </si>
  <si>
    <t xml:space="preserve">Micocoulier </t>
  </si>
  <si>
    <t xml:space="preserve">Mûrier </t>
  </si>
  <si>
    <t xml:space="preserve">Noisetier </t>
  </si>
  <si>
    <t xml:space="preserve">Noyer </t>
  </si>
  <si>
    <t xml:space="preserve">Olivier </t>
  </si>
  <si>
    <t xml:space="preserve">Ormes </t>
  </si>
  <si>
    <t xml:space="preserve">Peupliers cultivés </t>
  </si>
  <si>
    <t xml:space="preserve">Peupliers non cultivés </t>
  </si>
  <si>
    <t xml:space="preserve">Pin d’Alep </t>
  </si>
  <si>
    <t xml:space="preserve">Pin cembro </t>
  </si>
  <si>
    <t xml:space="preserve">Pin à crochets </t>
  </si>
  <si>
    <t xml:space="preserve">Pin laricio </t>
  </si>
  <si>
    <t xml:space="preserve">Pin maritime </t>
  </si>
  <si>
    <t xml:space="preserve">Pin mugho </t>
  </si>
  <si>
    <t xml:space="preserve">Pin noir d’Autriche </t>
  </si>
  <si>
    <t xml:space="preserve">Pin pignon </t>
  </si>
  <si>
    <t xml:space="preserve">Pin sylvestre </t>
  </si>
  <si>
    <t xml:space="preserve">Pin Weymouth </t>
  </si>
  <si>
    <t xml:space="preserve">Platanes </t>
  </si>
  <si>
    <t xml:space="preserve">Robinier faux acacia </t>
  </si>
  <si>
    <t xml:space="preserve">Sapin méditerranéen </t>
  </si>
  <si>
    <t xml:space="preserve">Sapin de Nordmann </t>
  </si>
  <si>
    <t xml:space="preserve">Sapin pectiné </t>
  </si>
  <si>
    <t xml:space="preserve">Sapin de Vancouver </t>
  </si>
  <si>
    <t xml:space="preserve">Saules </t>
  </si>
  <si>
    <t xml:space="preserve">Tamaris </t>
  </si>
  <si>
    <t xml:space="preserve">Tilleuls </t>
  </si>
  <si>
    <t xml:space="preserve">Tremble </t>
  </si>
  <si>
    <t xml:space="preserve">Conifères (moyenne) </t>
  </si>
  <si>
    <t xml:space="preserve">Feuillus (moyenne) </t>
  </si>
  <si>
    <t xml:space="preserve">Infradensité moyenne </t>
  </si>
  <si>
    <t>S(ref)</t>
  </si>
  <si>
    <t>Sol</t>
  </si>
  <si>
    <t>Litière</t>
  </si>
  <si>
    <t>Risques généraux</t>
  </si>
  <si>
    <t>Année</t>
  </si>
  <si>
    <t>OUI</t>
  </si>
  <si>
    <t>BO</t>
  </si>
  <si>
    <t>BE</t>
  </si>
  <si>
    <t>BI - papier</t>
  </si>
  <si>
    <t>BI - panneaux</t>
  </si>
  <si>
    <t>BI - générique</t>
  </si>
  <si>
    <t>V(7)</t>
  </si>
  <si>
    <t>Commune</t>
  </si>
  <si>
    <t>DONNEES PRINCIPALES</t>
  </si>
  <si>
    <t xml:space="preserve">Classe de fertilité : </t>
  </si>
  <si>
    <t xml:space="preserve">Risque incendie : </t>
  </si>
  <si>
    <t xml:space="preserve">Taille : </t>
  </si>
  <si>
    <t>Rabais 1</t>
  </si>
  <si>
    <t>Rabais 2</t>
  </si>
  <si>
    <t>Rabais 3</t>
  </si>
  <si>
    <t>Rabais 4</t>
  </si>
  <si>
    <t>Rabais appliqué</t>
  </si>
  <si>
    <t xml:space="preserve">Obligatoire </t>
  </si>
  <si>
    <t xml:space="preserve">Risque d’incendie </t>
  </si>
  <si>
    <t>Justification de la classe de production</t>
  </si>
  <si>
    <t xml:space="preserve"> a. par l'écosystème forestier (avant rabais) :</t>
  </si>
  <si>
    <t xml:space="preserve">2) Réductions d'émissions de l'Empreinte (REE) générables : </t>
  </si>
  <si>
    <t>Non concerné</t>
  </si>
  <si>
    <t xml:space="preserve">Analyse économique </t>
  </si>
  <si>
    <t xml:space="preserve">Sous-total : </t>
  </si>
  <si>
    <t>Sous-total :</t>
  </si>
  <si>
    <t>Sous-total</t>
  </si>
  <si>
    <t>BR(n)</t>
  </si>
  <si>
    <t>BA(n)</t>
  </si>
  <si>
    <t>L(n)</t>
  </si>
  <si>
    <t>M(n)</t>
  </si>
  <si>
    <t>BA(ref)</t>
  </si>
  <si>
    <t>BR(ref)</t>
  </si>
  <si>
    <t>L(ref)</t>
  </si>
  <si>
    <t>M(ref)</t>
  </si>
  <si>
    <t>Stock(n)</t>
  </si>
  <si>
    <t>Stock(ref)</t>
  </si>
  <si>
    <t>début</t>
  </si>
  <si>
    <t>fin</t>
  </si>
  <si>
    <t>Vtot</t>
  </si>
  <si>
    <t>FEB</t>
  </si>
  <si>
    <t>Accroissement courant</t>
  </si>
  <si>
    <t>Vtot(n)</t>
  </si>
  <si>
    <t>DELTA</t>
  </si>
  <si>
    <t>Source :</t>
  </si>
  <si>
    <t>Table utilisée :</t>
  </si>
  <si>
    <t>Nul</t>
  </si>
  <si>
    <t>Biomasse</t>
  </si>
  <si>
    <t>REA Produits bois</t>
  </si>
  <si>
    <t>RABAIS APPLICABLES</t>
  </si>
  <si>
    <t>b. par les produits bois (avant rabais) :</t>
  </si>
  <si>
    <t>RECAPITULATIF REDUCTIONS D'EMISSIONS</t>
  </si>
  <si>
    <t>REA Foret</t>
  </si>
  <si>
    <t>REA produits</t>
  </si>
  <si>
    <t>Essence</t>
  </si>
  <si>
    <t>PROJET</t>
  </si>
  <si>
    <t>ACTUEL</t>
  </si>
  <si>
    <t>REFERENCE</t>
  </si>
  <si>
    <t>Forêt tempérée</t>
  </si>
  <si>
    <t>Durée de révolution</t>
  </si>
  <si>
    <t>Litière existante</t>
  </si>
  <si>
    <t>totale</t>
  </si>
  <si>
    <t>Accroissement annuel courant</t>
  </si>
  <si>
    <t>Facteur exp. Branche</t>
  </si>
  <si>
    <t>Accroissement</t>
  </si>
  <si>
    <t>TABLE D'ACCROISSEMENT ANNUEL COURANT PAR INTERVALLE</t>
  </si>
  <si>
    <t>Surface concernée</t>
  </si>
  <si>
    <t>SCENARIO REA(forêt) PROJET</t>
  </si>
  <si>
    <t>S(Projet)</t>
  </si>
  <si>
    <t>V éclairci 
(m³/ha)</t>
  </si>
  <si>
    <t>% Sciages</t>
  </si>
  <si>
    <t>% Panneaux</t>
  </si>
  <si>
    <t>% Pâte à 
papier</t>
  </si>
  <si>
    <t>Stock 
sciages (tCO₂/ha)</t>
  </si>
  <si>
    <t>Stock 
panneaux (tCO₂/ha)</t>
  </si>
  <si>
    <t>Stocks pâte 
à papier (tCO₂/ha)</t>
  </si>
  <si>
    <t>Stock produits 
bois (tCO₂/ha)</t>
  </si>
  <si>
    <t>Equilibre sol</t>
  </si>
  <si>
    <t>Infradensité (tMS/m³)</t>
  </si>
  <si>
    <t>Volume d'éclaircie</t>
  </si>
  <si>
    <t>Coef. Subs.</t>
  </si>
  <si>
    <t>t(1/2)</t>
  </si>
  <si>
    <t>SCENARIO REA(produits) PROJET</t>
  </si>
  <si>
    <t>REI substitution</t>
  </si>
  <si>
    <t>% Bois énergie</t>
  </si>
  <si>
    <t>Substit.
sciages (tCO₂/ha)</t>
  </si>
  <si>
    <t>Substit.
panneaux (tCO₂/ha)</t>
  </si>
  <si>
    <t>Substit. papier (tCO₂/ha)</t>
  </si>
  <si>
    <t>Substit. Énergie (tCO₂/ha)</t>
  </si>
  <si>
    <t>Delta</t>
  </si>
  <si>
    <t>Sur une révolution</t>
  </si>
  <si>
    <t>Sur 30 ans</t>
  </si>
  <si>
    <t>REA Forêt</t>
  </si>
  <si>
    <t>RE générables</t>
  </si>
  <si>
    <t>SCENARIO REI(substitution) PROJET</t>
  </si>
  <si>
    <t>SCENARIO REA REFERENCE</t>
  </si>
  <si>
    <t>DONNEES D'ENTREE</t>
  </si>
  <si>
    <t>Surface</t>
  </si>
  <si>
    <t>REA (Forêt)</t>
  </si>
  <si>
    <t>REA (Produits)</t>
  </si>
  <si>
    <t>REI (substitution)</t>
  </si>
  <si>
    <t>Nature des sols</t>
  </si>
  <si>
    <t>Département</t>
  </si>
  <si>
    <t>Région</t>
  </si>
  <si>
    <t>TOTAL REG avant rabais :</t>
  </si>
  <si>
    <t>REDUCTIONS D'EMISSIONS GENERABLES AVANT RABAIS</t>
  </si>
  <si>
    <t>RECAPITULATIFS DES RESULTATS PAR ESSENCE ET NATURE DE SOLS</t>
  </si>
  <si>
    <t>1) Réductions d'émissions anticipées (REA) générables</t>
  </si>
  <si>
    <t>TABLES DE PRODUCTION EMPLOYEES</t>
  </si>
  <si>
    <t xml:space="preserve">TOTAL REG après rabais : </t>
  </si>
  <si>
    <t>Volume Sciage (m3/ha)</t>
  </si>
  <si>
    <t>Volume Panneaux (m3/ha)</t>
  </si>
  <si>
    <t>Volume Papier (m3/ha)</t>
  </si>
  <si>
    <t>Volume Energie (m3/ha)</t>
  </si>
  <si>
    <t>Avant rabais</t>
  </si>
  <si>
    <t>Après rabais</t>
  </si>
  <si>
    <t>table</t>
  </si>
  <si>
    <t xml:space="preserve">source : </t>
  </si>
  <si>
    <t>Inflation</t>
  </si>
  <si>
    <t>DEPENSES</t>
  </si>
  <si>
    <t>RECETTES</t>
  </si>
  <si>
    <t>Plantation</t>
  </si>
  <si>
    <t>Entretien</t>
  </si>
  <si>
    <t>Gestion</t>
  </si>
  <si>
    <t>Assurances</t>
  </si>
  <si>
    <t>TFNB</t>
  </si>
  <si>
    <t>Gibier</t>
  </si>
  <si>
    <t>Entretien N+1</t>
  </si>
  <si>
    <t>Entretien N+2</t>
  </si>
  <si>
    <t>Entretien N+3</t>
  </si>
  <si>
    <t>Entretien N+4</t>
  </si>
  <si>
    <t>Entretien N+5</t>
  </si>
  <si>
    <t>Volume Sciage</t>
  </si>
  <si>
    <t>Volume Panneaux</t>
  </si>
  <si>
    <t>Volume papier</t>
  </si>
  <si>
    <t>Volume bois énergie</t>
  </si>
  <si>
    <t>Taxe foncière</t>
  </si>
  <si>
    <t>Entretiens courants</t>
  </si>
  <si>
    <t>Révolution</t>
  </si>
  <si>
    <t>Sols</t>
  </si>
  <si>
    <t>Données communes</t>
  </si>
  <si>
    <t>Honoraires gestion</t>
  </si>
  <si>
    <t>Surface totale</t>
  </si>
  <si>
    <t>€/ha</t>
  </si>
  <si>
    <t>Entret. N+1</t>
  </si>
  <si>
    <t>Entret. N+2</t>
  </si>
  <si>
    <t>Entret. N+3</t>
  </si>
  <si>
    <t>Entret. N+4</t>
  </si>
  <si>
    <t>Entret. N+5</t>
  </si>
  <si>
    <t>Autre entretiens courants</t>
  </si>
  <si>
    <t>Type</t>
  </si>
  <si>
    <t>Feuillus</t>
  </si>
  <si>
    <t>Résineux</t>
  </si>
  <si>
    <t>Peupliers</t>
  </si>
  <si>
    <t>Pin Maritime intensif</t>
  </si>
  <si>
    <t>Coefficients de substitution 30 ans</t>
  </si>
  <si>
    <t>Coefficient appliqué</t>
  </si>
  <si>
    <t>Valeur BO</t>
  </si>
  <si>
    <t>Valeur BI</t>
  </si>
  <si>
    <t>Valeur BE</t>
  </si>
  <si>
    <t>sources :</t>
  </si>
  <si>
    <t>https://franceboisforet.fr/wp-content/uploads/2020/05/Indicateur-2020-des-prix-du-bois-sur-pied-en-for%C3%AAt-priv%C3%A9e.pdf</t>
  </si>
  <si>
    <t>Colonne1</t>
  </si>
  <si>
    <t>http://arborea.com/vente-et-cours-du-bois/feuillus-nobles/</t>
  </si>
  <si>
    <t>http://www.leboisinternational.com/asset/uploads/2019/01/V1902-Cours-bois-sur-pied-Nov-Dec-2018.pdf</t>
  </si>
  <si>
    <t>https://www.europeansa-online.com/bois_sur_pied.php</t>
  </si>
  <si>
    <t>http://observatoire.franceboisforet.com/donnees-de-la-filiere/amont-forestier/experts-forestiers/</t>
  </si>
  <si>
    <t>https://nouvelle-aquitaine.cnpf.fr/n/le-prix-des-bois/n:2396</t>
  </si>
  <si>
    <t>Colonne2</t>
  </si>
  <si>
    <t>Colonne3</t>
  </si>
  <si>
    <t>Colonne4</t>
  </si>
  <si>
    <t>Valeur sur pied (en €/m3)</t>
  </si>
  <si>
    <t>Colonne5</t>
  </si>
  <si>
    <t>??</t>
  </si>
  <si>
    <t>Colonne42</t>
  </si>
  <si>
    <t>Revenu Coupe</t>
  </si>
  <si>
    <t>R(n)-C(n) /(1+r)^n</t>
  </si>
  <si>
    <t>VAN référence</t>
  </si>
  <si>
    <t>DeltaVAN</t>
  </si>
  <si>
    <t>DEPENSES-RECETTES</t>
  </si>
  <si>
    <t>RECETTES ISSUES DES COUPES</t>
  </si>
  <si>
    <t>RECAPITULATIF</t>
  </si>
  <si>
    <t>Destination biomasse éclaircies (avant transformation)</t>
  </si>
  <si>
    <t>néant</t>
  </si>
  <si>
    <t>Moyenne sur 30 ans</t>
  </si>
  <si>
    <t>VAN projet</t>
  </si>
  <si>
    <t>SUBVENTIONS</t>
  </si>
  <si>
    <t>Revenus tirés de la coupe (avant projet)</t>
  </si>
  <si>
    <t>Gibier/regarnis</t>
  </si>
  <si>
    <t>Facteur expansion branche</t>
  </si>
  <si>
    <t>Centre-Val de Loire</t>
  </si>
  <si>
    <t>http://documents.irevues.inist.fr/bitstream/handle/2042/24705/RFF_1965_12_818.pdf?sequence=1</t>
  </si>
  <si>
    <t>Classe de fertilité moyenne</t>
  </si>
  <si>
    <t>Tables de Décourt pour le pin laricio en Sologne - 1965</t>
  </si>
  <si>
    <t>Pin Maritime</t>
  </si>
  <si>
    <t>PIN MARITIME BOISMORAND</t>
  </si>
  <si>
    <t>Avant éclaircie</t>
  </si>
  <si>
    <t>Eclaircie</t>
  </si>
  <si>
    <t>Après éclaircie</t>
  </si>
  <si>
    <t>COUPE</t>
  </si>
  <si>
    <t>Age</t>
  </si>
  <si>
    <t>Ho</t>
  </si>
  <si>
    <t>N</t>
  </si>
  <si>
    <t>Dg</t>
  </si>
  <si>
    <t>V7/N</t>
  </si>
  <si>
    <t>V/N</t>
  </si>
  <si>
    <t>V7</t>
  </si>
  <si>
    <t>V</t>
  </si>
  <si>
    <t>Eclaircie 1</t>
  </si>
  <si>
    <t>Eclaircie 2</t>
  </si>
  <si>
    <t>Eclaircie 3</t>
  </si>
  <si>
    <t>Eclaircie 4</t>
  </si>
  <si>
    <t>Eclaircie 5</t>
  </si>
  <si>
    <t>Eclaircie 6</t>
  </si>
  <si>
    <t>Coupe rase</t>
  </si>
  <si>
    <t>https://ifc.cnpf.fr/data/pins_1_1.pdf</t>
  </si>
  <si>
    <t>Eclaircie 7</t>
  </si>
  <si>
    <t>a</t>
  </si>
  <si>
    <t>b</t>
  </si>
  <si>
    <t>c</t>
  </si>
  <si>
    <t>constante</t>
  </si>
  <si>
    <t>Pinus pinaster</t>
  </si>
  <si>
    <t>Compte tenu de l'absence de table de production adaptée à la sylviculture du pin maritime en centre-val de loire (sylviculture à cycle de 50 à 80 ans), la table de production employée a été construite à partir de l'itinéraire sylvicole préconisé par le CRPF pour le pin maritime dans la région centre, des données fournies par l'expert forestier (éclaircies et période de révolution), et de la méthode quantification du volume total fournies par la méthode.</t>
  </si>
  <si>
    <t>Boismorand</t>
  </si>
  <si>
    <t>Loiret (45)</t>
  </si>
  <si>
    <t>Moyenne</t>
  </si>
  <si>
    <r>
      <rPr>
        <u/>
        <sz val="11"/>
        <color theme="1"/>
        <rFont val="Gill Sans MT"/>
        <family val="2"/>
      </rPr>
      <t>Etat initial</t>
    </r>
    <r>
      <rPr>
        <sz val="11"/>
        <color theme="1"/>
        <rFont val="Gill Sans MT"/>
        <family val="2"/>
      </rPr>
      <t xml:space="preserve"> : dépérissement intense de pins sylvestre</t>
    </r>
  </si>
  <si>
    <r>
      <rPr>
        <u/>
        <sz val="11"/>
        <color theme="1"/>
        <rFont val="Gill Sans MT"/>
        <family val="2"/>
      </rPr>
      <t>Scénario de référence</t>
    </r>
    <r>
      <rPr>
        <sz val="11"/>
        <color theme="1"/>
        <rFont val="Gill Sans MT"/>
        <family val="2"/>
      </rPr>
      <t xml:space="preserve"> : reprise par accrus feuillus</t>
    </r>
  </si>
  <si>
    <r>
      <rPr>
        <u/>
        <sz val="11"/>
        <color theme="1"/>
        <rFont val="Gill Sans MT"/>
        <family val="2"/>
      </rPr>
      <t>Scénario projet</t>
    </r>
    <r>
      <rPr>
        <sz val="11"/>
        <color theme="1"/>
        <rFont val="Gill Sans MT"/>
        <family val="2"/>
      </rPr>
      <t xml:space="preserve"> : reboisement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</si>
</sst>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4" formatCode="_-* #,##0.00\ &quot;€&quot;_-;\-* #,##0.00\ &quot;€&quot;_-;_-* &quot;-&quot;??\ &quot;€&quot;_-;_-@_-"/>
    <numFmt numFmtId="43" formatCode="_-* #,##0.00\ _€_-;\-* #,##0.00\ _€_-;_-* &quot;-&quot;??\ _€_-;_-@_-"/>
    <numFmt numFmtId="164" formatCode="_-* #,##0.00_-;\-* #,##0.00_-;_-* &quot;-&quot;??_-;_-@_-"/>
    <numFmt numFmtId="165" formatCode="0_/&quot; tC/ha&quot;"/>
    <numFmt numFmtId="166" formatCode="0.00&quot; ha&quot;"/>
    <numFmt numFmtId="167" formatCode="_-* #,##0\ _€_-;\-* #,##0\ _€_-;_-* &quot;-&quot;??\ _€_-;_-@_-"/>
    <numFmt numFmtId="168" formatCode="0&quot; m3&quot;"/>
    <numFmt numFmtId="169" formatCode="_-* #,##0&quot; tCO2/ha&quot;\ _€_-;\-* #,##0&quot; tCO2/ha&quot;\ _€_-;_-* &quot;-&quot;??\ _€_-;_-@_-"/>
    <numFmt numFmtId="170" formatCode="0.00&quot; tC02&quot;"/>
    <numFmt numFmtId="171" formatCode="0&quot; ans&quot;"/>
    <numFmt numFmtId="172" formatCode="0.00&quot; m3/an&quot;"/>
    <numFmt numFmtId="173" formatCode="0.0&quot; m3&quot;"/>
    <numFmt numFmtId="174" formatCode="0.0&quot; €/ha/an&quot;"/>
    <numFmt numFmtId="175" formatCode="&quot;à N+&quot;0"/>
    <numFmt numFmtId="176" formatCode="0.0"/>
    <numFmt numFmtId="177" formatCode="_-* #,##0\ &quot;€&quot;_-;\-* #,##0\ &quot;€&quot;_-;_-* &quot;-&quot;??\ &quot;€&quot;_-;_-@_-"/>
    <numFmt numFmtId="178" formatCode="_-* #,##0.0\ _€_-;\-* #,##0.0\ _€_-;_-* &quot;-&quot;??\ _€_-;_-@_-"/>
    <numFmt numFmtId="179" formatCode="&quot;Année &quot;0"/>
    <numFmt numFmtId="180" formatCode="#,##0\ &quot;€&quot;"/>
    <numFmt numFmtId="181" formatCode="0.00&quot; m3&quot;"/>
    <numFmt numFmtId="182" formatCode="0.0&quot; m&quot;"/>
    <numFmt numFmtId="183" formatCode="0.00&quot; m&quot;"/>
    <numFmt numFmtId="184" formatCode="0.00&quot; m3/t&quot;"/>
  </numFmts>
  <fonts count="4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Times New Roman"/>
      <family val="1"/>
    </font>
    <font>
      <sz val="11"/>
      <color rgb="FF000000"/>
      <name val="Times New Roman"/>
      <family val="1"/>
    </font>
    <font>
      <b/>
      <sz val="7"/>
      <color rgb="FF000000"/>
      <name val="Times New Roman"/>
      <family val="1"/>
    </font>
    <font>
      <b/>
      <sz val="11"/>
      <color rgb="FFFF0000"/>
      <name val="Calibri"/>
      <family val="2"/>
      <scheme val="minor"/>
    </font>
    <font>
      <i/>
      <sz val="11"/>
      <color theme="1"/>
      <name val="Calibri"/>
      <family val="2"/>
      <scheme val="minor"/>
    </font>
    <font>
      <i/>
      <sz val="11"/>
      <name val="Calibri"/>
      <family val="2"/>
      <scheme val="minor"/>
    </font>
    <font>
      <sz val="11"/>
      <name val="Calibri"/>
      <family val="2"/>
      <scheme val="minor"/>
    </font>
    <font>
      <b/>
      <sz val="11"/>
      <color theme="1"/>
      <name val="Gill Sans MT"/>
      <family val="2"/>
    </font>
    <font>
      <sz val="11"/>
      <color theme="1"/>
      <name val="Gill Sans MT"/>
      <family val="2"/>
    </font>
    <font>
      <sz val="10"/>
      <color theme="1"/>
      <name val="Gill Sans MT"/>
      <family val="2"/>
    </font>
    <font>
      <i/>
      <sz val="11"/>
      <color theme="1"/>
      <name val="Gill Sans MT"/>
      <family val="2"/>
    </font>
    <font>
      <u/>
      <sz val="11"/>
      <color theme="1"/>
      <name val="Gill Sans MT"/>
      <family val="2"/>
    </font>
    <font>
      <u/>
      <sz val="11"/>
      <color theme="10"/>
      <name val="Gill Sans MT"/>
      <family val="2"/>
    </font>
    <font>
      <b/>
      <sz val="11"/>
      <name val="Calibri"/>
      <family val="2"/>
      <scheme val="minor"/>
    </font>
    <font>
      <b/>
      <i/>
      <sz val="11"/>
      <color theme="1"/>
      <name val="Calibri"/>
      <family val="2"/>
      <scheme val="minor"/>
    </font>
    <font>
      <b/>
      <sz val="10"/>
      <name val="Calibri"/>
      <family val="2"/>
      <scheme val="minor"/>
    </font>
    <font>
      <sz val="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u/>
      <sz val="11"/>
      <color theme="1"/>
      <name val="Calibri"/>
      <family val="2"/>
      <scheme val="minor"/>
    </font>
    <font>
      <b/>
      <sz val="11"/>
      <color rgb="FF000000"/>
      <name val="Times New Roman"/>
      <family val="1"/>
    </font>
    <font>
      <b/>
      <sz val="11"/>
      <color rgb="FFFF0000"/>
      <name val="Times New Roman"/>
      <family val="1"/>
    </font>
    <font>
      <b/>
      <sz val="14"/>
      <color theme="1"/>
      <name val="Calibri"/>
      <family val="2"/>
      <scheme val="minor"/>
    </font>
    <font>
      <b/>
      <sz val="10"/>
      <color rgb="FFFF0000"/>
      <name val="Calibri"/>
      <family val="2"/>
      <scheme val="minor"/>
    </font>
    <font>
      <sz val="14"/>
      <color theme="1"/>
      <name val="Calibri"/>
      <family val="2"/>
      <scheme val="minor"/>
    </font>
    <font>
      <b/>
      <sz val="14"/>
      <name val="Calibri"/>
      <family val="2"/>
      <scheme val="minor"/>
    </font>
    <font>
      <b/>
      <sz val="18"/>
      <color rgb="FFFF0000"/>
      <name val="Calibri"/>
      <family val="2"/>
      <scheme val="minor"/>
    </font>
    <font>
      <b/>
      <sz val="20"/>
      <color rgb="FFFF0000"/>
      <name val="Calibri"/>
      <family val="2"/>
      <scheme val="minor"/>
    </font>
    <font>
      <b/>
      <sz val="14"/>
      <color rgb="FFFF0000"/>
      <name val="Calibri"/>
      <family val="2"/>
      <scheme val="minor"/>
    </font>
    <font>
      <b/>
      <sz val="11"/>
      <color rgb="FF000000"/>
      <name val="Calibri"/>
      <family val="2"/>
      <scheme val="minor"/>
    </font>
    <font>
      <b/>
      <sz val="11"/>
      <color rgb="FF000000"/>
      <name val="Times New Roman"/>
      <family val="1"/>
    </font>
    <font>
      <sz val="11"/>
      <name val="Gill Sans MT"/>
      <family val="2"/>
    </font>
    <font>
      <b/>
      <sz val="9"/>
      <color indexed="81"/>
      <name val="Tahoma"/>
      <family val="2"/>
    </font>
    <font>
      <sz val="9"/>
      <color indexed="81"/>
      <name val="Tahoma"/>
      <family val="2"/>
    </font>
    <font>
      <sz val="11"/>
      <color theme="0"/>
      <name val="Calibri"/>
      <family val="2"/>
      <scheme val="minor"/>
    </font>
    <font>
      <sz val="11"/>
      <color theme="0"/>
      <name val="Gill Sans MT"/>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theme="4" tint="0.39997558519241921"/>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mediumDashDot">
        <color rgb="FFFF0000"/>
      </left>
      <right/>
      <top style="thin">
        <color indexed="64"/>
      </top>
      <bottom style="thin">
        <color indexed="64"/>
      </bottom>
      <diagonal/>
    </border>
    <border>
      <left style="thin">
        <color indexed="64"/>
      </left>
      <right style="mediumDashDot">
        <color rgb="FFFF0000"/>
      </right>
      <top style="thin">
        <color indexed="64"/>
      </top>
      <bottom/>
      <diagonal/>
    </border>
    <border>
      <left style="mediumDashDot">
        <color rgb="FFFF0000"/>
      </left>
      <right style="thin">
        <color indexed="64"/>
      </right>
      <top style="thin">
        <color indexed="64"/>
      </top>
      <bottom style="thin">
        <color indexed="64"/>
      </bottom>
      <diagonal/>
    </border>
    <border>
      <left style="thin">
        <color indexed="64"/>
      </left>
      <right style="mediumDashDot">
        <color rgb="FFFF0000"/>
      </right>
      <top style="thin">
        <color indexed="64"/>
      </top>
      <bottom style="thin">
        <color indexed="64"/>
      </bottom>
      <diagonal/>
    </border>
    <border>
      <left style="mediumDashDot">
        <color rgb="FFFF0000"/>
      </left>
      <right style="thin">
        <color indexed="64"/>
      </right>
      <top style="thin">
        <color indexed="64"/>
      </top>
      <bottom style="hair">
        <color indexed="64"/>
      </bottom>
      <diagonal/>
    </border>
    <border>
      <left style="thin">
        <color indexed="64"/>
      </left>
      <right style="mediumDashDot">
        <color rgb="FFFF0000"/>
      </right>
      <top style="thin">
        <color indexed="64"/>
      </top>
      <bottom style="hair">
        <color indexed="64"/>
      </bottom>
      <diagonal/>
    </border>
    <border>
      <left style="mediumDashDot">
        <color rgb="FFFF0000"/>
      </left>
      <right style="thin">
        <color indexed="64"/>
      </right>
      <top style="hair">
        <color indexed="64"/>
      </top>
      <bottom style="hair">
        <color indexed="64"/>
      </bottom>
      <diagonal/>
    </border>
    <border>
      <left style="thin">
        <color indexed="64"/>
      </left>
      <right style="mediumDashDot">
        <color rgb="FFFF0000"/>
      </right>
      <top style="hair">
        <color indexed="64"/>
      </top>
      <bottom style="hair">
        <color indexed="64"/>
      </bottom>
      <diagonal/>
    </border>
    <border>
      <left style="mediumDashDot">
        <color rgb="FFFF0000"/>
      </left>
      <right style="thin">
        <color indexed="64"/>
      </right>
      <top style="hair">
        <color indexed="64"/>
      </top>
      <bottom style="thin">
        <color indexed="64"/>
      </bottom>
      <diagonal/>
    </border>
    <border>
      <left style="thin">
        <color indexed="64"/>
      </left>
      <right style="mediumDashDot">
        <color rgb="FFFF0000"/>
      </right>
      <top style="hair">
        <color indexed="64"/>
      </top>
      <bottom style="thin">
        <color indexed="64"/>
      </bottom>
      <diagonal/>
    </border>
    <border>
      <left style="mediumDashDot">
        <color rgb="FFFF0000"/>
      </left>
      <right/>
      <top/>
      <bottom/>
      <diagonal/>
    </border>
    <border>
      <left/>
      <right style="mediumDashDot">
        <color rgb="FFFF0000"/>
      </right>
      <top/>
      <bottom/>
      <diagonal/>
    </border>
    <border>
      <left style="mediumDashDot">
        <color rgb="FFFF0000"/>
      </left>
      <right style="thin">
        <color indexed="64"/>
      </right>
      <top style="hair">
        <color indexed="64"/>
      </top>
      <bottom style="mediumDashDot">
        <color rgb="FFFF0000"/>
      </bottom>
      <diagonal/>
    </border>
    <border>
      <left style="thin">
        <color indexed="64"/>
      </left>
      <right style="hair">
        <color indexed="64"/>
      </right>
      <top style="hair">
        <color indexed="64"/>
      </top>
      <bottom style="mediumDashDot">
        <color rgb="FFFF0000"/>
      </bottom>
      <diagonal/>
    </border>
    <border>
      <left style="hair">
        <color indexed="64"/>
      </left>
      <right style="hair">
        <color indexed="64"/>
      </right>
      <top style="hair">
        <color indexed="64"/>
      </top>
      <bottom style="mediumDashDot">
        <color rgb="FFFF0000"/>
      </bottom>
      <diagonal/>
    </border>
    <border>
      <left style="hair">
        <color indexed="64"/>
      </left>
      <right style="hair">
        <color indexed="64"/>
      </right>
      <top/>
      <bottom style="mediumDashDot">
        <color rgb="FFFF0000"/>
      </bottom>
      <diagonal/>
    </border>
    <border>
      <left style="hair">
        <color indexed="64"/>
      </left>
      <right style="thin">
        <color indexed="64"/>
      </right>
      <top style="hair">
        <color indexed="64"/>
      </top>
      <bottom style="mediumDashDot">
        <color rgb="FFFF0000"/>
      </bottom>
      <diagonal/>
    </border>
    <border>
      <left style="thin">
        <color indexed="64"/>
      </left>
      <right style="mediumDashDot">
        <color rgb="FFFF0000"/>
      </right>
      <top style="hair">
        <color indexed="64"/>
      </top>
      <bottom style="mediumDashDot">
        <color rgb="FFFF0000"/>
      </bottom>
      <diagonal/>
    </border>
    <border>
      <left/>
      <right/>
      <top style="mediumDashDotDot">
        <color rgb="FFFF0000"/>
      </top>
      <bottom/>
      <diagonal/>
    </border>
    <border>
      <left/>
      <right style="mediumDashDotDot">
        <color rgb="FFFF0000"/>
      </right>
      <top style="mediumDashDotDot">
        <color rgb="FFFF0000"/>
      </top>
      <bottom/>
      <diagonal/>
    </border>
    <border>
      <left/>
      <right style="mediumDashDotDot">
        <color rgb="FFFF0000"/>
      </right>
      <top/>
      <bottom/>
      <diagonal/>
    </border>
    <border>
      <left/>
      <right/>
      <top/>
      <bottom style="mediumDashDotDot">
        <color rgb="FFFF0000"/>
      </bottom>
      <diagonal/>
    </border>
    <border>
      <left/>
      <right style="mediumDashDotDot">
        <color rgb="FFFF0000"/>
      </right>
      <top/>
      <bottom style="mediumDashDotDot">
        <color rgb="FFFF0000"/>
      </bottom>
      <diagonal/>
    </border>
    <border>
      <left style="mediumDashDotDot">
        <color rgb="FFFF0000"/>
      </left>
      <right style="mediumDashDotDot">
        <color rgb="FFFF0000"/>
      </right>
      <top style="mediumDashDotDot">
        <color rgb="FFFF0000"/>
      </top>
      <bottom/>
      <diagonal/>
    </border>
    <border>
      <left style="mediumDashDotDot">
        <color rgb="FFFF0000"/>
      </left>
      <right style="mediumDashDotDot">
        <color rgb="FFFF0000"/>
      </right>
      <top/>
      <bottom/>
      <diagonal/>
    </border>
    <border>
      <left style="mediumDashDotDot">
        <color rgb="FFFF0000"/>
      </left>
      <right style="mediumDashDotDot">
        <color rgb="FFFF0000"/>
      </right>
      <top/>
      <bottom style="mediumDashDotDot">
        <color rgb="FFFF0000"/>
      </bottom>
      <diagonal/>
    </border>
    <border>
      <left style="mediumDashDot">
        <color rgb="FFFF0000"/>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DashDot">
        <color rgb="FFFF0000"/>
      </right>
      <top/>
      <bottom/>
      <diagonal/>
    </border>
    <border>
      <left style="mediumDashDot">
        <color rgb="FFFF0000"/>
      </left>
      <right/>
      <top style="mediumDashDot">
        <color rgb="FFFF0000"/>
      </top>
      <bottom style="mediumDashDot">
        <color rgb="FFFF0000"/>
      </bottom>
      <diagonal/>
    </border>
    <border>
      <left/>
      <right/>
      <top style="mediumDashDot">
        <color rgb="FFFF0000"/>
      </top>
      <bottom style="mediumDashDot">
        <color rgb="FFFF0000"/>
      </bottom>
      <diagonal/>
    </border>
    <border>
      <left/>
      <right style="mediumDashDot">
        <color rgb="FFFF0000"/>
      </right>
      <top style="mediumDashDot">
        <color rgb="FFFF0000"/>
      </top>
      <bottom style="mediumDashDot">
        <color rgb="FFFF0000"/>
      </bottom>
      <diagonal/>
    </border>
    <border>
      <left style="thin">
        <color rgb="FFFF0000"/>
      </left>
      <right/>
      <top style="mediumDashDotDot">
        <color rgb="FFFF0000"/>
      </top>
      <bottom/>
      <diagonal/>
    </border>
    <border>
      <left/>
      <right style="thin">
        <color rgb="FFFF0000"/>
      </right>
      <top style="mediumDashDotDot">
        <color rgb="FFFF0000"/>
      </top>
      <bottom/>
      <diagonal/>
    </border>
    <border>
      <left style="thin">
        <color rgb="FFFF0000"/>
      </left>
      <right/>
      <top/>
      <bottom/>
      <diagonal/>
    </border>
    <border>
      <left/>
      <right style="thin">
        <color rgb="FFFF0000"/>
      </right>
      <top/>
      <bottom/>
      <diagonal/>
    </border>
    <border>
      <left style="thin">
        <color rgb="FFFF0000"/>
      </left>
      <right/>
      <top/>
      <bottom style="mediumDashDotDot">
        <color rgb="FFFF0000"/>
      </bottom>
      <diagonal/>
    </border>
    <border>
      <left/>
      <right style="thin">
        <color rgb="FFFF0000"/>
      </right>
      <top/>
      <bottom style="mediumDashDotDot">
        <color rgb="FFFF0000"/>
      </bottom>
      <diagonal/>
    </border>
    <border>
      <left style="mediumDashDotDot">
        <color rgb="FFFF0000"/>
      </left>
      <right/>
      <top style="mediumDashDotDot">
        <color rgb="FFFF0000"/>
      </top>
      <bottom style="mediumDashDotDot">
        <color rgb="FFFF0000"/>
      </bottom>
      <diagonal/>
    </border>
    <border>
      <left/>
      <right style="mediumDashDotDot">
        <color rgb="FFFF0000"/>
      </right>
      <top style="mediumDashDotDot">
        <color rgb="FFFF0000"/>
      </top>
      <bottom style="mediumDashDotDot">
        <color rgb="FFFF0000"/>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44" fontId="1" fillId="0" borderId="0" applyFont="0" applyFill="0" applyBorder="0" applyAlignment="0" applyProtection="0"/>
    <xf numFmtId="164" fontId="1" fillId="0" borderId="0" applyFont="0" applyFill="0" applyBorder="0" applyAlignment="0" applyProtection="0"/>
  </cellStyleXfs>
  <cellXfs count="458">
    <xf numFmtId="0" fontId="0" fillId="0" borderId="0" xfId="0"/>
    <xf numFmtId="0" fontId="4" fillId="0" borderId="0" xfId="3"/>
    <xf numFmtId="0" fontId="0" fillId="0" borderId="0" xfId="0" applyAlignment="1">
      <alignment horizontal="right"/>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xf numFmtId="9" fontId="0" fillId="0" borderId="0" xfId="2" applyFont="1"/>
    <xf numFmtId="167" fontId="0" fillId="0" borderId="0" xfId="1" applyNumberFormat="1" applyFont="1"/>
    <xf numFmtId="43" fontId="0" fillId="0" borderId="0" xfId="0" applyNumberFormat="1"/>
    <xf numFmtId="43" fontId="0" fillId="0" borderId="0" xfId="1" applyNumberFormat="1" applyFont="1"/>
    <xf numFmtId="0" fontId="13" fillId="0" borderId="6" xfId="0" applyFont="1" applyBorder="1"/>
    <xf numFmtId="0" fontId="13" fillId="0" borderId="7" xfId="0" applyFont="1" applyBorder="1"/>
    <xf numFmtId="0" fontId="13" fillId="0" borderId="8" xfId="0" applyFont="1" applyBorder="1"/>
    <xf numFmtId="0" fontId="13" fillId="0" borderId="9" xfId="0" applyFont="1" applyBorder="1"/>
    <xf numFmtId="0" fontId="13" fillId="0" borderId="0" xfId="0" applyFont="1" applyBorder="1"/>
    <xf numFmtId="0" fontId="13" fillId="0" borderId="10" xfId="0" applyFont="1" applyBorder="1"/>
    <xf numFmtId="0" fontId="13" fillId="0" borderId="11" xfId="0" applyFont="1" applyBorder="1"/>
    <xf numFmtId="0" fontId="13" fillId="0" borderId="12" xfId="0" applyFont="1" applyBorder="1"/>
    <xf numFmtId="0" fontId="13" fillId="0" borderId="13" xfId="0" applyFont="1" applyBorder="1"/>
    <xf numFmtId="0" fontId="13" fillId="0" borderId="0" xfId="0" applyFont="1"/>
    <xf numFmtId="0" fontId="12" fillId="0" borderId="0" xfId="0" applyFont="1" applyBorder="1"/>
    <xf numFmtId="0" fontId="13" fillId="0" borderId="0" xfId="0" applyFont="1" applyAlignment="1">
      <alignment wrapText="1"/>
    </xf>
    <xf numFmtId="0" fontId="14" fillId="0" borderId="16" xfId="0" applyFont="1" applyBorder="1" applyAlignment="1">
      <alignment horizontal="center" vertical="center" wrapText="1"/>
    </xf>
    <xf numFmtId="0" fontId="3" fillId="0" borderId="0" xfId="0" applyFont="1" applyAlignment="1"/>
    <xf numFmtId="43" fontId="0" fillId="0" borderId="0" xfId="1" applyNumberFormat="1" applyFont="1" applyAlignment="1">
      <alignment horizontal="center"/>
    </xf>
    <xf numFmtId="0" fontId="3" fillId="0" borderId="0" xfId="0" applyFont="1" applyAlignment="1">
      <alignment horizontal="center" wrapText="1"/>
    </xf>
    <xf numFmtId="0" fontId="0" fillId="0" borderId="0" xfId="0" applyAlignment="1">
      <alignment horizontal="center"/>
    </xf>
    <xf numFmtId="1" fontId="0" fillId="0" borderId="0" xfId="0" applyNumberFormat="1"/>
    <xf numFmtId="0" fontId="16" fillId="0" borderId="0" xfId="0" applyFont="1" applyBorder="1"/>
    <xf numFmtId="0" fontId="12" fillId="0" borderId="0" xfId="0" applyFont="1"/>
    <xf numFmtId="0" fontId="16" fillId="0" borderId="0" xfId="0" applyFont="1"/>
    <xf numFmtId="170" fontId="12" fillId="0" borderId="0" xfId="0" applyNumberFormat="1" applyFont="1" applyBorder="1"/>
    <xf numFmtId="0" fontId="12" fillId="0" borderId="0" xfId="0" applyFont="1" applyBorder="1" applyAlignment="1">
      <alignment horizontal="right"/>
    </xf>
    <xf numFmtId="43" fontId="0" fillId="0" borderId="0" xfId="1" applyNumberFormat="1" applyFont="1" applyBorder="1" applyAlignment="1">
      <alignment horizontal="center"/>
    </xf>
    <xf numFmtId="43" fontId="0" fillId="0" borderId="27" xfId="1" applyNumberFormat="1" applyFont="1" applyBorder="1" applyAlignment="1">
      <alignment horizontal="center"/>
    </xf>
    <xf numFmtId="43" fontId="0" fillId="0" borderId="2" xfId="1" applyNumberFormat="1" applyFont="1" applyBorder="1" applyAlignment="1">
      <alignment horizontal="center"/>
    </xf>
    <xf numFmtId="43" fontId="0" fillId="0" borderId="35" xfId="1" applyNumberFormat="1" applyFont="1" applyBorder="1" applyAlignment="1">
      <alignment horizontal="center"/>
    </xf>
    <xf numFmtId="43" fontId="0" fillId="0" borderId="38" xfId="1" applyNumberFormat="1" applyFont="1" applyBorder="1" applyAlignment="1">
      <alignment horizontal="center"/>
    </xf>
    <xf numFmtId="43" fontId="0" fillId="0" borderId="23" xfId="0" applyNumberFormat="1" applyBorder="1"/>
    <xf numFmtId="43" fontId="0" fillId="0" borderId="24" xfId="0" applyNumberFormat="1" applyBorder="1"/>
    <xf numFmtId="0" fontId="0" fillId="0" borderId="33" xfId="0" applyBorder="1"/>
    <xf numFmtId="0" fontId="0" fillId="0" borderId="34" xfId="0" applyBorder="1"/>
    <xf numFmtId="168" fontId="0" fillId="0" borderId="34" xfId="0" applyNumberFormat="1" applyBorder="1"/>
    <xf numFmtId="0" fontId="0" fillId="0" borderId="36" xfId="0" applyBorder="1"/>
    <xf numFmtId="168" fontId="0" fillId="0" borderId="37" xfId="0" applyNumberFormat="1" applyBorder="1"/>
    <xf numFmtId="0" fontId="0" fillId="0" borderId="40" xfId="0" applyBorder="1"/>
    <xf numFmtId="168" fontId="0" fillId="0" borderId="41" xfId="0" applyNumberFormat="1" applyBorder="1"/>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172" fontId="0" fillId="0" borderId="42" xfId="1" applyNumberFormat="1" applyFont="1" applyBorder="1" applyAlignment="1">
      <alignment horizontal="center"/>
    </xf>
    <xf numFmtId="172" fontId="0" fillId="0" borderId="35" xfId="1" applyNumberFormat="1" applyFont="1" applyBorder="1" applyAlignment="1">
      <alignment horizontal="center"/>
    </xf>
    <xf numFmtId="172" fontId="0" fillId="0" borderId="38" xfId="1" applyNumberFormat="1" applyFont="1" applyBorder="1" applyAlignment="1">
      <alignment horizontal="center"/>
    </xf>
    <xf numFmtId="43" fontId="0" fillId="0" borderId="14" xfId="1" applyNumberFormat="1" applyFont="1" applyBorder="1" applyAlignment="1">
      <alignment horizontal="center"/>
    </xf>
    <xf numFmtId="43" fontId="11" fillId="0" borderId="14" xfId="1" applyNumberFormat="1" applyFont="1" applyFill="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43" fontId="11" fillId="0" borderId="0" xfId="1" applyNumberFormat="1" applyFont="1" applyAlignment="1">
      <alignment horizontal="center"/>
    </xf>
    <xf numFmtId="43" fontId="2" fillId="0" borderId="0" xfId="1" applyNumberFormat="1" applyFont="1" applyAlignment="1">
      <alignment horizontal="center"/>
    </xf>
    <xf numFmtId="0" fontId="19" fillId="0" borderId="17" xfId="0" applyFont="1" applyBorder="1" applyAlignment="1">
      <alignment horizontal="center" vertical="center" wrapText="1"/>
    </xf>
    <xf numFmtId="0" fontId="3" fillId="0" borderId="14" xfId="0" applyFont="1" applyBorder="1" applyAlignment="1">
      <alignment horizontal="center" vertical="center"/>
    </xf>
    <xf numFmtId="43" fontId="9" fillId="0" borderId="14" xfId="1" applyNumberFormat="1" applyFont="1" applyBorder="1" applyAlignment="1">
      <alignment horizontal="center" vertical="center" wrapText="1"/>
    </xf>
    <xf numFmtId="43" fontId="3" fillId="0" borderId="14" xfId="1" applyNumberFormat="1" applyFont="1" applyBorder="1" applyAlignment="1">
      <alignment horizontal="center" vertical="center" wrapText="1"/>
    </xf>
    <xf numFmtId="0" fontId="3" fillId="0" borderId="14" xfId="0" applyFont="1" applyBorder="1" applyAlignment="1">
      <alignment vertical="center"/>
    </xf>
    <xf numFmtId="0" fontId="3" fillId="0" borderId="14" xfId="0" applyFont="1" applyBorder="1" applyAlignment="1">
      <alignment horizontal="center" vertical="center" wrapText="1"/>
    </xf>
    <xf numFmtId="43" fontId="18" fillId="0" borderId="46" xfId="0" applyNumberFormat="1" applyFont="1" applyFill="1" applyBorder="1"/>
    <xf numFmtId="0" fontId="3" fillId="0" borderId="1" xfId="0" applyFont="1" applyBorder="1" applyAlignment="1">
      <alignment horizontal="center" vertical="center"/>
    </xf>
    <xf numFmtId="0" fontId="3" fillId="0" borderId="0" xfId="0" applyFont="1" applyAlignment="1">
      <alignment horizontal="right"/>
    </xf>
    <xf numFmtId="0" fontId="3" fillId="0" borderId="14" xfId="0" applyFont="1" applyBorder="1" applyAlignment="1">
      <alignment vertical="center" wrapText="1"/>
    </xf>
    <xf numFmtId="43" fontId="0" fillId="0" borderId="18" xfId="1" applyNumberFormat="1" applyFont="1" applyBorder="1" applyAlignment="1">
      <alignment horizontal="center"/>
    </xf>
    <xf numFmtId="0" fontId="19" fillId="0" borderId="1" xfId="0" applyFont="1" applyBorder="1" applyAlignment="1">
      <alignment horizontal="center" vertical="center" wrapText="1"/>
    </xf>
    <xf numFmtId="0" fontId="9" fillId="0" borderId="23" xfId="0" applyFont="1" applyBorder="1" applyAlignment="1">
      <alignment horizontal="center"/>
    </xf>
    <xf numFmtId="0" fontId="9" fillId="0" borderId="24" xfId="0" applyFont="1" applyBorder="1" applyAlignment="1">
      <alignment horizontal="center"/>
    </xf>
    <xf numFmtId="0" fontId="18" fillId="0" borderId="1" xfId="0" applyFont="1" applyFill="1" applyBorder="1" applyAlignment="1">
      <alignment horizontal="center"/>
    </xf>
    <xf numFmtId="0" fontId="18" fillId="0" borderId="0" xfId="0" applyFont="1" applyAlignment="1">
      <alignment horizontal="center"/>
    </xf>
    <xf numFmtId="0" fontId="3" fillId="0" borderId="1" xfId="0" applyFont="1" applyBorder="1" applyAlignment="1">
      <alignment horizontal="center" vertical="center" wrapText="1"/>
    </xf>
    <xf numFmtId="43" fontId="0" fillId="0" borderId="23" xfId="1" applyNumberFormat="1" applyFont="1" applyBorder="1" applyAlignment="1">
      <alignment horizontal="center"/>
    </xf>
    <xf numFmtId="43" fontId="0" fillId="0" borderId="24" xfId="1" applyNumberFormat="1" applyFont="1" applyBorder="1" applyAlignment="1">
      <alignment horizontal="center"/>
    </xf>
    <xf numFmtId="169" fontId="20" fillId="0" borderId="0" xfId="0" applyNumberFormat="1" applyFont="1" applyFill="1"/>
    <xf numFmtId="167" fontId="21" fillId="0" borderId="0" xfId="1" applyNumberFormat="1" applyFont="1" applyAlignment="1">
      <alignment horizontal="center"/>
    </xf>
    <xf numFmtId="0" fontId="21" fillId="0" borderId="0" xfId="0" applyFont="1"/>
    <xf numFmtId="0" fontId="20" fillId="0" borderId="0" xfId="0" applyFont="1" applyAlignment="1">
      <alignment horizontal="right"/>
    </xf>
    <xf numFmtId="169" fontId="21" fillId="0" borderId="0" xfId="0" applyNumberFormat="1" applyFont="1" applyFill="1"/>
    <xf numFmtId="43" fontId="21" fillId="0" borderId="0" xfId="1" applyNumberFormat="1" applyFont="1" applyAlignment="1">
      <alignment horizontal="center"/>
    </xf>
    <xf numFmtId="0" fontId="20" fillId="0" borderId="0" xfId="0" applyFont="1"/>
    <xf numFmtId="169" fontId="21" fillId="0" borderId="0" xfId="0" applyNumberFormat="1" applyFont="1"/>
    <xf numFmtId="169" fontId="3" fillId="0" borderId="0" xfId="0" applyNumberFormat="1" applyFont="1" applyAlignment="1">
      <alignment horizontal="center"/>
    </xf>
    <xf numFmtId="0" fontId="10" fillId="0" borderId="17" xfId="0" applyFont="1" applyFill="1" applyBorder="1" applyAlignment="1">
      <alignment horizontal="center"/>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23" fillId="0" borderId="0" xfId="0" applyFont="1"/>
    <xf numFmtId="0" fontId="0" fillId="0" borderId="30" xfId="0" applyBorder="1" applyAlignment="1">
      <alignment horizontal="center"/>
    </xf>
    <xf numFmtId="165" fontId="11" fillId="0" borderId="32" xfId="0" applyNumberFormat="1" applyFont="1" applyBorder="1" applyAlignment="1">
      <alignment horizontal="center"/>
    </xf>
    <xf numFmtId="0" fontId="0" fillId="0" borderId="33" xfId="0" applyBorder="1" applyAlignment="1">
      <alignment horizontal="center"/>
    </xf>
    <xf numFmtId="165" fontId="11" fillId="0" borderId="35" xfId="0" applyNumberFormat="1" applyFont="1" applyBorder="1" applyAlignment="1">
      <alignment horizontal="center"/>
    </xf>
    <xf numFmtId="171" fontId="0" fillId="0" borderId="35" xfId="1" applyNumberFormat="1" applyFont="1" applyBorder="1" applyAlignment="1">
      <alignment horizontal="center"/>
    </xf>
    <xf numFmtId="0" fontId="2" fillId="3" borderId="35" xfId="0" applyFont="1" applyFill="1" applyBorder="1" applyAlignment="1">
      <alignment wrapText="1"/>
    </xf>
    <xf numFmtId="171" fontId="2" fillId="3" borderId="35" xfId="1" applyNumberFormat="1" applyFont="1" applyFill="1" applyBorder="1" applyAlignment="1">
      <alignment horizontal="center"/>
    </xf>
    <xf numFmtId="0" fontId="0" fillId="0" borderId="36" xfId="0" applyBorder="1" applyAlignment="1">
      <alignment horizontal="center"/>
    </xf>
    <xf numFmtId="165" fontId="11" fillId="0" borderId="38" xfId="0" applyNumberFormat="1" applyFont="1" applyBorder="1" applyAlignment="1">
      <alignment horizontal="center"/>
    </xf>
    <xf numFmtId="43" fontId="0" fillId="0" borderId="0" xfId="1" applyFont="1" applyBorder="1" applyAlignment="1">
      <alignment horizontal="center"/>
    </xf>
    <xf numFmtId="43" fontId="0" fillId="0" borderId="2" xfId="1" applyFont="1" applyBorder="1" applyAlignment="1">
      <alignment horizontal="center"/>
    </xf>
    <xf numFmtId="43" fontId="8" fillId="3" borderId="38" xfId="1" applyNumberFormat="1" applyFont="1" applyFill="1" applyBorder="1" applyAlignment="1">
      <alignment horizontal="center"/>
    </xf>
    <xf numFmtId="0" fontId="12" fillId="0" borderId="50" xfId="0" applyFont="1" applyBorder="1" applyAlignment="1">
      <alignment wrapText="1"/>
    </xf>
    <xf numFmtId="0" fontId="13" fillId="0" borderId="51" xfId="0" applyFont="1" applyBorder="1" applyAlignment="1">
      <alignment wrapText="1"/>
    </xf>
    <xf numFmtId="0" fontId="13" fillId="0" borderId="51" xfId="0" applyFont="1" applyBorder="1"/>
    <xf numFmtId="0" fontId="12" fillId="0" borderId="52" xfId="0" applyFont="1" applyBorder="1"/>
    <xf numFmtId="0" fontId="13" fillId="0" borderId="54" xfId="0" applyFont="1" applyBorder="1"/>
    <xf numFmtId="0" fontId="13" fillId="0" borderId="55" xfId="0" applyFont="1" applyBorder="1"/>
    <xf numFmtId="170" fontId="12" fillId="0" borderId="55" xfId="0" applyNumberFormat="1" applyFont="1" applyBorder="1"/>
    <xf numFmtId="170" fontId="12" fillId="0" borderId="56" xfId="0" applyNumberFormat="1" applyFont="1" applyBorder="1"/>
    <xf numFmtId="169" fontId="14" fillId="0" borderId="47" xfId="0" applyNumberFormat="1" applyFont="1" applyBorder="1" applyAlignment="1">
      <alignment horizontal="center" vertical="center"/>
    </xf>
    <xf numFmtId="169" fontId="14" fillId="0" borderId="34" xfId="0" applyNumberFormat="1" applyFont="1" applyBorder="1" applyAlignment="1">
      <alignment horizontal="center" vertical="center"/>
    </xf>
    <xf numFmtId="166" fontId="13" fillId="0" borderId="48" xfId="0" applyNumberFormat="1" applyFont="1" applyBorder="1" applyAlignment="1">
      <alignment horizontal="center" vertical="center"/>
    </xf>
    <xf numFmtId="166" fontId="13" fillId="0" borderId="49" xfId="0" applyNumberFormat="1" applyFont="1" applyBorder="1" applyAlignment="1">
      <alignment horizontal="center" vertical="center"/>
    </xf>
    <xf numFmtId="170" fontId="15" fillId="0" borderId="0" xfId="0" applyNumberFormat="1" applyFont="1" applyBorder="1" applyAlignment="1">
      <alignment horizontal="center" vertical="center"/>
    </xf>
    <xf numFmtId="0" fontId="13" fillId="0" borderId="57"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169" fontId="14" fillId="0" borderId="53" xfId="0" applyNumberFormat="1" applyFont="1" applyBorder="1" applyAlignment="1">
      <alignment horizontal="center" vertical="center"/>
    </xf>
    <xf numFmtId="166" fontId="13" fillId="0" borderId="62" xfId="0" applyNumberFormat="1" applyFont="1" applyBorder="1" applyAlignment="1">
      <alignment horizontal="center" vertical="center"/>
    </xf>
    <xf numFmtId="0" fontId="16" fillId="0" borderId="0" xfId="0" applyFont="1" applyBorder="1" applyAlignment="1">
      <alignment horizontal="right"/>
    </xf>
    <xf numFmtId="0" fontId="16" fillId="0" borderId="0" xfId="0" applyFont="1" applyAlignment="1">
      <alignment horizontal="right"/>
    </xf>
    <xf numFmtId="166" fontId="13" fillId="0" borderId="0" xfId="0" applyNumberFormat="1" applyFont="1" applyBorder="1" applyAlignment="1">
      <alignment horizontal="left"/>
    </xf>
    <xf numFmtId="170" fontId="12" fillId="0" borderId="7" xfId="0" applyNumberFormat="1" applyFont="1" applyBorder="1"/>
    <xf numFmtId="9" fontId="14" fillId="0" borderId="26" xfId="2" applyFont="1" applyBorder="1" applyAlignment="1">
      <alignment horizontal="center" vertical="center" wrapText="1"/>
    </xf>
    <xf numFmtId="9" fontId="11" fillId="0" borderId="41" xfId="2" applyFont="1" applyBorder="1" applyAlignment="1">
      <alignment horizontal="center"/>
    </xf>
    <xf numFmtId="0" fontId="18" fillId="0" borderId="44" xfId="0" applyFont="1" applyBorder="1" applyAlignment="1">
      <alignment horizontal="center"/>
    </xf>
    <xf numFmtId="0" fontId="18" fillId="0" borderId="45" xfId="0" applyFont="1" applyBorder="1" applyAlignment="1">
      <alignment horizontal="center"/>
    </xf>
    <xf numFmtId="0" fontId="3" fillId="0" borderId="63" xfId="0" applyFont="1" applyBorder="1"/>
    <xf numFmtId="0" fontId="0" fillId="0" borderId="0" xfId="0" applyFill="1"/>
    <xf numFmtId="0" fontId="6" fillId="4" borderId="0" xfId="0" applyFont="1" applyFill="1" applyAlignment="1">
      <alignment vertical="center" wrapText="1"/>
    </xf>
    <xf numFmtId="0" fontId="20" fillId="0" borderId="0" xfId="0" applyFont="1" applyAlignment="1">
      <alignment horizontal="center"/>
    </xf>
    <xf numFmtId="168" fontId="2" fillId="3" borderId="31" xfId="0" applyNumberFormat="1" applyFont="1" applyFill="1" applyBorder="1"/>
    <xf numFmtId="168" fontId="2" fillId="3" borderId="34" xfId="0" applyNumberFormat="1" applyFont="1" applyFill="1" applyBorder="1"/>
    <xf numFmtId="0" fontId="3" fillId="0" borderId="0" xfId="0" applyFont="1" applyAlignment="1">
      <alignment horizontal="center"/>
    </xf>
    <xf numFmtId="0" fontId="3" fillId="0" borderId="1" xfId="0" applyFont="1" applyBorder="1" applyAlignment="1">
      <alignment horizontal="center"/>
    </xf>
    <xf numFmtId="43" fontId="0" fillId="0" borderId="41" xfId="0" applyNumberFormat="1" applyBorder="1"/>
    <xf numFmtId="43" fontId="0" fillId="0" borderId="34" xfId="0" applyNumberFormat="1" applyBorder="1"/>
    <xf numFmtId="172" fontId="24" fillId="0" borderId="35" xfId="1" applyNumberFormat="1" applyFont="1" applyBorder="1" applyAlignment="1">
      <alignment horizontal="center"/>
    </xf>
    <xf numFmtId="43" fontId="0" fillId="0" borderId="29" xfId="1" applyNumberFormat="1" applyFont="1" applyBorder="1" applyAlignment="1">
      <alignment horizontal="center"/>
    </xf>
    <xf numFmtId="43" fontId="0" fillId="0" borderId="37" xfId="0" applyNumberFormat="1" applyBorder="1"/>
    <xf numFmtId="173" fontId="2" fillId="3" borderId="30" xfId="0" applyNumberFormat="1" applyFont="1" applyFill="1" applyBorder="1"/>
    <xf numFmtId="9" fontId="2" fillId="3" borderId="31" xfId="2" applyFont="1" applyFill="1" applyBorder="1" applyAlignment="1">
      <alignment horizontal="center"/>
    </xf>
    <xf numFmtId="9" fontId="2" fillId="3" borderId="32" xfId="2" applyFont="1" applyFill="1" applyBorder="1" applyAlignment="1">
      <alignment horizontal="center"/>
    </xf>
    <xf numFmtId="173" fontId="2" fillId="3" borderId="33" xfId="0" applyNumberFormat="1" applyFont="1" applyFill="1" applyBorder="1"/>
    <xf numFmtId="9" fontId="2" fillId="3" borderId="34" xfId="2" applyFont="1" applyFill="1" applyBorder="1" applyAlignment="1">
      <alignment horizontal="center"/>
    </xf>
    <xf numFmtId="9" fontId="2" fillId="3" borderId="35" xfId="2" applyFont="1" applyFill="1" applyBorder="1" applyAlignment="1">
      <alignment horizontal="center"/>
    </xf>
    <xf numFmtId="9" fontId="2" fillId="3" borderId="38" xfId="2" applyFont="1" applyFill="1" applyBorder="1" applyAlignment="1">
      <alignment horizontal="center"/>
    </xf>
    <xf numFmtId="1" fontId="0" fillId="0" borderId="34" xfId="0" applyNumberFormat="1" applyBorder="1"/>
    <xf numFmtId="1" fontId="0" fillId="0" borderId="37" xfId="0" applyNumberFormat="1" applyBorder="1"/>
    <xf numFmtId="168" fontId="2" fillId="3" borderId="37" xfId="0" applyNumberFormat="1" applyFont="1" applyFill="1" applyBorder="1"/>
    <xf numFmtId="43" fontId="0" fillId="0" borderId="65" xfId="1" applyNumberFormat="1"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10" fontId="2" fillId="0" borderId="0" xfId="0" applyNumberFormat="1" applyFont="1"/>
    <xf numFmtId="43" fontId="0" fillId="2" borderId="14" xfId="1" applyNumberFormat="1" applyFont="1" applyFill="1" applyBorder="1" applyAlignment="1">
      <alignment horizontal="center"/>
    </xf>
    <xf numFmtId="0" fontId="2" fillId="0" borderId="0" xfId="0" applyFont="1" applyFill="1"/>
    <xf numFmtId="170" fontId="13" fillId="0" borderId="0" xfId="0" applyNumberFormat="1" applyFont="1" applyBorder="1" applyAlignment="1">
      <alignment horizontal="center"/>
    </xf>
    <xf numFmtId="0" fontId="13" fillId="0" borderId="0" xfId="0" applyFont="1" applyBorder="1" applyAlignment="1">
      <alignment horizontal="center"/>
    </xf>
    <xf numFmtId="0" fontId="4" fillId="0" borderId="0" xfId="3" applyBorder="1"/>
    <xf numFmtId="43" fontId="0" fillId="2" borderId="23" xfId="1" applyNumberFormat="1" applyFont="1" applyFill="1" applyBorder="1" applyAlignment="1">
      <alignment horizontal="center"/>
    </xf>
    <xf numFmtId="43" fontId="3" fillId="2" borderId="28" xfId="1" applyNumberFormat="1" applyFont="1" applyFill="1" applyBorder="1" applyAlignment="1">
      <alignment horizontal="center"/>
    </xf>
    <xf numFmtId="0" fontId="6" fillId="0" borderId="0" xfId="0" applyFont="1" applyAlignment="1">
      <alignment vertical="center"/>
    </xf>
    <xf numFmtId="0" fontId="6" fillId="4" borderId="0" xfId="0" applyFont="1" applyFill="1" applyAlignment="1">
      <alignment vertical="center"/>
    </xf>
    <xf numFmtId="0" fontId="5" fillId="0" borderId="0" xfId="0" applyFont="1" applyAlignment="1">
      <alignment vertical="center"/>
    </xf>
    <xf numFmtId="0" fontId="17" fillId="0" borderId="0" xfId="3" applyFont="1" applyAlignment="1"/>
    <xf numFmtId="1" fontId="0" fillId="0" borderId="64" xfId="0" applyNumberFormat="1" applyBorder="1"/>
    <xf numFmtId="9" fontId="11" fillId="0" borderId="31" xfId="2" applyFont="1" applyBorder="1" applyAlignment="1">
      <alignment horizontal="center"/>
    </xf>
    <xf numFmtId="1" fontId="0" fillId="0" borderId="20" xfId="0" applyNumberFormat="1" applyBorder="1"/>
    <xf numFmtId="170" fontId="13" fillId="0" borderId="0" xfId="0" applyNumberFormat="1" applyFont="1" applyBorder="1"/>
    <xf numFmtId="43" fontId="3" fillId="0" borderId="14" xfId="5" applyNumberFormat="1" applyFont="1" applyBorder="1" applyAlignment="1">
      <alignment horizontal="center" vertical="center" wrapText="1"/>
    </xf>
    <xf numFmtId="43" fontId="0" fillId="0" borderId="0" xfId="5" applyNumberFormat="1" applyFont="1" applyBorder="1" applyAlignment="1">
      <alignment horizontal="center"/>
    </xf>
    <xf numFmtId="43" fontId="0" fillId="0" borderId="23" xfId="5" applyNumberFormat="1" applyFont="1" applyBorder="1" applyAlignment="1">
      <alignment horizontal="center"/>
    </xf>
    <xf numFmtId="167" fontId="9" fillId="0" borderId="0" xfId="1" applyNumberFormat="1" applyFont="1" applyBorder="1" applyAlignment="1">
      <alignment horizontal="center"/>
    </xf>
    <xf numFmtId="167" fontId="19" fillId="0" borderId="14" xfId="1" applyNumberFormat="1" applyFont="1" applyBorder="1" applyAlignment="1">
      <alignment horizontal="center" vertical="center" wrapText="1"/>
    </xf>
    <xf numFmtId="167" fontId="9" fillId="0" borderId="29" xfId="1" applyNumberFormat="1" applyFont="1" applyBorder="1" applyAlignment="1">
      <alignment horizontal="center"/>
    </xf>
    <xf numFmtId="167" fontId="9" fillId="0" borderId="14" xfId="1" applyNumberFormat="1" applyFont="1" applyBorder="1" applyAlignment="1">
      <alignment horizontal="center" vertical="center" wrapText="1"/>
    </xf>
    <xf numFmtId="173" fontId="2" fillId="2" borderId="36" xfId="0" applyNumberFormat="1" applyFont="1" applyFill="1" applyBorder="1"/>
    <xf numFmtId="9" fontId="2" fillId="2" borderId="34" xfId="2" applyFont="1" applyFill="1" applyBorder="1" applyAlignment="1">
      <alignment horizontal="center"/>
    </xf>
    <xf numFmtId="9" fontId="11" fillId="2" borderId="41" xfId="2" applyFont="1" applyFill="1" applyBorder="1" applyAlignment="1">
      <alignment horizontal="center"/>
    </xf>
    <xf numFmtId="171" fontId="0" fillId="2" borderId="21" xfId="0" applyNumberFormat="1" applyFill="1" applyBorder="1"/>
    <xf numFmtId="43" fontId="11" fillId="0" borderId="0" xfId="5" applyNumberFormat="1" applyFont="1" applyFill="1" applyBorder="1" applyAlignment="1">
      <alignment horizontal="center"/>
    </xf>
    <xf numFmtId="9" fontId="2" fillId="0" borderId="0" xfId="2" applyFont="1" applyFill="1" applyBorder="1" applyAlignment="1">
      <alignment horizontal="center"/>
    </xf>
    <xf numFmtId="1" fontId="0" fillId="0" borderId="66" xfId="0" applyNumberFormat="1" applyBorder="1"/>
    <xf numFmtId="43" fontId="5" fillId="0" borderId="0" xfId="1" applyNumberFormat="1" applyFont="1" applyAlignment="1">
      <alignment vertical="center" wrapText="1"/>
    </xf>
    <xf numFmtId="43" fontId="5" fillId="0" borderId="67" xfId="1" applyNumberFormat="1" applyFont="1" applyBorder="1" applyAlignment="1">
      <alignment vertical="center" wrapText="1"/>
    </xf>
    <xf numFmtId="0" fontId="25" fillId="0" borderId="0" xfId="0" applyFont="1" applyAlignment="1">
      <alignment horizontal="left"/>
    </xf>
    <xf numFmtId="0" fontId="2" fillId="2" borderId="0" xfId="0" applyFont="1" applyFill="1" applyAlignment="1">
      <alignment horizontal="right"/>
    </xf>
    <xf numFmtId="43" fontId="0" fillId="2" borderId="0" xfId="1" applyNumberFormat="1" applyFont="1" applyFill="1" applyAlignment="1">
      <alignment horizontal="center"/>
    </xf>
    <xf numFmtId="0" fontId="3" fillId="0" borderId="14" xfId="0" applyFont="1" applyFill="1" applyBorder="1" applyAlignment="1">
      <alignment horizontal="center" vertical="center" wrapText="1"/>
    </xf>
    <xf numFmtId="43" fontId="0" fillId="0" borderId="0" xfId="1" applyNumberFormat="1" applyFont="1" applyFill="1" applyBorder="1" applyAlignment="1">
      <alignment horizontal="center"/>
    </xf>
    <xf numFmtId="43" fontId="0" fillId="0" borderId="14" xfId="1" applyNumberFormat="1" applyFont="1" applyFill="1" applyBorder="1" applyAlignment="1">
      <alignment horizontal="center"/>
    </xf>
    <xf numFmtId="43" fontId="0" fillId="0" borderId="2" xfId="1" applyNumberFormat="1" applyFont="1" applyFill="1" applyBorder="1" applyAlignment="1">
      <alignment horizontal="center"/>
    </xf>
    <xf numFmtId="0" fontId="8" fillId="0" borderId="0" xfId="0" applyFont="1" applyFill="1" applyBorder="1" applyAlignment="1">
      <alignment horizontal="center" vertical="center" wrapText="1"/>
    </xf>
    <xf numFmtId="43" fontId="2" fillId="0" borderId="0" xfId="0" applyNumberFormat="1" applyFont="1" applyFill="1"/>
    <xf numFmtId="43" fontId="0" fillId="0" borderId="23" xfId="1" applyNumberFormat="1" applyFont="1" applyFill="1" applyBorder="1" applyAlignment="1">
      <alignment horizontal="center"/>
    </xf>
    <xf numFmtId="43" fontId="1" fillId="0" borderId="2" xfId="1" applyNumberFormat="1" applyFont="1" applyFill="1" applyBorder="1" applyAlignment="1">
      <alignment horizontal="center"/>
    </xf>
    <xf numFmtId="43" fontId="1" fillId="0" borderId="14" xfId="1" applyNumberFormat="1" applyFont="1" applyFill="1" applyBorder="1" applyAlignment="1">
      <alignment horizontal="center"/>
    </xf>
    <xf numFmtId="43" fontId="3" fillId="0" borderId="46" xfId="1" applyNumberFormat="1" applyFont="1" applyFill="1" applyBorder="1" applyAlignment="1">
      <alignment horizontal="center"/>
    </xf>
    <xf numFmtId="43" fontId="0" fillId="0" borderId="24" xfId="1" applyNumberFormat="1" applyFont="1" applyFill="1" applyBorder="1" applyAlignment="1">
      <alignment horizontal="center"/>
    </xf>
    <xf numFmtId="0" fontId="26" fillId="0" borderId="0" xfId="0" applyFont="1" applyAlignment="1">
      <alignment vertical="center" wrapText="1"/>
    </xf>
    <xf numFmtId="0" fontId="27" fillId="0" borderId="0" xfId="0" applyFont="1" applyAlignment="1">
      <alignment vertical="center" wrapText="1"/>
    </xf>
    <xf numFmtId="167" fontId="2" fillId="0" borderId="0" xfId="1" applyNumberFormat="1" applyFont="1" applyFill="1"/>
    <xf numFmtId="167" fontId="11" fillId="0" borderId="33" xfId="1" applyNumberFormat="1" applyFont="1" applyFill="1" applyBorder="1"/>
    <xf numFmtId="167" fontId="11" fillId="0" borderId="34" xfId="1" applyNumberFormat="1" applyFont="1" applyFill="1" applyBorder="1"/>
    <xf numFmtId="167" fontId="11" fillId="0" borderId="35" xfId="1" applyNumberFormat="1" applyFont="1" applyFill="1" applyBorder="1"/>
    <xf numFmtId="167" fontId="11" fillId="0" borderId="36" xfId="1" applyNumberFormat="1" applyFont="1" applyFill="1" applyBorder="1"/>
    <xf numFmtId="167" fontId="11" fillId="0" borderId="37" xfId="1" applyNumberFormat="1" applyFont="1" applyFill="1" applyBorder="1"/>
    <xf numFmtId="167" fontId="11" fillId="0" borderId="38" xfId="1" applyNumberFormat="1" applyFont="1" applyFill="1" applyBorder="1"/>
    <xf numFmtId="0" fontId="18" fillId="0" borderId="43" xfId="0" applyFont="1" applyFill="1" applyBorder="1" applyAlignment="1">
      <alignment horizontal="center"/>
    </xf>
    <xf numFmtId="0" fontId="18" fillId="0" borderId="44" xfId="0" applyFont="1" applyFill="1" applyBorder="1" applyAlignment="1">
      <alignment horizontal="center"/>
    </xf>
    <xf numFmtId="0" fontId="18" fillId="0" borderId="45" xfId="0" applyFont="1" applyFill="1" applyBorder="1" applyAlignment="1">
      <alignment horizontal="center"/>
    </xf>
    <xf numFmtId="175" fontId="2" fillId="0" borderId="0" xfId="1" applyNumberFormat="1" applyFont="1" applyFill="1"/>
    <xf numFmtId="9" fontId="11" fillId="0" borderId="31" xfId="2" applyFont="1" applyFill="1" applyBorder="1" applyAlignment="1">
      <alignment horizontal="center"/>
    </xf>
    <xf numFmtId="9" fontId="11" fillId="0" borderId="41" xfId="2" applyFont="1" applyFill="1" applyBorder="1" applyAlignment="1">
      <alignment horizontal="center"/>
    </xf>
    <xf numFmtId="9" fontId="11" fillId="0" borderId="37" xfId="2" applyFont="1" applyFill="1" applyBorder="1" applyAlignment="1">
      <alignment horizontal="center"/>
    </xf>
    <xf numFmtId="173" fontId="11" fillId="0" borderId="30" xfId="0" applyNumberFormat="1" applyFont="1" applyFill="1" applyBorder="1"/>
    <xf numFmtId="9" fontId="11" fillId="0" borderId="32" xfId="2" applyFont="1" applyFill="1" applyBorder="1" applyAlignment="1">
      <alignment horizontal="center"/>
    </xf>
    <xf numFmtId="173" fontId="11" fillId="0" borderId="33" xfId="0" applyNumberFormat="1" applyFont="1" applyFill="1" applyBorder="1"/>
    <xf numFmtId="9" fontId="11" fillId="0" borderId="34" xfId="2" applyFont="1" applyFill="1" applyBorder="1" applyAlignment="1">
      <alignment horizontal="center"/>
    </xf>
    <xf numFmtId="9" fontId="11" fillId="0" borderId="35" xfId="2" applyFont="1" applyFill="1" applyBorder="1" applyAlignment="1">
      <alignment horizontal="center"/>
    </xf>
    <xf numFmtId="173" fontId="11" fillId="0" borderId="36" xfId="0" applyNumberFormat="1" applyFont="1" applyFill="1" applyBorder="1"/>
    <xf numFmtId="9" fontId="11" fillId="0" borderId="38" xfId="2" applyFont="1" applyFill="1" applyBorder="1" applyAlignment="1">
      <alignment horizontal="center"/>
    </xf>
    <xf numFmtId="0" fontId="18" fillId="0" borderId="63" xfId="0" applyFont="1" applyFill="1" applyBorder="1"/>
    <xf numFmtId="167" fontId="11" fillId="0" borderId="30" xfId="1" applyNumberFormat="1" applyFont="1" applyFill="1" applyBorder="1"/>
    <xf numFmtId="167" fontId="11" fillId="0" borderId="31" xfId="1" applyNumberFormat="1" applyFont="1" applyFill="1" applyBorder="1"/>
    <xf numFmtId="167" fontId="11" fillId="0" borderId="32" xfId="1" applyNumberFormat="1" applyFont="1" applyFill="1" applyBorder="1"/>
    <xf numFmtId="9" fontId="11" fillId="0" borderId="70" xfId="2" applyFont="1" applyFill="1" applyBorder="1" applyAlignment="1">
      <alignment horizontal="center"/>
    </xf>
    <xf numFmtId="0" fontId="3" fillId="0" borderId="0" xfId="0" applyFont="1" applyFill="1"/>
    <xf numFmtId="0" fontId="22" fillId="0" borderId="1" xfId="0" applyFont="1" applyBorder="1" applyAlignment="1">
      <alignment horizontal="center"/>
    </xf>
    <xf numFmtId="167" fontId="19" fillId="0" borderId="17" xfId="1" applyNumberFormat="1" applyFont="1" applyBorder="1" applyAlignment="1">
      <alignment horizontal="center" vertical="center" wrapText="1"/>
    </xf>
    <xf numFmtId="167" fontId="19" fillId="0" borderId="18" xfId="1" applyNumberFormat="1" applyFont="1" applyBorder="1" applyAlignment="1">
      <alignment horizontal="center" vertical="center" wrapText="1"/>
    </xf>
    <xf numFmtId="167" fontId="9" fillId="0" borderId="4" xfId="1" applyNumberFormat="1" applyFont="1" applyBorder="1" applyAlignment="1">
      <alignment horizontal="center"/>
    </xf>
    <xf numFmtId="167" fontId="0" fillId="0" borderId="0" xfId="1" applyNumberFormat="1" applyFont="1" applyBorder="1"/>
    <xf numFmtId="167" fontId="9" fillId="0" borderId="27" xfId="1" applyNumberFormat="1" applyFont="1" applyBorder="1" applyAlignment="1">
      <alignment horizontal="center"/>
    </xf>
    <xf numFmtId="167" fontId="0" fillId="0" borderId="2" xfId="1" applyNumberFormat="1" applyFont="1" applyBorder="1"/>
    <xf numFmtId="167" fontId="9" fillId="0" borderId="2" xfId="1" applyNumberFormat="1" applyFont="1" applyBorder="1" applyAlignment="1">
      <alignment horizontal="center"/>
    </xf>
    <xf numFmtId="167" fontId="9" fillId="0" borderId="24" xfId="1" applyNumberFormat="1" applyFont="1" applyBorder="1" applyAlignment="1">
      <alignment horizontal="center"/>
    </xf>
    <xf numFmtId="167" fontId="0" fillId="0" borderId="3" xfId="1" applyNumberFormat="1" applyFont="1" applyBorder="1" applyAlignment="1">
      <alignment horizontal="center"/>
    </xf>
    <xf numFmtId="43" fontId="11" fillId="0" borderId="5" xfId="5" applyNumberFormat="1" applyFont="1" applyFill="1" applyBorder="1" applyAlignment="1">
      <alignment horizontal="center"/>
    </xf>
    <xf numFmtId="43" fontId="0" fillId="0" borderId="5" xfId="5" applyNumberFormat="1" applyFont="1" applyBorder="1" applyAlignment="1">
      <alignment horizontal="center"/>
    </xf>
    <xf numFmtId="43" fontId="0" fillId="0" borderId="22" xfId="5" applyNumberFormat="1" applyFont="1" applyBorder="1" applyAlignment="1">
      <alignment horizontal="center"/>
    </xf>
    <xf numFmtId="167" fontId="0" fillId="0" borderId="4" xfId="1" applyNumberFormat="1" applyFont="1" applyBorder="1" applyAlignment="1">
      <alignment horizontal="center"/>
    </xf>
    <xf numFmtId="167" fontId="0" fillId="0" borderId="29" xfId="1" applyNumberFormat="1" applyFont="1" applyBorder="1" applyAlignment="1">
      <alignment horizontal="center"/>
    </xf>
    <xf numFmtId="43" fontId="11" fillId="0" borderId="2" xfId="5" applyNumberFormat="1" applyFont="1" applyFill="1" applyBorder="1" applyAlignment="1">
      <alignment horizontal="center"/>
    </xf>
    <xf numFmtId="43" fontId="0" fillId="0" borderId="2" xfId="5" applyNumberFormat="1" applyFont="1" applyBorder="1" applyAlignment="1">
      <alignment horizontal="center"/>
    </xf>
    <xf numFmtId="43" fontId="0" fillId="0" borderId="24" xfId="5" applyNumberFormat="1" applyFont="1" applyBorder="1" applyAlignment="1">
      <alignment horizontal="center"/>
    </xf>
    <xf numFmtId="176" fontId="27" fillId="0" borderId="0" xfId="0" applyNumberFormat="1" applyFont="1" applyAlignment="1">
      <alignment vertical="center" wrapText="1"/>
    </xf>
    <xf numFmtId="0" fontId="27" fillId="2" borderId="0" xfId="0" applyFont="1" applyFill="1" applyAlignment="1">
      <alignment vertical="center" wrapText="1"/>
    </xf>
    <xf numFmtId="0" fontId="3" fillId="0" borderId="0" xfId="0" applyFont="1"/>
    <xf numFmtId="166" fontId="18" fillId="0" borderId="72" xfId="0" applyNumberFormat="1" applyFont="1" applyFill="1" applyBorder="1" applyAlignment="1">
      <alignment horizontal="center"/>
    </xf>
    <xf numFmtId="0" fontId="3" fillId="0" borderId="73" xfId="0" applyFont="1" applyBorder="1" applyAlignment="1">
      <alignment horizontal="center"/>
    </xf>
    <xf numFmtId="0" fontId="18" fillId="0" borderId="74" xfId="0" applyFont="1" applyFill="1" applyBorder="1" applyAlignment="1">
      <alignment horizontal="center"/>
    </xf>
    <xf numFmtId="1" fontId="11" fillId="0" borderId="75" xfId="0" applyNumberFormat="1" applyFont="1" applyFill="1" applyBorder="1"/>
    <xf numFmtId="177" fontId="18" fillId="0" borderId="76" xfId="4" applyNumberFormat="1" applyFont="1" applyFill="1" applyBorder="1"/>
    <xf numFmtId="1" fontId="11" fillId="0" borderId="77" xfId="0" applyNumberFormat="1" applyFont="1" applyFill="1" applyBorder="1"/>
    <xf numFmtId="177" fontId="18" fillId="0" borderId="78" xfId="4" applyNumberFormat="1" applyFont="1" applyFill="1" applyBorder="1"/>
    <xf numFmtId="171" fontId="11" fillId="0" borderId="79" xfId="0" applyNumberFormat="1" applyFont="1" applyFill="1" applyBorder="1"/>
    <xf numFmtId="177" fontId="18" fillId="0" borderId="80" xfId="4" applyNumberFormat="1" applyFont="1" applyFill="1" applyBorder="1"/>
    <xf numFmtId="0" fontId="11" fillId="0" borderId="81" xfId="0" applyFont="1" applyFill="1" applyBorder="1"/>
    <xf numFmtId="0" fontId="11" fillId="0" borderId="0" xfId="0" applyFont="1" applyFill="1" applyBorder="1"/>
    <xf numFmtId="0" fontId="3" fillId="0" borderId="82" xfId="0" applyFont="1" applyBorder="1"/>
    <xf numFmtId="0" fontId="18" fillId="0" borderId="73" xfId="0" applyFont="1" applyFill="1" applyBorder="1" applyAlignment="1">
      <alignment horizontal="center"/>
    </xf>
    <xf numFmtId="0" fontId="11" fillId="0" borderId="75" xfId="0" applyFont="1" applyFill="1" applyBorder="1"/>
    <xf numFmtId="0" fontId="11" fillId="0" borderId="77" xfId="0" applyFont="1" applyFill="1" applyBorder="1"/>
    <xf numFmtId="0" fontId="11" fillId="0" borderId="83" xfId="0" applyFont="1" applyFill="1" applyBorder="1"/>
    <xf numFmtId="173" fontId="11" fillId="0" borderId="84" xfId="0" applyNumberFormat="1" applyFont="1" applyFill="1" applyBorder="1"/>
    <xf numFmtId="9" fontId="11" fillId="0" borderId="85" xfId="2" applyFont="1" applyFill="1" applyBorder="1" applyAlignment="1">
      <alignment horizontal="center"/>
    </xf>
    <xf numFmtId="9" fontId="11" fillId="0" borderId="86" xfId="2" applyFont="1" applyFill="1" applyBorder="1" applyAlignment="1">
      <alignment horizontal="center"/>
    </xf>
    <xf numFmtId="9" fontId="11" fillId="0" borderId="87" xfId="2" applyFont="1" applyFill="1" applyBorder="1" applyAlignment="1">
      <alignment horizontal="center"/>
    </xf>
    <xf numFmtId="167" fontId="11" fillId="0" borderId="84" xfId="1" applyNumberFormat="1" applyFont="1" applyFill="1" applyBorder="1"/>
    <xf numFmtId="167" fontId="11" fillId="0" borderId="85" xfId="1" applyNumberFormat="1" applyFont="1" applyFill="1" applyBorder="1"/>
    <xf numFmtId="167" fontId="11" fillId="0" borderId="87" xfId="1" applyNumberFormat="1" applyFont="1" applyFill="1" applyBorder="1"/>
    <xf numFmtId="177" fontId="18" fillId="0" borderId="88" xfId="4" applyNumberFormat="1" applyFont="1" applyFill="1" applyBorder="1"/>
    <xf numFmtId="0" fontId="0" fillId="0" borderId="89" xfId="0" applyBorder="1"/>
    <xf numFmtId="0" fontId="3" fillId="0" borderId="89" xfId="0" applyFont="1" applyBorder="1"/>
    <xf numFmtId="0" fontId="0" fillId="0" borderId="89" xfId="0" applyFill="1" applyBorder="1"/>
    <xf numFmtId="0" fontId="0" fillId="0" borderId="0" xfId="0" applyBorder="1"/>
    <xf numFmtId="0" fontId="0" fillId="0" borderId="0" xfId="0" applyBorder="1" applyAlignment="1">
      <alignment horizontal="right"/>
    </xf>
    <xf numFmtId="0" fontId="0" fillId="0" borderId="0" xfId="0" applyFill="1" applyBorder="1"/>
    <xf numFmtId="167" fontId="0" fillId="0" borderId="91" xfId="1" applyNumberFormat="1" applyFont="1" applyBorder="1"/>
    <xf numFmtId="171" fontId="3" fillId="0" borderId="0" xfId="0" applyNumberFormat="1" applyFont="1" applyFill="1" applyBorder="1"/>
    <xf numFmtId="43" fontId="0" fillId="0" borderId="0" xfId="1" applyNumberFormat="1" applyFont="1" applyBorder="1"/>
    <xf numFmtId="166" fontId="3" fillId="0" borderId="0" xfId="0" applyNumberFormat="1" applyFont="1" applyBorder="1"/>
    <xf numFmtId="0" fontId="2" fillId="3" borderId="0" xfId="0" applyFont="1" applyFill="1" applyBorder="1"/>
    <xf numFmtId="9" fontId="8" fillId="3" borderId="0" xfId="0" applyNumberFormat="1" applyFont="1" applyFill="1" applyBorder="1"/>
    <xf numFmtId="1" fontId="2" fillId="3" borderId="0" xfId="1" applyNumberFormat="1" applyFont="1" applyFill="1" applyBorder="1" applyAlignment="1">
      <alignment horizontal="right"/>
    </xf>
    <xf numFmtId="0" fontId="3" fillId="0" borderId="0" xfId="0" applyFont="1" applyBorder="1"/>
    <xf numFmtId="9" fontId="8" fillId="3" borderId="0" xfId="2" applyFont="1" applyFill="1" applyBorder="1"/>
    <xf numFmtId="174" fontId="29" fillId="3" borderId="0" xfId="4" applyNumberFormat="1" applyFont="1" applyFill="1" applyBorder="1"/>
    <xf numFmtId="174" fontId="29" fillId="3" borderId="0" xfId="0" applyNumberFormat="1" applyFont="1" applyFill="1" applyBorder="1"/>
    <xf numFmtId="0" fontId="0" fillId="0" borderId="92" xfId="0" applyBorder="1"/>
    <xf numFmtId="0" fontId="3" fillId="0" borderId="92" xfId="0" applyFont="1" applyBorder="1"/>
    <xf numFmtId="0" fontId="0" fillId="0" borderId="92" xfId="0" applyFill="1" applyBorder="1"/>
    <xf numFmtId="166" fontId="18" fillId="0" borderId="101" xfId="0" applyNumberFormat="1" applyFont="1" applyFill="1" applyBorder="1" applyAlignment="1">
      <alignment horizontal="center"/>
    </xf>
    <xf numFmtId="167" fontId="22" fillId="0" borderId="14" xfId="1" applyNumberFormat="1" applyFont="1" applyBorder="1" applyAlignment="1">
      <alignment horizontal="center"/>
    </xf>
    <xf numFmtId="43" fontId="6" fillId="0" borderId="67" xfId="1" applyNumberFormat="1" applyFont="1" applyFill="1" applyBorder="1" applyAlignment="1">
      <alignment vertical="center" wrapText="1"/>
    </xf>
    <xf numFmtId="0" fontId="18" fillId="0" borderId="0" xfId="0" applyFont="1" applyFill="1" applyAlignment="1">
      <alignment horizontal="right"/>
    </xf>
    <xf numFmtId="43" fontId="18" fillId="0" borderId="1" xfId="1" applyNumberFormat="1" applyFont="1" applyFill="1" applyBorder="1" applyAlignment="1">
      <alignment horizontal="center"/>
    </xf>
    <xf numFmtId="169" fontId="21" fillId="2" borderId="0" xfId="0" applyNumberFormat="1" applyFont="1" applyFill="1"/>
    <xf numFmtId="167" fontId="21" fillId="2" borderId="0" xfId="1" applyNumberFormat="1" applyFont="1" applyFill="1" applyAlignment="1">
      <alignment horizontal="center"/>
    </xf>
    <xf numFmtId="43" fontId="0" fillId="2" borderId="0" xfId="1" applyFont="1" applyFill="1" applyBorder="1" applyAlignment="1">
      <alignment horizontal="center"/>
    </xf>
    <xf numFmtId="167" fontId="2" fillId="0" borderId="92" xfId="1" applyNumberFormat="1" applyFont="1" applyFill="1" applyBorder="1"/>
    <xf numFmtId="175" fontId="2" fillId="0" borderId="92" xfId="1" applyNumberFormat="1" applyFont="1" applyFill="1" applyBorder="1"/>
    <xf numFmtId="0" fontId="2" fillId="0" borderId="92" xfId="0" applyFont="1" applyFill="1" applyBorder="1"/>
    <xf numFmtId="175" fontId="2" fillId="0" borderId="93" xfId="1" applyNumberFormat="1" applyFont="1" applyFill="1" applyBorder="1"/>
    <xf numFmtId="0" fontId="30" fillId="0" borderId="9" xfId="0" applyFont="1" applyFill="1" applyBorder="1" applyAlignment="1">
      <alignment horizontal="right"/>
    </xf>
    <xf numFmtId="178" fontId="31" fillId="0" borderId="10" xfId="1" applyNumberFormat="1" applyFont="1" applyFill="1" applyBorder="1"/>
    <xf numFmtId="178" fontId="30" fillId="0" borderId="10" xfId="1" applyNumberFormat="1" applyFont="1" applyFill="1" applyBorder="1"/>
    <xf numFmtId="178" fontId="28" fillId="5" borderId="13" xfId="0" applyNumberFormat="1" applyFont="1" applyFill="1" applyBorder="1"/>
    <xf numFmtId="0" fontId="28" fillId="5" borderId="11" xfId="0" applyFont="1" applyFill="1" applyBorder="1" applyAlignment="1">
      <alignment horizontal="right"/>
    </xf>
    <xf numFmtId="0" fontId="0" fillId="0" borderId="107" xfId="0" applyBorder="1"/>
    <xf numFmtId="167" fontId="0" fillId="0" borderId="108" xfId="1" applyNumberFormat="1" applyFont="1" applyBorder="1"/>
    <xf numFmtId="43" fontId="0" fillId="0" borderId="108" xfId="1" applyNumberFormat="1" applyFont="1" applyBorder="1"/>
    <xf numFmtId="0" fontId="0" fillId="0" borderId="109" xfId="0" applyFill="1" applyBorder="1"/>
    <xf numFmtId="0" fontId="2" fillId="0" borderId="110" xfId="0" applyFont="1" applyFill="1" applyBorder="1"/>
    <xf numFmtId="175" fontId="2" fillId="0" borderId="110" xfId="1" applyNumberFormat="1" applyFont="1" applyFill="1" applyBorder="1"/>
    <xf numFmtId="175" fontId="2" fillId="0" borderId="109" xfId="1" applyNumberFormat="1" applyFont="1" applyFill="1" applyBorder="1"/>
    <xf numFmtId="177" fontId="8" fillId="3" borderId="90" xfId="4" applyNumberFormat="1" applyFont="1" applyFill="1" applyBorder="1"/>
    <xf numFmtId="179" fontId="0" fillId="0" borderId="0" xfId="0" applyNumberFormat="1" applyBorder="1" applyAlignment="1">
      <alignment horizontal="right"/>
    </xf>
    <xf numFmtId="177" fontId="8" fillId="3" borderId="91" xfId="4" applyNumberFormat="1" applyFont="1" applyFill="1" applyBorder="1"/>
    <xf numFmtId="179" fontId="0" fillId="0" borderId="92" xfId="0" applyNumberFormat="1" applyBorder="1" applyAlignment="1">
      <alignment horizontal="right"/>
    </xf>
    <xf numFmtId="177" fontId="8" fillId="3" borderId="93" xfId="4" applyNumberFormat="1" applyFont="1" applyFill="1" applyBorder="1"/>
    <xf numFmtId="43" fontId="11" fillId="0" borderId="19" xfId="5" applyNumberFormat="1" applyFont="1" applyFill="1" applyBorder="1" applyAlignment="1">
      <alignment horizontal="center"/>
    </xf>
    <xf numFmtId="43" fontId="11" fillId="0" borderId="27" xfId="5" applyNumberFormat="1" applyFont="1" applyFill="1" applyBorder="1" applyAlignment="1">
      <alignment horizontal="center"/>
    </xf>
    <xf numFmtId="43" fontId="11" fillId="0" borderId="65" xfId="5" applyNumberFormat="1" applyFont="1" applyFill="1" applyBorder="1" applyAlignment="1">
      <alignment horizontal="center"/>
    </xf>
    <xf numFmtId="0" fontId="17" fillId="0" borderId="0" xfId="3" applyFont="1" applyAlignment="1">
      <alignment vertical="center"/>
    </xf>
    <xf numFmtId="0" fontId="17" fillId="0" borderId="0" xfId="3" applyFont="1" applyAlignment="1">
      <alignment vertical="center" wrapText="1"/>
    </xf>
    <xf numFmtId="180" fontId="13" fillId="0" borderId="0" xfId="0" applyNumberFormat="1" applyFont="1" applyBorder="1"/>
    <xf numFmtId="180" fontId="12" fillId="0" borderId="0" xfId="0" applyNumberFormat="1" applyFont="1" applyBorder="1"/>
    <xf numFmtId="1" fontId="2" fillId="3" borderId="41" xfId="5" applyNumberFormat="1" applyFont="1" applyFill="1" applyBorder="1"/>
    <xf numFmtId="167" fontId="9" fillId="0" borderId="0" xfId="1" applyNumberFormat="1" applyFont="1" applyFill="1" applyBorder="1" applyAlignment="1">
      <alignment horizontal="center"/>
    </xf>
    <xf numFmtId="9" fontId="2" fillId="2" borderId="37" xfId="2" applyFont="1" applyFill="1" applyBorder="1" applyAlignment="1">
      <alignment horizontal="center"/>
    </xf>
    <xf numFmtId="9" fontId="11" fillId="2" borderId="70" xfId="2" applyFont="1" applyFill="1" applyBorder="1" applyAlignment="1">
      <alignment horizontal="center"/>
    </xf>
    <xf numFmtId="9" fontId="11" fillId="2" borderId="37" xfId="2" applyFont="1" applyFill="1" applyBorder="1" applyAlignment="1">
      <alignment horizontal="center"/>
    </xf>
    <xf numFmtId="0" fontId="35" fillId="0" borderId="0" xfId="0" applyFont="1"/>
    <xf numFmtId="2" fontId="6" fillId="0" borderId="0" xfId="0" applyNumberFormat="1" applyFont="1" applyAlignment="1">
      <alignment vertical="center" wrapText="1"/>
    </xf>
    <xf numFmtId="2" fontId="0" fillId="0" borderId="0" xfId="0" applyNumberFormat="1"/>
    <xf numFmtId="0" fontId="3" fillId="0" borderId="14" xfId="0" applyFont="1" applyBorder="1" applyAlignment="1">
      <alignment horizontal="center" vertical="center"/>
    </xf>
    <xf numFmtId="0" fontId="36" fillId="0" borderId="0" xfId="0" applyFont="1" applyAlignment="1">
      <alignment vertical="center" wrapText="1"/>
    </xf>
    <xf numFmtId="168" fontId="2" fillId="3" borderId="41" xfId="0" applyNumberFormat="1" applyFont="1" applyFill="1" applyBorder="1"/>
    <xf numFmtId="0" fontId="37" fillId="0" borderId="0" xfId="0" applyFont="1" applyFill="1" applyBorder="1" applyAlignment="1">
      <alignment horizontal="left"/>
    </xf>
    <xf numFmtId="43" fontId="8" fillId="2" borderId="1" xfId="1" applyNumberFormat="1" applyFont="1" applyFill="1" applyBorder="1" applyAlignment="1">
      <alignment horizontal="center"/>
    </xf>
    <xf numFmtId="0" fontId="3" fillId="0" borderId="14" xfId="0" applyFont="1" applyBorder="1" applyAlignment="1">
      <alignment horizontal="center"/>
    </xf>
    <xf numFmtId="0" fontId="13" fillId="0" borderId="0" xfId="0" applyFont="1" applyAlignment="1">
      <alignment horizontal="left" wrapText="1"/>
    </xf>
    <xf numFmtId="0" fontId="12" fillId="0" borderId="9" xfId="0" applyFont="1" applyBorder="1" applyAlignment="1">
      <alignment horizontal="center"/>
    </xf>
    <xf numFmtId="0" fontId="12" fillId="0" borderId="0" xfId="0" applyFont="1" applyBorder="1" applyAlignment="1">
      <alignment horizontal="center"/>
    </xf>
    <xf numFmtId="0" fontId="12" fillId="0" borderId="10" xfId="0" applyFont="1" applyBorder="1" applyAlignment="1">
      <alignment horizont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14" fillId="0" borderId="15" xfId="0" applyFont="1" applyBorder="1" applyAlignment="1">
      <alignment horizontal="center" vertical="center"/>
    </xf>
    <xf numFmtId="0" fontId="13" fillId="0" borderId="0" xfId="0" applyFont="1" applyBorder="1" applyAlignment="1">
      <alignment horizontal="left" wrapText="1"/>
    </xf>
    <xf numFmtId="0" fontId="3" fillId="0" borderId="17" xfId="0" applyFont="1" applyBorder="1" applyAlignment="1">
      <alignment horizontal="center"/>
    </xf>
    <xf numFmtId="0" fontId="3" fillId="0" borderId="14" xfId="0" applyFont="1" applyBorder="1" applyAlignment="1">
      <alignment horizontal="center"/>
    </xf>
    <xf numFmtId="0" fontId="3" fillId="0" borderId="18" xfId="0" applyFont="1" applyBorder="1" applyAlignment="1">
      <alignment horizontal="center"/>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0" fillId="0" borderId="34" xfId="0" applyBorder="1" applyAlignment="1">
      <alignment horizont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43" fontId="0" fillId="0" borderId="34" xfId="1" applyNumberFormat="1" applyFont="1" applyBorder="1" applyAlignment="1">
      <alignment horizontal="center"/>
    </xf>
    <xf numFmtId="43" fontId="0" fillId="0" borderId="37" xfId="1" applyNumberFormat="1" applyFont="1" applyBorder="1" applyAlignment="1">
      <alignment horizontal="center"/>
    </xf>
    <xf numFmtId="0" fontId="0" fillId="0" borderId="33" xfId="0" applyBorder="1" applyAlignment="1">
      <alignment horizontal="center" vertical="center"/>
    </xf>
    <xf numFmtId="0" fontId="0" fillId="0" borderId="36" xfId="0" applyBorder="1" applyAlignment="1">
      <alignment horizontal="center" vertical="center"/>
    </xf>
    <xf numFmtId="0" fontId="2" fillId="3" borderId="34" xfId="0" applyFont="1" applyFill="1" applyBorder="1" applyAlignment="1">
      <alignment horizontal="center"/>
    </xf>
    <xf numFmtId="0" fontId="22" fillId="0" borderId="17" xfId="0" applyFont="1" applyBorder="1" applyAlignment="1">
      <alignment horizontal="center"/>
    </xf>
    <xf numFmtId="0" fontId="22" fillId="0" borderId="14" xfId="0" applyFont="1" applyBorder="1" applyAlignment="1">
      <alignment horizontal="center"/>
    </xf>
    <xf numFmtId="0" fontId="22" fillId="0" borderId="18" xfId="0" applyFont="1" applyBorder="1" applyAlignment="1">
      <alignment horizontal="center"/>
    </xf>
    <xf numFmtId="0" fontId="3" fillId="0" borderId="23" xfId="0" applyFont="1" applyBorder="1" applyAlignment="1">
      <alignment horizontal="center" vertical="center"/>
    </xf>
    <xf numFmtId="0" fontId="3" fillId="0" borderId="2" xfId="0" applyFont="1" applyBorder="1" applyAlignment="1">
      <alignment horizontal="center" vertical="center"/>
    </xf>
    <xf numFmtId="0" fontId="2" fillId="3" borderId="31" xfId="0" applyFont="1" applyFill="1"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19" xfId="0" applyFont="1" applyBorder="1" applyAlignment="1">
      <alignment horizontal="center"/>
    </xf>
    <xf numFmtId="43" fontId="22" fillId="0" borderId="3" xfId="1" applyNumberFormat="1" applyFont="1" applyBorder="1" applyAlignment="1">
      <alignment horizontal="center"/>
    </xf>
    <xf numFmtId="43" fontId="22" fillId="0" borderId="5" xfId="1" applyNumberFormat="1" applyFont="1" applyBorder="1" applyAlignment="1">
      <alignment horizontal="center"/>
    </xf>
    <xf numFmtId="43" fontId="22" fillId="0" borderId="19" xfId="1" applyNumberFormat="1"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19" xfId="0" applyFont="1" applyBorder="1" applyAlignment="1">
      <alignment horizontal="center"/>
    </xf>
    <xf numFmtId="0" fontId="3" fillId="0" borderId="0" xfId="0" applyFont="1" applyAlignment="1">
      <alignment horizontal="center" vertical="center" textRotation="90"/>
    </xf>
    <xf numFmtId="167" fontId="3" fillId="0" borderId="105" xfId="1" applyNumberFormat="1" applyFont="1" applyBorder="1" applyAlignment="1">
      <alignment horizontal="center"/>
    </xf>
    <xf numFmtId="167" fontId="3" fillId="0" borderId="89" xfId="1" applyNumberFormat="1" applyFont="1" applyBorder="1" applyAlignment="1">
      <alignment horizontal="center"/>
    </xf>
    <xf numFmtId="167" fontId="3" fillId="0" borderId="106" xfId="1" applyNumberFormat="1" applyFont="1" applyBorder="1" applyAlignment="1">
      <alignment horizontal="center"/>
    </xf>
    <xf numFmtId="0" fontId="18" fillId="0" borderId="98" xfId="0" applyFont="1" applyFill="1" applyBorder="1" applyAlignment="1">
      <alignment horizontal="center"/>
    </xf>
    <xf numFmtId="0" fontId="18" fillId="0" borderId="99" xfId="0" applyFont="1" applyFill="1" applyBorder="1" applyAlignment="1">
      <alignment horizontal="center"/>
    </xf>
    <xf numFmtId="0" fontId="18" fillId="0" borderId="100" xfId="0" applyFont="1" applyFill="1" applyBorder="1" applyAlignment="1">
      <alignment horizontal="center"/>
    </xf>
    <xf numFmtId="0" fontId="18" fillId="0" borderId="68" xfId="0" applyFont="1" applyFill="1" applyBorder="1" applyAlignment="1">
      <alignment horizontal="center"/>
    </xf>
    <xf numFmtId="0" fontId="18" fillId="0" borderId="39" xfId="0" applyFont="1" applyFill="1" applyBorder="1" applyAlignment="1">
      <alignment horizontal="center"/>
    </xf>
    <xf numFmtId="0" fontId="18" fillId="0" borderId="69" xfId="0" applyFont="1" applyFill="1" applyBorder="1" applyAlignment="1">
      <alignment horizontal="center"/>
    </xf>
    <xf numFmtId="0" fontId="28" fillId="0" borderId="17" xfId="0" applyFont="1" applyBorder="1" applyAlignment="1">
      <alignment horizontal="center"/>
    </xf>
    <xf numFmtId="0" fontId="28" fillId="0" borderId="14" xfId="0" applyFont="1" applyBorder="1" applyAlignment="1">
      <alignment horizontal="center"/>
    </xf>
    <xf numFmtId="0" fontId="28" fillId="0" borderId="18" xfId="0" applyFont="1" applyBorder="1" applyAlignment="1">
      <alignment horizontal="center"/>
    </xf>
    <xf numFmtId="0" fontId="32" fillId="0" borderId="102" xfId="0" applyFont="1" applyBorder="1" applyAlignment="1">
      <alignment horizontal="center" vertical="center"/>
    </xf>
    <xf numFmtId="0" fontId="32" fillId="0" borderId="103" xfId="0" applyFont="1" applyBorder="1" applyAlignment="1">
      <alignment horizontal="center" vertical="center"/>
    </xf>
    <xf numFmtId="0" fontId="32" fillId="0" borderId="104" xfId="0" applyFont="1" applyBorder="1" applyAlignment="1">
      <alignment horizontal="center" vertical="center"/>
    </xf>
    <xf numFmtId="0" fontId="33" fillId="0" borderId="94" xfId="0" applyFont="1" applyBorder="1" applyAlignment="1">
      <alignment horizontal="center" vertical="center" textRotation="90"/>
    </xf>
    <xf numFmtId="0" fontId="33" fillId="0" borderId="95" xfId="0" applyFont="1" applyBorder="1" applyAlignment="1">
      <alignment horizontal="center" vertical="center" textRotation="90"/>
    </xf>
    <xf numFmtId="0" fontId="33" fillId="0" borderId="96" xfId="0" applyFont="1" applyBorder="1" applyAlignment="1">
      <alignment horizontal="center" vertical="center" textRotation="90"/>
    </xf>
    <xf numFmtId="0" fontId="34" fillId="0" borderId="6" xfId="0" applyFont="1" applyBorder="1" applyAlignment="1">
      <alignment horizontal="center"/>
    </xf>
    <xf numFmtId="0" fontId="34" fillId="0" borderId="8" xfId="0" applyFont="1" applyBorder="1" applyAlignment="1">
      <alignment horizontal="center"/>
    </xf>
    <xf numFmtId="0" fontId="18" fillId="0" borderId="71" xfId="0" applyFont="1" applyFill="1" applyBorder="1" applyAlignment="1">
      <alignment horizontal="center"/>
    </xf>
    <xf numFmtId="0" fontId="18" fillId="0" borderId="14" xfId="0" applyFont="1" applyFill="1" applyBorder="1" applyAlignment="1">
      <alignment horizontal="center"/>
    </xf>
    <xf numFmtId="0" fontId="18" fillId="0" borderId="18" xfId="0" applyFont="1" applyFill="1" applyBorder="1" applyAlignment="1">
      <alignment horizontal="center"/>
    </xf>
    <xf numFmtId="0" fontId="3" fillId="0" borderId="97" xfId="0" applyFont="1" applyBorder="1" applyAlignment="1">
      <alignment horizontal="center"/>
    </xf>
    <xf numFmtId="0" fontId="3" fillId="0" borderId="2" xfId="0" applyFont="1" applyBorder="1" applyAlignment="1">
      <alignment horizontal="center"/>
    </xf>
    <xf numFmtId="0" fontId="3" fillId="0" borderId="65" xfId="0" applyFont="1" applyBorder="1" applyAlignment="1">
      <alignment horizontal="center"/>
    </xf>
    <xf numFmtId="0" fontId="19" fillId="0" borderId="22" xfId="0" applyFont="1" applyBorder="1" applyAlignment="1">
      <alignment horizontal="center" vertical="center" wrapText="1"/>
    </xf>
    <xf numFmtId="0" fontId="19" fillId="0" borderId="24" xfId="0" applyFont="1" applyBorder="1" applyAlignment="1">
      <alignment horizontal="center" vertical="center" wrapText="1"/>
    </xf>
    <xf numFmtId="167" fontId="22" fillId="0" borderId="17" xfId="1" applyNumberFormat="1" applyFont="1" applyBorder="1" applyAlignment="1">
      <alignment horizontal="center"/>
    </xf>
    <xf numFmtId="167" fontId="22" fillId="0" borderId="14" xfId="1" applyNumberFormat="1" applyFont="1" applyBorder="1" applyAlignment="1">
      <alignment horizontal="center"/>
    </xf>
    <xf numFmtId="167" fontId="22" fillId="0" borderId="18" xfId="1" applyNumberFormat="1" applyFont="1" applyBorder="1" applyAlignment="1">
      <alignment horizontal="center"/>
    </xf>
    <xf numFmtId="167" fontId="3" fillId="0" borderId="90" xfId="1" applyNumberFormat="1" applyFont="1" applyBorder="1" applyAlignment="1">
      <alignment horizontal="center"/>
    </xf>
    <xf numFmtId="0" fontId="34" fillId="0" borderId="95" xfId="0" applyFont="1" applyBorder="1" applyAlignment="1">
      <alignment horizontal="center" vertical="center"/>
    </xf>
    <xf numFmtId="0" fontId="34" fillId="0" borderId="96" xfId="0" applyFont="1" applyBorder="1" applyAlignment="1">
      <alignment horizontal="center" vertical="center"/>
    </xf>
    <xf numFmtId="0" fontId="8" fillId="0" borderId="111" xfId="0" applyFont="1" applyBorder="1" applyAlignment="1">
      <alignment horizontal="center"/>
    </xf>
    <xf numFmtId="0" fontId="8" fillId="0" borderId="112" xfId="0" applyFont="1" applyBorder="1" applyAlignment="1">
      <alignment horizontal="center"/>
    </xf>
    <xf numFmtId="0" fontId="8" fillId="0" borderId="17" xfId="0" applyFont="1" applyBorder="1" applyAlignment="1">
      <alignment horizontal="center"/>
    </xf>
    <xf numFmtId="0" fontId="8" fillId="0" borderId="14" xfId="0" applyFont="1" applyBorder="1" applyAlignment="1">
      <alignment horizontal="center"/>
    </xf>
    <xf numFmtId="0" fontId="8" fillId="0" borderId="18" xfId="0" applyFont="1" applyBorder="1" applyAlignment="1">
      <alignment horizontal="center"/>
    </xf>
    <xf numFmtId="0" fontId="3" fillId="0" borderId="63" xfId="0" applyFont="1" applyBorder="1" applyAlignment="1">
      <alignment horizontal="center"/>
    </xf>
    <xf numFmtId="0" fontId="3" fillId="0" borderId="45"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113" xfId="0" applyFont="1" applyBorder="1" applyAlignment="1">
      <alignment horizontal="center"/>
    </xf>
    <xf numFmtId="0" fontId="3" fillId="0" borderId="66" xfId="0" applyFont="1" applyBorder="1"/>
    <xf numFmtId="0" fontId="0" fillId="0" borderId="114" xfId="0" applyBorder="1"/>
    <xf numFmtId="182" fontId="0" fillId="0" borderId="35" xfId="0" applyNumberFormat="1" applyBorder="1"/>
    <xf numFmtId="183" fontId="0" fillId="0" borderId="34" xfId="0" applyNumberFormat="1" applyBorder="1"/>
    <xf numFmtId="183" fontId="0" fillId="0" borderId="115" xfId="0" applyNumberFormat="1" applyBorder="1"/>
    <xf numFmtId="184" fontId="0" fillId="0" borderId="114" xfId="0" applyNumberFormat="1" applyBorder="1"/>
    <xf numFmtId="181" fontId="3" fillId="0" borderId="35" xfId="0" applyNumberFormat="1" applyFont="1" applyBorder="1"/>
    <xf numFmtId="181" fontId="0" fillId="0" borderId="35" xfId="0" applyNumberFormat="1" applyBorder="1"/>
    <xf numFmtId="181" fontId="3" fillId="0" borderId="116" xfId="0" applyNumberFormat="1" applyFont="1" applyBorder="1"/>
    <xf numFmtId="181" fontId="2" fillId="0" borderId="42" xfId="0" applyNumberFormat="1" applyFont="1" applyBorder="1"/>
    <xf numFmtId="181" fontId="0" fillId="0" borderId="42" xfId="0" applyNumberFormat="1" applyBorder="1"/>
    <xf numFmtId="0" fontId="3" fillId="0" borderId="24" xfId="0" applyFont="1" applyBorder="1"/>
    <xf numFmtId="0" fontId="0" fillId="0" borderId="117" xfId="0" applyBorder="1"/>
    <xf numFmtId="182" fontId="0" fillId="0" borderId="38" xfId="0" applyNumberFormat="1" applyBorder="1"/>
    <xf numFmtId="183" fontId="0" fillId="0" borderId="37" xfId="0" applyNumberFormat="1" applyBorder="1"/>
    <xf numFmtId="183" fontId="0" fillId="0" borderId="118" xfId="0" applyNumberFormat="1" applyBorder="1"/>
    <xf numFmtId="181" fontId="3" fillId="0" borderId="38" xfId="0" applyNumberFormat="1" applyFont="1" applyBorder="1"/>
    <xf numFmtId="181" fontId="0" fillId="0" borderId="38" xfId="0" applyNumberFormat="1" applyBorder="1"/>
    <xf numFmtId="181" fontId="2" fillId="0" borderId="119" xfId="0" applyNumberFormat="1" applyFont="1" applyBorder="1"/>
    <xf numFmtId="181" fontId="3" fillId="0" borderId="2" xfId="0" applyNumberFormat="1" applyFont="1" applyBorder="1"/>
    <xf numFmtId="181" fontId="0" fillId="0" borderId="119" xfId="0" applyNumberFormat="1" applyBorder="1"/>
    <xf numFmtId="184" fontId="0" fillId="0" borderId="37" xfId="0" applyNumberFormat="1" applyBorder="1"/>
    <xf numFmtId="181" fontId="3" fillId="0" borderId="117" xfId="0" applyNumberFormat="1" applyFont="1" applyBorder="1"/>
    <xf numFmtId="181" fontId="40" fillId="0" borderId="0" xfId="0" applyNumberFormat="1" applyFont="1"/>
    <xf numFmtId="181" fontId="41" fillId="0" borderId="0" xfId="0" applyNumberFormat="1" applyFont="1" applyBorder="1"/>
  </cellXfs>
  <cellStyles count="6">
    <cellStyle name="Lien hypertexte" xfId="3" builtinId="8"/>
    <cellStyle name="Milliers" xfId="1" builtinId="3"/>
    <cellStyle name="Milliers 2" xfId="5"/>
    <cellStyle name="Monétaire" xfId="4" builtinId="4"/>
    <cellStyle name="Normal" xfId="0" builtinId="0"/>
    <cellStyle name="Pourcentage" xfId="2" builtinId="5"/>
  </cellStyles>
  <dxfs count="46">
    <dxf>
      <font>
        <b/>
      </font>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s>
  <tableStyles count="0" defaultTableStyle="TableStyleMedium2" defaultPivotStyle="PivotStyleLight16"/>
  <colors>
    <mruColors>
      <color rgb="FF1AB49C"/>
      <color rgb="FF1A7F7F"/>
      <color rgb="FF3237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272157</xdr:colOff>
      <xdr:row>4</xdr:row>
      <xdr:rowOff>150420</xdr:rowOff>
    </xdr:from>
    <xdr:to>
      <xdr:col>17</xdr:col>
      <xdr:colOff>73347</xdr:colOff>
      <xdr:row>44</xdr:row>
      <xdr:rowOff>130627</xdr:rowOff>
    </xdr:to>
    <xdr:pic>
      <xdr:nvPicPr>
        <xdr:cNvPr id="22" name="Image 21"/>
        <xdr:cNvPicPr>
          <a:picLocks noChangeAspect="1"/>
        </xdr:cNvPicPr>
      </xdr:nvPicPr>
      <xdr:blipFill>
        <a:blip xmlns:r="http://schemas.openxmlformats.org/officeDocument/2006/relationships" r:embed="rId1"/>
        <a:stretch>
          <a:fillRect/>
        </a:stretch>
      </xdr:blipFill>
      <xdr:spPr>
        <a:xfrm>
          <a:off x="5203386" y="1086591"/>
          <a:ext cx="10817532" cy="9058893"/>
        </a:xfrm>
        <a:prstGeom prst="rect">
          <a:avLst/>
        </a:prstGeom>
      </xdr:spPr>
    </xdr:pic>
    <xdr:clientData/>
  </xdr:twoCellAnchor>
  <xdr:twoCellAnchor editAs="oneCell">
    <xdr:from>
      <xdr:col>1</xdr:col>
      <xdr:colOff>90805</xdr:colOff>
      <xdr:row>68</xdr:row>
      <xdr:rowOff>22510</xdr:rowOff>
    </xdr:from>
    <xdr:to>
      <xdr:col>8</xdr:col>
      <xdr:colOff>949672</xdr:colOff>
      <xdr:row>87</xdr:row>
      <xdr:rowOff>59751</xdr:rowOff>
    </xdr:to>
    <xdr:pic>
      <xdr:nvPicPr>
        <xdr:cNvPr id="8" name="Image 7"/>
        <xdr:cNvPicPr>
          <a:picLocks noChangeAspect="1"/>
        </xdr:cNvPicPr>
      </xdr:nvPicPr>
      <xdr:blipFill>
        <a:blip xmlns:r="http://schemas.openxmlformats.org/officeDocument/2006/relationships" r:embed="rId2"/>
        <a:stretch>
          <a:fillRect/>
        </a:stretch>
      </xdr:blipFill>
      <xdr:spPr>
        <a:xfrm>
          <a:off x="873125" y="15943230"/>
          <a:ext cx="6975187" cy="4629561"/>
        </a:xfrm>
        <a:prstGeom prst="rect">
          <a:avLst/>
        </a:prstGeom>
      </xdr:spPr>
    </xdr:pic>
    <xdr:clientData/>
  </xdr:twoCellAnchor>
  <xdr:twoCellAnchor editAs="oneCell">
    <xdr:from>
      <xdr:col>11</xdr:col>
      <xdr:colOff>333375</xdr:colOff>
      <xdr:row>67</xdr:row>
      <xdr:rowOff>80451</xdr:rowOff>
    </xdr:from>
    <xdr:to>
      <xdr:col>17</xdr:col>
      <xdr:colOff>37589</xdr:colOff>
      <xdr:row>77</xdr:row>
      <xdr:rowOff>184037</xdr:rowOff>
    </xdr:to>
    <xdr:pic>
      <xdr:nvPicPr>
        <xdr:cNvPr id="2" name="Image 1"/>
        <xdr:cNvPicPr>
          <a:picLocks noChangeAspect="1"/>
        </xdr:cNvPicPr>
      </xdr:nvPicPr>
      <xdr:blipFill rotWithShape="1">
        <a:blip xmlns:r="http://schemas.openxmlformats.org/officeDocument/2006/relationships" r:embed="rId3"/>
        <a:srcRect b="54974"/>
        <a:stretch/>
      </xdr:blipFill>
      <xdr:spPr>
        <a:xfrm>
          <a:off x="10255250" y="14923576"/>
          <a:ext cx="5704964" cy="2310211"/>
        </a:xfrm>
        <a:prstGeom prst="rect">
          <a:avLst/>
        </a:prstGeom>
      </xdr:spPr>
    </xdr:pic>
    <xdr:clientData/>
  </xdr:twoCellAnchor>
  <xdr:twoCellAnchor editAs="oneCell">
    <xdr:from>
      <xdr:col>9</xdr:col>
      <xdr:colOff>172420</xdr:colOff>
      <xdr:row>81</xdr:row>
      <xdr:rowOff>65602</xdr:rowOff>
    </xdr:from>
    <xdr:to>
      <xdr:col>16</xdr:col>
      <xdr:colOff>730251</xdr:colOff>
      <xdr:row>89</xdr:row>
      <xdr:rowOff>27975</xdr:rowOff>
    </xdr:to>
    <xdr:pic>
      <xdr:nvPicPr>
        <xdr:cNvPr id="4" name="Image 3"/>
        <xdr:cNvPicPr>
          <a:picLocks noChangeAspect="1"/>
        </xdr:cNvPicPr>
      </xdr:nvPicPr>
      <xdr:blipFill>
        <a:blip xmlns:r="http://schemas.openxmlformats.org/officeDocument/2006/relationships" r:embed="rId4"/>
        <a:stretch>
          <a:fillRect/>
        </a:stretch>
      </xdr:blipFill>
      <xdr:spPr>
        <a:xfrm>
          <a:off x="8094045" y="18226602"/>
          <a:ext cx="7558706" cy="1899123"/>
        </a:xfrm>
        <a:prstGeom prst="rect">
          <a:avLst/>
        </a:prstGeom>
      </xdr:spPr>
    </xdr:pic>
    <xdr:clientData/>
  </xdr:twoCellAnchor>
  <xdr:twoCellAnchor editAs="oneCell">
    <xdr:from>
      <xdr:col>9</xdr:col>
      <xdr:colOff>15875</xdr:colOff>
      <xdr:row>79</xdr:row>
      <xdr:rowOff>0</xdr:rowOff>
    </xdr:from>
    <xdr:to>
      <xdr:col>16</xdr:col>
      <xdr:colOff>676692</xdr:colOff>
      <xdr:row>80</xdr:row>
      <xdr:rowOff>39204</xdr:rowOff>
    </xdr:to>
    <xdr:pic>
      <xdr:nvPicPr>
        <xdr:cNvPr id="5" name="Image 4"/>
        <xdr:cNvPicPr>
          <a:picLocks noChangeAspect="1"/>
        </xdr:cNvPicPr>
      </xdr:nvPicPr>
      <xdr:blipFill>
        <a:blip xmlns:r="http://schemas.openxmlformats.org/officeDocument/2006/relationships" r:embed="rId5"/>
        <a:stretch>
          <a:fillRect/>
        </a:stretch>
      </xdr:blipFill>
      <xdr:spPr>
        <a:xfrm>
          <a:off x="7937500" y="17494250"/>
          <a:ext cx="7661692" cy="261454"/>
        </a:xfrm>
        <a:prstGeom prst="rect">
          <a:avLst/>
        </a:prstGeom>
      </xdr:spPr>
    </xdr:pic>
    <xdr:clientData/>
  </xdr:twoCellAnchor>
  <xdr:twoCellAnchor editAs="oneCell">
    <xdr:from>
      <xdr:col>18</xdr:col>
      <xdr:colOff>269875</xdr:colOff>
      <xdr:row>70</xdr:row>
      <xdr:rowOff>47625</xdr:rowOff>
    </xdr:from>
    <xdr:to>
      <xdr:col>27</xdr:col>
      <xdr:colOff>613899</xdr:colOff>
      <xdr:row>88</xdr:row>
      <xdr:rowOff>211923</xdr:rowOff>
    </xdr:to>
    <xdr:pic>
      <xdr:nvPicPr>
        <xdr:cNvPr id="7" name="Image 6"/>
        <xdr:cNvPicPr>
          <a:picLocks noChangeAspect="1"/>
        </xdr:cNvPicPr>
      </xdr:nvPicPr>
      <xdr:blipFill>
        <a:blip xmlns:r="http://schemas.openxmlformats.org/officeDocument/2006/relationships" r:embed="rId6"/>
        <a:stretch>
          <a:fillRect/>
        </a:stretch>
      </xdr:blipFill>
      <xdr:spPr>
        <a:xfrm>
          <a:off x="16335375" y="15763875"/>
          <a:ext cx="7344899" cy="4323548"/>
        </a:xfrm>
        <a:prstGeom prst="rect">
          <a:avLst/>
        </a:prstGeom>
      </xdr:spPr>
    </xdr:pic>
    <xdr:clientData/>
  </xdr:twoCellAnchor>
</xdr:wsDr>
</file>

<file path=xl/tables/table1.xml><?xml version="1.0" encoding="utf-8"?>
<table xmlns="http://schemas.openxmlformats.org/spreadsheetml/2006/main" id="4" name="Tableau145" displayName="Tableau145" ref="C130:F196" totalsRowShown="0" headerRowDxfId="45" dataDxfId="44">
  <autoFilter ref="C130:F196"/>
  <tableColumns count="4">
    <tableColumn id="1" name="Essence " dataDxfId="43"/>
    <tableColumn id="2" name="Infradensité (tMS/m3) " dataDxfId="42"/>
    <tableColumn id="3" name="Type" dataDxfId="41"/>
    <tableColumn id="4" name="Facteur expansion branche" dataDxfId="4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au1456" displayName="Tableau1456" ref="C130:F196" totalsRowShown="0" headerRowDxfId="39" dataDxfId="38">
  <autoFilter ref="C130:F196"/>
  <tableColumns count="4">
    <tableColumn id="1" name="Essence " dataDxfId="37"/>
    <tableColumn id="2" name="Infradensité (tMS/m3) " dataDxfId="36"/>
    <tableColumn id="3" name="Type" dataDxfId="35"/>
    <tableColumn id="4" name="Facteur expansion branche" dataDxfId="34">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6" name="Tableau1457" displayName="Tableau1457" ref="C130:F196" totalsRowShown="0" headerRowDxfId="33" dataDxfId="32">
  <autoFilter ref="C130:F196"/>
  <tableColumns count="4">
    <tableColumn id="1" name="Essence " dataDxfId="31"/>
    <tableColumn id="2" name="Infradensité (tMS/m3) " dataDxfId="30"/>
    <tableColumn id="3" name="Type" dataDxfId="29"/>
    <tableColumn id="4" name="Facteur expansion branche" dataDxfId="28">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3" name="Tableau14594" displayName="Tableau14594" ref="C130:F196" totalsRowShown="0" headerRowDxfId="27" dataDxfId="26">
  <autoFilter ref="C130:F196"/>
  <tableColumns count="4">
    <tableColumn id="1" name="Essence " dataDxfId="25"/>
    <tableColumn id="2" name="Infradensité (tMS/m3) " dataDxfId="24"/>
    <tableColumn id="3" name="Type" dataDxfId="23"/>
    <tableColumn id="4" name="Facteur expansion branche" dataDxfId="22">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8" name="Tableau1459" displayName="Tableau1459" ref="C130:F196" totalsRowShown="0" headerRowDxfId="21" dataDxfId="20">
  <autoFilter ref="C130:F196"/>
  <tableColumns count="4">
    <tableColumn id="1" name="Essence " dataDxfId="19"/>
    <tableColumn id="2" name="Infradensité (tMS/m3) " dataDxfId="18"/>
    <tableColumn id="3" name="Type" dataDxfId="17"/>
    <tableColumn id="4" name="Facteur expansion branche" dataDxfId="16">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2" name="Tableau14593" displayName="Tableau14593" ref="C130:F196" totalsRowShown="0" headerRowDxfId="15" dataDxfId="14">
  <autoFilter ref="C130:F196"/>
  <tableColumns count="4">
    <tableColumn id="1" name="Essence " dataDxfId="13"/>
    <tableColumn id="2" name="Infradensité (tMS/m3) " dataDxfId="12"/>
    <tableColumn id="3" name="Type" dataDxfId="11"/>
    <tableColumn id="4" name="Facteur expansion branche" dataDxfId="1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1" name="Tableau14582" displayName="Tableau14582" ref="B118:M184" totalsRowShown="0" headerRowDxfId="9" dataDxfId="8">
  <autoFilter ref="B118:M184"/>
  <tableColumns count="12">
    <tableColumn id="1" name="Essence " dataDxfId="7"/>
    <tableColumn id="2" name="Infradensité (tMS/m3) " dataDxfId="6"/>
    <tableColumn id="3" name="Type" dataDxfId="5"/>
    <tableColumn id="4" name="Valeur BO" dataDxfId="4"/>
    <tableColumn id="5" name="Valeur BI" dataDxfId="3"/>
    <tableColumn id="6" name="Valeur BE" dataDxfId="2"/>
    <tableColumn id="11" name="Colonne1" dataDxfId="1"/>
    <tableColumn id="10" name="Colonne2"/>
    <tableColumn id="9" name="Colonne3"/>
    <tableColumn id="8" name="Colonne4"/>
    <tableColumn id="12" name="Colonne42" dataDxfId="0"/>
    <tableColumn id="7" name="Colonne5"/>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inventaire-forestier.ign.fr/IMG/pdf/RapportVolumes_VFinale_p2.pdf" TargetMode="External"/><Relationship Id="rId7" Type="http://schemas.openxmlformats.org/officeDocument/2006/relationships/hyperlink" Target="https://ifc.cnpf.fr/data/pins_1_1.pdf" TargetMode="External"/><Relationship Id="rId2" Type="http://schemas.openxmlformats.org/officeDocument/2006/relationships/hyperlink" Target="https://www.forestresearch.gov.uk/research/archive-forest-management-tables-metric/" TargetMode="External"/><Relationship Id="rId1" Type="http://schemas.openxmlformats.org/officeDocument/2006/relationships/hyperlink" Target="https://www.forestresearch.gov.uk/research/archive-forest-management-tables-metric/" TargetMode="External"/><Relationship Id="rId6" Type="http://schemas.openxmlformats.org/officeDocument/2006/relationships/hyperlink" Target="https://inventaire-forestier.ign.fr/IMG/pdf/RapportVolumes_VFinale_p2.pdf" TargetMode="External"/><Relationship Id="rId5" Type="http://schemas.openxmlformats.org/officeDocument/2006/relationships/hyperlink" Target="https://www.forestresearch.gov.uk/research/archive-forest-management-tables-metric/" TargetMode="External"/><Relationship Id="rId4" Type="http://schemas.openxmlformats.org/officeDocument/2006/relationships/hyperlink" Target="https://www.forestresearch.gov.uk/research/archive-forest-management-tables-metric/"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A274"/>
  <sheetViews>
    <sheetView topLeftCell="A55" zoomScale="75" zoomScaleNormal="70" zoomScalePageLayoutView="55" workbookViewId="0">
      <selection activeCell="D66" sqref="D66"/>
    </sheetView>
  </sheetViews>
  <sheetFormatPr baseColWidth="10" defaultColWidth="11.44140625" defaultRowHeight="18" x14ac:dyDescent="0.5"/>
  <cols>
    <col min="1" max="1" width="11.44140625" style="19" customWidth="1"/>
    <col min="2" max="2" width="2" style="19" customWidth="1"/>
    <col min="3" max="17" width="14.5546875" style="19" customWidth="1"/>
    <col min="18" max="18" width="2.109375" style="19" customWidth="1"/>
    <col min="19" max="16384" width="11.44140625" style="19"/>
  </cols>
  <sheetData>
    <row r="1" spans="2:18" ht="18.600000000000001" thickBot="1" x14ac:dyDescent="0.55000000000000004"/>
    <row r="2" spans="2:18" x14ac:dyDescent="0.5">
      <c r="B2" s="10"/>
      <c r="C2" s="11"/>
      <c r="D2" s="11"/>
      <c r="E2" s="11"/>
      <c r="F2" s="11"/>
      <c r="G2" s="11"/>
      <c r="H2" s="11"/>
      <c r="I2" s="11"/>
      <c r="J2" s="11"/>
      <c r="K2" s="11"/>
      <c r="L2" s="11"/>
      <c r="M2" s="11"/>
      <c r="N2" s="11"/>
      <c r="O2" s="11"/>
      <c r="P2" s="11"/>
      <c r="Q2" s="11"/>
      <c r="R2" s="12"/>
    </row>
    <row r="3" spans="2:18" x14ac:dyDescent="0.5">
      <c r="B3" s="349" t="s">
        <v>185</v>
      </c>
      <c r="C3" s="350"/>
      <c r="D3" s="350"/>
      <c r="E3" s="350"/>
      <c r="F3" s="350"/>
      <c r="G3" s="350"/>
      <c r="H3" s="350"/>
      <c r="I3" s="350"/>
      <c r="J3" s="350"/>
      <c r="K3" s="350"/>
      <c r="L3" s="350"/>
      <c r="M3" s="350"/>
      <c r="N3" s="350"/>
      <c r="O3" s="350"/>
      <c r="P3" s="350"/>
      <c r="Q3" s="350"/>
      <c r="R3" s="351"/>
    </row>
    <row r="4" spans="2:18" ht="18.600000000000001" thickBot="1" x14ac:dyDescent="0.55000000000000004">
      <c r="B4" s="16"/>
      <c r="C4" s="17"/>
      <c r="D4" s="17"/>
      <c r="E4" s="17"/>
      <c r="F4" s="17"/>
      <c r="G4" s="17"/>
      <c r="H4" s="17"/>
      <c r="I4" s="17"/>
      <c r="J4" s="17"/>
      <c r="K4" s="17"/>
      <c r="L4" s="17"/>
      <c r="M4" s="17"/>
      <c r="N4" s="17"/>
      <c r="O4" s="17"/>
      <c r="P4" s="17"/>
      <c r="Q4" s="17"/>
      <c r="R4" s="18"/>
    </row>
    <row r="5" spans="2:18" x14ac:dyDescent="0.5">
      <c r="B5" s="13"/>
      <c r="C5"/>
      <c r="D5"/>
      <c r="E5"/>
      <c r="F5"/>
      <c r="G5"/>
      <c r="H5"/>
      <c r="I5"/>
      <c r="J5"/>
      <c r="K5"/>
      <c r="L5"/>
      <c r="M5"/>
      <c r="N5"/>
      <c r="O5"/>
      <c r="P5"/>
      <c r="Q5"/>
      <c r="R5" s="15"/>
    </row>
    <row r="6" spans="2:18" x14ac:dyDescent="0.5">
      <c r="B6" s="13"/>
      <c r="C6" s="29" t="s">
        <v>271</v>
      </c>
      <c r="G6"/>
      <c r="H6"/>
      <c r="I6"/>
      <c r="J6"/>
      <c r="K6"/>
      <c r="L6"/>
      <c r="M6"/>
      <c r="N6"/>
      <c r="O6"/>
      <c r="P6"/>
      <c r="Q6"/>
      <c r="R6" s="15"/>
    </row>
    <row r="7" spans="2:18" x14ac:dyDescent="0.5">
      <c r="B7" s="13"/>
      <c r="G7"/>
      <c r="H7"/>
      <c r="I7"/>
      <c r="J7"/>
      <c r="K7"/>
      <c r="L7"/>
      <c r="M7"/>
      <c r="N7"/>
      <c r="O7"/>
      <c r="P7"/>
      <c r="Q7"/>
      <c r="R7" s="15"/>
    </row>
    <row r="8" spans="2:18" ht="17.25" customHeight="1" x14ac:dyDescent="0.5">
      <c r="B8" s="13"/>
      <c r="C8" s="30" t="s">
        <v>122</v>
      </c>
      <c r="D8" s="348" t="s">
        <v>270</v>
      </c>
      <c r="E8" s="348"/>
      <c r="F8" s="348"/>
      <c r="G8"/>
      <c r="H8"/>
      <c r="I8"/>
      <c r="J8"/>
      <c r="K8"/>
      <c r="L8"/>
      <c r="M8"/>
      <c r="N8"/>
      <c r="O8"/>
      <c r="P8"/>
      <c r="Q8"/>
      <c r="R8" s="15"/>
    </row>
    <row r="9" spans="2:18" ht="17.25" customHeight="1" x14ac:dyDescent="0.5">
      <c r="B9" s="13"/>
      <c r="D9" s="348"/>
      <c r="E9" s="348"/>
      <c r="F9" s="348"/>
      <c r="G9"/>
      <c r="H9"/>
      <c r="I9"/>
      <c r="J9"/>
      <c r="K9"/>
      <c r="L9"/>
      <c r="M9"/>
      <c r="N9"/>
      <c r="O9"/>
      <c r="P9"/>
      <c r="Q9"/>
      <c r="R9" s="15"/>
    </row>
    <row r="10" spans="2:18" ht="18" customHeight="1" x14ac:dyDescent="0.5">
      <c r="B10" s="13"/>
      <c r="C10" s="14"/>
      <c r="D10" s="348" t="s">
        <v>269</v>
      </c>
      <c r="E10" s="348"/>
      <c r="F10" s="348"/>
      <c r="G10" s="14"/>
      <c r="H10" s="14"/>
      <c r="I10" s="14"/>
      <c r="J10" s="14"/>
      <c r="K10" s="14"/>
      <c r="L10" s="14"/>
      <c r="M10" s="14"/>
      <c r="N10" s="14"/>
      <c r="O10" s="14"/>
      <c r="P10" s="14"/>
      <c r="Q10" s="14"/>
      <c r="R10" s="15"/>
    </row>
    <row r="11" spans="2:18" ht="18" customHeight="1" x14ac:dyDescent="0.5">
      <c r="B11" s="13"/>
      <c r="C11" s="14"/>
      <c r="D11" s="348"/>
      <c r="E11" s="348"/>
      <c r="F11" s="348"/>
      <c r="G11" s="14"/>
      <c r="H11" s="14"/>
      <c r="I11" s="14"/>
      <c r="J11" s="14"/>
      <c r="K11" s="14"/>
      <c r="L11" s="14"/>
      <c r="M11" s="14"/>
      <c r="N11" s="14"/>
      <c r="O11" s="14"/>
      <c r="P11" s="14"/>
      <c r="Q11" s="14"/>
      <c r="R11" s="15"/>
    </row>
    <row r="12" spans="2:18" ht="17.25" customHeight="1" x14ac:dyDescent="0.5">
      <c r="B12" s="13"/>
      <c r="C12" s="14"/>
      <c r="D12" s="348"/>
      <c r="E12" s="348"/>
      <c r="F12" s="348"/>
      <c r="G12" s="14"/>
      <c r="H12" s="14"/>
      <c r="I12" s="14"/>
      <c r="J12" s="14"/>
      <c r="K12" s="14"/>
      <c r="L12" s="14"/>
      <c r="M12" s="14"/>
      <c r="N12" s="14"/>
      <c r="O12" s="14"/>
      <c r="P12" s="14"/>
      <c r="Q12" s="14"/>
      <c r="R12" s="15"/>
    </row>
    <row r="13" spans="2:18" x14ac:dyDescent="0.5">
      <c r="B13" s="13"/>
      <c r="C13" s="28" t="s">
        <v>121</v>
      </c>
      <c r="D13" s="163" t="s">
        <v>268</v>
      </c>
      <c r="E13" s="169"/>
      <c r="F13" s="169"/>
      <c r="G13" s="14"/>
      <c r="H13" s="14"/>
      <c r="I13" s="14"/>
      <c r="J13" s="14"/>
      <c r="K13" s="14"/>
      <c r="L13" s="14"/>
      <c r="M13" s="14"/>
      <c r="N13" s="14"/>
      <c r="O13" s="14"/>
      <c r="P13" s="14"/>
      <c r="Q13" s="14"/>
      <c r="R13" s="15"/>
    </row>
    <row r="14" spans="2:18" x14ac:dyDescent="0.5">
      <c r="B14" s="13"/>
      <c r="C14" s="14"/>
      <c r="D14" s="331"/>
      <c r="E14" s="331"/>
      <c r="F14" s="331"/>
      <c r="G14" s="14"/>
      <c r="H14" s="14"/>
      <c r="I14" s="14"/>
      <c r="J14" s="14"/>
      <c r="K14" s="14"/>
      <c r="L14" s="14"/>
      <c r="M14" s="14"/>
      <c r="N14" s="14"/>
      <c r="O14" s="14"/>
      <c r="P14" s="14"/>
      <c r="Q14" s="14"/>
      <c r="R14" s="15"/>
    </row>
    <row r="15" spans="2:18" x14ac:dyDescent="0.5">
      <c r="B15" s="13"/>
      <c r="C15" s="29"/>
      <c r="G15" s="14"/>
      <c r="H15" s="14"/>
      <c r="I15" s="14"/>
      <c r="J15" s="14"/>
      <c r="K15" s="14"/>
      <c r="L15" s="14"/>
      <c r="M15" s="14"/>
      <c r="N15" s="14"/>
      <c r="O15" s="14"/>
      <c r="P15" s="14"/>
      <c r="Q15" s="14"/>
      <c r="R15" s="15"/>
    </row>
    <row r="16" spans="2:18" x14ac:dyDescent="0.5">
      <c r="B16" s="13"/>
      <c r="G16" s="14"/>
      <c r="H16" s="14"/>
      <c r="I16" s="14"/>
      <c r="J16" s="14"/>
      <c r="K16" s="14"/>
      <c r="L16" s="14"/>
      <c r="M16" s="14"/>
      <c r="N16" s="14"/>
      <c r="O16" s="14"/>
      <c r="P16" s="14"/>
      <c r="Q16" s="14"/>
      <c r="R16" s="15"/>
    </row>
    <row r="17" spans="2:18" x14ac:dyDescent="0.5">
      <c r="B17" s="13"/>
      <c r="C17" s="30"/>
      <c r="D17" s="21"/>
      <c r="E17" s="21"/>
      <c r="F17" s="21"/>
      <c r="G17" s="14"/>
      <c r="H17" s="14"/>
      <c r="I17" s="14"/>
      <c r="J17" s="14"/>
      <c r="K17" s="14"/>
      <c r="L17" s="14"/>
      <c r="M17" s="14"/>
      <c r="N17" s="14"/>
      <c r="O17" s="14"/>
      <c r="P17" s="14"/>
      <c r="Q17" s="14"/>
      <c r="R17" s="15"/>
    </row>
    <row r="18" spans="2:18" x14ac:dyDescent="0.5">
      <c r="B18" s="13"/>
      <c r="D18" s="21"/>
      <c r="E18" s="21"/>
      <c r="F18" s="21"/>
      <c r="G18" s="14"/>
      <c r="H18" s="14"/>
      <c r="I18" s="14"/>
      <c r="J18" s="14"/>
      <c r="K18" s="14"/>
      <c r="L18" s="14"/>
      <c r="M18" s="14"/>
      <c r="N18" s="14"/>
      <c r="O18" s="14"/>
      <c r="P18" s="14"/>
      <c r="Q18" s="14"/>
      <c r="R18" s="15"/>
    </row>
    <row r="19" spans="2:18" x14ac:dyDescent="0.5">
      <c r="B19" s="13"/>
      <c r="C19" s="14"/>
      <c r="D19" s="21"/>
      <c r="E19" s="21"/>
      <c r="F19" s="21"/>
      <c r="G19" s="14"/>
      <c r="H19" s="14"/>
      <c r="I19" s="14"/>
      <c r="J19" s="14"/>
      <c r="K19" s="14"/>
      <c r="L19" s="14"/>
      <c r="M19" s="14"/>
      <c r="N19" s="14"/>
      <c r="O19" s="14"/>
      <c r="P19" s="14"/>
      <c r="Q19" s="14"/>
      <c r="R19" s="15"/>
    </row>
    <row r="20" spans="2:18" x14ac:dyDescent="0.5">
      <c r="B20" s="13"/>
      <c r="C20" s="14"/>
      <c r="D20"/>
      <c r="E20"/>
      <c r="F20"/>
      <c r="G20" s="14"/>
      <c r="H20" s="14"/>
      <c r="I20" s="14"/>
      <c r="J20" s="14"/>
      <c r="K20" s="14"/>
      <c r="L20" s="14"/>
      <c r="M20" s="14"/>
      <c r="N20" s="14"/>
      <c r="O20" s="14"/>
      <c r="P20" s="14"/>
      <c r="Q20" s="14"/>
      <c r="R20" s="15"/>
    </row>
    <row r="21" spans="2:18" x14ac:dyDescent="0.5">
      <c r="B21" s="13"/>
      <c r="C21" s="14"/>
      <c r="D21"/>
      <c r="E21"/>
      <c r="F21"/>
      <c r="G21" s="14"/>
      <c r="H21" s="14"/>
      <c r="I21" s="14"/>
      <c r="J21" s="14"/>
      <c r="K21" s="14"/>
      <c r="L21" s="14"/>
      <c r="M21" s="14"/>
      <c r="N21" s="14"/>
      <c r="O21" s="14"/>
      <c r="P21" s="14"/>
      <c r="Q21" s="14"/>
      <c r="R21" s="15"/>
    </row>
    <row r="22" spans="2:18" x14ac:dyDescent="0.5">
      <c r="B22" s="13"/>
      <c r="C22" s="28"/>
      <c r="D22" s="330"/>
      <c r="E22" s="331"/>
      <c r="F22" s="331"/>
      <c r="G22" s="14"/>
      <c r="H22" s="14"/>
      <c r="I22" s="14"/>
      <c r="J22" s="14"/>
      <c r="K22" s="14"/>
      <c r="L22" s="14"/>
      <c r="M22" s="14"/>
      <c r="N22" s="14"/>
      <c r="O22" s="14"/>
      <c r="P22" s="14"/>
      <c r="Q22" s="14"/>
      <c r="R22" s="15"/>
    </row>
    <row r="23" spans="2:18" x14ac:dyDescent="0.5">
      <c r="B23" s="13"/>
      <c r="C23" s="14"/>
      <c r="D23" s="14"/>
      <c r="E23" s="14"/>
      <c r="F23" s="14"/>
      <c r="G23" s="14"/>
      <c r="H23" s="14"/>
      <c r="I23" s="14"/>
      <c r="J23" s="14"/>
      <c r="K23" s="14"/>
      <c r="L23" s="14"/>
      <c r="M23" s="14"/>
      <c r="N23" s="14"/>
      <c r="O23" s="14"/>
      <c r="P23" s="14"/>
      <c r="Q23" s="14"/>
      <c r="R23" s="15"/>
    </row>
    <row r="24" spans="2:18" x14ac:dyDescent="0.5">
      <c r="B24" s="13"/>
      <c r="C24" s="14"/>
      <c r="D24" s="14"/>
      <c r="E24" s="14"/>
      <c r="F24" s="14"/>
      <c r="G24" s="14"/>
      <c r="H24" s="14"/>
      <c r="I24" s="14"/>
      <c r="J24" s="14"/>
      <c r="K24" s="14"/>
      <c r="L24" s="14"/>
      <c r="M24" s="14"/>
      <c r="N24" s="14"/>
      <c r="O24" s="14"/>
      <c r="P24" s="14"/>
      <c r="Q24" s="14"/>
      <c r="R24" s="15"/>
    </row>
    <row r="25" spans="2:18" x14ac:dyDescent="0.5">
      <c r="B25" s="13"/>
      <c r="C25" s="14"/>
      <c r="D25" s="14"/>
      <c r="E25" s="14"/>
      <c r="F25" s="14"/>
      <c r="G25" s="14"/>
      <c r="H25" s="14"/>
      <c r="I25" s="14"/>
      <c r="J25" s="14"/>
      <c r="K25" s="14"/>
      <c r="L25" s="14"/>
      <c r="M25" s="14"/>
      <c r="N25" s="14"/>
      <c r="O25" s="14"/>
      <c r="P25" s="14"/>
      <c r="Q25" s="14"/>
      <c r="R25" s="15"/>
    </row>
    <row r="26" spans="2:18" x14ac:dyDescent="0.5">
      <c r="B26" s="13"/>
      <c r="C26"/>
      <c r="D26"/>
      <c r="E26"/>
      <c r="F26"/>
      <c r="G26" s="14"/>
      <c r="H26" s="14"/>
      <c r="I26" s="14"/>
      <c r="J26" s="14"/>
      <c r="K26" s="14"/>
      <c r="L26" s="14"/>
      <c r="M26" s="14"/>
      <c r="N26" s="14"/>
      <c r="O26" s="14"/>
      <c r="P26" s="14"/>
      <c r="Q26" s="14"/>
      <c r="R26" s="15"/>
    </row>
    <row r="27" spans="2:18" ht="17.25" customHeight="1" x14ac:dyDescent="0.5">
      <c r="B27" s="13"/>
      <c r="C27"/>
      <c r="D27"/>
      <c r="E27"/>
      <c r="F27"/>
      <c r="G27" s="14"/>
      <c r="H27" s="14"/>
      <c r="I27" s="14"/>
      <c r="J27" s="14"/>
      <c r="K27" s="14"/>
      <c r="L27" s="14"/>
      <c r="M27" s="14"/>
      <c r="N27" s="14"/>
      <c r="O27" s="14"/>
      <c r="P27" s="14"/>
      <c r="Q27" s="14"/>
      <c r="R27" s="15"/>
    </row>
    <row r="28" spans="2:18" x14ac:dyDescent="0.5">
      <c r="B28" s="13"/>
      <c r="C28"/>
      <c r="D28"/>
      <c r="E28"/>
      <c r="F28"/>
      <c r="G28" s="14"/>
      <c r="H28" s="14"/>
      <c r="I28" s="14"/>
      <c r="J28" s="14"/>
      <c r="K28" s="14"/>
      <c r="L28" s="14"/>
      <c r="M28" s="14"/>
      <c r="N28" s="14"/>
      <c r="O28" s="14"/>
      <c r="P28" s="14"/>
      <c r="Q28" s="14"/>
      <c r="R28" s="15"/>
    </row>
    <row r="29" spans="2:18" ht="17.25" customHeight="1" x14ac:dyDescent="0.5">
      <c r="B29" s="13"/>
      <c r="C29"/>
      <c r="D29"/>
      <c r="E29"/>
      <c r="F29"/>
      <c r="G29" s="14"/>
      <c r="H29" s="14"/>
      <c r="I29" s="14"/>
      <c r="J29" s="14"/>
      <c r="K29" s="14"/>
      <c r="L29" s="14"/>
      <c r="M29" s="14"/>
      <c r="N29" s="14"/>
      <c r="O29" s="14"/>
      <c r="P29" s="14"/>
      <c r="Q29" s="14"/>
      <c r="R29" s="15"/>
    </row>
    <row r="30" spans="2:18" x14ac:dyDescent="0.5">
      <c r="B30" s="13"/>
      <c r="C30"/>
      <c r="D30"/>
      <c r="E30"/>
      <c r="F30"/>
      <c r="G30" s="14"/>
      <c r="H30" s="14"/>
      <c r="I30" s="14"/>
      <c r="J30" s="14"/>
      <c r="K30" s="14"/>
      <c r="L30" s="14"/>
      <c r="M30" s="14"/>
      <c r="N30" s="14"/>
      <c r="O30" s="14"/>
      <c r="P30" s="14"/>
      <c r="Q30" s="14"/>
      <c r="R30" s="15"/>
    </row>
    <row r="31" spans="2:18" x14ac:dyDescent="0.5">
      <c r="B31" s="13"/>
      <c r="C31"/>
      <c r="D31"/>
      <c r="E31"/>
      <c r="F31"/>
      <c r="G31" s="14"/>
      <c r="H31" s="14"/>
      <c r="I31" s="14"/>
      <c r="J31" s="14"/>
      <c r="K31" s="14"/>
      <c r="L31" s="14"/>
      <c r="M31" s="14"/>
      <c r="N31" s="14"/>
      <c r="O31" s="14"/>
      <c r="P31" s="14"/>
      <c r="Q31" s="14"/>
      <c r="R31" s="15"/>
    </row>
    <row r="32" spans="2:18" ht="17.25" customHeight="1" x14ac:dyDescent="0.5">
      <c r="B32" s="13"/>
      <c r="C32"/>
      <c r="D32"/>
      <c r="E32"/>
      <c r="F32"/>
      <c r="G32" s="14"/>
      <c r="H32" s="14"/>
      <c r="I32" s="14"/>
      <c r="J32" s="14"/>
      <c r="K32" s="14"/>
      <c r="L32" s="14"/>
      <c r="M32" s="14"/>
      <c r="N32" s="14"/>
      <c r="O32" s="14"/>
      <c r="P32" s="14"/>
      <c r="Q32" s="14"/>
      <c r="R32" s="15"/>
    </row>
    <row r="33" spans="1:27" x14ac:dyDescent="0.5">
      <c r="B33" s="13"/>
      <c r="C33"/>
      <c r="D33"/>
      <c r="E33"/>
      <c r="F33"/>
      <c r="G33" s="14"/>
      <c r="H33" s="14"/>
      <c r="I33" s="14"/>
      <c r="J33" s="14"/>
      <c r="K33" s="14"/>
      <c r="L33" s="14"/>
      <c r="M33" s="14"/>
      <c r="N33" s="14"/>
      <c r="O33" s="14"/>
      <c r="P33" s="14"/>
      <c r="Q33" s="14"/>
      <c r="R33" s="15"/>
    </row>
    <row r="34" spans="1:27" x14ac:dyDescent="0.5">
      <c r="B34" s="13"/>
      <c r="C34"/>
      <c r="D34"/>
      <c r="E34"/>
      <c r="F34"/>
      <c r="G34" s="14"/>
      <c r="H34" s="14"/>
      <c r="I34" s="14"/>
      <c r="J34" s="14"/>
      <c r="K34" s="14"/>
      <c r="L34" s="14"/>
      <c r="M34" s="14"/>
      <c r="N34" s="14"/>
      <c r="O34" s="14"/>
      <c r="P34" s="14"/>
      <c r="Q34" s="14"/>
      <c r="R34" s="15"/>
    </row>
    <row r="35" spans="1:27" x14ac:dyDescent="0.5">
      <c r="B35" s="13"/>
      <c r="C35" s="14"/>
      <c r="D35" s="14"/>
      <c r="E35" s="14"/>
      <c r="F35" s="14"/>
      <c r="G35" s="14"/>
      <c r="H35" s="14"/>
      <c r="I35" s="14"/>
      <c r="J35" s="14"/>
      <c r="K35" s="14"/>
      <c r="L35" s="14"/>
      <c r="M35" s="14"/>
      <c r="N35" s="14"/>
      <c r="O35" s="14"/>
      <c r="P35" s="14"/>
      <c r="Q35" s="14"/>
      <c r="R35" s="15"/>
    </row>
    <row r="36" spans="1:27" x14ac:dyDescent="0.5">
      <c r="B36" s="13"/>
      <c r="C36" s="14"/>
      <c r="D36" s="14"/>
      <c r="E36" s="14"/>
      <c r="F36" s="14"/>
      <c r="G36" s="14"/>
      <c r="H36" s="14"/>
      <c r="I36" s="14"/>
      <c r="J36" s="14"/>
      <c r="K36" s="14"/>
      <c r="L36" s="14"/>
      <c r="M36" s="14"/>
      <c r="N36" s="14"/>
      <c r="O36" s="14"/>
      <c r="P36" s="14"/>
      <c r="Q36" s="14"/>
      <c r="R36" s="15"/>
    </row>
    <row r="37" spans="1:27" x14ac:dyDescent="0.5">
      <c r="B37" s="13"/>
      <c r="C37"/>
      <c r="D37"/>
      <c r="E37"/>
      <c r="F37"/>
      <c r="G37" s="14"/>
      <c r="H37" s="14"/>
      <c r="I37" s="14"/>
      <c r="J37" s="14"/>
      <c r="K37" s="14"/>
      <c r="L37" s="14"/>
      <c r="M37" s="14"/>
      <c r="N37" s="14"/>
      <c r="O37" s="14"/>
      <c r="P37" s="14"/>
      <c r="Q37" s="14"/>
      <c r="R37" s="15"/>
    </row>
    <row r="38" spans="1:27" x14ac:dyDescent="0.5">
      <c r="B38" s="13"/>
      <c r="C38"/>
      <c r="D38"/>
      <c r="E38"/>
      <c r="F38"/>
      <c r="G38" s="14"/>
      <c r="H38" s="14"/>
      <c r="I38" s="14"/>
      <c r="J38" s="14"/>
      <c r="K38" s="14"/>
      <c r="L38" s="14"/>
      <c r="M38" s="14"/>
      <c r="N38" s="14"/>
      <c r="O38" s="14"/>
      <c r="P38" s="14"/>
      <c r="Q38" s="14"/>
      <c r="R38" s="15"/>
    </row>
    <row r="39" spans="1:27" x14ac:dyDescent="0.5">
      <c r="B39" s="13"/>
      <c r="C39"/>
      <c r="D39"/>
      <c r="E39"/>
      <c r="F39"/>
      <c r="G39" s="14"/>
      <c r="H39" s="14"/>
      <c r="I39" s="14"/>
      <c r="J39" s="14"/>
      <c r="K39" s="14"/>
      <c r="L39" s="14"/>
      <c r="M39" s="14"/>
      <c r="N39" s="14"/>
      <c r="O39" s="14"/>
      <c r="P39" s="14"/>
      <c r="Q39" s="14"/>
      <c r="R39" s="15"/>
    </row>
    <row r="40" spans="1:27" x14ac:dyDescent="0.5">
      <c r="B40" s="13"/>
      <c r="C40"/>
      <c r="D40"/>
      <c r="E40"/>
      <c r="F40"/>
      <c r="G40" s="14"/>
      <c r="H40" s="14"/>
      <c r="I40" s="14"/>
      <c r="J40" s="14"/>
      <c r="K40" s="14"/>
      <c r="L40" s="14"/>
      <c r="M40" s="14"/>
      <c r="N40" s="14"/>
      <c r="O40" s="14"/>
      <c r="P40" s="14"/>
      <c r="Q40" s="14"/>
      <c r="R40" s="15"/>
    </row>
    <row r="41" spans="1:27" x14ac:dyDescent="0.5">
      <c r="B41" s="13"/>
      <c r="C41"/>
      <c r="D41"/>
      <c r="E41"/>
      <c r="F41"/>
      <c r="G41" s="14"/>
      <c r="H41" s="14"/>
      <c r="I41" s="14"/>
      <c r="J41" s="14"/>
      <c r="K41" s="14"/>
      <c r="L41" s="14"/>
      <c r="M41" s="14"/>
      <c r="N41" s="14"/>
      <c r="O41" s="14"/>
      <c r="P41" s="14"/>
      <c r="Q41" s="14"/>
      <c r="R41" s="15"/>
    </row>
    <row r="42" spans="1:27" x14ac:dyDescent="0.5">
      <c r="B42" s="13"/>
      <c r="C42"/>
      <c r="D42"/>
      <c r="E42"/>
      <c r="F42"/>
      <c r="G42" s="14"/>
      <c r="H42" s="14"/>
      <c r="I42" s="14"/>
      <c r="J42" s="14"/>
      <c r="K42" s="14"/>
      <c r="L42" s="14"/>
      <c r="M42" s="14"/>
      <c r="N42" s="14"/>
      <c r="O42" s="14"/>
      <c r="P42" s="14"/>
      <c r="Q42" s="14"/>
      <c r="R42" s="15"/>
    </row>
    <row r="43" spans="1:27" x14ac:dyDescent="0.5">
      <c r="B43" s="13"/>
      <c r="C43"/>
      <c r="D43"/>
      <c r="E43"/>
      <c r="F43"/>
      <c r="G43" s="14"/>
      <c r="H43" s="14"/>
      <c r="I43" s="14"/>
      <c r="J43" s="14"/>
      <c r="K43" s="14"/>
      <c r="L43" s="14"/>
      <c r="M43" s="14"/>
      <c r="N43" s="14"/>
      <c r="O43" s="14"/>
      <c r="P43" s="14"/>
      <c r="Q43" s="14"/>
      <c r="R43" s="15"/>
    </row>
    <row r="44" spans="1:27" x14ac:dyDescent="0.5">
      <c r="B44" s="13"/>
      <c r="C44" s="28"/>
      <c r="D44" s="14"/>
      <c r="E44" s="14"/>
      <c r="F44" s="14"/>
      <c r="G44" s="14"/>
      <c r="H44" s="14"/>
      <c r="I44" s="14"/>
      <c r="J44" s="14"/>
      <c r="K44" s="14"/>
      <c r="L44" s="14"/>
      <c r="M44" s="14"/>
      <c r="N44" s="14"/>
      <c r="O44" s="14"/>
      <c r="P44" s="14"/>
      <c r="Q44" s="14"/>
      <c r="R44" s="15"/>
    </row>
    <row r="45" spans="1:27" ht="18.600000000000001" thickBot="1" x14ac:dyDescent="0.55000000000000004">
      <c r="B45" s="16"/>
      <c r="C45" s="17"/>
      <c r="D45" s="17"/>
      <c r="E45" s="17"/>
      <c r="F45" s="17"/>
      <c r="G45" s="17"/>
      <c r="H45" s="17"/>
      <c r="I45" s="17"/>
      <c r="J45" s="17"/>
      <c r="K45" s="17"/>
      <c r="L45" s="17"/>
      <c r="M45" s="17"/>
      <c r="N45" s="17"/>
      <c r="O45" s="17"/>
      <c r="P45" s="17"/>
      <c r="Q45" s="17"/>
      <c r="R45" s="18"/>
    </row>
    <row r="46" spans="1:27" ht="18.600000000000001" thickBot="1" x14ac:dyDescent="0.55000000000000004"/>
    <row r="47" spans="1:27" x14ac:dyDescent="0.5">
      <c r="A47"/>
      <c r="B47" s="10"/>
      <c r="C47" s="11"/>
      <c r="D47" s="11"/>
      <c r="E47" s="11"/>
      <c r="F47" s="11"/>
      <c r="G47" s="11"/>
      <c r="H47" s="11"/>
      <c r="I47" s="11"/>
      <c r="J47" s="11"/>
      <c r="K47" s="11"/>
      <c r="L47" s="11"/>
      <c r="M47" s="11"/>
      <c r="N47" s="11"/>
      <c r="O47" s="11"/>
      <c r="P47" s="11"/>
      <c r="Q47" s="11"/>
      <c r="R47" s="12"/>
      <c r="S47"/>
      <c r="T47"/>
      <c r="U47"/>
      <c r="V47"/>
      <c r="W47"/>
      <c r="X47"/>
      <c r="Y47"/>
      <c r="Z47"/>
      <c r="AA47"/>
    </row>
    <row r="48" spans="1:27" x14ac:dyDescent="0.5">
      <c r="A48"/>
      <c r="B48" s="349" t="s">
        <v>185</v>
      </c>
      <c r="C48" s="350"/>
      <c r="D48" s="350"/>
      <c r="E48" s="350"/>
      <c r="F48" s="350"/>
      <c r="G48" s="350"/>
      <c r="H48" s="350"/>
      <c r="I48" s="350"/>
      <c r="J48" s="350"/>
      <c r="K48" s="350"/>
      <c r="L48" s="350"/>
      <c r="M48" s="350"/>
      <c r="N48" s="350"/>
      <c r="O48" s="350"/>
      <c r="P48" s="350"/>
      <c r="Q48" s="350"/>
      <c r="R48" s="351"/>
      <c r="S48"/>
      <c r="T48"/>
      <c r="U48"/>
      <c r="V48"/>
      <c r="W48"/>
      <c r="X48"/>
      <c r="Y48"/>
      <c r="Z48"/>
      <c r="AA48"/>
    </row>
    <row r="49" spans="1:27" ht="18.600000000000001" thickBot="1" x14ac:dyDescent="0.55000000000000004">
      <c r="A49"/>
      <c r="B49" s="16"/>
      <c r="C49" s="17"/>
      <c r="D49" s="17"/>
      <c r="E49" s="17"/>
      <c r="F49" s="17"/>
      <c r="G49" s="17"/>
      <c r="H49" s="17"/>
      <c r="I49" s="17"/>
      <c r="J49" s="17"/>
      <c r="K49" s="17"/>
      <c r="L49" s="17"/>
      <c r="M49" s="17"/>
      <c r="N49" s="17"/>
      <c r="O49" s="17"/>
      <c r="P49" s="17"/>
      <c r="Q49" s="17"/>
      <c r="R49" s="18"/>
      <c r="S49"/>
      <c r="T49"/>
      <c r="U49"/>
      <c r="V49"/>
      <c r="W49"/>
      <c r="X49"/>
      <c r="Y49"/>
      <c r="Z49"/>
      <c r="AA49"/>
    </row>
    <row r="50" spans="1:27" x14ac:dyDescent="0.5">
      <c r="A50"/>
      <c r="B50" s="13"/>
      <c r="C50"/>
      <c r="D50"/>
      <c r="E50"/>
      <c r="F50"/>
      <c r="G50"/>
      <c r="H50"/>
      <c r="I50"/>
      <c r="J50"/>
      <c r="K50"/>
      <c r="L50"/>
      <c r="M50"/>
      <c r="N50"/>
      <c r="O50"/>
      <c r="P50"/>
      <c r="Q50"/>
      <c r="R50" s="15"/>
      <c r="S50"/>
      <c r="T50"/>
      <c r="U50"/>
      <c r="V50"/>
      <c r="W50"/>
      <c r="X50"/>
      <c r="Y50"/>
      <c r="Z50"/>
      <c r="AA50"/>
    </row>
    <row r="51" spans="1:27" x14ac:dyDescent="0.5">
      <c r="A51"/>
      <c r="B51" s="13"/>
      <c r="C51" s="29" t="s">
        <v>271</v>
      </c>
      <c r="G51"/>
      <c r="H51"/>
      <c r="I51"/>
      <c r="J51"/>
      <c r="K51"/>
      <c r="L51"/>
      <c r="M51"/>
      <c r="N51"/>
      <c r="O51"/>
      <c r="P51"/>
      <c r="Q51"/>
      <c r="R51" s="15"/>
      <c r="S51"/>
      <c r="T51"/>
      <c r="U51"/>
      <c r="V51"/>
      <c r="W51"/>
      <c r="X51"/>
      <c r="Y51"/>
      <c r="Z51"/>
      <c r="AA51"/>
    </row>
    <row r="52" spans="1:27" x14ac:dyDescent="0.5">
      <c r="A52"/>
      <c r="B52" s="13"/>
      <c r="G52"/>
      <c r="H52"/>
      <c r="I52"/>
      <c r="J52"/>
      <c r="K52"/>
      <c r="L52"/>
      <c r="M52"/>
      <c r="N52"/>
      <c r="O52"/>
      <c r="P52"/>
      <c r="Q52"/>
      <c r="R52" s="15"/>
      <c r="S52"/>
      <c r="T52"/>
      <c r="U52"/>
      <c r="V52"/>
      <c r="W52"/>
      <c r="X52"/>
      <c r="Y52"/>
      <c r="Z52"/>
      <c r="AA52"/>
    </row>
    <row r="53" spans="1:27" ht="18" customHeight="1" x14ac:dyDescent="0.5">
      <c r="A53"/>
      <c r="B53" s="13"/>
      <c r="C53" s="30" t="s">
        <v>122</v>
      </c>
      <c r="D53" s="348" t="s">
        <v>299</v>
      </c>
      <c r="E53" s="348"/>
      <c r="F53" s="348"/>
      <c r="G53" s="348"/>
      <c r="H53" s="348"/>
      <c r="I53" s="348"/>
      <c r="J53" s="348"/>
      <c r="K53" s="348"/>
      <c r="L53" s="348"/>
      <c r="M53" s="348"/>
      <c r="N53" s="348"/>
      <c r="O53" s="348"/>
      <c r="P53" s="348"/>
      <c r="Q53" s="348"/>
      <c r="R53" s="15"/>
      <c r="S53"/>
      <c r="T53"/>
      <c r="U53"/>
      <c r="V53"/>
      <c r="W53"/>
      <c r="X53"/>
      <c r="Y53"/>
      <c r="Z53"/>
      <c r="AA53"/>
    </row>
    <row r="54" spans="1:27" ht="35.4" customHeight="1" x14ac:dyDescent="0.5">
      <c r="A54"/>
      <c r="B54" s="13"/>
      <c r="D54" s="348"/>
      <c r="E54" s="348"/>
      <c r="F54" s="348"/>
      <c r="G54" s="348"/>
      <c r="H54" s="348"/>
      <c r="I54" s="348"/>
      <c r="J54" s="348"/>
      <c r="K54" s="348"/>
      <c r="L54" s="348"/>
      <c r="M54" s="348"/>
      <c r="N54" s="348"/>
      <c r="O54" s="348"/>
      <c r="P54" s="348"/>
      <c r="Q54" s="348"/>
      <c r="R54" s="15"/>
      <c r="S54"/>
      <c r="T54"/>
      <c r="U54"/>
      <c r="V54"/>
      <c r="W54"/>
      <c r="X54"/>
      <c r="Y54"/>
      <c r="Z54"/>
      <c r="AA54"/>
    </row>
    <row r="55" spans="1:27" ht="18" customHeight="1" x14ac:dyDescent="0.5">
      <c r="A55"/>
      <c r="B55" s="13"/>
      <c r="C55" s="28" t="s">
        <v>121</v>
      </c>
      <c r="D55" s="1" t="s">
        <v>292</v>
      </c>
      <c r="E55" s="21"/>
      <c r="F55" s="21"/>
      <c r="G55" s="21"/>
      <c r="H55" s="21"/>
      <c r="I55" s="21"/>
      <c r="J55" s="21"/>
      <c r="K55" s="14"/>
      <c r="L55" s="14"/>
      <c r="M55" s="14"/>
      <c r="N55" s="14"/>
      <c r="O55" s="14"/>
      <c r="P55" s="14"/>
      <c r="Q55" s="14"/>
      <c r="R55" s="15"/>
      <c r="S55"/>
      <c r="T55"/>
      <c r="U55"/>
      <c r="V55"/>
      <c r="W55"/>
      <c r="X55"/>
      <c r="Y55"/>
      <c r="Z55"/>
      <c r="AA55"/>
    </row>
    <row r="56" spans="1:27" x14ac:dyDescent="0.5">
      <c r="A56"/>
      <c r="B56" s="13"/>
      <c r="C56" s="14"/>
      <c r="D56" s="21"/>
      <c r="E56" s="21"/>
      <c r="F56" s="21"/>
      <c r="G56" s="21"/>
      <c r="H56" s="21"/>
      <c r="I56" s="21"/>
      <c r="J56" s="21"/>
      <c r="K56" s="14"/>
      <c r="L56" s="14"/>
      <c r="M56" s="14"/>
      <c r="N56" s="14"/>
      <c r="O56" s="14"/>
      <c r="P56" s="14"/>
      <c r="Q56" s="14"/>
      <c r="R56" s="15"/>
      <c r="S56"/>
      <c r="T56"/>
      <c r="U56"/>
      <c r="V56"/>
      <c r="W56"/>
      <c r="X56"/>
      <c r="Y56"/>
      <c r="Z56"/>
      <c r="AA56"/>
    </row>
    <row r="57" spans="1:27" ht="17.25" customHeight="1" x14ac:dyDescent="0.5">
      <c r="A57"/>
      <c r="B57" s="13"/>
      <c r="C57" s="425" t="s">
        <v>272</v>
      </c>
      <c r="D57" s="426"/>
      <c r="E57" s="427"/>
      <c r="F57" s="356" t="s">
        <v>273</v>
      </c>
      <c r="G57" s="357"/>
      <c r="H57" s="357"/>
      <c r="I57" s="357"/>
      <c r="J57" s="357"/>
      <c r="K57" s="358"/>
      <c r="L57" s="356" t="s">
        <v>274</v>
      </c>
      <c r="M57" s="357"/>
      <c r="N57" s="358"/>
      <c r="O57" s="357" t="s">
        <v>275</v>
      </c>
      <c r="P57" s="357"/>
      <c r="Q57" s="358"/>
      <c r="R57" s="15"/>
      <c r="S57"/>
      <c r="T57"/>
      <c r="U57"/>
      <c r="V57"/>
      <c r="W57"/>
      <c r="X57"/>
      <c r="Y57"/>
      <c r="Z57"/>
      <c r="AA57"/>
    </row>
    <row r="58" spans="1:27" ht="17.25" customHeight="1" x14ac:dyDescent="0.5">
      <c r="A58"/>
      <c r="B58" s="13"/>
      <c r="C58" s="156" t="s">
        <v>276</v>
      </c>
      <c r="D58" s="428" t="s">
        <v>277</v>
      </c>
      <c r="E58" s="429" t="s">
        <v>278</v>
      </c>
      <c r="F58" s="430" t="s">
        <v>279</v>
      </c>
      <c r="G58" s="431" t="s">
        <v>280</v>
      </c>
      <c r="H58" s="431" t="s">
        <v>281</v>
      </c>
      <c r="I58" s="431" t="s">
        <v>282</v>
      </c>
      <c r="J58" s="432" t="s">
        <v>283</v>
      </c>
      <c r="K58" s="429" t="s">
        <v>284</v>
      </c>
      <c r="L58" s="430" t="s">
        <v>279</v>
      </c>
      <c r="M58" s="347" t="s">
        <v>283</v>
      </c>
      <c r="N58" s="429" t="s">
        <v>284</v>
      </c>
      <c r="O58" s="428" t="s">
        <v>279</v>
      </c>
      <c r="P58" s="347" t="s">
        <v>283</v>
      </c>
      <c r="Q58" s="429" t="s">
        <v>284</v>
      </c>
      <c r="R58" s="15"/>
      <c r="S58"/>
      <c r="T58"/>
      <c r="U58"/>
      <c r="V58"/>
      <c r="W58"/>
      <c r="X58"/>
      <c r="Y58"/>
      <c r="Z58"/>
      <c r="AA58"/>
    </row>
    <row r="59" spans="1:27" x14ac:dyDescent="0.5">
      <c r="A59"/>
      <c r="B59" s="13"/>
      <c r="C59" s="433" t="s">
        <v>285</v>
      </c>
      <c r="D59" s="434">
        <v>15</v>
      </c>
      <c r="E59" s="435">
        <v>9.5</v>
      </c>
      <c r="F59" s="40">
        <v>1250</v>
      </c>
      <c r="G59" s="436">
        <v>0.15</v>
      </c>
      <c r="H59" s="437">
        <f>I59/1.3</f>
        <v>8.3643383578981767E-2</v>
      </c>
      <c r="I59" s="438">
        <f>($K$69+$K$70*(SQRT((G59*PI()))/E59)+$K$71*(E59/(G59*PI())))*((E59*((G59*PI())^2))/(4*PI()*((1-(1.3/E59))^2)))</f>
        <v>0.1087363986526763</v>
      </c>
      <c r="J59" s="439">
        <f t="shared" ref="J59:J65" si="0">K59/1.3</f>
        <v>104.5542294737272</v>
      </c>
      <c r="K59" s="440">
        <f>I59*F59</f>
        <v>135.92049831584538</v>
      </c>
      <c r="L59" s="40">
        <f t="shared" ref="L59:L60" si="1">F59-O59</f>
        <v>400</v>
      </c>
      <c r="M59" s="441">
        <f t="shared" ref="M59:M65" si="2">N59/1.3</f>
        <v>26.765882745274165</v>
      </c>
      <c r="N59" s="442">
        <f>L59*$I59*0.8</f>
        <v>34.795647568856417</v>
      </c>
      <c r="O59" s="434">
        <f>F60</f>
        <v>850</v>
      </c>
      <c r="P59" s="441">
        <f t="shared" ref="P59:P65" si="3">Q59/1.3</f>
        <v>77.788346728453035</v>
      </c>
      <c r="Q59" s="443">
        <f t="shared" ref="Q59:Q65" si="4">K59-N59</f>
        <v>101.12485074698895</v>
      </c>
      <c r="R59" s="15"/>
      <c r="S59"/>
      <c r="T59"/>
      <c r="U59"/>
      <c r="V59"/>
      <c r="W59"/>
      <c r="X59"/>
      <c r="Y59"/>
      <c r="Z59"/>
      <c r="AA59"/>
    </row>
    <row r="60" spans="1:27" x14ac:dyDescent="0.5">
      <c r="A60"/>
      <c r="B60" s="13"/>
      <c r="C60" s="433" t="s">
        <v>286</v>
      </c>
      <c r="D60" s="434">
        <v>20</v>
      </c>
      <c r="E60" s="435">
        <v>13</v>
      </c>
      <c r="F60" s="40">
        <v>850</v>
      </c>
      <c r="G60" s="436">
        <v>0.2</v>
      </c>
      <c r="H60" s="437">
        <f>I60/1.3</f>
        <v>0.17906710679261537</v>
      </c>
      <c r="I60" s="438">
        <f t="shared" ref="I60:I66" si="5">($K$69+$K$70*(SQRT((G60*PI()))/E60)+$K$71*(E60/(G60*PI())))*((E60*((G60*PI())^2))/(4*PI()*((1-(1.3/E60))^2)))</f>
        <v>0.23278723883039998</v>
      </c>
      <c r="J60" s="439">
        <f t="shared" si="0"/>
        <v>152.20704077372307</v>
      </c>
      <c r="K60" s="440">
        <f>I60*F60</f>
        <v>197.86915300583999</v>
      </c>
      <c r="L60" s="40">
        <f t="shared" si="1"/>
        <v>280</v>
      </c>
      <c r="M60" s="441">
        <f t="shared" si="2"/>
        <v>40.111031921545838</v>
      </c>
      <c r="N60" s="442">
        <f>L60*$I60*0.8</f>
        <v>52.144341498009595</v>
      </c>
      <c r="O60" s="434">
        <f>F61</f>
        <v>570</v>
      </c>
      <c r="P60" s="441">
        <f t="shared" si="3"/>
        <v>112.09600885217722</v>
      </c>
      <c r="Q60" s="443">
        <f t="shared" si="4"/>
        <v>145.7248115078304</v>
      </c>
      <c r="R60" s="15"/>
      <c r="S60"/>
      <c r="T60"/>
      <c r="U60"/>
      <c r="V60"/>
      <c r="W60"/>
      <c r="X60"/>
      <c r="Y60"/>
      <c r="Z60"/>
      <c r="AA60"/>
    </row>
    <row r="61" spans="1:27" x14ac:dyDescent="0.5">
      <c r="A61"/>
      <c r="B61" s="13"/>
      <c r="C61" s="433" t="s">
        <v>287</v>
      </c>
      <c r="D61" s="434">
        <v>25</v>
      </c>
      <c r="E61" s="435">
        <v>15.5</v>
      </c>
      <c r="F61" s="40">
        <v>570</v>
      </c>
      <c r="G61" s="436">
        <v>0.26</v>
      </c>
      <c r="H61" s="437">
        <f>I61/1.3</f>
        <v>0.34728160678694614</v>
      </c>
      <c r="I61" s="438">
        <f t="shared" si="5"/>
        <v>0.45146608882302997</v>
      </c>
      <c r="J61" s="439">
        <f t="shared" ref="J61:J66" si="6">K61/1.3</f>
        <v>197.95051586855931</v>
      </c>
      <c r="K61" s="440">
        <f>I61*F61</f>
        <v>257.33567062912709</v>
      </c>
      <c r="L61" s="40">
        <f t="shared" ref="L61:L66" si="7">F61-O61</f>
        <v>145</v>
      </c>
      <c r="M61" s="441">
        <f t="shared" ref="M61:M66" si="8">N61/1.3</f>
        <v>40.284666387285753</v>
      </c>
      <c r="N61" s="442">
        <f>L61*$I61*0.8</f>
        <v>52.370066303471482</v>
      </c>
      <c r="O61" s="434">
        <f>F62</f>
        <v>425</v>
      </c>
      <c r="P61" s="441">
        <f t="shared" ref="P61:P66" si="9">Q61/1.3</f>
        <v>157.66584948127354</v>
      </c>
      <c r="Q61" s="443">
        <f t="shared" ref="Q61:Q66" si="10">K61-N61</f>
        <v>204.96560432565562</v>
      </c>
      <c r="R61" s="15"/>
      <c r="S61"/>
      <c r="T61"/>
      <c r="U61"/>
      <c r="V61"/>
      <c r="W61"/>
      <c r="X61"/>
      <c r="Y61"/>
      <c r="Z61"/>
      <c r="AA61"/>
    </row>
    <row r="62" spans="1:27" x14ac:dyDescent="0.5">
      <c r="A62"/>
      <c r="B62" s="13"/>
      <c r="C62" s="433" t="s">
        <v>288</v>
      </c>
      <c r="D62" s="434">
        <v>30</v>
      </c>
      <c r="E62" s="435">
        <v>17</v>
      </c>
      <c r="F62" s="40">
        <v>425</v>
      </c>
      <c r="G62" s="436">
        <v>0.3</v>
      </c>
      <c r="H62" s="437">
        <f>I62/1.3</f>
        <v>0.49875472834465528</v>
      </c>
      <c r="I62" s="438">
        <f t="shared" si="5"/>
        <v>0.64838114684805193</v>
      </c>
      <c r="J62" s="439">
        <f t="shared" si="6"/>
        <v>211.97075954647852</v>
      </c>
      <c r="K62" s="440">
        <f>I62*F62</f>
        <v>275.56198741042209</v>
      </c>
      <c r="L62" s="40">
        <f t="shared" si="7"/>
        <v>100</v>
      </c>
      <c r="M62" s="441">
        <f t="shared" si="8"/>
        <v>39.900378267572428</v>
      </c>
      <c r="N62" s="442">
        <f>L62*$I62*0.8</f>
        <v>51.870491747844156</v>
      </c>
      <c r="O62" s="434">
        <f>F63</f>
        <v>325</v>
      </c>
      <c r="P62" s="441">
        <f t="shared" si="9"/>
        <v>172.0703812789061</v>
      </c>
      <c r="Q62" s="443">
        <f t="shared" si="10"/>
        <v>223.69149566257795</v>
      </c>
      <c r="R62" s="15"/>
      <c r="S62"/>
      <c r="T62"/>
      <c r="U62"/>
      <c r="V62"/>
      <c r="W62"/>
      <c r="X62"/>
      <c r="Y62"/>
      <c r="Z62"/>
      <c r="AA62"/>
    </row>
    <row r="63" spans="1:27" x14ac:dyDescent="0.5">
      <c r="A63"/>
      <c r="B63" s="13"/>
      <c r="C63" s="433" t="s">
        <v>289</v>
      </c>
      <c r="D63" s="434">
        <v>35</v>
      </c>
      <c r="E63" s="435">
        <v>19.5</v>
      </c>
      <c r="F63" s="40">
        <v>325</v>
      </c>
      <c r="G63" s="436">
        <v>0.34</v>
      </c>
      <c r="H63" s="437">
        <f>I63/1.3</f>
        <v>0.70751970141340981</v>
      </c>
      <c r="I63" s="438">
        <f t="shared" si="5"/>
        <v>0.91977561183743273</v>
      </c>
      <c r="J63" s="439">
        <f t="shared" si="6"/>
        <v>229.94390295935816</v>
      </c>
      <c r="K63" s="440">
        <f>I63*F63</f>
        <v>298.92707384716562</v>
      </c>
      <c r="L63" s="40">
        <f t="shared" si="7"/>
        <v>70</v>
      </c>
      <c r="M63" s="441">
        <f t="shared" si="8"/>
        <v>39.621103279150944</v>
      </c>
      <c r="N63" s="442">
        <f>L63*$I63*0.8</f>
        <v>51.507434262896233</v>
      </c>
      <c r="O63" s="434">
        <f>F64</f>
        <v>255</v>
      </c>
      <c r="P63" s="441">
        <f t="shared" si="9"/>
        <v>190.32279968020723</v>
      </c>
      <c r="Q63" s="443">
        <f t="shared" si="10"/>
        <v>247.41963958426939</v>
      </c>
      <c r="R63" s="15"/>
      <c r="S63"/>
      <c r="T63"/>
      <c r="U63"/>
      <c r="V63"/>
      <c r="W63"/>
      <c r="X63"/>
      <c r="Y63"/>
      <c r="Z63"/>
      <c r="AA63"/>
    </row>
    <row r="64" spans="1:27" x14ac:dyDescent="0.5">
      <c r="A64"/>
      <c r="B64" s="13"/>
      <c r="C64" s="433" t="s">
        <v>290</v>
      </c>
      <c r="D64" s="434">
        <v>40</v>
      </c>
      <c r="E64" s="435">
        <v>21</v>
      </c>
      <c r="F64" s="40">
        <v>255</v>
      </c>
      <c r="G64" s="436">
        <v>0.42</v>
      </c>
      <c r="H64" s="437">
        <f>I64/1.3</f>
        <v>1.1704062908074297</v>
      </c>
      <c r="I64" s="438">
        <f t="shared" si="5"/>
        <v>1.5215281780496588</v>
      </c>
      <c r="J64" s="439">
        <f t="shared" si="6"/>
        <v>298.4536041558946</v>
      </c>
      <c r="K64" s="440">
        <f>I64*F64</f>
        <v>387.98968540266299</v>
      </c>
      <c r="L64" s="40">
        <f t="shared" si="7"/>
        <v>31</v>
      </c>
      <c r="M64" s="441">
        <f t="shared" si="8"/>
        <v>29.026076012024262</v>
      </c>
      <c r="N64" s="442">
        <f>L64*$I64*0.8</f>
        <v>37.733898815631541</v>
      </c>
      <c r="O64" s="434">
        <f>F65</f>
        <v>224</v>
      </c>
      <c r="P64" s="441">
        <f t="shared" si="9"/>
        <v>269.42752814387029</v>
      </c>
      <c r="Q64" s="443">
        <f t="shared" si="10"/>
        <v>350.25578658703142</v>
      </c>
      <c r="R64" s="15"/>
      <c r="S64"/>
      <c r="T64"/>
      <c r="U64"/>
      <c r="V64"/>
      <c r="W64"/>
      <c r="X64"/>
      <c r="Y64"/>
      <c r="Z64"/>
      <c r="AA64"/>
    </row>
    <row r="65" spans="1:27" x14ac:dyDescent="0.5">
      <c r="A65"/>
      <c r="B65" s="13"/>
      <c r="C65" s="433" t="s">
        <v>293</v>
      </c>
      <c r="D65" s="434">
        <v>50</v>
      </c>
      <c r="E65" s="435">
        <v>23</v>
      </c>
      <c r="F65" s="40">
        <v>224</v>
      </c>
      <c r="G65" s="436">
        <v>0.47</v>
      </c>
      <c r="H65" s="437">
        <f>I65/1.3</f>
        <v>1.5780122528427807</v>
      </c>
      <c r="I65" s="438">
        <f t="shared" si="5"/>
        <v>2.0514159286956151</v>
      </c>
      <c r="J65" s="439">
        <f t="shared" si="6"/>
        <v>353.47474463678287</v>
      </c>
      <c r="K65" s="440">
        <f>I65*F65</f>
        <v>459.51716802781777</v>
      </c>
      <c r="L65" s="40">
        <f t="shared" si="7"/>
        <v>24</v>
      </c>
      <c r="M65" s="441">
        <f t="shared" si="8"/>
        <v>30.297835254581393</v>
      </c>
      <c r="N65" s="442">
        <f>L65*$I65*0.8</f>
        <v>39.387185830955815</v>
      </c>
      <c r="O65" s="434">
        <f>F66</f>
        <v>200</v>
      </c>
      <c r="P65" s="441">
        <f t="shared" si="9"/>
        <v>323.17690938220153</v>
      </c>
      <c r="Q65" s="443">
        <f t="shared" si="10"/>
        <v>420.12998219686199</v>
      </c>
      <c r="R65" s="15"/>
      <c r="S65"/>
      <c r="T65"/>
      <c r="U65"/>
      <c r="V65"/>
      <c r="W65"/>
      <c r="X65"/>
      <c r="Y65"/>
      <c r="Z65"/>
      <c r="AA65"/>
    </row>
    <row r="66" spans="1:27" ht="18" customHeight="1" x14ac:dyDescent="0.5">
      <c r="A66"/>
      <c r="B66" s="13"/>
      <c r="C66" s="444" t="s">
        <v>291</v>
      </c>
      <c r="D66" s="445">
        <v>60</v>
      </c>
      <c r="E66" s="446">
        <v>25</v>
      </c>
      <c r="F66" s="43">
        <v>200</v>
      </c>
      <c r="G66" s="447">
        <v>0.51</v>
      </c>
      <c r="H66" s="448">
        <f>I66/1.3</f>
        <v>1.9832653130585587</v>
      </c>
      <c r="I66" s="454">
        <f t="shared" si="5"/>
        <v>2.5782449069761264</v>
      </c>
      <c r="J66" s="449">
        <f t="shared" si="6"/>
        <v>396.65306261171173</v>
      </c>
      <c r="K66" s="450">
        <f>I66*F66</f>
        <v>515.64898139522529</v>
      </c>
      <c r="L66" s="43">
        <f t="shared" si="7"/>
        <v>200</v>
      </c>
      <c r="M66" s="455">
        <f t="shared" si="8"/>
        <v>396.65306261171173</v>
      </c>
      <c r="N66" s="451">
        <f>L66*$I66</f>
        <v>515.64898139522529</v>
      </c>
      <c r="O66" s="445">
        <f>E104</f>
        <v>0</v>
      </c>
      <c r="P66" s="452">
        <f t="shared" si="9"/>
        <v>0</v>
      </c>
      <c r="Q66" s="453">
        <f t="shared" si="10"/>
        <v>0</v>
      </c>
      <c r="R66" s="15"/>
      <c r="S66"/>
      <c r="T66"/>
      <c r="U66"/>
      <c r="V66"/>
      <c r="W66"/>
      <c r="X66"/>
      <c r="Y66"/>
      <c r="Z66"/>
      <c r="AA66"/>
    </row>
    <row r="67" spans="1:27" ht="18" customHeight="1" x14ac:dyDescent="0.5">
      <c r="A67"/>
      <c r="B67" s="13"/>
      <c r="C67" s="28"/>
      <c r="D67" s="330"/>
      <c r="E67" s="331"/>
      <c r="F67" s="331"/>
      <c r="G67" s="14"/>
      <c r="H67" s="14"/>
      <c r="I67" s="14"/>
      <c r="J67" s="14"/>
      <c r="K67" s="14"/>
      <c r="L67" s="14"/>
      <c r="M67" s="14"/>
      <c r="N67" s="14"/>
      <c r="O67" s="14"/>
      <c r="P67" s="14"/>
      <c r="Q67" s="14"/>
      <c r="R67" s="15"/>
      <c r="S67"/>
      <c r="T67"/>
      <c r="U67"/>
      <c r="V67"/>
      <c r="W67"/>
      <c r="X67"/>
      <c r="Y67"/>
      <c r="Z67"/>
      <c r="AA67"/>
    </row>
    <row r="68" spans="1:27" ht="17.25" customHeight="1" x14ac:dyDescent="0.5">
      <c r="A68"/>
      <c r="B68" s="13"/>
      <c r="C68" s="14"/>
      <c r="D68" s="14"/>
      <c r="E68" s="14"/>
      <c r="F68" s="14"/>
      <c r="G68" s="14"/>
      <c r="H68" s="14"/>
      <c r="I68" s="14"/>
      <c r="J68" s="20"/>
      <c r="K68" s="253" t="s">
        <v>298</v>
      </c>
      <c r="L68" s="14"/>
      <c r="M68" s="14"/>
      <c r="N68" s="14"/>
      <c r="O68" s="14"/>
      <c r="P68" s="14"/>
      <c r="Q68" s="14"/>
      <c r="R68" s="15"/>
      <c r="S68"/>
      <c r="T68"/>
      <c r="U68"/>
      <c r="V68"/>
      <c r="W68"/>
      <c r="X68"/>
      <c r="Y68"/>
      <c r="Z68"/>
      <c r="AA68"/>
    </row>
    <row r="69" spans="1:27" x14ac:dyDescent="0.5">
      <c r="A69"/>
      <c r="B69" s="13"/>
      <c r="C69" s="14"/>
      <c r="D69" s="14"/>
      <c r="E69" s="14"/>
      <c r="F69" s="14"/>
      <c r="G69" s="14"/>
      <c r="H69" s="14"/>
      <c r="I69" s="14"/>
      <c r="J69" s="20" t="s">
        <v>294</v>
      </c>
      <c r="K69" s="20">
        <v>0.39600000000000002</v>
      </c>
      <c r="L69" s="456">
        <f>J59</f>
        <v>104.5542294737272</v>
      </c>
      <c r="M69" s="14"/>
      <c r="N69" s="14"/>
      <c r="O69" s="14"/>
      <c r="P69" s="14"/>
      <c r="Q69" s="14"/>
      <c r="R69" s="15"/>
      <c r="S69"/>
      <c r="T69"/>
      <c r="U69"/>
      <c r="V69"/>
      <c r="W69"/>
      <c r="X69"/>
      <c r="Y69"/>
      <c r="Z69"/>
      <c r="AA69"/>
    </row>
    <row r="70" spans="1:27" x14ac:dyDescent="0.5">
      <c r="A70"/>
      <c r="B70" s="13"/>
      <c r="C70" s="14"/>
      <c r="D70" s="14"/>
      <c r="E70" s="14"/>
      <c r="F70" s="14"/>
      <c r="G70" s="14"/>
      <c r="H70" s="14"/>
      <c r="I70" s="14"/>
      <c r="J70" s="20" t="s">
        <v>295</v>
      </c>
      <c r="K70" s="20">
        <v>1.756</v>
      </c>
      <c r="L70" s="456">
        <f>P59</f>
        <v>77.788346728453035</v>
      </c>
      <c r="M70" s="14"/>
      <c r="N70" s="14"/>
      <c r="O70" s="14"/>
      <c r="P70" s="14"/>
      <c r="Q70" s="14"/>
      <c r="R70" s="15"/>
      <c r="S70"/>
      <c r="T70"/>
      <c r="U70"/>
      <c r="V70"/>
      <c r="W70"/>
      <c r="X70"/>
      <c r="Y70"/>
      <c r="Z70"/>
      <c r="AA70"/>
    </row>
    <row r="71" spans="1:27" x14ac:dyDescent="0.5">
      <c r="A71"/>
      <c r="B71" s="13"/>
      <c r="C71"/>
      <c r="D71"/>
      <c r="E71"/>
      <c r="F71"/>
      <c r="G71" s="14"/>
      <c r="H71" s="14"/>
      <c r="I71" s="14"/>
      <c r="J71" s="20" t="s">
        <v>296</v>
      </c>
      <c r="K71" s="20">
        <v>-2E-3</v>
      </c>
      <c r="L71" s="456">
        <f>J60</f>
        <v>152.20704077372307</v>
      </c>
      <c r="M71" s="14"/>
      <c r="N71" s="14"/>
      <c r="O71" s="14"/>
      <c r="P71" s="14"/>
      <c r="Q71" s="14"/>
      <c r="R71" s="15"/>
      <c r="S71"/>
      <c r="T71"/>
      <c r="U71"/>
      <c r="V71"/>
      <c r="W71"/>
      <c r="X71"/>
      <c r="Y71"/>
      <c r="Z71"/>
      <c r="AA71"/>
    </row>
    <row r="72" spans="1:27" x14ac:dyDescent="0.5">
      <c r="A72"/>
      <c r="B72" s="13"/>
      <c r="C72"/>
      <c r="D72"/>
      <c r="E72"/>
      <c r="F72"/>
      <c r="G72" s="14"/>
      <c r="H72" s="14"/>
      <c r="I72" s="14"/>
      <c r="J72" s="20" t="s">
        <v>297</v>
      </c>
      <c r="K72" s="20">
        <v>0.48899999999999999</v>
      </c>
      <c r="L72" s="456">
        <f>P60</f>
        <v>112.09600885217722</v>
      </c>
      <c r="M72" s="14"/>
      <c r="N72" s="14"/>
      <c r="O72" s="14"/>
      <c r="P72" s="14"/>
      <c r="Q72" s="14"/>
      <c r="R72" s="15"/>
      <c r="S72"/>
      <c r="T72"/>
      <c r="U72"/>
      <c r="V72"/>
      <c r="W72"/>
      <c r="X72"/>
      <c r="Y72"/>
      <c r="Z72"/>
      <c r="AA72"/>
    </row>
    <row r="73" spans="1:27" x14ac:dyDescent="0.5">
      <c r="A73"/>
      <c r="B73" s="13"/>
      <c r="C73"/>
      <c r="D73"/>
      <c r="E73"/>
      <c r="F73"/>
      <c r="G73" s="14"/>
      <c r="H73" s="14"/>
      <c r="I73" s="14"/>
      <c r="J73" s="14"/>
      <c r="K73" s="14"/>
      <c r="L73" s="456">
        <f>J61</f>
        <v>197.95051586855931</v>
      </c>
      <c r="M73" s="14"/>
      <c r="N73" s="14"/>
      <c r="O73" s="14"/>
      <c r="P73" s="14"/>
      <c r="Q73" s="14"/>
      <c r="R73" s="15"/>
      <c r="S73"/>
      <c r="T73"/>
      <c r="U73"/>
      <c r="V73"/>
      <c r="W73"/>
      <c r="X73"/>
      <c r="Y73"/>
      <c r="Z73"/>
      <c r="AA73"/>
    </row>
    <row r="74" spans="1:27" x14ac:dyDescent="0.5">
      <c r="A74"/>
      <c r="B74" s="13"/>
      <c r="C74"/>
      <c r="D74"/>
      <c r="E74"/>
      <c r="F74"/>
      <c r="G74" s="14"/>
      <c r="H74" s="14"/>
      <c r="I74" s="14"/>
      <c r="J74" s="14"/>
      <c r="K74" s="14"/>
      <c r="L74" s="456">
        <f>P61</f>
        <v>157.66584948127354</v>
      </c>
      <c r="M74" s="14"/>
      <c r="N74" s="14"/>
      <c r="O74" s="14"/>
      <c r="P74" s="14"/>
      <c r="Q74" s="14"/>
      <c r="R74" s="15"/>
      <c r="S74"/>
      <c r="T74"/>
      <c r="U74"/>
      <c r="V74"/>
      <c r="W74"/>
      <c r="X74"/>
      <c r="Y74"/>
      <c r="Z74"/>
      <c r="AA74"/>
    </row>
    <row r="75" spans="1:27" x14ac:dyDescent="0.5">
      <c r="A75"/>
      <c r="B75" s="13"/>
      <c r="C75"/>
      <c r="D75"/>
      <c r="E75"/>
      <c r="F75"/>
      <c r="G75" s="14"/>
      <c r="H75" s="14"/>
      <c r="I75" s="14"/>
      <c r="J75" s="14"/>
      <c r="K75" s="14"/>
      <c r="L75" s="456">
        <f>J62</f>
        <v>211.97075954647852</v>
      </c>
      <c r="M75" s="14"/>
      <c r="N75" s="14"/>
      <c r="O75" s="14"/>
      <c r="P75" s="14"/>
      <c r="Q75" s="14"/>
      <c r="R75" s="15"/>
      <c r="S75"/>
      <c r="T75"/>
      <c r="U75"/>
      <c r="V75"/>
      <c r="W75"/>
      <c r="X75"/>
      <c r="Y75"/>
      <c r="Z75"/>
      <c r="AA75"/>
    </row>
    <row r="76" spans="1:27" x14ac:dyDescent="0.5">
      <c r="A76"/>
      <c r="B76" s="13"/>
      <c r="C76"/>
      <c r="D76"/>
      <c r="E76"/>
      <c r="F76"/>
      <c r="G76" s="14"/>
      <c r="H76" s="14"/>
      <c r="I76" s="14"/>
      <c r="J76" s="14"/>
      <c r="K76" s="14"/>
      <c r="L76" s="456">
        <f>P62</f>
        <v>172.0703812789061</v>
      </c>
      <c r="M76" s="14"/>
      <c r="N76" s="14"/>
      <c r="O76" s="14"/>
      <c r="P76" s="14"/>
      <c r="Q76" s="14"/>
      <c r="R76" s="15"/>
      <c r="S76"/>
      <c r="T76"/>
      <c r="U76"/>
      <c r="V76"/>
      <c r="W76"/>
      <c r="X76"/>
      <c r="Y76"/>
      <c r="Z76"/>
      <c r="AA76"/>
    </row>
    <row r="77" spans="1:27" x14ac:dyDescent="0.5">
      <c r="A77"/>
      <c r="B77" s="13"/>
      <c r="C77"/>
      <c r="D77"/>
      <c r="E77"/>
      <c r="F77"/>
      <c r="G77" s="14"/>
      <c r="H77" s="14"/>
      <c r="I77" s="14"/>
      <c r="J77" s="14"/>
      <c r="K77" s="14"/>
      <c r="L77" s="456">
        <f>J63</f>
        <v>229.94390295935816</v>
      </c>
      <c r="M77" s="14"/>
      <c r="N77" s="14"/>
      <c r="O77" s="14"/>
      <c r="P77" s="14"/>
      <c r="Q77" s="14"/>
      <c r="R77" s="15"/>
      <c r="S77"/>
      <c r="T77"/>
      <c r="U77"/>
      <c r="V77"/>
      <c r="W77"/>
      <c r="X77"/>
      <c r="Y77"/>
      <c r="Z77"/>
      <c r="AA77"/>
    </row>
    <row r="78" spans="1:27" x14ac:dyDescent="0.5">
      <c r="A78"/>
      <c r="B78" s="13"/>
      <c r="C78"/>
      <c r="D78"/>
      <c r="E78"/>
      <c r="F78"/>
      <c r="G78" s="14"/>
      <c r="H78" s="14"/>
      <c r="I78" s="14"/>
      <c r="J78" s="14"/>
      <c r="K78" s="14"/>
      <c r="L78" s="456">
        <f>P63</f>
        <v>190.32279968020723</v>
      </c>
      <c r="M78" s="14"/>
      <c r="N78" s="14"/>
      <c r="O78" s="14"/>
      <c r="P78" s="14"/>
      <c r="Q78" s="14"/>
      <c r="R78" s="15"/>
      <c r="S78"/>
      <c r="T78"/>
      <c r="U78"/>
      <c r="V78"/>
      <c r="W78"/>
      <c r="X78"/>
      <c r="Y78"/>
      <c r="Z78"/>
      <c r="AA78"/>
    </row>
    <row r="79" spans="1:27" x14ac:dyDescent="0.5">
      <c r="A79"/>
      <c r="B79" s="13"/>
      <c r="C79"/>
      <c r="D79"/>
      <c r="E79"/>
      <c r="F79"/>
      <c r="G79" s="14"/>
      <c r="H79" s="14"/>
      <c r="I79" s="14"/>
      <c r="J79" s="14"/>
      <c r="K79" s="14"/>
      <c r="L79" s="456">
        <f>J64</f>
        <v>298.4536041558946</v>
      </c>
      <c r="M79" s="14"/>
      <c r="N79" s="14"/>
      <c r="O79" s="14"/>
      <c r="P79" s="14"/>
      <c r="Q79" s="14"/>
      <c r="R79" s="15"/>
      <c r="S79"/>
      <c r="T79"/>
      <c r="U79"/>
      <c r="V79"/>
      <c r="W79"/>
      <c r="X79"/>
      <c r="Y79"/>
      <c r="Z79"/>
      <c r="AA79"/>
    </row>
    <row r="80" spans="1:27" x14ac:dyDescent="0.5">
      <c r="A80"/>
      <c r="B80" s="13"/>
      <c r="C80" s="14"/>
      <c r="D80" s="14"/>
      <c r="E80" s="14"/>
      <c r="F80" s="14"/>
      <c r="G80" s="14"/>
      <c r="H80" s="14"/>
      <c r="I80" s="14"/>
      <c r="J80" s="14"/>
      <c r="K80" s="14"/>
      <c r="L80" s="456">
        <f>P64</f>
        <v>269.42752814387029</v>
      </c>
      <c r="M80" s="14"/>
      <c r="N80" s="14"/>
      <c r="O80" s="14"/>
      <c r="P80" s="14"/>
      <c r="Q80" s="14"/>
      <c r="R80" s="15"/>
      <c r="S80"/>
      <c r="T80"/>
      <c r="U80"/>
      <c r="V80"/>
      <c r="W80"/>
      <c r="X80"/>
      <c r="Y80"/>
      <c r="Z80"/>
      <c r="AA80"/>
    </row>
    <row r="81" spans="1:27" x14ac:dyDescent="0.5">
      <c r="A81"/>
      <c r="B81" s="13"/>
      <c r="C81" s="14"/>
      <c r="D81" s="14"/>
      <c r="E81" s="14"/>
      <c r="F81" s="14"/>
      <c r="G81" s="14"/>
      <c r="H81" s="14"/>
      <c r="I81" s="14"/>
      <c r="J81" s="14"/>
      <c r="K81" s="14"/>
      <c r="L81" s="456">
        <f>J65</f>
        <v>353.47474463678287</v>
      </c>
      <c r="M81" s="14"/>
      <c r="N81" s="14"/>
      <c r="O81" s="14"/>
      <c r="P81" s="14"/>
      <c r="Q81" s="14"/>
      <c r="R81" s="15"/>
      <c r="S81"/>
      <c r="T81"/>
      <c r="U81"/>
      <c r="V81"/>
      <c r="W81"/>
      <c r="X81"/>
      <c r="Y81"/>
      <c r="Z81"/>
      <c r="AA81"/>
    </row>
    <row r="82" spans="1:27" ht="30" customHeight="1" x14ac:dyDescent="0.5">
      <c r="A82"/>
      <c r="B82" s="13"/>
      <c r="C82"/>
      <c r="D82"/>
      <c r="E82"/>
      <c r="F82"/>
      <c r="G82" s="14"/>
      <c r="H82" s="14"/>
      <c r="I82" s="14"/>
      <c r="J82" s="14"/>
      <c r="K82" s="14"/>
      <c r="L82" s="457">
        <f>P65</f>
        <v>323.17690938220153</v>
      </c>
      <c r="M82" s="14"/>
      <c r="N82" s="14"/>
      <c r="O82" s="14"/>
      <c r="P82" s="14"/>
      <c r="Q82" s="14"/>
      <c r="R82" s="15"/>
      <c r="S82"/>
      <c r="T82"/>
      <c r="U82"/>
      <c r="V82"/>
      <c r="W82"/>
      <c r="X82"/>
      <c r="Y82"/>
      <c r="Z82"/>
      <c r="AA82"/>
    </row>
    <row r="83" spans="1:27" x14ac:dyDescent="0.5">
      <c r="A83"/>
      <c r="B83" s="13"/>
      <c r="C83"/>
      <c r="D83"/>
      <c r="E83"/>
      <c r="F83"/>
      <c r="G83" s="14"/>
      <c r="H83" s="14"/>
      <c r="I83" s="14"/>
      <c r="J83" s="14"/>
      <c r="K83" s="14"/>
      <c r="L83" s="457">
        <f>J66</f>
        <v>396.65306261171173</v>
      </c>
      <c r="M83" s="14"/>
      <c r="N83" s="14"/>
      <c r="O83" s="14"/>
      <c r="P83" s="14"/>
      <c r="Q83" s="14"/>
      <c r="R83" s="15"/>
      <c r="S83"/>
      <c r="T83"/>
      <c r="U83"/>
      <c r="V83"/>
      <c r="W83"/>
      <c r="X83"/>
      <c r="Y83"/>
      <c r="Z83"/>
      <c r="AA83"/>
    </row>
    <row r="84" spans="1:27" x14ac:dyDescent="0.5">
      <c r="A84"/>
      <c r="B84" s="13"/>
      <c r="C84"/>
      <c r="D84"/>
      <c r="E84"/>
      <c r="F84"/>
      <c r="G84" s="14"/>
      <c r="H84" s="14"/>
      <c r="I84" s="14"/>
      <c r="J84" s="14"/>
      <c r="K84" s="14"/>
      <c r="M84" s="14"/>
      <c r="N84" s="14"/>
      <c r="O84" s="14"/>
      <c r="P84" s="14"/>
      <c r="Q84" s="14"/>
      <c r="R84" s="15"/>
      <c r="S84"/>
      <c r="T84"/>
      <c r="U84"/>
      <c r="V84"/>
      <c r="W84"/>
      <c r="X84"/>
      <c r="Y84"/>
      <c r="Z84"/>
      <c r="AA84"/>
    </row>
    <row r="85" spans="1:27" x14ac:dyDescent="0.5">
      <c r="A85"/>
      <c r="B85" s="13"/>
      <c r="C85"/>
      <c r="D85"/>
      <c r="E85"/>
      <c r="F85"/>
      <c r="G85" s="14"/>
      <c r="H85" s="14"/>
      <c r="I85" s="14"/>
      <c r="J85" s="14"/>
      <c r="K85" s="14"/>
      <c r="L85" s="14"/>
      <c r="M85" s="14"/>
      <c r="N85" s="14"/>
      <c r="O85" s="14"/>
      <c r="P85" s="14"/>
      <c r="Q85" s="14"/>
      <c r="R85" s="15"/>
      <c r="S85"/>
      <c r="T85"/>
      <c r="U85"/>
      <c r="V85"/>
      <c r="W85"/>
      <c r="X85"/>
      <c r="Y85"/>
      <c r="Z85"/>
      <c r="AA85"/>
    </row>
    <row r="86" spans="1:27" x14ac:dyDescent="0.5">
      <c r="A86"/>
      <c r="B86" s="13"/>
      <c r="C86"/>
      <c r="D86"/>
      <c r="E86"/>
      <c r="F86"/>
      <c r="G86" s="14"/>
      <c r="H86" s="14"/>
      <c r="I86" s="14"/>
      <c r="J86" s="14"/>
      <c r="K86" s="14"/>
      <c r="L86" s="14"/>
      <c r="M86" s="14"/>
      <c r="N86" s="14"/>
      <c r="O86" s="14"/>
      <c r="P86" s="14"/>
      <c r="Q86" s="14"/>
      <c r="R86" s="15"/>
      <c r="S86"/>
      <c r="T86"/>
      <c r="U86"/>
      <c r="V86"/>
      <c r="W86"/>
      <c r="X86"/>
      <c r="Y86"/>
      <c r="Z86"/>
      <c r="AA86"/>
    </row>
    <row r="87" spans="1:27" x14ac:dyDescent="0.5">
      <c r="A87"/>
      <c r="B87" s="13"/>
      <c r="C87"/>
      <c r="D87"/>
      <c r="E87"/>
      <c r="F87"/>
      <c r="G87" s="14"/>
      <c r="H87" s="14"/>
      <c r="I87" s="14"/>
      <c r="J87" s="14"/>
      <c r="K87" s="14"/>
      <c r="L87" s="14"/>
      <c r="M87" s="14"/>
      <c r="N87" s="14"/>
      <c r="O87" s="14"/>
      <c r="P87" s="14"/>
      <c r="Q87" s="14"/>
      <c r="R87" s="15"/>
      <c r="S87"/>
      <c r="T87"/>
      <c r="U87"/>
      <c r="V87"/>
      <c r="W87"/>
      <c r="X87"/>
      <c r="Y87"/>
      <c r="Z87"/>
      <c r="AA87"/>
    </row>
    <row r="88" spans="1:27" x14ac:dyDescent="0.5">
      <c r="A88"/>
      <c r="B88" s="13"/>
      <c r="C88"/>
      <c r="D88"/>
      <c r="E88"/>
      <c r="F88"/>
      <c r="G88" s="14"/>
      <c r="H88" s="14"/>
      <c r="I88" s="14"/>
      <c r="J88" s="14"/>
      <c r="K88" s="14"/>
      <c r="L88" s="14"/>
      <c r="M88" s="14"/>
      <c r="N88" s="14"/>
      <c r="O88" s="14"/>
      <c r="P88" s="14"/>
      <c r="Q88" s="14"/>
      <c r="R88" s="15"/>
      <c r="S88"/>
      <c r="T88"/>
      <c r="U88"/>
      <c r="V88"/>
      <c r="W88"/>
      <c r="X88"/>
      <c r="Y88"/>
      <c r="Z88"/>
      <c r="AA88"/>
    </row>
    <row r="89" spans="1:27" x14ac:dyDescent="0.5">
      <c r="A89"/>
      <c r="B89" s="13"/>
      <c r="C89" s="28"/>
      <c r="D89" s="14"/>
      <c r="E89" s="14"/>
      <c r="F89" s="14"/>
      <c r="G89" s="14"/>
      <c r="H89" s="14"/>
      <c r="I89" s="14"/>
      <c r="J89" s="14"/>
      <c r="K89" s="14"/>
      <c r="L89" s="14"/>
      <c r="M89" s="14"/>
      <c r="N89" s="14"/>
      <c r="O89" s="14"/>
      <c r="P89" s="14"/>
      <c r="Q89" s="14"/>
      <c r="R89" s="15"/>
      <c r="S89"/>
      <c r="T89"/>
      <c r="U89"/>
      <c r="V89"/>
      <c r="W89"/>
      <c r="X89"/>
      <c r="Y89"/>
      <c r="Z89"/>
      <c r="AA89"/>
    </row>
    <row r="90" spans="1:27" ht="18.600000000000001" thickBot="1" x14ac:dyDescent="0.55000000000000004">
      <c r="A90"/>
      <c r="B90" s="16"/>
      <c r="C90" s="17"/>
      <c r="D90" s="17"/>
      <c r="E90" s="17"/>
      <c r="F90" s="17"/>
      <c r="G90" s="17"/>
      <c r="H90" s="17"/>
      <c r="I90" s="17"/>
      <c r="J90" s="17"/>
      <c r="K90" s="17"/>
      <c r="L90" s="17"/>
      <c r="M90" s="17"/>
      <c r="N90" s="17"/>
      <c r="O90" s="17"/>
      <c r="P90" s="17"/>
      <c r="Q90" s="17"/>
      <c r="R90" s="18"/>
      <c r="S90"/>
      <c r="T90"/>
      <c r="U90"/>
      <c r="V90"/>
      <c r="W90"/>
      <c r="X90"/>
      <c r="Y90"/>
      <c r="Z90"/>
      <c r="AA90"/>
    </row>
    <row r="91" spans="1:27" x14ac:dyDescent="0.5">
      <c r="A91"/>
      <c r="B91"/>
      <c r="C91"/>
      <c r="D91"/>
      <c r="E91"/>
      <c r="F91"/>
      <c r="G91"/>
      <c r="H91"/>
      <c r="I91"/>
      <c r="J91"/>
      <c r="K91"/>
      <c r="L91"/>
      <c r="M91"/>
      <c r="N91"/>
      <c r="O91"/>
      <c r="P91"/>
      <c r="Q91"/>
      <c r="R91"/>
      <c r="S91"/>
      <c r="T91"/>
      <c r="U91"/>
      <c r="V91"/>
      <c r="W91"/>
      <c r="X91"/>
      <c r="Y91"/>
      <c r="Z91"/>
      <c r="AA91"/>
    </row>
    <row r="92" spans="1:27" x14ac:dyDescent="0.5">
      <c r="A92"/>
      <c r="B92"/>
      <c r="C92"/>
      <c r="D92"/>
      <c r="E92"/>
      <c r="F92"/>
      <c r="G92"/>
      <c r="H92"/>
      <c r="I92"/>
      <c r="J92"/>
      <c r="K92"/>
      <c r="L92"/>
      <c r="M92"/>
      <c r="N92"/>
      <c r="O92"/>
      <c r="P92"/>
      <c r="Q92"/>
      <c r="R92"/>
      <c r="S92"/>
      <c r="T92"/>
      <c r="U92"/>
      <c r="V92"/>
      <c r="W92"/>
      <c r="X92"/>
      <c r="Y92"/>
      <c r="Z92"/>
      <c r="AA92"/>
    </row>
    <row r="93" spans="1:27" x14ac:dyDescent="0.5">
      <c r="A93"/>
      <c r="B93"/>
      <c r="C93"/>
      <c r="D93"/>
      <c r="E93"/>
      <c r="F93"/>
      <c r="G93"/>
      <c r="H93"/>
      <c r="I93"/>
      <c r="J93"/>
      <c r="K93"/>
      <c r="L93"/>
      <c r="M93"/>
      <c r="N93"/>
      <c r="O93"/>
      <c r="P93"/>
      <c r="Q93"/>
      <c r="R93"/>
      <c r="S93"/>
      <c r="T93"/>
      <c r="U93"/>
      <c r="V93"/>
      <c r="W93"/>
      <c r="X93"/>
      <c r="Y93"/>
      <c r="Z93"/>
      <c r="AA93"/>
    </row>
    <row r="94" spans="1:27" x14ac:dyDescent="0.5">
      <c r="A94"/>
      <c r="Q94"/>
      <c r="R94"/>
      <c r="S94"/>
      <c r="T94"/>
      <c r="U94"/>
      <c r="V94"/>
      <c r="W94"/>
      <c r="X94"/>
      <c r="Y94"/>
      <c r="Z94"/>
      <c r="AA94"/>
    </row>
    <row r="95" spans="1:27" x14ac:dyDescent="0.5">
      <c r="A95"/>
      <c r="Q95"/>
      <c r="R95"/>
      <c r="S95"/>
      <c r="T95"/>
      <c r="U95"/>
      <c r="V95"/>
      <c r="W95"/>
      <c r="X95"/>
      <c r="Y95"/>
      <c r="Z95"/>
      <c r="AA95"/>
    </row>
    <row r="96" spans="1:27" x14ac:dyDescent="0.5">
      <c r="A96"/>
      <c r="Q96"/>
      <c r="R96"/>
      <c r="S96"/>
      <c r="T96"/>
      <c r="U96"/>
      <c r="V96"/>
      <c r="W96"/>
    </row>
    <row r="97" spans="1:23" x14ac:dyDescent="0.5">
      <c r="A97"/>
      <c r="Q97"/>
      <c r="R97"/>
      <c r="S97"/>
      <c r="T97"/>
      <c r="U97"/>
      <c r="V97"/>
      <c r="W97"/>
    </row>
    <row r="98" spans="1:23" x14ac:dyDescent="0.5">
      <c r="A98"/>
      <c r="Q98"/>
      <c r="R98"/>
      <c r="S98"/>
      <c r="T98"/>
      <c r="U98"/>
      <c r="V98"/>
      <c r="W98"/>
    </row>
    <row r="99" spans="1:23" x14ac:dyDescent="0.5">
      <c r="A99"/>
      <c r="Q99"/>
      <c r="R99"/>
      <c r="S99"/>
      <c r="T99"/>
      <c r="U99"/>
      <c r="V99"/>
      <c r="W99"/>
    </row>
    <row r="100" spans="1:23" x14ac:dyDescent="0.5">
      <c r="A100"/>
      <c r="Q100"/>
      <c r="R100"/>
      <c r="S100"/>
      <c r="T100"/>
      <c r="U100"/>
      <c r="V100"/>
      <c r="W100"/>
    </row>
    <row r="101" spans="1:23" ht="30" customHeight="1" x14ac:dyDescent="0.5">
      <c r="A101"/>
      <c r="Q101"/>
      <c r="R101"/>
      <c r="S101"/>
      <c r="T101"/>
      <c r="U101"/>
      <c r="V101"/>
      <c r="W101"/>
    </row>
    <row r="102" spans="1:23" x14ac:dyDescent="0.5">
      <c r="A102"/>
      <c r="Q102"/>
      <c r="R102"/>
      <c r="S102"/>
      <c r="T102"/>
      <c r="U102"/>
      <c r="V102"/>
      <c r="W102"/>
    </row>
    <row r="103" spans="1:23" ht="22.8" customHeight="1" x14ac:dyDescent="0.5">
      <c r="A103"/>
      <c r="B103"/>
      <c r="C103"/>
      <c r="D103"/>
      <c r="E103"/>
      <c r="F103"/>
      <c r="G103"/>
      <c r="H103"/>
      <c r="I103"/>
      <c r="J103"/>
      <c r="K103"/>
      <c r="L103"/>
      <c r="M103"/>
      <c r="N103"/>
      <c r="O103"/>
      <c r="P103"/>
      <c r="Q103"/>
      <c r="R103"/>
      <c r="S103"/>
      <c r="T103"/>
      <c r="U103"/>
      <c r="V103"/>
      <c r="W103"/>
    </row>
    <row r="104" spans="1:23" x14ac:dyDescent="0.5">
      <c r="A104"/>
      <c r="B104"/>
      <c r="R104"/>
      <c r="S104"/>
      <c r="T104"/>
      <c r="U104"/>
      <c r="V104"/>
      <c r="W104"/>
    </row>
    <row r="105" spans="1:23" x14ac:dyDescent="0.5">
      <c r="A105"/>
      <c r="B105"/>
      <c r="R105"/>
      <c r="S105"/>
      <c r="T105"/>
      <c r="U105"/>
      <c r="V105"/>
      <c r="W105"/>
    </row>
    <row r="106" spans="1:23" x14ac:dyDescent="0.5">
      <c r="A106"/>
      <c r="B106"/>
      <c r="R106"/>
      <c r="S106"/>
      <c r="T106"/>
      <c r="U106"/>
      <c r="V106"/>
      <c r="W106"/>
    </row>
    <row r="107" spans="1:23" x14ac:dyDescent="0.5">
      <c r="A107"/>
      <c r="B107"/>
      <c r="R107"/>
      <c r="S107"/>
      <c r="T107"/>
      <c r="U107"/>
      <c r="V107"/>
      <c r="W107"/>
    </row>
    <row r="108" spans="1:23" x14ac:dyDescent="0.5">
      <c r="A108"/>
      <c r="B108"/>
      <c r="R108"/>
      <c r="S108"/>
      <c r="T108"/>
      <c r="U108"/>
      <c r="V108"/>
      <c r="W108"/>
    </row>
    <row r="109" spans="1:23" x14ac:dyDescent="0.5">
      <c r="A109"/>
      <c r="B109"/>
      <c r="R109"/>
      <c r="S109"/>
      <c r="T109"/>
      <c r="U109"/>
      <c r="V109"/>
      <c r="W109"/>
    </row>
    <row r="110" spans="1:23" x14ac:dyDescent="0.5">
      <c r="A110"/>
      <c r="B110"/>
      <c r="R110"/>
      <c r="S110"/>
      <c r="T110"/>
      <c r="U110"/>
      <c r="V110"/>
      <c r="W110"/>
    </row>
    <row r="111" spans="1:23" x14ac:dyDescent="0.5">
      <c r="A111"/>
      <c r="B111"/>
      <c r="R111"/>
      <c r="S111"/>
      <c r="T111"/>
      <c r="U111"/>
      <c r="V111"/>
      <c r="W111"/>
    </row>
    <row r="112" spans="1:23" x14ac:dyDescent="0.5">
      <c r="A112"/>
      <c r="B112"/>
      <c r="R112"/>
      <c r="S112"/>
      <c r="T112"/>
      <c r="U112"/>
      <c r="V112"/>
      <c r="W112"/>
    </row>
    <row r="113" spans="1:23" x14ac:dyDescent="0.5">
      <c r="A113"/>
      <c r="B113"/>
      <c r="C113"/>
      <c r="D113"/>
      <c r="E113"/>
      <c r="F113"/>
      <c r="G113"/>
      <c r="H113"/>
      <c r="I113"/>
      <c r="J113"/>
      <c r="K113"/>
      <c r="L113"/>
      <c r="M113"/>
      <c r="N113"/>
      <c r="O113"/>
      <c r="P113"/>
      <c r="Q113"/>
      <c r="R113"/>
      <c r="S113"/>
      <c r="T113"/>
      <c r="U113"/>
      <c r="V113"/>
      <c r="W113"/>
    </row>
    <row r="114" spans="1:23" x14ac:dyDescent="0.5">
      <c r="A114"/>
      <c r="B114"/>
      <c r="C114"/>
      <c r="D114"/>
      <c r="E114"/>
      <c r="F114"/>
      <c r="G114"/>
      <c r="H114"/>
      <c r="I114"/>
      <c r="J114"/>
      <c r="K114"/>
      <c r="L114"/>
      <c r="M114"/>
      <c r="N114"/>
      <c r="O114"/>
      <c r="P114"/>
      <c r="Q114"/>
      <c r="R114"/>
      <c r="S114"/>
      <c r="T114"/>
      <c r="U114"/>
      <c r="V114"/>
      <c r="W114"/>
    </row>
    <row r="115" spans="1:23" x14ac:dyDescent="0.5">
      <c r="A115"/>
      <c r="B115"/>
      <c r="C115"/>
      <c r="D115"/>
      <c r="E115"/>
      <c r="F115"/>
      <c r="G115"/>
      <c r="H115"/>
      <c r="I115"/>
      <c r="J115"/>
      <c r="K115"/>
      <c r="L115"/>
      <c r="M115"/>
      <c r="N115"/>
      <c r="O115"/>
      <c r="P115"/>
      <c r="Q115"/>
      <c r="R115"/>
      <c r="S115"/>
      <c r="T115"/>
      <c r="U115"/>
      <c r="V115"/>
      <c r="W115"/>
    </row>
    <row r="116" spans="1:23" x14ac:dyDescent="0.5">
      <c r="A116"/>
      <c r="B116"/>
      <c r="C116"/>
      <c r="D116"/>
      <c r="E116"/>
      <c r="F116"/>
      <c r="G116"/>
      <c r="H116"/>
      <c r="I116"/>
      <c r="J116"/>
      <c r="K116"/>
      <c r="L116"/>
      <c r="M116"/>
      <c r="N116"/>
      <c r="O116"/>
      <c r="P116"/>
      <c r="Q116"/>
      <c r="R116"/>
      <c r="S116"/>
      <c r="T116"/>
      <c r="U116"/>
      <c r="V116"/>
      <c r="W116"/>
    </row>
    <row r="117" spans="1:23" x14ac:dyDescent="0.5">
      <c r="A117"/>
      <c r="B117"/>
      <c r="C117"/>
      <c r="D117"/>
      <c r="E117"/>
      <c r="F117"/>
      <c r="G117"/>
      <c r="H117"/>
      <c r="I117"/>
      <c r="J117"/>
      <c r="K117"/>
      <c r="L117"/>
      <c r="M117"/>
      <c r="N117"/>
      <c r="O117"/>
      <c r="P117"/>
      <c r="Q117"/>
      <c r="R117"/>
      <c r="S117"/>
      <c r="T117"/>
      <c r="U117"/>
      <c r="V117"/>
      <c r="W117"/>
    </row>
    <row r="118" spans="1:23" x14ac:dyDescent="0.5">
      <c r="A118"/>
      <c r="B118"/>
      <c r="C118"/>
      <c r="D118"/>
      <c r="E118"/>
      <c r="F118"/>
      <c r="G118"/>
      <c r="H118"/>
      <c r="I118"/>
      <c r="J118"/>
      <c r="K118"/>
      <c r="L118"/>
      <c r="M118"/>
      <c r="N118"/>
      <c r="O118"/>
      <c r="P118"/>
      <c r="Q118"/>
      <c r="R118"/>
      <c r="S118"/>
      <c r="T118"/>
      <c r="U118"/>
      <c r="V118"/>
      <c r="W118"/>
    </row>
    <row r="119" spans="1:23" x14ac:dyDescent="0.5">
      <c r="A119"/>
      <c r="B119"/>
      <c r="C119"/>
      <c r="D119"/>
      <c r="E119"/>
      <c r="F119"/>
      <c r="G119"/>
      <c r="H119"/>
      <c r="I119"/>
      <c r="J119"/>
      <c r="K119"/>
      <c r="L119"/>
      <c r="M119"/>
      <c r="N119"/>
      <c r="O119"/>
      <c r="P119"/>
      <c r="Q119"/>
      <c r="R119"/>
      <c r="S119"/>
      <c r="T119"/>
      <c r="U119"/>
      <c r="V119"/>
      <c r="W119"/>
    </row>
    <row r="120" spans="1:23" x14ac:dyDescent="0.5">
      <c r="A120"/>
      <c r="B120"/>
      <c r="C120"/>
      <c r="D120"/>
      <c r="E120"/>
      <c r="F120"/>
      <c r="G120"/>
      <c r="H120"/>
      <c r="I120"/>
      <c r="J120"/>
      <c r="K120"/>
      <c r="L120"/>
      <c r="M120"/>
      <c r="N120"/>
      <c r="O120"/>
      <c r="P120"/>
      <c r="Q120"/>
      <c r="R120"/>
      <c r="S120"/>
      <c r="T120"/>
      <c r="U120"/>
      <c r="V120"/>
      <c r="W120"/>
    </row>
    <row r="121" spans="1:23" x14ac:dyDescent="0.5">
      <c r="A121"/>
      <c r="B121"/>
      <c r="C121"/>
      <c r="D121"/>
      <c r="E121"/>
      <c r="F121"/>
      <c r="G121"/>
      <c r="H121"/>
      <c r="I121"/>
      <c r="J121"/>
      <c r="K121"/>
      <c r="L121"/>
      <c r="M121"/>
      <c r="N121"/>
      <c r="O121"/>
      <c r="P121"/>
      <c r="Q121"/>
      <c r="R121"/>
      <c r="S121"/>
      <c r="T121"/>
      <c r="U121"/>
      <c r="V121"/>
      <c r="W121"/>
    </row>
    <row r="122" spans="1:23" x14ac:dyDescent="0.5">
      <c r="A122"/>
      <c r="B122"/>
      <c r="C122"/>
      <c r="D122"/>
      <c r="E122"/>
      <c r="F122"/>
      <c r="G122"/>
      <c r="H122"/>
      <c r="I122"/>
      <c r="J122"/>
      <c r="K122"/>
      <c r="L122"/>
      <c r="M122"/>
      <c r="N122"/>
      <c r="O122"/>
      <c r="P122"/>
      <c r="Q122"/>
      <c r="R122"/>
      <c r="S122"/>
      <c r="T122"/>
      <c r="U122"/>
      <c r="V122"/>
      <c r="W122"/>
    </row>
    <row r="123" spans="1:23" x14ac:dyDescent="0.5">
      <c r="A123"/>
      <c r="B123"/>
      <c r="C123"/>
      <c r="D123"/>
      <c r="E123"/>
      <c r="F123"/>
      <c r="G123"/>
      <c r="H123"/>
      <c r="I123"/>
      <c r="J123"/>
      <c r="K123"/>
      <c r="L123"/>
      <c r="M123"/>
      <c r="N123"/>
      <c r="O123"/>
      <c r="P123"/>
      <c r="Q123"/>
      <c r="R123"/>
      <c r="S123"/>
      <c r="T123"/>
      <c r="U123"/>
      <c r="V123"/>
      <c r="W123"/>
    </row>
    <row r="124" spans="1:23" x14ac:dyDescent="0.5">
      <c r="A124"/>
      <c r="B124"/>
      <c r="C124"/>
      <c r="D124"/>
      <c r="E124"/>
      <c r="F124"/>
      <c r="G124"/>
      <c r="H124"/>
      <c r="I124"/>
      <c r="J124"/>
      <c r="K124"/>
      <c r="L124"/>
      <c r="M124"/>
      <c r="N124"/>
      <c r="O124"/>
      <c r="P124"/>
      <c r="Q124"/>
      <c r="R124"/>
      <c r="S124"/>
      <c r="T124"/>
      <c r="U124"/>
      <c r="V124"/>
      <c r="W124"/>
    </row>
    <row r="125" spans="1:23" x14ac:dyDescent="0.5">
      <c r="A125"/>
      <c r="B125"/>
      <c r="C125"/>
      <c r="D125"/>
      <c r="E125"/>
      <c r="F125"/>
      <c r="G125"/>
      <c r="H125"/>
      <c r="I125"/>
      <c r="J125"/>
      <c r="K125"/>
      <c r="L125"/>
      <c r="M125"/>
      <c r="N125"/>
      <c r="O125"/>
      <c r="P125"/>
      <c r="Q125"/>
      <c r="R125"/>
      <c r="S125"/>
      <c r="T125"/>
      <c r="U125"/>
      <c r="V125"/>
      <c r="W125"/>
    </row>
    <row r="126" spans="1:23" x14ac:dyDescent="0.5">
      <c r="A126"/>
      <c r="B126"/>
      <c r="C126"/>
      <c r="D126"/>
      <c r="E126"/>
      <c r="F126"/>
      <c r="G126"/>
      <c r="H126"/>
      <c r="I126"/>
      <c r="J126"/>
      <c r="K126"/>
      <c r="L126"/>
      <c r="M126"/>
      <c r="N126"/>
      <c r="O126"/>
      <c r="P126"/>
      <c r="Q126"/>
      <c r="R126"/>
      <c r="S126"/>
      <c r="T126"/>
      <c r="U126"/>
      <c r="V126"/>
      <c r="W126"/>
    </row>
    <row r="127" spans="1:23" x14ac:dyDescent="0.5">
      <c r="A127"/>
      <c r="B127"/>
      <c r="C127"/>
      <c r="D127"/>
      <c r="E127"/>
      <c r="F127"/>
      <c r="G127"/>
      <c r="H127"/>
      <c r="I127"/>
      <c r="J127"/>
      <c r="K127"/>
      <c r="L127"/>
      <c r="M127"/>
      <c r="N127"/>
      <c r="O127"/>
      <c r="P127"/>
      <c r="Q127"/>
      <c r="R127"/>
      <c r="S127"/>
      <c r="T127"/>
      <c r="U127"/>
      <c r="V127"/>
      <c r="W127"/>
    </row>
    <row r="128" spans="1:23" x14ac:dyDescent="0.5">
      <c r="A128"/>
      <c r="B128"/>
      <c r="C128"/>
      <c r="D128"/>
      <c r="E128"/>
      <c r="F128"/>
      <c r="G128"/>
      <c r="H128"/>
      <c r="I128"/>
      <c r="J128"/>
      <c r="K128"/>
      <c r="L128"/>
      <c r="M128"/>
      <c r="N128"/>
      <c r="O128"/>
      <c r="P128"/>
      <c r="Q128"/>
      <c r="R128"/>
      <c r="S128"/>
      <c r="T128"/>
      <c r="U128"/>
      <c r="V128"/>
      <c r="W128"/>
    </row>
    <row r="129" spans="1:23" x14ac:dyDescent="0.5">
      <c r="A129"/>
      <c r="B129"/>
      <c r="C129"/>
      <c r="D129"/>
      <c r="E129"/>
      <c r="F129"/>
      <c r="G129"/>
      <c r="H129"/>
      <c r="I129"/>
      <c r="J129"/>
      <c r="K129"/>
      <c r="L129"/>
      <c r="M129"/>
      <c r="N129"/>
      <c r="O129"/>
      <c r="P129"/>
      <c r="Q129"/>
      <c r="R129"/>
      <c r="S129"/>
      <c r="T129"/>
      <c r="U129"/>
      <c r="V129"/>
      <c r="W129"/>
    </row>
    <row r="130" spans="1:23" x14ac:dyDescent="0.5">
      <c r="A130"/>
      <c r="B130"/>
      <c r="C130"/>
      <c r="D130"/>
      <c r="E130"/>
      <c r="F130"/>
      <c r="G130"/>
      <c r="H130"/>
      <c r="I130"/>
      <c r="J130"/>
      <c r="K130"/>
      <c r="L130"/>
      <c r="M130"/>
      <c r="N130"/>
      <c r="O130"/>
      <c r="P130"/>
      <c r="Q130"/>
      <c r="R130"/>
      <c r="S130"/>
      <c r="T130"/>
      <c r="U130"/>
      <c r="V130"/>
      <c r="W130"/>
    </row>
    <row r="131" spans="1:23" x14ac:dyDescent="0.5">
      <c r="A131"/>
      <c r="B131"/>
      <c r="C131"/>
      <c r="D131"/>
      <c r="E131"/>
      <c r="F131"/>
      <c r="G131"/>
      <c r="H131"/>
      <c r="I131"/>
      <c r="J131"/>
      <c r="K131"/>
      <c r="L131"/>
      <c r="M131"/>
      <c r="N131"/>
      <c r="O131"/>
      <c r="P131"/>
      <c r="Q131"/>
      <c r="R131"/>
      <c r="S131"/>
      <c r="T131"/>
      <c r="U131"/>
      <c r="V131"/>
      <c r="W131"/>
    </row>
    <row r="132" spans="1:23" x14ac:dyDescent="0.5">
      <c r="A132"/>
      <c r="B132"/>
      <c r="C132"/>
      <c r="D132"/>
      <c r="E132"/>
      <c r="F132"/>
      <c r="G132"/>
      <c r="H132"/>
      <c r="I132"/>
      <c r="J132"/>
      <c r="K132"/>
      <c r="L132"/>
      <c r="M132"/>
      <c r="N132"/>
      <c r="O132"/>
      <c r="P132"/>
      <c r="Q132"/>
      <c r="R132"/>
      <c r="S132"/>
      <c r="T132"/>
      <c r="U132"/>
      <c r="V132"/>
      <c r="W132"/>
    </row>
    <row r="133" spans="1:23" x14ac:dyDescent="0.5">
      <c r="A133"/>
      <c r="B133"/>
      <c r="C133"/>
      <c r="D133"/>
      <c r="E133"/>
      <c r="F133"/>
      <c r="G133"/>
      <c r="H133"/>
      <c r="I133"/>
      <c r="J133"/>
      <c r="K133"/>
      <c r="L133"/>
      <c r="M133"/>
      <c r="N133"/>
      <c r="O133"/>
      <c r="P133"/>
      <c r="Q133"/>
      <c r="R133"/>
      <c r="S133"/>
      <c r="T133"/>
      <c r="U133"/>
      <c r="V133"/>
      <c r="W133"/>
    </row>
    <row r="134" spans="1:23" x14ac:dyDescent="0.5">
      <c r="A134"/>
      <c r="B134"/>
      <c r="C134"/>
      <c r="D134"/>
      <c r="E134"/>
      <c r="F134"/>
      <c r="G134"/>
      <c r="H134"/>
      <c r="I134"/>
      <c r="J134"/>
      <c r="K134"/>
      <c r="L134"/>
      <c r="M134"/>
      <c r="N134"/>
      <c r="O134"/>
      <c r="P134"/>
      <c r="Q134"/>
      <c r="R134"/>
      <c r="S134"/>
      <c r="T134"/>
      <c r="U134"/>
      <c r="V134"/>
      <c r="W134"/>
    </row>
    <row r="135" spans="1:23" x14ac:dyDescent="0.5">
      <c r="A135"/>
      <c r="B135"/>
      <c r="C135"/>
      <c r="D135"/>
      <c r="E135"/>
      <c r="F135"/>
      <c r="G135"/>
      <c r="H135"/>
      <c r="I135"/>
      <c r="J135"/>
      <c r="K135"/>
      <c r="L135"/>
      <c r="M135"/>
      <c r="N135"/>
      <c r="O135"/>
      <c r="P135"/>
      <c r="Q135"/>
      <c r="R135"/>
      <c r="S135"/>
      <c r="T135"/>
      <c r="U135"/>
      <c r="V135"/>
      <c r="W135"/>
    </row>
    <row r="136" spans="1:23" x14ac:dyDescent="0.5">
      <c r="A136"/>
      <c r="B136"/>
      <c r="C136"/>
      <c r="D136"/>
      <c r="E136"/>
      <c r="F136"/>
      <c r="G136"/>
      <c r="H136"/>
      <c r="I136"/>
      <c r="J136"/>
      <c r="K136"/>
      <c r="L136"/>
      <c r="M136"/>
      <c r="N136"/>
      <c r="O136"/>
      <c r="P136"/>
      <c r="Q136"/>
      <c r="R136"/>
      <c r="S136"/>
      <c r="T136"/>
      <c r="U136"/>
      <c r="V136"/>
      <c r="W136"/>
    </row>
    <row r="137" spans="1:23" x14ac:dyDescent="0.5">
      <c r="A137"/>
      <c r="B137"/>
      <c r="C137"/>
      <c r="D137"/>
      <c r="E137"/>
      <c r="F137"/>
      <c r="G137"/>
      <c r="H137"/>
      <c r="I137"/>
      <c r="J137"/>
      <c r="K137"/>
      <c r="L137"/>
      <c r="M137"/>
      <c r="N137"/>
      <c r="O137"/>
      <c r="P137"/>
      <c r="Q137"/>
      <c r="R137"/>
      <c r="S137"/>
      <c r="T137"/>
      <c r="U137"/>
      <c r="V137"/>
      <c r="W137"/>
    </row>
    <row r="138" spans="1:23" x14ac:dyDescent="0.5">
      <c r="A138"/>
      <c r="B138"/>
      <c r="C138"/>
      <c r="D138"/>
      <c r="E138"/>
      <c r="F138"/>
      <c r="G138"/>
      <c r="H138"/>
      <c r="I138"/>
      <c r="J138"/>
      <c r="K138"/>
      <c r="L138"/>
      <c r="M138"/>
      <c r="N138"/>
      <c r="O138"/>
      <c r="P138"/>
      <c r="Q138"/>
      <c r="R138"/>
      <c r="S138"/>
      <c r="T138"/>
      <c r="U138"/>
      <c r="V138"/>
      <c r="W138"/>
    </row>
    <row r="139" spans="1:23" x14ac:dyDescent="0.5">
      <c r="A139"/>
      <c r="B139"/>
      <c r="C139"/>
      <c r="D139"/>
      <c r="E139"/>
      <c r="F139"/>
      <c r="G139"/>
      <c r="H139"/>
      <c r="I139"/>
      <c r="J139"/>
      <c r="K139"/>
      <c r="L139"/>
      <c r="M139"/>
      <c r="N139"/>
      <c r="O139"/>
      <c r="P139"/>
      <c r="Q139"/>
      <c r="R139"/>
      <c r="S139"/>
      <c r="T139"/>
      <c r="U139"/>
      <c r="V139"/>
      <c r="W139"/>
    </row>
    <row r="140" spans="1:23" x14ac:dyDescent="0.5">
      <c r="A140"/>
      <c r="B140"/>
      <c r="C140"/>
      <c r="D140"/>
      <c r="E140"/>
      <c r="F140"/>
      <c r="G140"/>
      <c r="H140"/>
      <c r="I140"/>
      <c r="J140"/>
      <c r="K140"/>
      <c r="L140"/>
      <c r="M140"/>
      <c r="N140"/>
      <c r="O140"/>
      <c r="P140"/>
      <c r="Q140"/>
      <c r="R140"/>
      <c r="S140"/>
      <c r="T140"/>
      <c r="U140"/>
      <c r="V140"/>
      <c r="W140"/>
    </row>
    <row r="141" spans="1:23" x14ac:dyDescent="0.5">
      <c r="A141"/>
      <c r="B141"/>
      <c r="C141"/>
      <c r="D141"/>
      <c r="E141"/>
      <c r="F141"/>
      <c r="G141"/>
      <c r="H141"/>
      <c r="I141"/>
      <c r="J141"/>
      <c r="K141"/>
      <c r="L141"/>
      <c r="M141"/>
      <c r="N141"/>
      <c r="O141"/>
      <c r="P141"/>
      <c r="Q141"/>
      <c r="R141"/>
      <c r="S141"/>
      <c r="T141"/>
      <c r="U141"/>
      <c r="V141"/>
      <c r="W141"/>
    </row>
    <row r="142" spans="1:23" x14ac:dyDescent="0.5">
      <c r="A142"/>
      <c r="B142"/>
      <c r="C142"/>
      <c r="D142"/>
      <c r="E142"/>
      <c r="F142"/>
      <c r="G142"/>
      <c r="H142"/>
      <c r="I142"/>
      <c r="J142"/>
      <c r="K142"/>
      <c r="L142"/>
      <c r="M142"/>
      <c r="N142"/>
      <c r="O142"/>
      <c r="P142"/>
      <c r="Q142"/>
      <c r="R142"/>
      <c r="S142"/>
      <c r="T142"/>
      <c r="U142"/>
      <c r="V142"/>
      <c r="W142"/>
    </row>
    <row r="143" spans="1:23" x14ac:dyDescent="0.5">
      <c r="A143"/>
      <c r="B143"/>
      <c r="C143"/>
      <c r="D143"/>
      <c r="E143"/>
      <c r="F143"/>
      <c r="G143"/>
      <c r="H143"/>
      <c r="I143"/>
      <c r="J143"/>
      <c r="K143"/>
      <c r="L143"/>
      <c r="M143"/>
      <c r="N143"/>
      <c r="O143"/>
      <c r="P143"/>
      <c r="Q143"/>
      <c r="R143"/>
      <c r="S143"/>
      <c r="T143"/>
      <c r="U143"/>
      <c r="V143"/>
      <c r="W143"/>
    </row>
    <row r="144" spans="1:23" x14ac:dyDescent="0.5">
      <c r="A144"/>
      <c r="B144"/>
      <c r="C144"/>
      <c r="D144"/>
      <c r="E144"/>
      <c r="F144"/>
      <c r="G144"/>
      <c r="H144"/>
      <c r="I144"/>
      <c r="J144"/>
      <c r="K144"/>
      <c r="L144"/>
      <c r="M144"/>
      <c r="N144"/>
      <c r="O144"/>
      <c r="P144"/>
      <c r="Q144"/>
      <c r="R144"/>
      <c r="S144"/>
      <c r="T144"/>
      <c r="U144"/>
      <c r="V144"/>
      <c r="W144"/>
    </row>
    <row r="145" spans="1:23" x14ac:dyDescent="0.5">
      <c r="A145"/>
      <c r="B145"/>
      <c r="C145"/>
      <c r="D145"/>
      <c r="E145"/>
      <c r="F145"/>
      <c r="G145"/>
      <c r="H145"/>
      <c r="I145"/>
      <c r="J145"/>
      <c r="K145"/>
      <c r="L145"/>
      <c r="M145"/>
      <c r="N145"/>
      <c r="O145"/>
      <c r="P145"/>
      <c r="Q145"/>
      <c r="R145"/>
      <c r="S145"/>
      <c r="T145"/>
      <c r="U145"/>
      <c r="V145"/>
      <c r="W145"/>
    </row>
    <row r="146" spans="1:23" x14ac:dyDescent="0.5">
      <c r="B146"/>
      <c r="C146"/>
      <c r="D146"/>
      <c r="E146"/>
      <c r="F146"/>
      <c r="G146"/>
      <c r="H146"/>
      <c r="I146"/>
      <c r="J146"/>
      <c r="K146"/>
      <c r="L146"/>
      <c r="M146"/>
      <c r="N146"/>
      <c r="O146"/>
      <c r="P146"/>
      <c r="Q146"/>
      <c r="R146"/>
    </row>
    <row r="147" spans="1:23" x14ac:dyDescent="0.5">
      <c r="B147"/>
      <c r="C147"/>
      <c r="D147"/>
      <c r="E147"/>
      <c r="F147"/>
      <c r="G147"/>
      <c r="H147"/>
      <c r="I147"/>
      <c r="J147"/>
      <c r="K147"/>
      <c r="L147"/>
      <c r="M147"/>
      <c r="N147"/>
      <c r="O147"/>
      <c r="P147"/>
      <c r="Q147"/>
      <c r="R147"/>
    </row>
    <row r="148" spans="1:23" x14ac:dyDescent="0.5">
      <c r="B148"/>
      <c r="C148"/>
      <c r="D148"/>
      <c r="E148"/>
      <c r="F148"/>
      <c r="G148"/>
      <c r="H148"/>
      <c r="I148"/>
      <c r="J148"/>
      <c r="K148"/>
      <c r="L148"/>
      <c r="M148"/>
      <c r="N148"/>
      <c r="O148"/>
      <c r="P148"/>
      <c r="Q148"/>
      <c r="R148"/>
    </row>
    <row r="149" spans="1:23" x14ac:dyDescent="0.5">
      <c r="B149"/>
      <c r="C149"/>
      <c r="D149"/>
      <c r="E149"/>
      <c r="F149"/>
      <c r="G149"/>
      <c r="H149"/>
      <c r="I149"/>
      <c r="J149"/>
      <c r="K149"/>
      <c r="L149"/>
      <c r="M149"/>
      <c r="N149"/>
      <c r="O149"/>
      <c r="P149"/>
      <c r="Q149"/>
      <c r="R149"/>
    </row>
    <row r="150" spans="1:23" x14ac:dyDescent="0.5">
      <c r="B150"/>
      <c r="C150"/>
      <c r="D150"/>
      <c r="E150"/>
      <c r="F150"/>
      <c r="G150"/>
      <c r="H150"/>
      <c r="I150"/>
      <c r="J150"/>
      <c r="K150"/>
      <c r="L150"/>
      <c r="M150"/>
      <c r="N150"/>
      <c r="O150"/>
      <c r="P150"/>
      <c r="Q150"/>
      <c r="R150"/>
    </row>
    <row r="151" spans="1:23" x14ac:dyDescent="0.5">
      <c r="B151"/>
      <c r="C151"/>
      <c r="D151"/>
      <c r="E151"/>
      <c r="F151"/>
      <c r="G151"/>
      <c r="H151"/>
      <c r="I151"/>
      <c r="J151"/>
      <c r="K151"/>
      <c r="L151"/>
      <c r="M151"/>
      <c r="N151"/>
      <c r="O151"/>
      <c r="P151"/>
      <c r="Q151"/>
      <c r="R151"/>
    </row>
    <row r="152" spans="1:23" x14ac:dyDescent="0.5">
      <c r="B152"/>
      <c r="C152"/>
      <c r="D152"/>
      <c r="E152"/>
      <c r="F152"/>
      <c r="G152"/>
      <c r="H152"/>
      <c r="I152"/>
      <c r="J152"/>
      <c r="K152"/>
      <c r="L152"/>
      <c r="M152"/>
      <c r="N152"/>
      <c r="O152"/>
      <c r="P152"/>
      <c r="Q152"/>
      <c r="R152"/>
    </row>
    <row r="153" spans="1:23" x14ac:dyDescent="0.5">
      <c r="B153"/>
      <c r="C153"/>
      <c r="D153"/>
      <c r="E153"/>
      <c r="F153"/>
      <c r="G153"/>
      <c r="H153"/>
      <c r="I153"/>
      <c r="J153"/>
      <c r="K153"/>
      <c r="L153"/>
      <c r="M153"/>
      <c r="N153"/>
      <c r="O153"/>
      <c r="P153"/>
      <c r="Q153"/>
      <c r="R153"/>
    </row>
    <row r="154" spans="1:23" x14ac:dyDescent="0.5">
      <c r="B154"/>
      <c r="C154"/>
      <c r="D154"/>
      <c r="E154"/>
      <c r="F154"/>
      <c r="G154"/>
      <c r="H154"/>
      <c r="I154"/>
      <c r="J154"/>
      <c r="K154"/>
      <c r="L154"/>
      <c r="M154"/>
      <c r="N154"/>
      <c r="O154"/>
      <c r="P154"/>
      <c r="Q154"/>
      <c r="R154"/>
    </row>
    <row r="155" spans="1:23" x14ac:dyDescent="0.5">
      <c r="B155"/>
      <c r="C155"/>
      <c r="D155"/>
      <c r="E155"/>
      <c r="F155"/>
      <c r="G155"/>
      <c r="H155"/>
      <c r="I155"/>
      <c r="J155"/>
      <c r="K155"/>
      <c r="L155"/>
      <c r="M155"/>
      <c r="N155"/>
      <c r="O155"/>
      <c r="P155"/>
      <c r="Q155"/>
      <c r="R155"/>
    </row>
    <row r="156" spans="1:23" x14ac:dyDescent="0.5">
      <c r="B156"/>
      <c r="C156"/>
      <c r="D156"/>
      <c r="E156"/>
      <c r="F156"/>
      <c r="G156"/>
      <c r="H156"/>
      <c r="I156"/>
      <c r="J156"/>
      <c r="K156"/>
      <c r="L156"/>
      <c r="M156"/>
      <c r="N156"/>
      <c r="O156"/>
      <c r="P156"/>
      <c r="Q156"/>
      <c r="R156"/>
    </row>
    <row r="157" spans="1:23" x14ac:dyDescent="0.5">
      <c r="B157"/>
      <c r="C157"/>
      <c r="D157"/>
      <c r="E157"/>
      <c r="F157"/>
      <c r="G157"/>
      <c r="H157"/>
      <c r="I157"/>
      <c r="J157"/>
      <c r="K157"/>
      <c r="L157"/>
      <c r="M157"/>
      <c r="N157"/>
      <c r="O157"/>
      <c r="P157"/>
      <c r="Q157"/>
      <c r="R157"/>
    </row>
    <row r="158" spans="1:23" x14ac:dyDescent="0.5">
      <c r="B158"/>
      <c r="C158"/>
      <c r="D158"/>
      <c r="E158"/>
      <c r="F158"/>
      <c r="G158"/>
      <c r="H158"/>
      <c r="I158"/>
      <c r="J158"/>
      <c r="K158"/>
      <c r="L158"/>
      <c r="M158"/>
      <c r="N158"/>
      <c r="O158"/>
      <c r="P158"/>
      <c r="Q158"/>
      <c r="R158"/>
    </row>
    <row r="159" spans="1:23" x14ac:dyDescent="0.5">
      <c r="B159"/>
      <c r="C159"/>
      <c r="D159"/>
      <c r="E159"/>
      <c r="F159"/>
      <c r="G159"/>
      <c r="H159"/>
      <c r="I159"/>
      <c r="J159"/>
      <c r="K159"/>
      <c r="L159"/>
      <c r="M159"/>
      <c r="N159"/>
      <c r="O159"/>
      <c r="P159"/>
      <c r="Q159"/>
      <c r="R159"/>
    </row>
    <row r="160" spans="1:23" x14ac:dyDescent="0.5">
      <c r="B160"/>
      <c r="C160"/>
      <c r="D160"/>
      <c r="E160"/>
      <c r="F160"/>
      <c r="G160"/>
      <c r="H160"/>
      <c r="I160"/>
      <c r="J160"/>
      <c r="K160"/>
      <c r="L160"/>
      <c r="M160"/>
      <c r="N160"/>
      <c r="O160"/>
      <c r="P160"/>
      <c r="Q160"/>
      <c r="R160"/>
    </row>
    <row r="161" spans="2:18" x14ac:dyDescent="0.5">
      <c r="B161"/>
      <c r="C161"/>
      <c r="D161"/>
      <c r="E161"/>
      <c r="F161"/>
      <c r="G161"/>
      <c r="H161"/>
      <c r="I161"/>
      <c r="J161"/>
      <c r="K161"/>
      <c r="L161"/>
      <c r="M161"/>
      <c r="N161"/>
      <c r="O161"/>
      <c r="P161"/>
      <c r="Q161"/>
      <c r="R161"/>
    </row>
    <row r="162" spans="2:18" x14ac:dyDescent="0.5">
      <c r="B162"/>
      <c r="C162"/>
      <c r="D162"/>
      <c r="E162"/>
      <c r="F162"/>
      <c r="G162"/>
      <c r="H162"/>
      <c r="I162"/>
      <c r="J162"/>
      <c r="K162"/>
      <c r="L162"/>
      <c r="M162"/>
      <c r="N162"/>
      <c r="O162"/>
      <c r="P162"/>
      <c r="Q162"/>
      <c r="R162"/>
    </row>
    <row r="163" spans="2:18" x14ac:dyDescent="0.5">
      <c r="B163"/>
      <c r="C163"/>
      <c r="D163"/>
      <c r="E163"/>
      <c r="F163"/>
      <c r="G163"/>
      <c r="H163"/>
      <c r="I163"/>
      <c r="J163"/>
      <c r="K163"/>
      <c r="L163"/>
      <c r="M163"/>
      <c r="N163"/>
      <c r="O163"/>
      <c r="P163"/>
      <c r="Q163"/>
      <c r="R163"/>
    </row>
    <row r="164" spans="2:18" x14ac:dyDescent="0.5">
      <c r="B164"/>
      <c r="C164"/>
      <c r="D164"/>
      <c r="E164"/>
      <c r="F164"/>
      <c r="G164"/>
      <c r="H164"/>
      <c r="I164"/>
      <c r="J164"/>
      <c r="K164"/>
      <c r="L164"/>
      <c r="M164"/>
      <c r="N164"/>
      <c r="O164"/>
      <c r="P164"/>
      <c r="Q164"/>
      <c r="R164"/>
    </row>
    <row r="165" spans="2:18" x14ac:dyDescent="0.5">
      <c r="B165"/>
      <c r="C165"/>
      <c r="D165"/>
      <c r="E165"/>
      <c r="F165"/>
      <c r="G165"/>
      <c r="H165"/>
      <c r="I165"/>
      <c r="J165"/>
      <c r="K165"/>
      <c r="L165"/>
      <c r="M165"/>
      <c r="N165"/>
      <c r="O165"/>
      <c r="P165"/>
      <c r="Q165"/>
      <c r="R165"/>
    </row>
    <row r="166" spans="2:18" x14ac:dyDescent="0.5">
      <c r="B166"/>
      <c r="C166"/>
      <c r="D166"/>
      <c r="E166"/>
      <c r="F166"/>
      <c r="G166"/>
      <c r="H166"/>
      <c r="I166"/>
      <c r="J166"/>
      <c r="K166"/>
      <c r="L166"/>
      <c r="M166"/>
      <c r="N166"/>
      <c r="O166"/>
      <c r="P166"/>
      <c r="Q166"/>
      <c r="R166"/>
    </row>
    <row r="167" spans="2:18" x14ac:dyDescent="0.5">
      <c r="B167"/>
      <c r="C167"/>
      <c r="D167"/>
      <c r="E167"/>
      <c r="F167"/>
      <c r="G167"/>
      <c r="H167"/>
      <c r="I167"/>
      <c r="J167"/>
      <c r="K167"/>
      <c r="L167"/>
      <c r="M167"/>
      <c r="N167"/>
      <c r="O167"/>
      <c r="P167"/>
      <c r="Q167"/>
      <c r="R167"/>
    </row>
    <row r="168" spans="2:18" x14ac:dyDescent="0.5">
      <c r="B168"/>
      <c r="C168"/>
      <c r="D168"/>
      <c r="E168"/>
      <c r="F168"/>
      <c r="G168"/>
      <c r="H168"/>
      <c r="I168"/>
      <c r="J168"/>
      <c r="K168"/>
      <c r="L168"/>
      <c r="M168"/>
      <c r="N168"/>
      <c r="O168"/>
      <c r="P168"/>
      <c r="Q168"/>
      <c r="R168"/>
    </row>
    <row r="169" spans="2:18" x14ac:dyDescent="0.5">
      <c r="B169"/>
      <c r="C169"/>
      <c r="D169"/>
      <c r="E169"/>
      <c r="F169"/>
      <c r="G169"/>
      <c r="H169"/>
      <c r="I169"/>
      <c r="J169"/>
      <c r="K169"/>
      <c r="L169"/>
      <c r="M169"/>
      <c r="N169"/>
      <c r="O169"/>
      <c r="P169"/>
      <c r="Q169"/>
      <c r="R169"/>
    </row>
    <row r="170" spans="2:18" x14ac:dyDescent="0.5">
      <c r="B170"/>
      <c r="C170"/>
      <c r="D170"/>
      <c r="E170"/>
      <c r="F170"/>
      <c r="G170"/>
      <c r="H170"/>
      <c r="I170"/>
      <c r="J170"/>
      <c r="K170"/>
      <c r="L170"/>
      <c r="M170"/>
      <c r="N170"/>
      <c r="O170"/>
      <c r="P170"/>
      <c r="Q170"/>
      <c r="R170"/>
    </row>
    <row r="171" spans="2:18" x14ac:dyDescent="0.5">
      <c r="B171"/>
      <c r="C171"/>
      <c r="D171"/>
      <c r="E171"/>
      <c r="F171"/>
      <c r="G171"/>
      <c r="H171"/>
      <c r="I171"/>
      <c r="J171"/>
      <c r="K171"/>
      <c r="L171"/>
      <c r="M171"/>
      <c r="N171"/>
      <c r="O171"/>
      <c r="P171"/>
      <c r="Q171"/>
      <c r="R171"/>
    </row>
    <row r="172" spans="2:18" x14ac:dyDescent="0.5">
      <c r="B172"/>
      <c r="C172"/>
      <c r="D172"/>
      <c r="E172"/>
      <c r="F172"/>
      <c r="G172"/>
      <c r="H172"/>
      <c r="I172"/>
      <c r="J172"/>
      <c r="K172"/>
      <c r="L172"/>
      <c r="M172"/>
      <c r="N172"/>
      <c r="O172"/>
      <c r="P172"/>
      <c r="Q172"/>
      <c r="R172"/>
    </row>
    <row r="173" spans="2:18" x14ac:dyDescent="0.5">
      <c r="B173"/>
      <c r="C173"/>
      <c r="D173"/>
      <c r="E173"/>
      <c r="F173"/>
      <c r="G173"/>
      <c r="H173"/>
      <c r="I173"/>
      <c r="J173"/>
      <c r="K173"/>
      <c r="L173"/>
      <c r="M173"/>
      <c r="N173"/>
      <c r="O173"/>
      <c r="P173"/>
      <c r="Q173"/>
      <c r="R173"/>
    </row>
    <row r="174" spans="2:18" x14ac:dyDescent="0.5">
      <c r="B174"/>
      <c r="C174"/>
      <c r="D174"/>
      <c r="E174"/>
      <c r="F174"/>
      <c r="G174"/>
      <c r="H174"/>
      <c r="I174"/>
      <c r="J174"/>
      <c r="K174"/>
      <c r="L174"/>
      <c r="M174"/>
      <c r="N174"/>
      <c r="O174"/>
      <c r="P174"/>
      <c r="Q174"/>
      <c r="R174"/>
    </row>
    <row r="175" spans="2:18" x14ac:dyDescent="0.5">
      <c r="B175"/>
      <c r="C175"/>
      <c r="D175"/>
      <c r="E175"/>
      <c r="F175"/>
      <c r="G175"/>
      <c r="H175"/>
      <c r="I175"/>
      <c r="J175"/>
      <c r="K175"/>
      <c r="L175"/>
      <c r="M175"/>
      <c r="N175"/>
      <c r="O175"/>
      <c r="P175"/>
      <c r="Q175"/>
      <c r="R175"/>
    </row>
    <row r="176" spans="2:18" x14ac:dyDescent="0.5">
      <c r="B176"/>
      <c r="C176"/>
      <c r="D176"/>
      <c r="E176"/>
      <c r="F176"/>
      <c r="G176"/>
      <c r="H176"/>
      <c r="I176"/>
      <c r="J176"/>
      <c r="K176"/>
      <c r="L176"/>
      <c r="M176"/>
      <c r="N176"/>
      <c r="O176"/>
      <c r="P176"/>
      <c r="Q176"/>
      <c r="R176"/>
    </row>
    <row r="177" spans="2:18" x14ac:dyDescent="0.5">
      <c r="B177"/>
      <c r="C177"/>
      <c r="D177"/>
      <c r="E177"/>
      <c r="F177"/>
      <c r="G177"/>
      <c r="H177"/>
      <c r="I177"/>
      <c r="J177"/>
      <c r="K177"/>
      <c r="L177"/>
      <c r="M177"/>
      <c r="N177"/>
      <c r="O177"/>
      <c r="P177"/>
      <c r="Q177"/>
      <c r="R177"/>
    </row>
    <row r="178" spans="2:18" x14ac:dyDescent="0.5">
      <c r="B178"/>
      <c r="C178"/>
      <c r="D178"/>
      <c r="E178"/>
      <c r="F178"/>
      <c r="G178"/>
      <c r="H178"/>
      <c r="I178"/>
      <c r="J178"/>
      <c r="K178"/>
      <c r="L178"/>
      <c r="M178"/>
      <c r="N178"/>
      <c r="O178"/>
      <c r="P178"/>
      <c r="Q178"/>
      <c r="R178"/>
    </row>
    <row r="179" spans="2:18" x14ac:dyDescent="0.5">
      <c r="B179"/>
      <c r="C179"/>
      <c r="D179"/>
      <c r="E179"/>
      <c r="F179"/>
      <c r="G179"/>
      <c r="H179"/>
      <c r="I179"/>
      <c r="J179"/>
      <c r="K179"/>
      <c r="L179"/>
      <c r="M179"/>
      <c r="N179"/>
      <c r="O179"/>
      <c r="P179"/>
      <c r="Q179"/>
      <c r="R179"/>
    </row>
    <row r="180" spans="2:18" x14ac:dyDescent="0.5">
      <c r="B180"/>
      <c r="C180"/>
      <c r="D180"/>
      <c r="E180"/>
      <c r="F180"/>
      <c r="G180"/>
      <c r="H180"/>
      <c r="I180"/>
      <c r="J180"/>
      <c r="K180"/>
      <c r="L180"/>
      <c r="M180"/>
      <c r="N180"/>
      <c r="O180"/>
      <c r="P180"/>
      <c r="Q180"/>
      <c r="R180"/>
    </row>
    <row r="181" spans="2:18" x14ac:dyDescent="0.5">
      <c r="B181"/>
      <c r="C181"/>
      <c r="D181"/>
      <c r="E181"/>
      <c r="F181"/>
      <c r="G181"/>
      <c r="H181"/>
      <c r="I181"/>
      <c r="J181"/>
      <c r="K181"/>
      <c r="L181"/>
      <c r="M181"/>
      <c r="N181"/>
      <c r="O181"/>
      <c r="P181"/>
      <c r="Q181"/>
      <c r="R181"/>
    </row>
    <row r="182" spans="2:18" x14ac:dyDescent="0.5">
      <c r="B182"/>
      <c r="C182"/>
      <c r="D182"/>
      <c r="E182"/>
      <c r="F182"/>
      <c r="G182"/>
      <c r="H182"/>
      <c r="I182"/>
      <c r="J182"/>
      <c r="K182"/>
      <c r="L182"/>
      <c r="M182"/>
      <c r="N182"/>
      <c r="O182"/>
      <c r="P182"/>
      <c r="Q182"/>
      <c r="R182"/>
    </row>
    <row r="183" spans="2:18" x14ac:dyDescent="0.5">
      <c r="B183"/>
      <c r="C183"/>
      <c r="D183"/>
      <c r="E183"/>
      <c r="F183"/>
      <c r="G183"/>
      <c r="H183"/>
      <c r="I183"/>
      <c r="J183"/>
      <c r="K183"/>
      <c r="L183"/>
      <c r="M183"/>
      <c r="N183"/>
      <c r="O183"/>
      <c r="P183"/>
      <c r="Q183"/>
      <c r="R183"/>
    </row>
    <row r="184" spans="2:18" x14ac:dyDescent="0.5">
      <c r="B184"/>
      <c r="C184"/>
      <c r="D184"/>
      <c r="E184"/>
      <c r="F184"/>
      <c r="G184"/>
      <c r="H184"/>
      <c r="I184"/>
      <c r="J184"/>
      <c r="K184"/>
      <c r="L184"/>
      <c r="M184"/>
      <c r="N184"/>
      <c r="O184"/>
      <c r="P184"/>
      <c r="Q184"/>
      <c r="R184"/>
    </row>
    <row r="185" spans="2:18" x14ac:dyDescent="0.5">
      <c r="B185"/>
      <c r="C185"/>
      <c r="D185"/>
      <c r="E185"/>
      <c r="F185"/>
      <c r="G185"/>
      <c r="H185"/>
      <c r="I185"/>
      <c r="J185"/>
      <c r="K185"/>
      <c r="L185"/>
      <c r="M185"/>
      <c r="N185"/>
      <c r="O185"/>
      <c r="P185"/>
      <c r="Q185"/>
      <c r="R185"/>
    </row>
    <row r="186" spans="2:18" x14ac:dyDescent="0.5">
      <c r="B186"/>
      <c r="C186"/>
      <c r="D186"/>
      <c r="E186"/>
      <c r="F186"/>
      <c r="G186"/>
      <c r="H186"/>
      <c r="I186"/>
      <c r="J186"/>
      <c r="K186"/>
      <c r="L186"/>
      <c r="M186"/>
      <c r="N186"/>
      <c r="O186"/>
      <c r="P186"/>
      <c r="Q186"/>
      <c r="R186"/>
    </row>
    <row r="187" spans="2:18" x14ac:dyDescent="0.5">
      <c r="B187"/>
      <c r="C187"/>
      <c r="D187"/>
      <c r="E187"/>
      <c r="F187"/>
      <c r="G187"/>
      <c r="H187"/>
      <c r="I187"/>
      <c r="J187"/>
      <c r="K187"/>
      <c r="L187"/>
      <c r="M187"/>
      <c r="N187"/>
      <c r="O187"/>
      <c r="P187"/>
      <c r="Q187"/>
      <c r="R187"/>
    </row>
    <row r="188" spans="2:18" x14ac:dyDescent="0.5">
      <c r="B188"/>
      <c r="C188"/>
      <c r="D188"/>
      <c r="E188"/>
      <c r="F188"/>
      <c r="G188"/>
      <c r="H188"/>
      <c r="I188"/>
      <c r="J188"/>
      <c r="K188"/>
      <c r="L188"/>
      <c r="M188"/>
      <c r="N188"/>
      <c r="O188"/>
      <c r="P188"/>
      <c r="Q188"/>
      <c r="R188"/>
    </row>
    <row r="189" spans="2:18" x14ac:dyDescent="0.5">
      <c r="B189"/>
      <c r="C189"/>
      <c r="D189"/>
      <c r="E189"/>
      <c r="F189"/>
      <c r="G189"/>
      <c r="H189"/>
      <c r="I189"/>
      <c r="J189"/>
      <c r="K189"/>
      <c r="L189"/>
      <c r="M189"/>
      <c r="N189"/>
      <c r="O189"/>
      <c r="P189"/>
      <c r="Q189"/>
      <c r="R189"/>
    </row>
    <row r="190" spans="2:18" x14ac:dyDescent="0.5">
      <c r="B190"/>
      <c r="C190"/>
      <c r="D190"/>
      <c r="E190"/>
      <c r="F190"/>
      <c r="G190"/>
      <c r="H190"/>
      <c r="I190"/>
      <c r="J190"/>
      <c r="K190"/>
      <c r="L190"/>
      <c r="M190"/>
      <c r="N190"/>
      <c r="O190"/>
      <c r="P190"/>
      <c r="Q190"/>
      <c r="R190"/>
    </row>
    <row r="191" spans="2:18" x14ac:dyDescent="0.5">
      <c r="B191"/>
      <c r="C191"/>
      <c r="D191"/>
      <c r="E191"/>
      <c r="F191"/>
      <c r="G191"/>
      <c r="H191"/>
      <c r="I191"/>
      <c r="J191"/>
      <c r="K191"/>
      <c r="L191"/>
      <c r="M191"/>
      <c r="N191"/>
      <c r="O191"/>
      <c r="P191"/>
      <c r="Q191"/>
      <c r="R191"/>
    </row>
    <row r="192" spans="2:18" x14ac:dyDescent="0.5">
      <c r="B192"/>
      <c r="C192"/>
      <c r="D192"/>
      <c r="E192"/>
      <c r="F192"/>
      <c r="G192"/>
      <c r="H192"/>
      <c r="I192"/>
      <c r="J192"/>
      <c r="K192"/>
      <c r="L192"/>
      <c r="M192"/>
      <c r="N192"/>
      <c r="O192"/>
      <c r="P192"/>
      <c r="Q192"/>
      <c r="R192"/>
    </row>
    <row r="193" spans="2:18" x14ac:dyDescent="0.5">
      <c r="B193"/>
      <c r="C193"/>
      <c r="D193"/>
      <c r="E193"/>
      <c r="F193"/>
      <c r="G193"/>
      <c r="H193"/>
      <c r="I193"/>
      <c r="J193"/>
      <c r="K193"/>
      <c r="L193"/>
      <c r="M193"/>
      <c r="N193"/>
      <c r="O193"/>
      <c r="P193"/>
      <c r="Q193"/>
      <c r="R193"/>
    </row>
    <row r="194" spans="2:18" x14ac:dyDescent="0.5">
      <c r="B194"/>
      <c r="C194"/>
      <c r="D194"/>
      <c r="E194"/>
      <c r="F194"/>
      <c r="G194"/>
      <c r="H194"/>
      <c r="I194"/>
      <c r="J194"/>
      <c r="K194"/>
      <c r="L194"/>
      <c r="M194"/>
      <c r="N194"/>
      <c r="O194"/>
      <c r="P194"/>
      <c r="Q194"/>
      <c r="R194"/>
    </row>
    <row r="195" spans="2:18" x14ac:dyDescent="0.5">
      <c r="B195"/>
      <c r="C195"/>
      <c r="D195"/>
      <c r="E195"/>
      <c r="F195"/>
      <c r="G195"/>
      <c r="H195"/>
      <c r="I195"/>
      <c r="J195"/>
      <c r="K195"/>
      <c r="L195"/>
      <c r="M195"/>
      <c r="N195"/>
      <c r="O195"/>
      <c r="P195"/>
      <c r="Q195"/>
      <c r="R195"/>
    </row>
    <row r="196" spans="2:18" x14ac:dyDescent="0.5">
      <c r="B196"/>
      <c r="C196"/>
      <c r="D196"/>
      <c r="E196"/>
      <c r="F196"/>
      <c r="G196"/>
      <c r="H196"/>
      <c r="I196"/>
      <c r="J196"/>
      <c r="K196"/>
      <c r="L196"/>
      <c r="M196"/>
      <c r="N196"/>
      <c r="O196"/>
      <c r="P196"/>
      <c r="Q196"/>
      <c r="R196"/>
    </row>
    <row r="197" spans="2:18" x14ac:dyDescent="0.5">
      <c r="B197"/>
      <c r="C197"/>
      <c r="D197"/>
      <c r="E197"/>
      <c r="F197"/>
      <c r="G197"/>
      <c r="H197"/>
      <c r="I197"/>
      <c r="J197"/>
      <c r="K197"/>
      <c r="L197"/>
      <c r="M197"/>
      <c r="N197"/>
      <c r="O197"/>
      <c r="P197"/>
      <c r="Q197"/>
      <c r="R197"/>
    </row>
    <row r="198" spans="2:18" x14ac:dyDescent="0.5">
      <c r="B198"/>
      <c r="C198"/>
      <c r="D198"/>
      <c r="E198"/>
      <c r="F198"/>
      <c r="G198"/>
      <c r="H198"/>
      <c r="I198"/>
      <c r="J198"/>
      <c r="K198"/>
      <c r="L198"/>
      <c r="M198"/>
      <c r="N198"/>
      <c r="O198"/>
      <c r="P198"/>
      <c r="Q198"/>
      <c r="R198"/>
    </row>
    <row r="199" spans="2:18" x14ac:dyDescent="0.5">
      <c r="B199"/>
      <c r="C199"/>
      <c r="D199"/>
      <c r="E199"/>
      <c r="F199"/>
      <c r="G199"/>
      <c r="H199"/>
      <c r="I199"/>
      <c r="J199"/>
      <c r="K199"/>
      <c r="L199"/>
      <c r="M199"/>
      <c r="N199"/>
      <c r="O199"/>
      <c r="P199"/>
      <c r="Q199"/>
      <c r="R199"/>
    </row>
    <row r="200" spans="2:18" x14ac:dyDescent="0.5">
      <c r="B200"/>
      <c r="C200"/>
      <c r="D200"/>
      <c r="E200"/>
      <c r="F200"/>
      <c r="G200"/>
      <c r="H200"/>
      <c r="I200"/>
      <c r="J200"/>
      <c r="K200"/>
      <c r="L200"/>
      <c r="M200"/>
      <c r="N200"/>
      <c r="O200"/>
      <c r="P200"/>
      <c r="Q200"/>
      <c r="R200"/>
    </row>
    <row r="201" spans="2:18" x14ac:dyDescent="0.5">
      <c r="B201"/>
      <c r="C201"/>
      <c r="D201"/>
      <c r="E201"/>
      <c r="F201"/>
      <c r="G201"/>
      <c r="H201"/>
      <c r="I201"/>
      <c r="J201"/>
      <c r="K201"/>
      <c r="L201"/>
      <c r="M201"/>
      <c r="N201"/>
      <c r="O201"/>
      <c r="P201"/>
      <c r="Q201"/>
      <c r="R201"/>
    </row>
    <row r="202" spans="2:18" x14ac:dyDescent="0.5">
      <c r="B202"/>
      <c r="C202"/>
      <c r="D202"/>
      <c r="E202"/>
      <c r="F202"/>
      <c r="G202"/>
      <c r="H202"/>
      <c r="I202"/>
      <c r="J202"/>
      <c r="K202"/>
      <c r="L202"/>
      <c r="M202"/>
      <c r="N202"/>
      <c r="O202"/>
      <c r="P202"/>
      <c r="Q202"/>
      <c r="R202"/>
    </row>
    <row r="203" spans="2:18" x14ac:dyDescent="0.5">
      <c r="B203"/>
      <c r="C203"/>
      <c r="D203"/>
      <c r="E203"/>
      <c r="F203"/>
      <c r="G203"/>
      <c r="H203"/>
      <c r="I203"/>
      <c r="J203"/>
      <c r="K203"/>
      <c r="L203"/>
      <c r="M203"/>
      <c r="N203"/>
      <c r="O203"/>
      <c r="P203"/>
      <c r="Q203"/>
      <c r="R203"/>
    </row>
    <row r="204" spans="2:18" x14ac:dyDescent="0.5">
      <c r="B204"/>
      <c r="C204"/>
      <c r="D204"/>
      <c r="E204"/>
      <c r="F204"/>
      <c r="G204"/>
      <c r="H204"/>
      <c r="I204"/>
      <c r="J204"/>
      <c r="K204"/>
      <c r="L204"/>
      <c r="M204"/>
      <c r="N204"/>
      <c r="O204"/>
      <c r="P204"/>
      <c r="Q204"/>
      <c r="R204"/>
    </row>
    <row r="205" spans="2:18" x14ac:dyDescent="0.5">
      <c r="B205"/>
      <c r="C205"/>
      <c r="D205"/>
      <c r="E205"/>
      <c r="F205"/>
      <c r="G205"/>
      <c r="H205"/>
      <c r="I205"/>
      <c r="J205"/>
      <c r="K205"/>
      <c r="L205"/>
      <c r="M205"/>
      <c r="N205"/>
      <c r="O205"/>
      <c r="P205"/>
      <c r="Q205"/>
      <c r="R205"/>
    </row>
    <row r="206" spans="2:18" x14ac:dyDescent="0.5">
      <c r="B206"/>
      <c r="C206"/>
      <c r="D206"/>
      <c r="E206"/>
      <c r="F206"/>
      <c r="G206"/>
      <c r="H206"/>
      <c r="I206"/>
      <c r="J206"/>
      <c r="K206"/>
      <c r="L206"/>
      <c r="M206"/>
      <c r="N206"/>
      <c r="O206"/>
      <c r="P206"/>
      <c r="Q206"/>
      <c r="R206"/>
    </row>
    <row r="207" spans="2:18" x14ac:dyDescent="0.5">
      <c r="B207"/>
      <c r="C207"/>
      <c r="D207"/>
      <c r="E207"/>
      <c r="F207"/>
      <c r="G207"/>
      <c r="H207"/>
      <c r="I207"/>
      <c r="J207"/>
      <c r="K207"/>
      <c r="L207"/>
      <c r="M207"/>
      <c r="N207"/>
      <c r="O207"/>
      <c r="P207"/>
      <c r="Q207"/>
      <c r="R207"/>
    </row>
    <row r="208" spans="2:18" x14ac:dyDescent="0.5">
      <c r="B208"/>
      <c r="C208"/>
      <c r="D208"/>
      <c r="E208"/>
      <c r="F208"/>
      <c r="G208"/>
      <c r="H208"/>
      <c r="I208"/>
      <c r="J208"/>
      <c r="K208"/>
      <c r="L208"/>
      <c r="M208"/>
      <c r="N208"/>
      <c r="O208"/>
      <c r="P208"/>
      <c r="Q208"/>
      <c r="R208"/>
    </row>
    <row r="209" spans="2:18" x14ac:dyDescent="0.5">
      <c r="B209"/>
      <c r="C209"/>
      <c r="D209"/>
      <c r="E209"/>
      <c r="F209"/>
      <c r="G209"/>
      <c r="H209"/>
      <c r="I209"/>
      <c r="J209"/>
      <c r="K209"/>
      <c r="L209"/>
      <c r="M209"/>
      <c r="N209"/>
      <c r="O209"/>
      <c r="P209"/>
      <c r="Q209"/>
      <c r="R209"/>
    </row>
    <row r="210" spans="2:18" x14ac:dyDescent="0.5">
      <c r="B210"/>
      <c r="C210"/>
      <c r="D210"/>
      <c r="E210"/>
      <c r="F210"/>
      <c r="G210"/>
      <c r="H210"/>
      <c r="I210"/>
      <c r="J210"/>
      <c r="K210"/>
      <c r="L210"/>
      <c r="M210"/>
      <c r="N210"/>
      <c r="O210"/>
      <c r="P210"/>
      <c r="Q210"/>
      <c r="R210"/>
    </row>
    <row r="211" spans="2:18" x14ac:dyDescent="0.5">
      <c r="B211"/>
      <c r="C211"/>
      <c r="D211"/>
      <c r="E211"/>
      <c r="F211"/>
      <c r="G211"/>
      <c r="H211"/>
      <c r="I211"/>
      <c r="J211"/>
      <c r="K211"/>
      <c r="L211"/>
      <c r="M211"/>
      <c r="N211"/>
      <c r="O211"/>
      <c r="P211"/>
      <c r="Q211"/>
      <c r="R211"/>
    </row>
    <row r="212" spans="2:18" x14ac:dyDescent="0.5">
      <c r="B212"/>
      <c r="C212"/>
      <c r="D212"/>
      <c r="E212"/>
      <c r="F212"/>
      <c r="G212"/>
      <c r="H212"/>
      <c r="I212"/>
      <c r="J212"/>
      <c r="K212"/>
      <c r="L212"/>
      <c r="M212"/>
      <c r="N212"/>
      <c r="O212"/>
      <c r="P212"/>
      <c r="Q212"/>
      <c r="R212"/>
    </row>
    <row r="213" spans="2:18" x14ac:dyDescent="0.5">
      <c r="B213"/>
      <c r="C213"/>
      <c r="D213"/>
      <c r="E213"/>
      <c r="F213"/>
      <c r="G213"/>
      <c r="H213"/>
      <c r="I213"/>
      <c r="J213"/>
      <c r="K213"/>
      <c r="L213"/>
      <c r="M213"/>
      <c r="N213"/>
      <c r="O213"/>
      <c r="P213"/>
      <c r="Q213"/>
      <c r="R213"/>
    </row>
    <row r="214" spans="2:18" x14ac:dyDescent="0.5">
      <c r="B214"/>
      <c r="C214"/>
      <c r="D214"/>
      <c r="E214"/>
      <c r="F214"/>
      <c r="G214"/>
      <c r="H214"/>
      <c r="I214"/>
      <c r="J214"/>
      <c r="K214"/>
      <c r="L214"/>
      <c r="M214"/>
      <c r="N214"/>
      <c r="O214"/>
      <c r="P214"/>
      <c r="Q214"/>
      <c r="R214"/>
    </row>
    <row r="215" spans="2:18" x14ac:dyDescent="0.5">
      <c r="B215"/>
      <c r="C215"/>
      <c r="D215"/>
      <c r="E215"/>
      <c r="F215"/>
      <c r="G215"/>
      <c r="H215"/>
      <c r="I215"/>
      <c r="J215"/>
      <c r="K215"/>
      <c r="L215"/>
      <c r="M215"/>
      <c r="N215"/>
      <c r="O215"/>
      <c r="P215"/>
      <c r="Q215"/>
      <c r="R215"/>
    </row>
    <row r="216" spans="2:18" x14ac:dyDescent="0.5">
      <c r="B216"/>
      <c r="C216"/>
      <c r="D216"/>
      <c r="E216"/>
      <c r="F216"/>
      <c r="G216"/>
      <c r="H216"/>
      <c r="I216"/>
      <c r="J216"/>
      <c r="K216"/>
      <c r="L216"/>
      <c r="M216"/>
      <c r="N216"/>
      <c r="O216"/>
      <c r="P216"/>
      <c r="Q216"/>
      <c r="R216"/>
    </row>
    <row r="217" spans="2:18" x14ac:dyDescent="0.5">
      <c r="B217"/>
      <c r="C217"/>
      <c r="D217"/>
      <c r="E217"/>
      <c r="F217"/>
      <c r="G217"/>
      <c r="H217"/>
      <c r="I217"/>
      <c r="J217"/>
      <c r="K217"/>
      <c r="L217"/>
      <c r="M217"/>
      <c r="N217"/>
      <c r="O217"/>
      <c r="P217"/>
      <c r="Q217"/>
      <c r="R217"/>
    </row>
    <row r="218" spans="2:18" x14ac:dyDescent="0.5">
      <c r="B218"/>
      <c r="C218"/>
      <c r="D218"/>
      <c r="E218"/>
      <c r="F218"/>
      <c r="G218"/>
      <c r="H218"/>
      <c r="I218"/>
      <c r="J218"/>
      <c r="K218"/>
      <c r="L218"/>
      <c r="M218"/>
      <c r="N218"/>
      <c r="O218"/>
      <c r="P218"/>
      <c r="Q218"/>
      <c r="R218"/>
    </row>
    <row r="219" spans="2:18" x14ac:dyDescent="0.5">
      <c r="B219"/>
      <c r="C219"/>
      <c r="D219"/>
      <c r="E219"/>
      <c r="F219"/>
      <c r="G219"/>
      <c r="H219"/>
      <c r="I219"/>
      <c r="J219"/>
      <c r="K219"/>
      <c r="L219"/>
      <c r="M219"/>
      <c r="N219"/>
      <c r="O219"/>
      <c r="P219"/>
      <c r="Q219"/>
      <c r="R219"/>
    </row>
    <row r="220" spans="2:18" x14ac:dyDescent="0.5">
      <c r="B220"/>
      <c r="C220"/>
      <c r="D220"/>
      <c r="E220"/>
      <c r="F220"/>
      <c r="G220"/>
      <c r="H220"/>
      <c r="I220"/>
      <c r="J220"/>
      <c r="K220"/>
      <c r="L220"/>
      <c r="M220"/>
      <c r="N220"/>
      <c r="O220"/>
      <c r="P220"/>
      <c r="Q220"/>
      <c r="R220"/>
    </row>
    <row r="221" spans="2:18" x14ac:dyDescent="0.5">
      <c r="B221"/>
      <c r="C221"/>
      <c r="D221"/>
      <c r="E221"/>
      <c r="F221"/>
      <c r="G221"/>
      <c r="H221"/>
      <c r="I221"/>
      <c r="J221"/>
      <c r="K221"/>
      <c r="L221"/>
      <c r="M221"/>
      <c r="N221"/>
      <c r="O221"/>
      <c r="P221"/>
      <c r="Q221"/>
      <c r="R221"/>
    </row>
    <row r="222" spans="2:18" x14ac:dyDescent="0.5">
      <c r="B222"/>
      <c r="C222"/>
      <c r="D222"/>
      <c r="E222"/>
      <c r="F222"/>
      <c r="G222"/>
      <c r="H222"/>
      <c r="I222"/>
      <c r="J222"/>
      <c r="K222"/>
      <c r="L222"/>
      <c r="M222"/>
      <c r="N222"/>
      <c r="O222"/>
      <c r="P222"/>
      <c r="Q222"/>
      <c r="R222"/>
    </row>
    <row r="223" spans="2:18" x14ac:dyDescent="0.5">
      <c r="B223"/>
      <c r="C223"/>
      <c r="D223"/>
      <c r="E223"/>
      <c r="F223"/>
      <c r="G223"/>
      <c r="H223"/>
      <c r="I223"/>
      <c r="J223"/>
      <c r="K223"/>
      <c r="L223"/>
      <c r="M223"/>
      <c r="N223"/>
      <c r="O223"/>
      <c r="P223"/>
      <c r="Q223"/>
      <c r="R223"/>
    </row>
    <row r="224" spans="2:18" x14ac:dyDescent="0.5">
      <c r="B224"/>
      <c r="C224"/>
      <c r="D224"/>
      <c r="E224"/>
      <c r="F224"/>
      <c r="G224"/>
      <c r="H224"/>
      <c r="I224"/>
      <c r="J224"/>
      <c r="K224"/>
      <c r="L224"/>
      <c r="M224"/>
      <c r="N224"/>
      <c r="O224"/>
      <c r="P224"/>
      <c r="Q224"/>
      <c r="R224"/>
    </row>
    <row r="225" spans="2:18" x14ac:dyDescent="0.5">
      <c r="B225"/>
      <c r="C225"/>
      <c r="D225"/>
      <c r="E225"/>
      <c r="F225"/>
      <c r="G225"/>
      <c r="H225"/>
      <c r="I225"/>
      <c r="J225"/>
      <c r="K225"/>
      <c r="L225"/>
      <c r="M225"/>
      <c r="N225"/>
      <c r="O225"/>
      <c r="P225"/>
      <c r="Q225"/>
      <c r="R225"/>
    </row>
    <row r="226" spans="2:18" x14ac:dyDescent="0.5">
      <c r="B226"/>
      <c r="C226"/>
      <c r="D226"/>
      <c r="E226"/>
      <c r="F226"/>
      <c r="G226"/>
      <c r="H226"/>
      <c r="I226"/>
      <c r="J226"/>
      <c r="K226"/>
      <c r="L226"/>
      <c r="M226"/>
      <c r="N226"/>
      <c r="O226"/>
      <c r="P226"/>
      <c r="Q226"/>
      <c r="R226"/>
    </row>
    <row r="227" spans="2:18" x14ac:dyDescent="0.5">
      <c r="B227"/>
      <c r="C227"/>
      <c r="D227"/>
      <c r="E227"/>
      <c r="F227"/>
      <c r="G227"/>
      <c r="H227"/>
      <c r="I227"/>
      <c r="J227"/>
      <c r="K227"/>
      <c r="L227"/>
      <c r="M227"/>
      <c r="N227"/>
      <c r="O227"/>
      <c r="P227"/>
      <c r="Q227"/>
      <c r="R227"/>
    </row>
    <row r="228" spans="2:18" x14ac:dyDescent="0.5">
      <c r="B228"/>
      <c r="C228"/>
      <c r="D228"/>
      <c r="E228"/>
      <c r="F228"/>
      <c r="G228"/>
      <c r="H228"/>
      <c r="I228"/>
      <c r="J228"/>
      <c r="K228"/>
      <c r="L228"/>
      <c r="M228"/>
      <c r="N228"/>
      <c r="O228"/>
      <c r="P228"/>
      <c r="Q228"/>
      <c r="R228"/>
    </row>
    <row r="229" spans="2:18" x14ac:dyDescent="0.5">
      <c r="B229"/>
      <c r="C229"/>
      <c r="D229"/>
      <c r="E229"/>
      <c r="F229"/>
      <c r="G229"/>
      <c r="H229"/>
      <c r="I229"/>
      <c r="J229"/>
      <c r="K229"/>
      <c r="L229"/>
      <c r="M229"/>
      <c r="N229"/>
      <c r="O229"/>
      <c r="P229"/>
      <c r="Q229"/>
      <c r="R229"/>
    </row>
    <row r="230" spans="2:18" x14ac:dyDescent="0.5">
      <c r="B230"/>
      <c r="C230"/>
      <c r="D230"/>
      <c r="E230"/>
      <c r="F230"/>
      <c r="G230"/>
      <c r="H230"/>
      <c r="I230"/>
      <c r="J230"/>
      <c r="K230"/>
      <c r="L230"/>
      <c r="M230"/>
      <c r="N230"/>
      <c r="O230"/>
      <c r="P230"/>
      <c r="Q230"/>
      <c r="R230"/>
    </row>
    <row r="231" spans="2:18" x14ac:dyDescent="0.5">
      <c r="B231"/>
      <c r="C231"/>
      <c r="D231"/>
      <c r="E231"/>
      <c r="F231"/>
      <c r="G231"/>
      <c r="H231"/>
      <c r="I231"/>
      <c r="J231"/>
      <c r="K231"/>
      <c r="L231"/>
      <c r="M231"/>
      <c r="N231"/>
      <c r="O231"/>
      <c r="P231"/>
      <c r="Q231"/>
      <c r="R231"/>
    </row>
    <row r="232" spans="2:18" x14ac:dyDescent="0.5">
      <c r="B232"/>
      <c r="C232"/>
      <c r="D232"/>
      <c r="E232"/>
      <c r="F232"/>
      <c r="G232"/>
      <c r="H232"/>
      <c r="I232"/>
      <c r="J232"/>
      <c r="K232"/>
      <c r="L232"/>
      <c r="M232"/>
      <c r="N232"/>
      <c r="O232"/>
      <c r="P232"/>
      <c r="Q232"/>
      <c r="R232"/>
    </row>
    <row r="233" spans="2:18" x14ac:dyDescent="0.5">
      <c r="B233"/>
      <c r="C233"/>
      <c r="D233"/>
      <c r="E233"/>
      <c r="F233"/>
      <c r="G233"/>
      <c r="H233"/>
      <c r="I233"/>
      <c r="J233"/>
      <c r="K233"/>
      <c r="L233"/>
      <c r="M233"/>
      <c r="N233"/>
      <c r="O233"/>
      <c r="P233"/>
      <c r="Q233"/>
      <c r="R233"/>
    </row>
    <row r="234" spans="2:18" x14ac:dyDescent="0.5">
      <c r="B234"/>
      <c r="C234"/>
      <c r="D234"/>
      <c r="E234"/>
      <c r="F234"/>
      <c r="G234"/>
      <c r="H234"/>
      <c r="I234"/>
      <c r="J234"/>
      <c r="K234"/>
      <c r="L234"/>
      <c r="M234"/>
      <c r="N234"/>
      <c r="O234"/>
      <c r="P234"/>
      <c r="Q234"/>
      <c r="R234"/>
    </row>
    <row r="235" spans="2:18" x14ac:dyDescent="0.5">
      <c r="B235"/>
      <c r="C235"/>
      <c r="D235"/>
      <c r="E235"/>
      <c r="F235"/>
      <c r="G235"/>
      <c r="H235"/>
      <c r="I235"/>
      <c r="J235"/>
      <c r="K235"/>
      <c r="L235"/>
      <c r="M235"/>
      <c r="N235"/>
      <c r="O235"/>
      <c r="P235"/>
      <c r="Q235"/>
      <c r="R235"/>
    </row>
    <row r="236" spans="2:18" x14ac:dyDescent="0.5">
      <c r="B236"/>
      <c r="C236"/>
      <c r="D236"/>
      <c r="E236"/>
      <c r="F236"/>
      <c r="G236"/>
      <c r="H236"/>
      <c r="I236"/>
      <c r="J236"/>
      <c r="K236"/>
      <c r="L236"/>
      <c r="M236"/>
      <c r="N236"/>
      <c r="O236"/>
      <c r="P236"/>
      <c r="Q236"/>
      <c r="R236"/>
    </row>
    <row r="237" spans="2:18" ht="18" customHeight="1" x14ac:dyDescent="0.5">
      <c r="B237"/>
      <c r="C237"/>
      <c r="D237"/>
      <c r="E237"/>
      <c r="F237"/>
      <c r="G237"/>
      <c r="H237"/>
      <c r="I237"/>
      <c r="J237"/>
      <c r="K237"/>
      <c r="L237"/>
      <c r="M237"/>
      <c r="N237"/>
      <c r="O237"/>
      <c r="P237"/>
      <c r="Q237"/>
      <c r="R237"/>
    </row>
    <row r="238" spans="2:18" x14ac:dyDescent="0.5">
      <c r="B238"/>
      <c r="C238"/>
      <c r="D238"/>
      <c r="E238"/>
      <c r="F238"/>
      <c r="G238"/>
      <c r="H238"/>
      <c r="I238"/>
      <c r="J238"/>
      <c r="K238"/>
      <c r="L238"/>
      <c r="M238"/>
      <c r="N238"/>
      <c r="O238"/>
      <c r="P238"/>
      <c r="Q238"/>
      <c r="R238"/>
    </row>
    <row r="239" spans="2:18" ht="18" customHeight="1" x14ac:dyDescent="0.5">
      <c r="B239"/>
      <c r="C239"/>
      <c r="D239"/>
      <c r="E239"/>
      <c r="F239"/>
      <c r="G239"/>
      <c r="H239"/>
      <c r="I239"/>
      <c r="J239"/>
      <c r="K239"/>
      <c r="L239"/>
      <c r="M239"/>
      <c r="N239"/>
      <c r="O239"/>
      <c r="P239"/>
      <c r="Q239"/>
      <c r="R239"/>
    </row>
    <row r="240" spans="2:18" x14ac:dyDescent="0.5">
      <c r="B240"/>
      <c r="C240"/>
      <c r="D240"/>
      <c r="E240"/>
      <c r="F240"/>
      <c r="G240"/>
      <c r="H240"/>
      <c r="I240"/>
      <c r="J240"/>
      <c r="K240"/>
      <c r="L240"/>
      <c r="M240"/>
      <c r="N240"/>
      <c r="O240"/>
      <c r="P240"/>
      <c r="Q240"/>
      <c r="R240"/>
    </row>
    <row r="241" spans="2:18" x14ac:dyDescent="0.5">
      <c r="B241"/>
      <c r="C241"/>
      <c r="D241"/>
      <c r="E241"/>
      <c r="F241"/>
      <c r="G241"/>
      <c r="H241"/>
      <c r="I241"/>
      <c r="J241"/>
      <c r="K241"/>
      <c r="L241"/>
      <c r="M241"/>
      <c r="N241"/>
      <c r="O241"/>
      <c r="P241"/>
      <c r="Q241"/>
      <c r="R241"/>
    </row>
    <row r="242" spans="2:18" x14ac:dyDescent="0.5">
      <c r="B242"/>
      <c r="C242"/>
      <c r="D242"/>
      <c r="E242"/>
      <c r="F242"/>
      <c r="G242"/>
      <c r="H242"/>
      <c r="I242"/>
      <c r="J242"/>
      <c r="K242"/>
      <c r="L242"/>
      <c r="M242"/>
      <c r="N242"/>
      <c r="O242"/>
      <c r="P242"/>
      <c r="Q242"/>
      <c r="R242"/>
    </row>
    <row r="243" spans="2:18" x14ac:dyDescent="0.5">
      <c r="B243"/>
      <c r="C243"/>
      <c r="D243"/>
      <c r="E243"/>
      <c r="F243"/>
      <c r="G243"/>
      <c r="H243"/>
      <c r="I243"/>
      <c r="J243"/>
      <c r="K243"/>
      <c r="L243"/>
      <c r="M243"/>
      <c r="N243"/>
      <c r="O243"/>
      <c r="P243"/>
      <c r="Q243"/>
      <c r="R243"/>
    </row>
    <row r="244" spans="2:18" x14ac:dyDescent="0.5">
      <c r="B244"/>
      <c r="C244"/>
      <c r="D244"/>
      <c r="E244"/>
      <c r="F244"/>
      <c r="G244"/>
      <c r="H244"/>
      <c r="I244"/>
      <c r="J244"/>
      <c r="K244"/>
      <c r="L244"/>
      <c r="M244"/>
      <c r="N244"/>
      <c r="O244"/>
      <c r="P244"/>
      <c r="Q244"/>
      <c r="R244"/>
    </row>
    <row r="245" spans="2:18" x14ac:dyDescent="0.5">
      <c r="B245"/>
      <c r="C245"/>
      <c r="D245"/>
      <c r="E245"/>
      <c r="F245"/>
      <c r="G245"/>
      <c r="H245"/>
      <c r="I245"/>
      <c r="J245"/>
      <c r="K245"/>
      <c r="L245"/>
      <c r="M245"/>
      <c r="N245"/>
      <c r="O245"/>
      <c r="P245"/>
      <c r="Q245"/>
      <c r="R245"/>
    </row>
    <row r="246" spans="2:18" x14ac:dyDescent="0.5">
      <c r="B246"/>
      <c r="C246"/>
      <c r="D246"/>
      <c r="E246"/>
      <c r="F246"/>
      <c r="G246"/>
      <c r="H246"/>
      <c r="I246"/>
      <c r="J246"/>
      <c r="K246"/>
      <c r="L246"/>
      <c r="M246"/>
      <c r="N246"/>
      <c r="O246"/>
      <c r="P246"/>
      <c r="Q246"/>
      <c r="R246"/>
    </row>
    <row r="247" spans="2:18" x14ac:dyDescent="0.5">
      <c r="B247"/>
      <c r="C247"/>
      <c r="D247"/>
      <c r="E247"/>
      <c r="F247"/>
      <c r="G247"/>
      <c r="H247"/>
      <c r="I247"/>
      <c r="J247"/>
      <c r="K247"/>
      <c r="L247"/>
      <c r="M247"/>
      <c r="N247"/>
      <c r="O247"/>
      <c r="P247"/>
      <c r="Q247"/>
      <c r="R247"/>
    </row>
    <row r="248" spans="2:18" x14ac:dyDescent="0.5">
      <c r="B248"/>
      <c r="C248"/>
      <c r="D248"/>
      <c r="E248"/>
      <c r="F248"/>
      <c r="G248"/>
      <c r="H248"/>
      <c r="I248"/>
      <c r="J248"/>
      <c r="K248"/>
      <c r="L248"/>
      <c r="M248"/>
      <c r="N248"/>
      <c r="O248"/>
      <c r="P248"/>
      <c r="Q248"/>
      <c r="R248"/>
    </row>
    <row r="249" spans="2:18" x14ac:dyDescent="0.5">
      <c r="B249"/>
      <c r="C249"/>
      <c r="D249"/>
      <c r="E249"/>
      <c r="F249"/>
      <c r="G249"/>
      <c r="H249"/>
      <c r="I249"/>
      <c r="J249"/>
      <c r="K249"/>
      <c r="L249"/>
      <c r="M249"/>
      <c r="N249"/>
      <c r="O249"/>
      <c r="P249"/>
      <c r="Q249"/>
      <c r="R249"/>
    </row>
    <row r="250" spans="2:18" x14ac:dyDescent="0.5">
      <c r="B250"/>
      <c r="C250"/>
      <c r="D250"/>
      <c r="E250"/>
      <c r="F250"/>
      <c r="G250"/>
      <c r="H250"/>
      <c r="I250"/>
      <c r="J250"/>
      <c r="K250"/>
      <c r="L250"/>
      <c r="M250"/>
      <c r="N250"/>
      <c r="O250"/>
      <c r="P250"/>
      <c r="Q250"/>
      <c r="R250"/>
    </row>
    <row r="251" spans="2:18" x14ac:dyDescent="0.5">
      <c r="B251"/>
      <c r="C251"/>
      <c r="D251"/>
      <c r="E251"/>
      <c r="F251"/>
      <c r="G251"/>
      <c r="H251"/>
      <c r="I251"/>
      <c r="J251"/>
      <c r="K251"/>
      <c r="L251"/>
      <c r="M251"/>
      <c r="N251"/>
      <c r="O251"/>
      <c r="P251"/>
      <c r="Q251"/>
      <c r="R251"/>
    </row>
    <row r="252" spans="2:18" x14ac:dyDescent="0.5">
      <c r="B252"/>
      <c r="C252"/>
      <c r="D252"/>
      <c r="E252"/>
      <c r="F252"/>
      <c r="G252"/>
      <c r="H252"/>
      <c r="I252"/>
      <c r="J252"/>
      <c r="K252"/>
      <c r="L252"/>
      <c r="M252"/>
      <c r="N252"/>
      <c r="O252"/>
      <c r="P252"/>
      <c r="Q252"/>
      <c r="R252"/>
    </row>
    <row r="253" spans="2:18" x14ac:dyDescent="0.5">
      <c r="B253"/>
      <c r="C253"/>
      <c r="D253"/>
      <c r="E253"/>
      <c r="F253"/>
      <c r="G253"/>
      <c r="H253"/>
      <c r="I253"/>
      <c r="J253"/>
      <c r="K253"/>
      <c r="L253"/>
      <c r="M253"/>
      <c r="N253"/>
      <c r="O253"/>
      <c r="P253"/>
      <c r="Q253"/>
      <c r="R253"/>
    </row>
    <row r="254" spans="2:18" x14ac:dyDescent="0.5">
      <c r="B254"/>
      <c r="C254"/>
      <c r="D254"/>
      <c r="E254"/>
      <c r="F254"/>
      <c r="G254"/>
      <c r="H254"/>
      <c r="I254"/>
      <c r="J254"/>
      <c r="K254"/>
      <c r="L254"/>
      <c r="M254"/>
      <c r="N254"/>
      <c r="O254"/>
      <c r="P254"/>
      <c r="Q254"/>
      <c r="R254"/>
    </row>
    <row r="255" spans="2:18" x14ac:dyDescent="0.5">
      <c r="B255"/>
      <c r="C255"/>
      <c r="D255"/>
      <c r="E255"/>
      <c r="F255"/>
      <c r="G255"/>
      <c r="H255"/>
      <c r="I255"/>
      <c r="J255"/>
      <c r="K255"/>
      <c r="L255"/>
      <c r="M255"/>
      <c r="N255"/>
      <c r="O255"/>
      <c r="P255"/>
      <c r="Q255"/>
      <c r="R255"/>
    </row>
    <row r="256" spans="2:18" x14ac:dyDescent="0.5">
      <c r="B256"/>
      <c r="C256"/>
      <c r="D256"/>
      <c r="E256"/>
      <c r="F256"/>
      <c r="G256"/>
      <c r="H256"/>
      <c r="I256"/>
      <c r="J256"/>
      <c r="K256"/>
      <c r="L256"/>
      <c r="M256"/>
      <c r="N256"/>
      <c r="O256"/>
      <c r="P256"/>
      <c r="Q256"/>
      <c r="R256"/>
    </row>
    <row r="257" spans="2:18" x14ac:dyDescent="0.5">
      <c r="B257"/>
      <c r="C257"/>
      <c r="D257"/>
      <c r="E257"/>
      <c r="F257"/>
      <c r="G257"/>
      <c r="H257"/>
      <c r="I257"/>
      <c r="J257"/>
      <c r="K257"/>
      <c r="L257"/>
      <c r="M257"/>
      <c r="N257"/>
      <c r="O257"/>
      <c r="P257"/>
      <c r="Q257"/>
      <c r="R257"/>
    </row>
    <row r="258" spans="2:18" x14ac:dyDescent="0.5">
      <c r="B258"/>
      <c r="C258"/>
      <c r="D258"/>
      <c r="E258"/>
      <c r="F258"/>
      <c r="G258"/>
      <c r="H258"/>
      <c r="I258"/>
      <c r="J258"/>
      <c r="K258"/>
      <c r="L258"/>
      <c r="M258"/>
      <c r="N258"/>
      <c r="O258"/>
      <c r="P258"/>
      <c r="Q258"/>
      <c r="R258"/>
    </row>
    <row r="259" spans="2:18" x14ac:dyDescent="0.5">
      <c r="B259"/>
      <c r="C259"/>
      <c r="D259"/>
      <c r="E259"/>
      <c r="F259"/>
      <c r="G259"/>
      <c r="H259"/>
      <c r="I259"/>
      <c r="J259"/>
      <c r="K259"/>
      <c r="L259"/>
      <c r="M259"/>
      <c r="N259"/>
      <c r="O259"/>
      <c r="P259"/>
      <c r="Q259"/>
      <c r="R259"/>
    </row>
    <row r="260" spans="2:18" x14ac:dyDescent="0.5">
      <c r="B260"/>
      <c r="C260"/>
      <c r="D260"/>
      <c r="E260"/>
      <c r="F260"/>
      <c r="G260"/>
      <c r="H260"/>
      <c r="I260"/>
      <c r="J260"/>
      <c r="K260"/>
      <c r="L260"/>
      <c r="M260"/>
      <c r="N260"/>
      <c r="O260"/>
      <c r="P260"/>
      <c r="Q260"/>
      <c r="R260"/>
    </row>
    <row r="261" spans="2:18" x14ac:dyDescent="0.5">
      <c r="B261"/>
      <c r="C261"/>
      <c r="D261"/>
      <c r="E261"/>
      <c r="F261"/>
      <c r="G261"/>
      <c r="H261"/>
      <c r="I261"/>
      <c r="J261"/>
      <c r="K261"/>
      <c r="L261"/>
      <c r="M261"/>
      <c r="N261"/>
      <c r="O261"/>
      <c r="P261"/>
      <c r="Q261"/>
      <c r="R261"/>
    </row>
    <row r="262" spans="2:18" x14ac:dyDescent="0.5">
      <c r="B262"/>
      <c r="C262"/>
      <c r="D262"/>
      <c r="E262"/>
      <c r="F262"/>
      <c r="G262"/>
      <c r="H262"/>
      <c r="I262"/>
      <c r="J262"/>
      <c r="K262"/>
      <c r="L262"/>
      <c r="M262"/>
      <c r="N262"/>
      <c r="O262"/>
      <c r="P262"/>
      <c r="Q262"/>
      <c r="R262"/>
    </row>
    <row r="263" spans="2:18" x14ac:dyDescent="0.5">
      <c r="B263"/>
      <c r="C263"/>
      <c r="D263"/>
      <c r="E263"/>
      <c r="F263"/>
      <c r="G263"/>
      <c r="H263"/>
      <c r="I263"/>
      <c r="J263"/>
      <c r="K263"/>
      <c r="L263"/>
      <c r="M263"/>
      <c r="N263"/>
      <c r="O263"/>
      <c r="P263"/>
      <c r="Q263"/>
      <c r="R263"/>
    </row>
    <row r="264" spans="2:18" x14ac:dyDescent="0.5">
      <c r="B264"/>
      <c r="C264"/>
      <c r="D264"/>
      <c r="E264"/>
      <c r="F264"/>
      <c r="G264"/>
      <c r="H264"/>
      <c r="I264"/>
      <c r="J264"/>
      <c r="K264"/>
      <c r="L264"/>
      <c r="M264"/>
      <c r="N264"/>
      <c r="O264"/>
      <c r="P264"/>
      <c r="Q264"/>
      <c r="R264"/>
    </row>
    <row r="265" spans="2:18" x14ac:dyDescent="0.5">
      <c r="B265"/>
      <c r="C265"/>
      <c r="D265"/>
      <c r="E265"/>
      <c r="F265"/>
      <c r="G265"/>
      <c r="H265"/>
      <c r="I265"/>
      <c r="J265"/>
      <c r="K265"/>
      <c r="L265"/>
      <c r="M265"/>
      <c r="N265"/>
      <c r="O265"/>
      <c r="P265"/>
      <c r="Q265"/>
      <c r="R265"/>
    </row>
    <row r="266" spans="2:18" x14ac:dyDescent="0.5">
      <c r="B266"/>
      <c r="C266"/>
      <c r="D266"/>
      <c r="E266"/>
      <c r="F266"/>
      <c r="G266"/>
      <c r="H266"/>
      <c r="I266"/>
      <c r="J266"/>
      <c r="K266"/>
      <c r="L266"/>
      <c r="M266"/>
      <c r="N266"/>
      <c r="O266"/>
      <c r="P266"/>
      <c r="Q266"/>
      <c r="R266"/>
    </row>
    <row r="267" spans="2:18" x14ac:dyDescent="0.5">
      <c r="B267"/>
      <c r="C267"/>
      <c r="D267"/>
      <c r="E267"/>
      <c r="F267"/>
      <c r="G267"/>
      <c r="H267"/>
      <c r="I267"/>
      <c r="J267"/>
      <c r="K267"/>
      <c r="L267"/>
      <c r="M267"/>
      <c r="N267"/>
      <c r="O267"/>
      <c r="P267"/>
      <c r="Q267"/>
      <c r="R267"/>
    </row>
    <row r="268" spans="2:18" x14ac:dyDescent="0.5">
      <c r="B268"/>
      <c r="C268"/>
      <c r="D268"/>
      <c r="E268"/>
      <c r="F268"/>
      <c r="G268"/>
      <c r="H268"/>
      <c r="I268"/>
      <c r="J268"/>
      <c r="K268"/>
      <c r="L268"/>
      <c r="M268"/>
      <c r="N268"/>
      <c r="O268"/>
      <c r="P268"/>
      <c r="Q268"/>
      <c r="R268"/>
    </row>
    <row r="269" spans="2:18" x14ac:dyDescent="0.5">
      <c r="B269"/>
      <c r="C269"/>
      <c r="D269"/>
      <c r="E269"/>
      <c r="F269"/>
      <c r="G269"/>
      <c r="H269"/>
      <c r="I269"/>
      <c r="J269"/>
      <c r="K269"/>
      <c r="L269"/>
      <c r="M269"/>
      <c r="N269"/>
      <c r="O269"/>
      <c r="P269"/>
      <c r="Q269"/>
      <c r="R269"/>
    </row>
    <row r="270" spans="2:18" x14ac:dyDescent="0.5">
      <c r="B270"/>
      <c r="C270"/>
      <c r="D270"/>
      <c r="E270"/>
      <c r="F270"/>
      <c r="G270"/>
      <c r="H270"/>
      <c r="I270"/>
      <c r="J270"/>
      <c r="K270"/>
      <c r="L270"/>
      <c r="M270"/>
      <c r="N270"/>
      <c r="O270"/>
      <c r="P270"/>
      <c r="Q270"/>
      <c r="R270"/>
    </row>
    <row r="271" spans="2:18" x14ac:dyDescent="0.5">
      <c r="B271"/>
      <c r="C271"/>
      <c r="D271"/>
      <c r="E271"/>
      <c r="F271"/>
      <c r="G271"/>
      <c r="H271"/>
      <c r="I271"/>
      <c r="J271"/>
      <c r="K271"/>
      <c r="L271"/>
      <c r="M271"/>
      <c r="N271"/>
      <c r="O271"/>
      <c r="P271"/>
      <c r="Q271"/>
      <c r="R271"/>
    </row>
    <row r="272" spans="2:18" x14ac:dyDescent="0.5">
      <c r="B272"/>
      <c r="C272"/>
      <c r="D272"/>
      <c r="E272"/>
      <c r="F272"/>
      <c r="G272"/>
      <c r="H272"/>
      <c r="I272"/>
      <c r="J272"/>
      <c r="K272"/>
      <c r="L272"/>
      <c r="M272"/>
      <c r="N272"/>
      <c r="O272"/>
      <c r="P272"/>
      <c r="Q272"/>
      <c r="R272"/>
    </row>
    <row r="273" spans="2:18" x14ac:dyDescent="0.5">
      <c r="B273"/>
      <c r="C273"/>
      <c r="D273"/>
      <c r="E273"/>
      <c r="F273"/>
      <c r="G273"/>
      <c r="H273"/>
      <c r="I273"/>
      <c r="J273"/>
      <c r="K273"/>
      <c r="L273"/>
      <c r="M273"/>
      <c r="N273"/>
      <c r="O273"/>
      <c r="P273"/>
      <c r="Q273"/>
      <c r="R273"/>
    </row>
    <row r="274" spans="2:18" x14ac:dyDescent="0.5">
      <c r="B274"/>
      <c r="C274"/>
      <c r="D274"/>
      <c r="E274"/>
      <c r="F274"/>
      <c r="G274"/>
      <c r="H274"/>
      <c r="I274"/>
      <c r="J274"/>
      <c r="K274"/>
      <c r="L274"/>
      <c r="M274"/>
      <c r="N274"/>
      <c r="O274"/>
      <c r="P274"/>
      <c r="Q274"/>
      <c r="R274"/>
    </row>
  </sheetData>
  <mergeCells count="9">
    <mergeCell ref="C57:E57"/>
    <mergeCell ref="F57:K57"/>
    <mergeCell ref="L57:N57"/>
    <mergeCell ref="O57:Q57"/>
    <mergeCell ref="B3:R3"/>
    <mergeCell ref="D8:F9"/>
    <mergeCell ref="D10:F12"/>
    <mergeCell ref="B48:R48"/>
    <mergeCell ref="D53:Q54"/>
  </mergeCells>
  <hyperlinks>
    <hyperlink ref="D33" r:id="rId1" display="https://www.forestresearch.gov.uk/research/archive-forest-management-tables-metric/"/>
    <hyperlink ref="D37" r:id="rId2" display="https://www.forestresearch.gov.uk/research/archive-forest-management-tables-metric/"/>
    <hyperlink ref="D39" r:id="rId3" display="https://inventaire-forestier.ign.fr/IMG/pdf/RapportVolumes_VFinale_p2.pdf"/>
    <hyperlink ref="D78" r:id="rId4" display="https://www.forestresearch.gov.uk/research/archive-forest-management-tables-metric/"/>
    <hyperlink ref="D82" r:id="rId5" display="https://www.forestresearch.gov.uk/research/archive-forest-management-tables-metric/"/>
    <hyperlink ref="D84" r:id="rId6" display="https://inventaire-forestier.ign.fr/IMG/pdf/RapportVolumes_VFinale_p2.pdf"/>
    <hyperlink ref="D55" r:id="rId7"/>
  </hyperlinks>
  <pageMargins left="0.23622047244094491" right="0.23622047244094491" top="0.31496062992125984" bottom="0.31496062992125984" header="0.31496062992125984" footer="0.31496062992125984"/>
  <pageSetup paperSize="9" scale="64" fitToHeight="0"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4:X101"/>
  <sheetViews>
    <sheetView tabSelected="1" topLeftCell="A6" zoomScale="70" zoomScaleNormal="70" zoomScalePageLayoutView="55" workbookViewId="0">
      <selection activeCell="K14" sqref="K14"/>
    </sheetView>
  </sheetViews>
  <sheetFormatPr baseColWidth="10" defaultColWidth="11.44140625" defaultRowHeight="18" x14ac:dyDescent="0.5"/>
  <cols>
    <col min="1" max="1" width="11.44140625" style="19"/>
    <col min="2" max="2" width="11.44140625" style="19" customWidth="1"/>
    <col min="3" max="3" width="2" style="19" customWidth="1"/>
    <col min="4" max="9" width="14.5546875" style="19" customWidth="1"/>
    <col min="10" max="10" width="15.33203125" style="19" customWidth="1"/>
    <col min="11" max="17" width="14.5546875" style="19" customWidth="1"/>
    <col min="18" max="18" width="15.44140625" style="19" customWidth="1"/>
    <col min="19" max="19" width="2.109375" style="19" customWidth="1"/>
    <col min="20" max="16384" width="11.44140625" style="19"/>
  </cols>
  <sheetData>
    <row r="4" spans="3:19" ht="18.600000000000001" thickBot="1" x14ac:dyDescent="0.55000000000000004"/>
    <row r="5" spans="3:19" x14ac:dyDescent="0.5">
      <c r="C5" s="10"/>
      <c r="D5" s="11"/>
      <c r="E5" s="11"/>
      <c r="F5" s="11"/>
      <c r="G5" s="11"/>
      <c r="H5" s="11"/>
      <c r="I5" s="11"/>
      <c r="J5" s="11"/>
      <c r="K5" s="11"/>
      <c r="L5" s="11"/>
      <c r="M5" s="11"/>
      <c r="N5" s="11"/>
      <c r="O5" s="11"/>
      <c r="P5" s="11"/>
      <c r="Q5" s="11"/>
      <c r="R5" s="11"/>
      <c r="S5" s="12"/>
    </row>
    <row r="6" spans="3:19" x14ac:dyDescent="0.5">
      <c r="C6" s="13"/>
      <c r="D6" s="350" t="s">
        <v>128</v>
      </c>
      <c r="E6" s="350"/>
      <c r="F6" s="350"/>
      <c r="G6" s="350"/>
      <c r="H6" s="350"/>
      <c r="I6" s="350"/>
      <c r="J6" s="350"/>
      <c r="K6" s="350"/>
      <c r="L6" s="350"/>
      <c r="M6" s="350"/>
      <c r="N6" s="350"/>
      <c r="O6" s="350"/>
      <c r="P6" s="350"/>
      <c r="Q6" s="350"/>
      <c r="R6" s="350"/>
      <c r="S6" s="15"/>
    </row>
    <row r="7" spans="3:19" ht="18.600000000000001" thickBot="1" x14ac:dyDescent="0.55000000000000004">
      <c r="C7" s="16"/>
      <c r="D7" s="17"/>
      <c r="E7" s="17"/>
      <c r="F7" s="17"/>
      <c r="G7" s="17"/>
      <c r="H7" s="17"/>
      <c r="I7" s="17"/>
      <c r="J7" s="17"/>
      <c r="K7" s="17"/>
      <c r="L7" s="17"/>
      <c r="M7" s="17"/>
      <c r="N7" s="17"/>
      <c r="O7" s="17"/>
      <c r="P7" s="17"/>
      <c r="Q7" s="17"/>
      <c r="R7" s="17"/>
      <c r="S7" s="18"/>
    </row>
    <row r="8" spans="3:19" x14ac:dyDescent="0.5">
      <c r="C8" s="13"/>
      <c r="D8" s="14"/>
      <c r="E8" s="14"/>
      <c r="F8" s="14"/>
      <c r="G8" s="14"/>
      <c r="H8" s="14"/>
      <c r="I8" s="14"/>
      <c r="J8" s="14"/>
      <c r="K8" s="14"/>
      <c r="L8" s="11"/>
      <c r="M8" s="11"/>
      <c r="N8" s="11"/>
      <c r="O8" s="11"/>
      <c r="P8" s="11"/>
      <c r="Q8" s="11"/>
      <c r="R8" s="11"/>
      <c r="S8" s="12"/>
    </row>
    <row r="9" spans="3:19" ht="16.5" customHeight="1" x14ac:dyDescent="0.5">
      <c r="C9" s="13"/>
      <c r="S9" s="15"/>
    </row>
    <row r="10" spans="3:19" x14ac:dyDescent="0.5">
      <c r="C10" s="13"/>
      <c r="D10" s="20" t="s">
        <v>85</v>
      </c>
      <c r="K10" s="20"/>
      <c r="L10" s="14"/>
      <c r="M10" s="14"/>
      <c r="N10" s="14"/>
      <c r="S10" s="15"/>
    </row>
    <row r="11" spans="3:19" x14ac:dyDescent="0.5">
      <c r="C11" s="13"/>
      <c r="D11" s="124" t="s">
        <v>84</v>
      </c>
      <c r="E11" s="14" t="s">
        <v>300</v>
      </c>
      <c r="F11" s="14"/>
      <c r="H11" s="124" t="s">
        <v>88</v>
      </c>
      <c r="I11" s="126">
        <f>SUM(E24:Q24)</f>
        <v>10.899999999999999</v>
      </c>
      <c r="K11" s="14" t="s">
        <v>303</v>
      </c>
      <c r="L11" s="14"/>
      <c r="M11" s="14"/>
      <c r="N11" s="14"/>
      <c r="O11" s="14" t="s">
        <v>262</v>
      </c>
      <c r="P11" s="332">
        <f>VAN!D4</f>
        <v>-48888.278427333469</v>
      </c>
      <c r="Q11" s="14"/>
      <c r="R11" s="14"/>
      <c r="S11" s="15"/>
    </row>
    <row r="12" spans="3:19" x14ac:dyDescent="0.5">
      <c r="C12" s="13"/>
      <c r="D12" s="125" t="s">
        <v>179</v>
      </c>
      <c r="E12" s="19" t="s">
        <v>301</v>
      </c>
      <c r="F12" s="14"/>
      <c r="H12" s="124" t="s">
        <v>86</v>
      </c>
      <c r="I12" s="345" t="s">
        <v>302</v>
      </c>
      <c r="K12" s="14" t="s">
        <v>304</v>
      </c>
      <c r="L12" s="14"/>
      <c r="M12" s="14"/>
      <c r="N12" s="14"/>
      <c r="O12" s="14" t="s">
        <v>254</v>
      </c>
      <c r="P12" s="332">
        <f>VAN!D5</f>
        <v>192.80085659703701</v>
      </c>
      <c r="Q12" s="14"/>
      <c r="R12" s="14"/>
      <c r="S12" s="15"/>
    </row>
    <row r="13" spans="3:19" x14ac:dyDescent="0.5">
      <c r="C13" s="13"/>
      <c r="D13" s="125" t="s">
        <v>180</v>
      </c>
      <c r="E13" s="19" t="s">
        <v>267</v>
      </c>
      <c r="F13" s="14"/>
      <c r="H13" s="124" t="s">
        <v>87</v>
      </c>
      <c r="I13" s="345" t="s">
        <v>123</v>
      </c>
      <c r="K13" s="14" t="s">
        <v>305</v>
      </c>
      <c r="L13" s="14"/>
      <c r="M13" s="14"/>
      <c r="N13" s="14"/>
      <c r="O13" s="20" t="s">
        <v>255</v>
      </c>
      <c r="P13" s="333">
        <f>VAN!D6</f>
        <v>-49081.079283930507</v>
      </c>
      <c r="Q13" s="14"/>
      <c r="R13" s="14"/>
      <c r="S13" s="15"/>
    </row>
    <row r="14" spans="3:19" x14ac:dyDescent="0.5">
      <c r="C14" s="13"/>
      <c r="F14" s="14"/>
      <c r="G14" s="14"/>
      <c r="H14" s="14"/>
      <c r="L14" s="14"/>
      <c r="M14" s="14"/>
      <c r="N14" s="14"/>
      <c r="P14" s="14"/>
      <c r="Q14" s="14"/>
      <c r="R14" s="14"/>
      <c r="S14" s="15"/>
    </row>
    <row r="15" spans="3:19" x14ac:dyDescent="0.5">
      <c r="C15" s="13"/>
      <c r="O15" s="14"/>
      <c r="P15" s="14"/>
      <c r="Q15" s="14"/>
      <c r="R15" s="14"/>
      <c r="S15" s="15"/>
    </row>
    <row r="16" spans="3:19" x14ac:dyDescent="0.5">
      <c r="C16" s="13"/>
      <c r="S16" s="15"/>
    </row>
    <row r="17" spans="3:19" x14ac:dyDescent="0.5">
      <c r="C17" s="13"/>
      <c r="D17" s="29" t="s">
        <v>183</v>
      </c>
      <c r="S17" s="15"/>
    </row>
    <row r="18" spans="3:19" ht="18.600000000000001" thickBot="1" x14ac:dyDescent="0.55000000000000004">
      <c r="C18" s="13"/>
      <c r="D18" s="14"/>
      <c r="S18" s="15"/>
    </row>
    <row r="19" spans="3:19" x14ac:dyDescent="0.5">
      <c r="C19" s="13"/>
      <c r="D19" s="103" t="s">
        <v>131</v>
      </c>
      <c r="E19" s="118" t="str">
        <f>'Pin Laricio'!F17</f>
        <v xml:space="preserve">Pin laricio </v>
      </c>
      <c r="F19" s="119" t="str">
        <f>'Pin Maritime'!$F$17</f>
        <v xml:space="preserve">Pin maritime </v>
      </c>
      <c r="G19" s="119"/>
      <c r="H19" s="119"/>
      <c r="I19" s="119"/>
      <c r="J19" s="119"/>
      <c r="K19" s="119"/>
      <c r="L19" s="119"/>
      <c r="M19" s="119"/>
      <c r="N19" s="119"/>
      <c r="O19" s="119"/>
      <c r="P19" s="119"/>
      <c r="Q19" s="120"/>
      <c r="R19" s="107"/>
      <c r="S19" s="15"/>
    </row>
    <row r="20" spans="3:19" x14ac:dyDescent="0.5">
      <c r="C20" s="13"/>
      <c r="D20" s="104" t="s">
        <v>178</v>
      </c>
      <c r="E20" s="116" t="str">
        <f>'Pin Laricio'!D5</f>
        <v>Forêt tempérée</v>
      </c>
      <c r="F20" s="117" t="str">
        <f>'Pin Maritime'!$D$5</f>
        <v>Forêt tempérée</v>
      </c>
      <c r="G20" s="117"/>
      <c r="H20" s="117"/>
      <c r="I20" s="117"/>
      <c r="J20" s="117"/>
      <c r="K20" s="117"/>
      <c r="L20" s="117"/>
      <c r="M20" s="117"/>
      <c r="N20" s="117"/>
      <c r="O20" s="117"/>
      <c r="P20" s="117"/>
      <c r="Q20" s="121"/>
      <c r="R20" s="108"/>
      <c r="S20" s="15"/>
    </row>
    <row r="21" spans="3:19" x14ac:dyDescent="0.5">
      <c r="C21" s="13"/>
      <c r="D21" s="105" t="s">
        <v>175</v>
      </c>
      <c r="E21" s="111">
        <f>'Pin Laricio'!C127</f>
        <v>215.95324115850582</v>
      </c>
      <c r="F21" s="112">
        <f>'Pin Maritime'!$C$127</f>
        <v>223.22669514054724</v>
      </c>
      <c r="G21" s="112"/>
      <c r="H21" s="112"/>
      <c r="I21" s="112"/>
      <c r="J21" s="112"/>
      <c r="K21" s="112"/>
      <c r="L21" s="112"/>
      <c r="M21" s="112"/>
      <c r="N21" s="112"/>
      <c r="O21" s="112"/>
      <c r="P21" s="112"/>
      <c r="Q21" s="122"/>
      <c r="R21" s="109">
        <f>SUMPRODUCT(E21:Q21,$E$24:$Q$24)</f>
        <v>2385.1661807504915</v>
      </c>
      <c r="S21" s="15"/>
    </row>
    <row r="22" spans="3:19" x14ac:dyDescent="0.5">
      <c r="C22" s="13"/>
      <c r="D22" s="105" t="s">
        <v>176</v>
      </c>
      <c r="E22" s="111">
        <f>'Pin Laricio'!D127</f>
        <v>3.8868842634585605</v>
      </c>
      <c r="F22" s="112">
        <f>'Pin Maritime'!$D$127</f>
        <v>16.308248807012244</v>
      </c>
      <c r="G22" s="112"/>
      <c r="H22" s="112"/>
      <c r="I22" s="112"/>
      <c r="J22" s="112"/>
      <c r="K22" s="112"/>
      <c r="L22" s="112"/>
      <c r="M22" s="112"/>
      <c r="N22" s="112"/>
      <c r="O22" s="112"/>
      <c r="P22" s="112"/>
      <c r="Q22" s="122"/>
      <c r="R22" s="109">
        <f>SUMPRODUCT(E22:Q22,$E$24:$Q$24)</f>
        <v>95.778906008979135</v>
      </c>
      <c r="S22" s="15"/>
    </row>
    <row r="23" spans="3:19" x14ac:dyDescent="0.5">
      <c r="C23" s="13"/>
      <c r="D23" s="105" t="s">
        <v>177</v>
      </c>
      <c r="E23" s="111">
        <f>'Pin Laricio'!E127</f>
        <v>14.19</v>
      </c>
      <c r="F23" s="112">
        <f>'Pin Maritime'!$E$127</f>
        <v>46.079479853265482</v>
      </c>
      <c r="G23" s="112"/>
      <c r="H23" s="112"/>
      <c r="I23" s="112"/>
      <c r="J23" s="112"/>
      <c r="K23" s="112"/>
      <c r="L23" s="112"/>
      <c r="M23" s="112"/>
      <c r="N23" s="112"/>
      <c r="O23" s="112"/>
      <c r="P23" s="112"/>
      <c r="Q23" s="122"/>
      <c r="R23" s="109">
        <f>SUMPRODUCT(E23:Q23,$E$24:$Q$24)</f>
        <v>291.79576336904154</v>
      </c>
      <c r="S23" s="15"/>
    </row>
    <row r="24" spans="3:19" ht="18.600000000000001" thickBot="1" x14ac:dyDescent="0.55000000000000004">
      <c r="C24" s="13"/>
      <c r="D24" s="106" t="s">
        <v>174</v>
      </c>
      <c r="E24" s="113">
        <f>'Pin Laricio'!F21</f>
        <v>6.6</v>
      </c>
      <c r="F24" s="114">
        <f>'Pin Maritime'!$F21</f>
        <v>4.3</v>
      </c>
      <c r="G24" s="114">
        <f>'C'!F21</f>
        <v>0</v>
      </c>
      <c r="H24" s="114">
        <f>D!$F21</f>
        <v>0</v>
      </c>
      <c r="I24" s="114">
        <f>E!$F21</f>
        <v>0</v>
      </c>
      <c r="J24" s="114">
        <f>F!$F21</f>
        <v>0</v>
      </c>
      <c r="K24" s="114">
        <f>0</f>
        <v>0</v>
      </c>
      <c r="L24" s="114">
        <f>0</f>
        <v>0</v>
      </c>
      <c r="M24" s="114">
        <f>0</f>
        <v>0</v>
      </c>
      <c r="N24" s="114">
        <f>0</f>
        <v>0</v>
      </c>
      <c r="O24" s="114">
        <f>0</f>
        <v>0</v>
      </c>
      <c r="P24" s="114">
        <f>0</f>
        <v>0</v>
      </c>
      <c r="Q24" s="123">
        <f>0</f>
        <v>0</v>
      </c>
      <c r="R24" s="110"/>
      <c r="S24" s="15"/>
    </row>
    <row r="25" spans="3:19" x14ac:dyDescent="0.5">
      <c r="C25" s="13"/>
      <c r="D25" s="11"/>
      <c r="E25" s="115">
        <f>SUM(E21:E23)*E24</f>
        <v>1544.5988277849649</v>
      </c>
      <c r="F25" s="115">
        <f>SUM(F21:F23)*F24</f>
        <v>1228.1420223435473</v>
      </c>
      <c r="G25" s="115">
        <f>SUM(G21:G23)*G24</f>
        <v>0</v>
      </c>
      <c r="H25" s="115">
        <f>SUM(H21:H23)*H24</f>
        <v>0</v>
      </c>
      <c r="I25" s="115">
        <f>SUM(I21:I23)*I24</f>
        <v>0</v>
      </c>
      <c r="J25" s="115">
        <f>SUM(I21:I23)*J24</f>
        <v>0</v>
      </c>
      <c r="K25" s="115">
        <f t="shared" ref="K25:Q25" si="0">SUM(K21:K23)*K24</f>
        <v>0</v>
      </c>
      <c r="L25" s="115">
        <f t="shared" si="0"/>
        <v>0</v>
      </c>
      <c r="M25" s="115">
        <f t="shared" si="0"/>
        <v>0</v>
      </c>
      <c r="N25" s="115">
        <f t="shared" si="0"/>
        <v>0</v>
      </c>
      <c r="O25" s="115">
        <f t="shared" si="0"/>
        <v>0</v>
      </c>
      <c r="P25" s="115">
        <f t="shared" si="0"/>
        <v>0</v>
      </c>
      <c r="Q25" s="115">
        <f t="shared" si="0"/>
        <v>0</v>
      </c>
      <c r="R25" s="127">
        <f>IF(SUM(E25:P25)=SUM(R21:R23),SUM(R21:R23),"erreur")</f>
        <v>2772.7408501285122</v>
      </c>
      <c r="S25" s="15"/>
    </row>
    <row r="26" spans="3:19" x14ac:dyDescent="0.5">
      <c r="C26" s="13"/>
      <c r="I26" s="14"/>
      <c r="J26" s="14"/>
      <c r="K26" s="14"/>
      <c r="R26" s="14"/>
      <c r="S26" s="15"/>
    </row>
    <row r="27" spans="3:19" x14ac:dyDescent="0.5">
      <c r="C27" s="13"/>
      <c r="S27" s="15"/>
    </row>
    <row r="28" spans="3:19" x14ac:dyDescent="0.5">
      <c r="C28" s="13"/>
      <c r="S28" s="15"/>
    </row>
    <row r="29" spans="3:19" x14ac:dyDescent="0.5">
      <c r="C29" s="13"/>
      <c r="D29" s="20" t="s">
        <v>182</v>
      </c>
      <c r="M29" s="20" t="s">
        <v>126</v>
      </c>
      <c r="S29" s="15"/>
    </row>
    <row r="30" spans="3:19" x14ac:dyDescent="0.5">
      <c r="C30" s="13"/>
      <c r="K30" s="14"/>
      <c r="M30" s="14"/>
      <c r="N30" s="14"/>
      <c r="O30" s="14"/>
      <c r="P30" s="14"/>
      <c r="Q30" s="14"/>
      <c r="R30" s="14" t="s">
        <v>93</v>
      </c>
      <c r="S30" s="15"/>
    </row>
    <row r="31" spans="3:19" x14ac:dyDescent="0.5">
      <c r="C31" s="13"/>
      <c r="E31" s="14"/>
      <c r="F31" s="14"/>
      <c r="G31" s="14"/>
      <c r="H31" s="14"/>
      <c r="I31" s="14"/>
      <c r="J31" s="161" t="s">
        <v>191</v>
      </c>
      <c r="K31" s="162" t="s">
        <v>192</v>
      </c>
      <c r="L31" s="14"/>
      <c r="M31" s="22" t="s">
        <v>89</v>
      </c>
      <c r="N31" s="352" t="s">
        <v>100</v>
      </c>
      <c r="O31" s="353"/>
      <c r="P31" s="354"/>
      <c r="Q31" s="22" t="s">
        <v>77</v>
      </c>
      <c r="R31" s="128">
        <v>0</v>
      </c>
      <c r="S31" s="15"/>
    </row>
    <row r="32" spans="3:19" x14ac:dyDescent="0.5">
      <c r="C32" s="13"/>
      <c r="D32" s="355" t="s">
        <v>184</v>
      </c>
      <c r="E32" s="355"/>
      <c r="F32" s="14" t="s">
        <v>97</v>
      </c>
      <c r="G32" s="14"/>
      <c r="H32" s="14"/>
      <c r="I32" s="14" t="s">
        <v>101</v>
      </c>
      <c r="J32" s="31">
        <f>SUMPRODUCT(E24:Q24,E21:Q21)</f>
        <v>2385.1661807504915</v>
      </c>
      <c r="K32" s="173">
        <f>J32*(1-$R$31)*(1-$R$32)*(1-$R$33)*(1-$R$34)</f>
        <v>2146.6495626754427</v>
      </c>
      <c r="L32" s="14"/>
      <c r="M32" s="22" t="s">
        <v>90</v>
      </c>
      <c r="N32" s="352" t="s">
        <v>75</v>
      </c>
      <c r="O32" s="353"/>
      <c r="P32" s="354"/>
      <c r="Q32" s="22" t="s">
        <v>94</v>
      </c>
      <c r="R32" s="128">
        <v>0.1</v>
      </c>
      <c r="S32" s="15"/>
    </row>
    <row r="33" spans="1:24" x14ac:dyDescent="0.5">
      <c r="C33" s="13"/>
      <c r="D33" s="355"/>
      <c r="E33" s="355"/>
      <c r="F33" s="14" t="s">
        <v>127</v>
      </c>
      <c r="G33" s="14"/>
      <c r="H33" s="14"/>
      <c r="I33" s="14" t="s">
        <v>102</v>
      </c>
      <c r="J33" s="31">
        <f>SUMPRODUCT(E24:Q24,E22:Q22)</f>
        <v>95.778906008979135</v>
      </c>
      <c r="K33" s="173">
        <f>J33*(1-$R$31)*(1-$R$32)*(1-$R$33)*(1-$R$34)</f>
        <v>86.201015408081219</v>
      </c>
      <c r="L33" s="14"/>
      <c r="M33" s="22" t="s">
        <v>91</v>
      </c>
      <c r="N33" s="352" t="s">
        <v>95</v>
      </c>
      <c r="O33" s="353"/>
      <c r="P33" s="354"/>
      <c r="Q33" s="22" t="s">
        <v>99</v>
      </c>
      <c r="R33" s="128">
        <v>0</v>
      </c>
      <c r="S33" s="15"/>
    </row>
    <row r="34" spans="1:24" x14ac:dyDescent="0.5">
      <c r="C34" s="13"/>
      <c r="D34" s="14" t="s">
        <v>98</v>
      </c>
      <c r="E34" s="14"/>
      <c r="F34" s="14"/>
      <c r="G34" s="14"/>
      <c r="H34" s="14"/>
      <c r="I34" s="14" t="s">
        <v>103</v>
      </c>
      <c r="J34" s="31">
        <f>SUMPRODUCT(E24:Q24,E23:Q23)</f>
        <v>291.79576336904154</v>
      </c>
      <c r="K34" s="173">
        <f>J34*(1-$R$31)*(1-$R$32)*(1-$R$33)*(1-$R$34)</f>
        <v>262.61618703213742</v>
      </c>
      <c r="L34" s="14"/>
      <c r="M34" s="22" t="s">
        <v>92</v>
      </c>
      <c r="N34" s="352" t="s">
        <v>96</v>
      </c>
      <c r="O34" s="353"/>
      <c r="P34" s="354"/>
      <c r="Q34" s="22" t="s">
        <v>77</v>
      </c>
      <c r="R34" s="128">
        <v>0</v>
      </c>
      <c r="S34" s="15"/>
    </row>
    <row r="35" spans="1:24" x14ac:dyDescent="0.5">
      <c r="C35" s="13"/>
      <c r="D35" s="14"/>
      <c r="E35" s="14"/>
      <c r="F35" s="14"/>
      <c r="G35" s="14"/>
      <c r="H35" s="14"/>
      <c r="I35" s="14"/>
      <c r="J35" s="14"/>
      <c r="K35" s="14"/>
      <c r="L35" s="14"/>
      <c r="M35" s="14"/>
      <c r="N35" s="14"/>
      <c r="O35" s="14"/>
      <c r="P35" s="14"/>
      <c r="Q35" s="14"/>
      <c r="R35" s="14"/>
      <c r="S35" s="15"/>
    </row>
    <row r="36" spans="1:24" x14ac:dyDescent="0.5">
      <c r="C36" s="13"/>
      <c r="D36" s="14"/>
      <c r="E36" s="14"/>
      <c r="F36" s="14"/>
      <c r="G36" s="14"/>
      <c r="H36" s="14"/>
      <c r="I36" s="32" t="s">
        <v>181</v>
      </c>
      <c r="J36" s="31">
        <f>J34+J33+J32</f>
        <v>2772.7408501285122</v>
      </c>
      <c r="K36" s="14"/>
      <c r="L36" s="14"/>
      <c r="M36" s="14"/>
      <c r="N36" s="14"/>
      <c r="O36" s="14"/>
      <c r="P36" s="14"/>
      <c r="Q36" s="32" t="s">
        <v>186</v>
      </c>
      <c r="R36" s="31">
        <f>J36*(1-R31)*(1-R32)*(1-R33)*(1-R34)</f>
        <v>2495.466765115661</v>
      </c>
      <c r="S36" s="15"/>
      <c r="W36" s="339"/>
    </row>
    <row r="37" spans="1:24" x14ac:dyDescent="0.5">
      <c r="C37" s="13"/>
      <c r="K37" s="14"/>
      <c r="S37" s="15"/>
    </row>
    <row r="38" spans="1:24" x14ac:dyDescent="0.5">
      <c r="C38" s="13"/>
      <c r="K38" s="14"/>
      <c r="S38" s="15"/>
    </row>
    <row r="39" spans="1:24" ht="18.600000000000001" thickBot="1" x14ac:dyDescent="0.55000000000000004">
      <c r="C39" s="16"/>
      <c r="D39" s="17"/>
      <c r="E39" s="17"/>
      <c r="F39" s="17"/>
      <c r="G39" s="17"/>
      <c r="H39" s="17"/>
      <c r="I39" s="17"/>
      <c r="J39" s="17"/>
      <c r="K39" s="17"/>
      <c r="L39" s="17"/>
      <c r="M39" s="17"/>
      <c r="N39" s="17"/>
      <c r="O39" s="17"/>
      <c r="P39" s="17"/>
      <c r="Q39" s="17"/>
      <c r="R39" s="17"/>
      <c r="S39" s="18"/>
    </row>
    <row r="41" spans="1:24" x14ac:dyDescent="0.5">
      <c r="A41"/>
      <c r="B41"/>
      <c r="C41"/>
      <c r="D41"/>
      <c r="E41"/>
      <c r="F41"/>
      <c r="G41"/>
      <c r="H41"/>
      <c r="I41"/>
      <c r="J41"/>
      <c r="K41"/>
      <c r="L41"/>
      <c r="M41"/>
      <c r="N41"/>
      <c r="O41"/>
      <c r="P41"/>
      <c r="Q41"/>
      <c r="R41"/>
      <c r="S41"/>
      <c r="T41"/>
      <c r="U41"/>
      <c r="V41"/>
      <c r="W41"/>
      <c r="X41"/>
    </row>
    <row r="42" spans="1:24" x14ac:dyDescent="0.5">
      <c r="A42"/>
      <c r="B42"/>
      <c r="C42"/>
      <c r="D42"/>
      <c r="E42"/>
      <c r="F42"/>
      <c r="G42"/>
      <c r="H42"/>
      <c r="I42"/>
      <c r="J42"/>
      <c r="K42"/>
      <c r="L42"/>
      <c r="M42"/>
      <c r="N42"/>
      <c r="O42"/>
      <c r="P42"/>
      <c r="Q42"/>
      <c r="R42"/>
      <c r="S42"/>
      <c r="T42"/>
      <c r="U42"/>
      <c r="V42"/>
      <c r="W42"/>
      <c r="X42"/>
    </row>
    <row r="43" spans="1:24" x14ac:dyDescent="0.5">
      <c r="A43"/>
      <c r="B43"/>
      <c r="C43"/>
      <c r="D43"/>
      <c r="E43"/>
      <c r="F43"/>
      <c r="G43"/>
      <c r="H43"/>
      <c r="I43"/>
      <c r="J43"/>
      <c r="K43"/>
      <c r="L43"/>
      <c r="M43"/>
      <c r="N43"/>
      <c r="O43"/>
      <c r="P43"/>
      <c r="Q43"/>
      <c r="R43"/>
      <c r="S43"/>
      <c r="T43"/>
      <c r="U43"/>
      <c r="V43"/>
      <c r="W43"/>
      <c r="X43"/>
    </row>
    <row r="44" spans="1:24" x14ac:dyDescent="0.5">
      <c r="A44"/>
      <c r="B44"/>
      <c r="C44"/>
      <c r="D44"/>
      <c r="E44"/>
      <c r="F44"/>
      <c r="G44"/>
      <c r="H44"/>
      <c r="I44"/>
      <c r="J44"/>
      <c r="K44"/>
      <c r="L44"/>
      <c r="M44"/>
      <c r="N44"/>
      <c r="O44"/>
      <c r="P44"/>
      <c r="Q44"/>
      <c r="R44"/>
      <c r="S44"/>
      <c r="T44"/>
      <c r="U44"/>
      <c r="V44"/>
      <c r="W44"/>
      <c r="X44"/>
    </row>
    <row r="45" spans="1:24" x14ac:dyDescent="0.5">
      <c r="A45"/>
      <c r="B45"/>
      <c r="C45"/>
      <c r="D45"/>
      <c r="E45"/>
      <c r="F45"/>
      <c r="G45"/>
      <c r="H45"/>
      <c r="I45"/>
      <c r="J45"/>
      <c r="K45"/>
      <c r="L45"/>
      <c r="M45"/>
      <c r="N45"/>
      <c r="O45"/>
      <c r="P45"/>
      <c r="Q45"/>
      <c r="R45"/>
      <c r="S45"/>
      <c r="T45"/>
      <c r="U45"/>
      <c r="V45"/>
      <c r="W45"/>
      <c r="X45"/>
    </row>
    <row r="46" spans="1:24" x14ac:dyDescent="0.5">
      <c r="A46"/>
      <c r="B46"/>
      <c r="C46"/>
      <c r="D46"/>
      <c r="E46"/>
      <c r="F46"/>
      <c r="G46"/>
      <c r="H46"/>
      <c r="I46"/>
      <c r="J46"/>
      <c r="K46"/>
      <c r="L46"/>
      <c r="M46"/>
      <c r="N46"/>
      <c r="O46"/>
      <c r="P46"/>
      <c r="Q46"/>
      <c r="R46"/>
      <c r="S46"/>
      <c r="T46"/>
      <c r="U46"/>
      <c r="V46"/>
      <c r="W46"/>
      <c r="X46"/>
    </row>
    <row r="47" spans="1:24" x14ac:dyDescent="0.5">
      <c r="A47"/>
      <c r="B47"/>
      <c r="C47"/>
      <c r="D47"/>
      <c r="E47"/>
      <c r="F47"/>
      <c r="G47"/>
      <c r="H47"/>
      <c r="I47"/>
      <c r="J47"/>
      <c r="K47"/>
      <c r="L47"/>
      <c r="M47"/>
      <c r="N47"/>
      <c r="O47"/>
      <c r="P47"/>
      <c r="Q47"/>
      <c r="R47"/>
      <c r="S47"/>
      <c r="T47"/>
      <c r="U47"/>
      <c r="V47"/>
      <c r="W47"/>
      <c r="X47"/>
    </row>
    <row r="48" spans="1:24" x14ac:dyDescent="0.5">
      <c r="A48"/>
      <c r="B48"/>
      <c r="C48"/>
      <c r="D48"/>
      <c r="E48"/>
      <c r="F48"/>
      <c r="G48"/>
      <c r="H48"/>
      <c r="I48"/>
      <c r="J48"/>
      <c r="K48"/>
      <c r="L48"/>
      <c r="M48"/>
      <c r="N48"/>
      <c r="O48"/>
      <c r="P48"/>
      <c r="Q48"/>
      <c r="R48"/>
      <c r="S48"/>
      <c r="T48"/>
      <c r="U48"/>
      <c r="V48"/>
      <c r="W48"/>
      <c r="X48"/>
    </row>
    <row r="49" spans="1:24" x14ac:dyDescent="0.5">
      <c r="A49"/>
      <c r="B49"/>
      <c r="C49"/>
      <c r="D49"/>
      <c r="E49"/>
      <c r="F49"/>
      <c r="G49"/>
      <c r="H49"/>
      <c r="I49"/>
      <c r="J49"/>
      <c r="K49"/>
      <c r="L49"/>
      <c r="M49"/>
      <c r="N49"/>
      <c r="O49"/>
      <c r="P49"/>
      <c r="Q49"/>
      <c r="R49"/>
      <c r="S49"/>
      <c r="T49"/>
      <c r="U49"/>
      <c r="V49"/>
      <c r="W49"/>
      <c r="X49"/>
    </row>
    <row r="50" spans="1:24" x14ac:dyDescent="0.5">
      <c r="A50"/>
      <c r="B50"/>
      <c r="C50"/>
      <c r="D50"/>
      <c r="E50"/>
      <c r="F50"/>
      <c r="G50"/>
      <c r="H50"/>
      <c r="I50"/>
      <c r="J50"/>
      <c r="K50"/>
      <c r="L50"/>
      <c r="M50"/>
      <c r="N50"/>
      <c r="O50"/>
      <c r="P50"/>
      <c r="Q50"/>
      <c r="R50"/>
      <c r="S50"/>
      <c r="T50"/>
      <c r="U50"/>
      <c r="V50"/>
      <c r="W50"/>
      <c r="X50"/>
    </row>
    <row r="51" spans="1:24" x14ac:dyDescent="0.5">
      <c r="A51"/>
      <c r="B51"/>
      <c r="C51"/>
      <c r="D51"/>
      <c r="E51"/>
      <c r="F51"/>
      <c r="G51"/>
      <c r="H51"/>
      <c r="I51"/>
      <c r="J51"/>
      <c r="K51"/>
      <c r="L51"/>
      <c r="M51"/>
      <c r="N51"/>
      <c r="O51"/>
      <c r="P51"/>
      <c r="Q51"/>
      <c r="R51"/>
      <c r="S51"/>
      <c r="T51"/>
      <c r="U51"/>
      <c r="V51"/>
      <c r="W51"/>
      <c r="X51"/>
    </row>
    <row r="52" spans="1:24" x14ac:dyDescent="0.5">
      <c r="A52"/>
      <c r="B52"/>
      <c r="C52"/>
      <c r="D52"/>
      <c r="E52"/>
      <c r="F52"/>
      <c r="G52"/>
      <c r="H52"/>
      <c r="I52"/>
      <c r="J52"/>
      <c r="K52"/>
      <c r="L52"/>
      <c r="M52"/>
      <c r="N52"/>
      <c r="O52"/>
      <c r="P52"/>
      <c r="Q52"/>
      <c r="R52"/>
      <c r="S52"/>
      <c r="T52"/>
      <c r="U52"/>
      <c r="V52"/>
      <c r="W52"/>
      <c r="X52"/>
    </row>
    <row r="53" spans="1:24" x14ac:dyDescent="0.5">
      <c r="A53"/>
      <c r="B53"/>
      <c r="C53"/>
      <c r="D53"/>
      <c r="E53"/>
      <c r="F53"/>
      <c r="G53"/>
      <c r="H53"/>
      <c r="I53"/>
      <c r="J53"/>
      <c r="K53"/>
      <c r="L53"/>
      <c r="M53"/>
      <c r="N53"/>
      <c r="O53"/>
      <c r="P53"/>
      <c r="Q53"/>
      <c r="R53"/>
      <c r="S53"/>
      <c r="T53"/>
      <c r="U53"/>
      <c r="V53"/>
      <c r="W53"/>
      <c r="X53"/>
    </row>
    <row r="54" spans="1:24" x14ac:dyDescent="0.5">
      <c r="A54"/>
      <c r="B54"/>
      <c r="C54"/>
      <c r="D54"/>
      <c r="E54"/>
      <c r="F54"/>
      <c r="G54"/>
      <c r="H54"/>
      <c r="I54"/>
      <c r="J54"/>
      <c r="K54"/>
      <c r="L54"/>
      <c r="M54"/>
      <c r="N54"/>
      <c r="O54"/>
      <c r="P54"/>
      <c r="Q54"/>
      <c r="R54"/>
      <c r="S54"/>
      <c r="T54"/>
      <c r="U54"/>
      <c r="V54"/>
      <c r="W54"/>
      <c r="X54"/>
    </row>
    <row r="55" spans="1:24" x14ac:dyDescent="0.5">
      <c r="A55"/>
      <c r="B55"/>
      <c r="C55"/>
      <c r="D55"/>
      <c r="E55"/>
      <c r="F55"/>
      <c r="G55"/>
      <c r="H55"/>
      <c r="I55"/>
      <c r="J55"/>
      <c r="K55"/>
      <c r="L55"/>
      <c r="M55"/>
      <c r="N55"/>
      <c r="O55"/>
      <c r="P55"/>
      <c r="Q55"/>
      <c r="R55"/>
      <c r="S55"/>
      <c r="T55"/>
      <c r="U55"/>
      <c r="V55"/>
      <c r="W55"/>
      <c r="X55"/>
    </row>
    <row r="56" spans="1:24" x14ac:dyDescent="0.5">
      <c r="A56"/>
      <c r="B56"/>
      <c r="C56"/>
      <c r="D56"/>
      <c r="E56"/>
      <c r="F56"/>
      <c r="G56"/>
      <c r="H56"/>
      <c r="I56"/>
      <c r="J56"/>
      <c r="K56"/>
      <c r="L56"/>
      <c r="M56"/>
      <c r="N56"/>
      <c r="O56"/>
      <c r="P56"/>
      <c r="Q56"/>
      <c r="R56"/>
      <c r="S56"/>
      <c r="T56"/>
      <c r="U56"/>
      <c r="V56"/>
      <c r="W56"/>
      <c r="X56"/>
    </row>
    <row r="57" spans="1:24" x14ac:dyDescent="0.5">
      <c r="A57"/>
      <c r="B57"/>
      <c r="C57"/>
      <c r="D57"/>
      <c r="E57"/>
      <c r="F57"/>
      <c r="G57"/>
      <c r="H57"/>
      <c r="I57"/>
      <c r="J57"/>
      <c r="K57"/>
      <c r="L57"/>
      <c r="M57"/>
      <c r="N57"/>
      <c r="O57"/>
      <c r="P57"/>
      <c r="Q57"/>
      <c r="R57"/>
      <c r="S57"/>
      <c r="T57"/>
      <c r="U57"/>
      <c r="V57"/>
      <c r="W57"/>
      <c r="X57"/>
    </row>
    <row r="58" spans="1:24" x14ac:dyDescent="0.5">
      <c r="A58"/>
      <c r="B58"/>
      <c r="C58"/>
      <c r="D58"/>
      <c r="E58"/>
      <c r="F58"/>
      <c r="G58"/>
      <c r="H58"/>
      <c r="I58"/>
      <c r="J58"/>
      <c r="K58"/>
      <c r="L58"/>
      <c r="M58"/>
      <c r="N58"/>
      <c r="O58"/>
      <c r="P58"/>
      <c r="Q58"/>
      <c r="R58"/>
      <c r="S58"/>
      <c r="T58"/>
      <c r="U58"/>
      <c r="V58"/>
      <c r="W58"/>
      <c r="X58"/>
    </row>
    <row r="59" spans="1:24" x14ac:dyDescent="0.5">
      <c r="A59"/>
      <c r="B59"/>
      <c r="C59"/>
      <c r="D59"/>
      <c r="E59"/>
      <c r="F59"/>
      <c r="G59"/>
      <c r="H59"/>
      <c r="I59"/>
      <c r="J59"/>
      <c r="K59"/>
      <c r="L59"/>
      <c r="M59"/>
      <c r="N59"/>
      <c r="O59"/>
      <c r="P59"/>
      <c r="Q59"/>
      <c r="R59"/>
      <c r="S59"/>
      <c r="T59"/>
      <c r="U59"/>
      <c r="V59"/>
      <c r="W59"/>
      <c r="X59"/>
    </row>
    <row r="60" spans="1:24" x14ac:dyDescent="0.5">
      <c r="A60"/>
      <c r="B60"/>
      <c r="C60"/>
      <c r="D60"/>
      <c r="E60"/>
      <c r="F60"/>
      <c r="G60"/>
      <c r="H60"/>
      <c r="I60"/>
      <c r="J60"/>
      <c r="K60"/>
      <c r="L60"/>
      <c r="M60"/>
      <c r="N60"/>
      <c r="O60"/>
      <c r="P60"/>
      <c r="Q60"/>
      <c r="R60"/>
      <c r="S60"/>
      <c r="T60"/>
      <c r="U60"/>
      <c r="V60"/>
      <c r="W60"/>
      <c r="X60"/>
    </row>
    <row r="61" spans="1:24" x14ac:dyDescent="0.5">
      <c r="A61"/>
      <c r="B61"/>
      <c r="C61"/>
      <c r="D61"/>
      <c r="E61"/>
      <c r="F61"/>
      <c r="G61"/>
      <c r="H61"/>
      <c r="I61"/>
      <c r="J61"/>
      <c r="K61"/>
      <c r="L61"/>
      <c r="M61"/>
      <c r="N61"/>
      <c r="O61"/>
      <c r="P61"/>
      <c r="Q61"/>
      <c r="R61"/>
      <c r="S61"/>
      <c r="T61"/>
      <c r="U61"/>
      <c r="V61"/>
      <c r="W61"/>
      <c r="X61"/>
    </row>
    <row r="62" spans="1:24" x14ac:dyDescent="0.5">
      <c r="A62"/>
      <c r="B62"/>
      <c r="C62"/>
      <c r="D62"/>
      <c r="E62"/>
      <c r="F62"/>
      <c r="G62"/>
      <c r="H62"/>
      <c r="I62"/>
      <c r="J62"/>
      <c r="K62"/>
      <c r="L62"/>
      <c r="M62"/>
      <c r="N62"/>
      <c r="O62"/>
      <c r="P62"/>
      <c r="Q62"/>
      <c r="R62"/>
      <c r="S62"/>
      <c r="T62"/>
      <c r="U62"/>
      <c r="V62"/>
      <c r="W62"/>
      <c r="X62"/>
    </row>
    <row r="63" spans="1:24" x14ac:dyDescent="0.5">
      <c r="A63"/>
      <c r="B63"/>
      <c r="C63"/>
      <c r="D63"/>
      <c r="E63"/>
      <c r="F63"/>
      <c r="G63"/>
      <c r="H63"/>
      <c r="I63"/>
      <c r="J63"/>
      <c r="K63"/>
      <c r="L63"/>
      <c r="M63"/>
      <c r="N63"/>
      <c r="O63"/>
      <c r="P63"/>
      <c r="Q63"/>
      <c r="R63"/>
      <c r="S63"/>
      <c r="T63"/>
      <c r="U63"/>
      <c r="V63"/>
      <c r="W63"/>
      <c r="X63"/>
    </row>
    <row r="64" spans="1:24" x14ac:dyDescent="0.5">
      <c r="A64"/>
      <c r="B64"/>
      <c r="C64"/>
      <c r="D64"/>
      <c r="E64"/>
      <c r="F64"/>
      <c r="G64"/>
      <c r="H64"/>
      <c r="I64"/>
      <c r="J64"/>
      <c r="K64"/>
      <c r="L64"/>
      <c r="M64"/>
      <c r="N64"/>
      <c r="O64"/>
      <c r="P64"/>
      <c r="Q64"/>
      <c r="R64"/>
      <c r="S64"/>
      <c r="T64"/>
      <c r="U64"/>
      <c r="V64"/>
      <c r="W64"/>
      <c r="X64"/>
    </row>
    <row r="65" spans="1:24" x14ac:dyDescent="0.5">
      <c r="A65"/>
      <c r="B65"/>
      <c r="C65"/>
      <c r="D65"/>
      <c r="E65"/>
      <c r="F65"/>
      <c r="G65"/>
      <c r="H65"/>
      <c r="I65"/>
      <c r="J65"/>
      <c r="K65"/>
      <c r="L65"/>
      <c r="M65"/>
      <c r="N65"/>
      <c r="O65"/>
      <c r="P65"/>
      <c r="Q65"/>
      <c r="R65"/>
      <c r="S65"/>
      <c r="T65"/>
      <c r="U65"/>
      <c r="V65"/>
      <c r="W65"/>
      <c r="X65"/>
    </row>
    <row r="66" spans="1:24" x14ac:dyDescent="0.5">
      <c r="A66"/>
      <c r="B66"/>
      <c r="C66"/>
      <c r="D66"/>
      <c r="E66"/>
      <c r="F66"/>
      <c r="G66"/>
      <c r="H66"/>
      <c r="I66"/>
      <c r="J66"/>
      <c r="K66"/>
      <c r="L66"/>
      <c r="M66"/>
      <c r="N66"/>
      <c r="O66"/>
      <c r="P66"/>
      <c r="Q66"/>
      <c r="R66"/>
      <c r="S66"/>
      <c r="T66"/>
      <c r="U66"/>
      <c r="V66"/>
      <c r="W66"/>
      <c r="X66"/>
    </row>
    <row r="67" spans="1:24" x14ac:dyDescent="0.5">
      <c r="A67"/>
      <c r="B67"/>
      <c r="C67"/>
      <c r="D67"/>
      <c r="E67"/>
      <c r="F67"/>
      <c r="G67"/>
      <c r="H67"/>
      <c r="I67"/>
      <c r="J67"/>
      <c r="K67"/>
      <c r="L67"/>
      <c r="M67"/>
      <c r="N67"/>
      <c r="O67"/>
      <c r="P67"/>
      <c r="Q67"/>
      <c r="R67"/>
      <c r="S67"/>
      <c r="T67"/>
      <c r="U67"/>
      <c r="V67"/>
      <c r="W67"/>
      <c r="X67"/>
    </row>
    <row r="68" spans="1:24" x14ac:dyDescent="0.5">
      <c r="A68"/>
      <c r="B68"/>
      <c r="C68"/>
      <c r="D68"/>
      <c r="E68"/>
      <c r="F68"/>
      <c r="G68"/>
      <c r="H68"/>
      <c r="I68"/>
      <c r="J68"/>
      <c r="K68"/>
      <c r="L68"/>
      <c r="M68"/>
      <c r="N68"/>
      <c r="O68"/>
      <c r="P68"/>
      <c r="Q68"/>
      <c r="R68"/>
      <c r="S68"/>
      <c r="T68"/>
      <c r="U68"/>
      <c r="V68"/>
      <c r="W68"/>
      <c r="X68"/>
    </row>
    <row r="69" spans="1:24" x14ac:dyDescent="0.5">
      <c r="A69"/>
      <c r="B69"/>
      <c r="C69"/>
      <c r="D69"/>
      <c r="E69"/>
      <c r="F69"/>
      <c r="G69"/>
      <c r="H69"/>
      <c r="I69"/>
      <c r="J69"/>
      <c r="K69"/>
      <c r="L69"/>
      <c r="M69"/>
      <c r="N69"/>
      <c r="O69"/>
      <c r="P69"/>
      <c r="Q69"/>
      <c r="R69"/>
      <c r="S69"/>
      <c r="T69"/>
      <c r="U69"/>
      <c r="V69"/>
      <c r="W69"/>
      <c r="X69"/>
    </row>
    <row r="70" spans="1:24" x14ac:dyDescent="0.5">
      <c r="A70"/>
      <c r="B70"/>
      <c r="C70"/>
      <c r="D70"/>
      <c r="E70"/>
      <c r="F70"/>
      <c r="G70"/>
      <c r="H70"/>
      <c r="I70"/>
      <c r="J70"/>
      <c r="K70"/>
      <c r="L70"/>
      <c r="M70"/>
      <c r="N70"/>
      <c r="O70"/>
      <c r="P70"/>
      <c r="Q70"/>
      <c r="R70"/>
      <c r="S70"/>
      <c r="T70"/>
      <c r="U70"/>
      <c r="V70"/>
      <c r="W70"/>
      <c r="X70"/>
    </row>
    <row r="71" spans="1:24" x14ac:dyDescent="0.5">
      <c r="A71"/>
      <c r="B71"/>
      <c r="C71"/>
      <c r="D71"/>
      <c r="E71"/>
      <c r="F71"/>
      <c r="G71"/>
      <c r="H71"/>
      <c r="I71"/>
      <c r="J71"/>
      <c r="K71"/>
      <c r="L71"/>
      <c r="M71"/>
      <c r="N71"/>
      <c r="O71"/>
      <c r="P71"/>
      <c r="Q71"/>
      <c r="R71"/>
      <c r="S71"/>
      <c r="T71"/>
      <c r="U71"/>
      <c r="V71"/>
      <c r="W71"/>
      <c r="X71"/>
    </row>
    <row r="72" spans="1:24" x14ac:dyDescent="0.5">
      <c r="A72"/>
      <c r="B72"/>
      <c r="C72"/>
      <c r="D72"/>
      <c r="E72"/>
      <c r="F72"/>
      <c r="G72"/>
      <c r="H72"/>
      <c r="I72"/>
      <c r="J72"/>
      <c r="K72"/>
      <c r="L72"/>
      <c r="M72"/>
      <c r="N72"/>
      <c r="O72"/>
      <c r="P72"/>
      <c r="Q72"/>
      <c r="R72"/>
      <c r="S72"/>
      <c r="T72"/>
      <c r="U72"/>
      <c r="V72"/>
      <c r="W72"/>
      <c r="X72"/>
    </row>
    <row r="73" spans="1:24" x14ac:dyDescent="0.5">
      <c r="A73"/>
      <c r="B73"/>
      <c r="C73"/>
      <c r="D73"/>
      <c r="E73"/>
      <c r="F73"/>
      <c r="G73"/>
      <c r="H73"/>
      <c r="I73"/>
      <c r="J73"/>
      <c r="K73"/>
      <c r="L73"/>
      <c r="M73"/>
      <c r="N73"/>
      <c r="O73"/>
      <c r="P73"/>
      <c r="Q73"/>
      <c r="R73"/>
      <c r="S73"/>
      <c r="T73"/>
      <c r="U73"/>
      <c r="V73"/>
      <c r="W73"/>
      <c r="X73"/>
    </row>
    <row r="74" spans="1:24" x14ac:dyDescent="0.5">
      <c r="A74"/>
      <c r="B74"/>
      <c r="C74"/>
      <c r="D74"/>
      <c r="E74"/>
      <c r="F74"/>
      <c r="G74"/>
      <c r="H74"/>
      <c r="I74"/>
      <c r="J74"/>
      <c r="K74"/>
      <c r="L74"/>
      <c r="M74"/>
      <c r="N74"/>
      <c r="O74"/>
      <c r="P74"/>
      <c r="Q74"/>
      <c r="R74"/>
      <c r="S74"/>
      <c r="T74"/>
      <c r="U74"/>
      <c r="V74"/>
      <c r="W74"/>
      <c r="X74"/>
    </row>
    <row r="75" spans="1:24" x14ac:dyDescent="0.5">
      <c r="A75"/>
      <c r="B75"/>
      <c r="C75"/>
      <c r="D75"/>
      <c r="E75"/>
      <c r="F75"/>
      <c r="G75"/>
      <c r="H75"/>
      <c r="I75"/>
      <c r="J75"/>
      <c r="K75"/>
      <c r="L75"/>
      <c r="M75"/>
      <c r="N75"/>
      <c r="O75"/>
      <c r="P75"/>
      <c r="Q75"/>
      <c r="R75"/>
      <c r="S75"/>
      <c r="T75"/>
      <c r="U75"/>
      <c r="V75"/>
      <c r="W75"/>
      <c r="X75"/>
    </row>
    <row r="76" spans="1:24" x14ac:dyDescent="0.5">
      <c r="A76"/>
      <c r="B76"/>
      <c r="C76"/>
      <c r="D76"/>
      <c r="E76"/>
      <c r="F76"/>
      <c r="G76"/>
      <c r="H76"/>
      <c r="I76"/>
      <c r="J76"/>
      <c r="K76"/>
      <c r="L76"/>
      <c r="M76"/>
      <c r="N76"/>
      <c r="O76"/>
      <c r="P76"/>
      <c r="Q76"/>
      <c r="R76"/>
      <c r="S76"/>
      <c r="T76"/>
      <c r="U76"/>
      <c r="V76"/>
      <c r="W76"/>
      <c r="X76"/>
    </row>
    <row r="77" spans="1:24" x14ac:dyDescent="0.5">
      <c r="A77"/>
      <c r="B77"/>
      <c r="C77"/>
      <c r="D77"/>
      <c r="E77"/>
      <c r="F77"/>
      <c r="G77"/>
      <c r="H77"/>
      <c r="I77"/>
      <c r="J77"/>
      <c r="K77"/>
      <c r="L77"/>
      <c r="M77"/>
      <c r="N77"/>
      <c r="O77"/>
      <c r="P77"/>
      <c r="Q77"/>
      <c r="R77"/>
      <c r="S77"/>
      <c r="T77"/>
      <c r="U77"/>
      <c r="V77"/>
      <c r="W77"/>
      <c r="X77"/>
    </row>
    <row r="78" spans="1:24" x14ac:dyDescent="0.5">
      <c r="A78"/>
      <c r="B78"/>
      <c r="C78"/>
      <c r="D78"/>
      <c r="E78"/>
      <c r="F78"/>
      <c r="G78"/>
      <c r="H78"/>
      <c r="I78"/>
      <c r="J78"/>
      <c r="K78"/>
      <c r="L78"/>
      <c r="M78"/>
      <c r="N78"/>
      <c r="O78"/>
      <c r="P78"/>
      <c r="Q78"/>
      <c r="R78"/>
      <c r="S78"/>
      <c r="T78"/>
      <c r="U78"/>
      <c r="V78"/>
      <c r="W78"/>
      <c r="X78"/>
    </row>
    <row r="79" spans="1:24" x14ac:dyDescent="0.5">
      <c r="G79"/>
      <c r="H79"/>
      <c r="I79"/>
      <c r="J79"/>
      <c r="K79"/>
      <c r="L79"/>
    </row>
    <row r="80" spans="1:24" x14ac:dyDescent="0.5">
      <c r="G80"/>
      <c r="H80"/>
      <c r="I80"/>
      <c r="J80"/>
      <c r="K80"/>
      <c r="L80"/>
    </row>
    <row r="81" spans="7:12" x14ac:dyDescent="0.5">
      <c r="G81"/>
      <c r="H81"/>
      <c r="I81"/>
      <c r="J81"/>
      <c r="K81"/>
      <c r="L81"/>
    </row>
    <row r="82" spans="7:12" x14ac:dyDescent="0.5">
      <c r="G82"/>
      <c r="H82"/>
      <c r="I82"/>
      <c r="J82"/>
      <c r="K82"/>
      <c r="L82"/>
    </row>
    <row r="83" spans="7:12" x14ac:dyDescent="0.5">
      <c r="G83"/>
      <c r="H83"/>
      <c r="I83"/>
      <c r="J83"/>
      <c r="K83"/>
      <c r="L83"/>
    </row>
    <row r="84" spans="7:12" x14ac:dyDescent="0.5">
      <c r="G84"/>
      <c r="H84"/>
      <c r="I84"/>
      <c r="J84"/>
      <c r="K84"/>
      <c r="L84"/>
    </row>
    <row r="85" spans="7:12" x14ac:dyDescent="0.5">
      <c r="G85"/>
      <c r="H85"/>
      <c r="I85"/>
      <c r="J85"/>
      <c r="K85"/>
      <c r="L85"/>
    </row>
    <row r="86" spans="7:12" x14ac:dyDescent="0.5">
      <c r="G86"/>
      <c r="H86"/>
      <c r="I86"/>
      <c r="J86"/>
      <c r="K86"/>
      <c r="L86"/>
    </row>
    <row r="87" spans="7:12" x14ac:dyDescent="0.5">
      <c r="G87"/>
      <c r="H87"/>
      <c r="I87"/>
      <c r="J87"/>
      <c r="K87"/>
      <c r="L87"/>
    </row>
    <row r="88" spans="7:12" x14ac:dyDescent="0.5">
      <c r="G88"/>
      <c r="H88"/>
      <c r="I88"/>
      <c r="J88"/>
      <c r="K88"/>
      <c r="L88"/>
    </row>
    <row r="89" spans="7:12" x14ac:dyDescent="0.5">
      <c r="G89"/>
      <c r="H89"/>
      <c r="I89"/>
      <c r="J89"/>
      <c r="K89"/>
      <c r="L89"/>
    </row>
    <row r="90" spans="7:12" x14ac:dyDescent="0.5">
      <c r="G90"/>
      <c r="H90"/>
      <c r="I90"/>
      <c r="J90"/>
      <c r="K90"/>
      <c r="L90"/>
    </row>
    <row r="91" spans="7:12" x14ac:dyDescent="0.5">
      <c r="G91"/>
      <c r="H91"/>
      <c r="I91"/>
      <c r="J91"/>
      <c r="K91"/>
      <c r="L91"/>
    </row>
    <row r="92" spans="7:12" x14ac:dyDescent="0.5">
      <c r="G92"/>
      <c r="H92"/>
      <c r="I92"/>
      <c r="J92"/>
      <c r="K92"/>
      <c r="L92"/>
    </row>
    <row r="93" spans="7:12" x14ac:dyDescent="0.5">
      <c r="G93"/>
      <c r="H93"/>
      <c r="I93"/>
      <c r="J93"/>
      <c r="K93"/>
      <c r="L93"/>
    </row>
    <row r="94" spans="7:12" x14ac:dyDescent="0.5">
      <c r="G94"/>
      <c r="H94"/>
      <c r="I94"/>
      <c r="J94"/>
      <c r="K94"/>
      <c r="L94"/>
    </row>
    <row r="95" spans="7:12" x14ac:dyDescent="0.5">
      <c r="G95"/>
      <c r="H95"/>
      <c r="I95"/>
      <c r="J95"/>
      <c r="K95"/>
      <c r="L95"/>
    </row>
    <row r="96" spans="7:12" x14ac:dyDescent="0.5">
      <c r="G96"/>
      <c r="H96"/>
      <c r="I96"/>
      <c r="J96"/>
      <c r="K96"/>
      <c r="L96"/>
    </row>
    <row r="97" spans="7:12" x14ac:dyDescent="0.5">
      <c r="G97"/>
      <c r="H97"/>
      <c r="I97"/>
      <c r="J97"/>
      <c r="K97"/>
      <c r="L97"/>
    </row>
    <row r="98" spans="7:12" x14ac:dyDescent="0.5">
      <c r="G98"/>
      <c r="H98"/>
      <c r="I98"/>
      <c r="J98"/>
      <c r="K98"/>
      <c r="L98"/>
    </row>
    <row r="99" spans="7:12" x14ac:dyDescent="0.5">
      <c r="G99"/>
      <c r="H99"/>
      <c r="I99"/>
      <c r="J99"/>
      <c r="K99"/>
      <c r="L99"/>
    </row>
    <row r="100" spans="7:12" x14ac:dyDescent="0.5">
      <c r="G100"/>
      <c r="H100"/>
      <c r="I100"/>
      <c r="J100"/>
      <c r="K100"/>
      <c r="L100"/>
    </row>
    <row r="101" spans="7:12" x14ac:dyDescent="0.5">
      <c r="G101"/>
      <c r="H101"/>
      <c r="I101"/>
      <c r="J101"/>
      <c r="K101"/>
      <c r="L101"/>
    </row>
  </sheetData>
  <mergeCells count="6">
    <mergeCell ref="N34:P34"/>
    <mergeCell ref="D6:R6"/>
    <mergeCell ref="N31:P31"/>
    <mergeCell ref="D32:E33"/>
    <mergeCell ref="N32:P32"/>
    <mergeCell ref="N33:P33"/>
  </mergeCells>
  <pageMargins left="0.23622047244094491" right="0.23622047244094491" top="0.31496062992125984" bottom="0.31496062992125984" header="0.31496062992125984" footer="0.31496062992125984"/>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3:AY207"/>
  <sheetViews>
    <sheetView zoomScale="75" zoomScaleNormal="100" workbookViewId="0">
      <selection activeCell="F22" sqref="F22"/>
    </sheetView>
  </sheetViews>
  <sheetFormatPr baseColWidth="10" defaultRowHeight="14.4" x14ac:dyDescent="0.3"/>
  <cols>
    <col min="3" max="4" width="13.6640625" customWidth="1"/>
    <col min="5" max="5" width="15.5546875" customWidth="1"/>
    <col min="6" max="6" width="16.5546875" style="26" customWidth="1"/>
    <col min="7" max="7" width="14.44140625" style="24" customWidth="1"/>
    <col min="8" max="8" width="11.4414062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4" max="54" width="19.33203125" customWidth="1"/>
  </cols>
  <sheetData>
    <row r="3" spans="2:51"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1" ht="45" customHeight="1" x14ac:dyDescent="0.3">
      <c r="B4" s="374" t="s">
        <v>173</v>
      </c>
      <c r="C4" s="374"/>
      <c r="D4" s="374"/>
      <c r="E4" s="374"/>
      <c r="F4" s="374"/>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row>
    <row r="5" spans="2:51" x14ac:dyDescent="0.3">
      <c r="B5" s="363" t="s">
        <v>133</v>
      </c>
      <c r="C5" s="91" t="s">
        <v>73</v>
      </c>
      <c r="D5" s="375" t="s">
        <v>135</v>
      </c>
      <c r="E5" s="375"/>
      <c r="F5" s="92">
        <f>IF(D5="","",VLOOKUP(D5,$B$98:$C$101,2,0))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IF(AA5&lt;=$F$18,IFERROR(VLOOKUP($AA5,$B$82:$G$95,2,FALSE),0),)</f>
        <v>0</v>
      </c>
      <c r="AC5" s="305">
        <f t="shared" ref="AC5:AC68" si="7">IF(AA5&lt;=$F$18,IFERROR(VLOOKUP($AA5,$B$82:$G$95,3,FALSE),0),)*50%</f>
        <v>0</v>
      </c>
      <c r="AD5" s="100">
        <f t="shared" ref="AD5:AD68" si="8">IF(AA5&lt;=$F$18,IFERROR(VLOOKUP($AA5,$B$82:$G$95,4,FALSE),0),)</f>
        <v>0</v>
      </c>
      <c r="AE5" s="100">
        <f t="shared" ref="AE5:AE68" si="9">IF(AA5&lt;=$F$18,IFERROR(VLOOKUP($AA5,$B$82:$G$95,5,FALSE),0),)</f>
        <v>0</v>
      </c>
      <c r="AF5" s="33">
        <v>0</v>
      </c>
      <c r="AG5" s="33">
        <v>0</v>
      </c>
      <c r="AH5" s="33">
        <v>0</v>
      </c>
      <c r="AI5" s="76">
        <f>SUM(AF5:AH5)</f>
        <v>0</v>
      </c>
      <c r="AK5" s="71">
        <v>0</v>
      </c>
      <c r="AL5" s="33">
        <f t="shared" ref="AL5:AL68" si="10">IF(AK5&lt;=$F$18,IFERROR(VLOOKUP($AA5,$B$82:$G$95,2,FALSE),0),)</f>
        <v>0</v>
      </c>
      <c r="AM5" s="33">
        <f t="shared" ref="AM5:AM68" si="11">IF(AK5&lt;=$F$18,IFERROR(VLOOKUP($AA5,$B$82:$G$95,3,FALSE),0),)</f>
        <v>0</v>
      </c>
      <c r="AN5" s="33">
        <f t="shared" ref="AN5:AN68" si="12">IF(AK5&lt;=$F$18,IFERROR(VLOOKUP($AA5,$B$82:$G$95,4,FALSE),0),)</f>
        <v>0</v>
      </c>
      <c r="AO5" s="33">
        <f t="shared" ref="AO5:AO68" si="13">IF(AK5&lt;=$F$18,IFERROR(VLOOKUP($AA5,$B$82:$G$95,5,FALSE),0),)</f>
        <v>0</v>
      </c>
      <c r="AP5" s="33">
        <f t="shared" ref="AP5:AP68" si="14">IF(AK5&lt;=$F$18,IFERROR(VLOOKUP($AA5,$B$82:$G$95,6,FALSE),0),)</f>
        <v>0</v>
      </c>
      <c r="AQ5" s="194">
        <f t="shared" ref="AQ5:AQ35" si="15">IF($AK5&lt;=$F$18,$AL5*AM5,)</f>
        <v>0</v>
      </c>
      <c r="AR5" s="194">
        <f t="shared" ref="AR5:AR35" si="16">IF($AK5&lt;=$F$18,$AL5*AN5,)</f>
        <v>0</v>
      </c>
      <c r="AS5" s="194">
        <f t="shared" ref="AS5:AS35" si="17">IF($AK5&lt;=$F$18,$AL5*AO5,)</f>
        <v>0</v>
      </c>
      <c r="AT5" s="194">
        <f t="shared" ref="AT5:AT35" si="18">IF($AK5&lt;=$F$18,$AL5*AP5,)</f>
        <v>0</v>
      </c>
      <c r="AU5" s="33"/>
      <c r="AV5" s="33"/>
      <c r="AW5" s="33"/>
      <c r="AX5" s="33"/>
      <c r="AY5" s="164">
        <v>0</v>
      </c>
    </row>
    <row r="6" spans="2:51" x14ac:dyDescent="0.3">
      <c r="B6" s="364"/>
      <c r="C6" s="98" t="s">
        <v>74</v>
      </c>
      <c r="D6" s="366" t="s">
        <v>260</v>
      </c>
      <c r="E6" s="366"/>
      <c r="F6" s="99">
        <f>VLOOKUP(D5,$B$98:$D$101,3,FALSE)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7.2681818181818185</v>
      </c>
      <c r="R6" s="33">
        <f>IF(P6&lt;=$F$18,Q6+R5,)</f>
        <v>7.2681818181818185</v>
      </c>
      <c r="S6" s="33">
        <f>$F$19*R6</f>
        <v>3.3433636363636365</v>
      </c>
      <c r="T6" s="33">
        <f t="shared" si="2"/>
        <v>1.3388154229935953</v>
      </c>
      <c r="U6" s="33">
        <f t="shared" ref="U6:U69" si="20">IF(P6&lt;=$F$18,$F$5+($F$15-$F$5)*(1-EXP(-0.0175*P6)),)</f>
        <v>70</v>
      </c>
      <c r="V6" s="33">
        <f t="shared" si="3"/>
        <v>0.33333333333333331</v>
      </c>
      <c r="W6" s="33">
        <v>0</v>
      </c>
      <c r="X6" s="33">
        <f t="shared" si="4"/>
        <v>266.04368408393606</v>
      </c>
      <c r="Y6" s="38">
        <f t="shared" si="5"/>
        <v>6.6736086760882358</v>
      </c>
      <c r="AA6" s="71">
        <v>1</v>
      </c>
      <c r="AB6" s="33">
        <f t="shared" si="6"/>
        <v>0</v>
      </c>
      <c r="AC6" s="305">
        <f t="shared" si="7"/>
        <v>0.25</v>
      </c>
      <c r="AD6" s="100">
        <f t="shared" si="8"/>
        <v>0.28000000000000003</v>
      </c>
      <c r="AE6" s="100">
        <f t="shared" si="9"/>
        <v>0.22</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0.5</v>
      </c>
      <c r="AN6" s="33">
        <f t="shared" si="12"/>
        <v>0.28000000000000003</v>
      </c>
      <c r="AO6" s="33">
        <f t="shared" si="13"/>
        <v>0.22</v>
      </c>
      <c r="AP6" s="33">
        <f t="shared" si="14"/>
        <v>0</v>
      </c>
      <c r="AQ6" s="194">
        <f t="shared" si="15"/>
        <v>0</v>
      </c>
      <c r="AR6" s="194">
        <f t="shared" si="16"/>
        <v>0</v>
      </c>
      <c r="AS6" s="194">
        <f t="shared" si="17"/>
        <v>0</v>
      </c>
      <c r="AT6" s="194">
        <f t="shared" si="18"/>
        <v>0</v>
      </c>
      <c r="AU6" s="33"/>
      <c r="AV6" s="33"/>
      <c r="AW6" s="33"/>
      <c r="AX6" s="33"/>
      <c r="AY6" s="164">
        <f>IF(AK6&lt;=$F$18,AL6*$G$108+AY5,)</f>
        <v>0</v>
      </c>
    </row>
    <row r="7" spans="2:51" x14ac:dyDescent="0.3">
      <c r="B7" s="363" t="s">
        <v>134</v>
      </c>
      <c r="C7" s="376"/>
      <c r="D7" s="377"/>
      <c r="E7" s="377"/>
      <c r="F7" s="378"/>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7.2681818181818185</v>
      </c>
      <c r="R7" s="33">
        <f t="shared" ref="R7:R70" si="25">IF(P7&lt;=$F$18,Q7+R6,)</f>
        <v>14.536363636363637</v>
      </c>
      <c r="S7" s="33">
        <f t="shared" ref="S7:S70" si="26">$F$19*R7</f>
        <v>6.6867272727272731</v>
      </c>
      <c r="T7" s="33">
        <f t="shared" si="2"/>
        <v>2.4700788150170432</v>
      </c>
      <c r="U7" s="33">
        <f t="shared" si="20"/>
        <v>70</v>
      </c>
      <c r="V7" s="33">
        <f t="shared" si="3"/>
        <v>0.66666666666666663</v>
      </c>
      <c r="W7" s="33">
        <v>0</v>
      </c>
      <c r="X7" s="33">
        <f t="shared" si="4"/>
        <v>275.05921504726581</v>
      </c>
      <c r="Y7" s="38">
        <f t="shared" si="5"/>
        <v>13.061451561271269</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5"/>
        <v>0</v>
      </c>
      <c r="AR7" s="194">
        <f t="shared" si="16"/>
        <v>0</v>
      </c>
      <c r="AS7" s="194">
        <f t="shared" si="17"/>
        <v>0</v>
      </c>
      <c r="AT7" s="194">
        <f t="shared" si="18"/>
        <v>0</v>
      </c>
      <c r="AU7" s="33"/>
      <c r="AV7" s="33"/>
      <c r="AW7" s="33"/>
      <c r="AX7" s="33"/>
      <c r="AY7" s="164">
        <f t="shared" ref="AY7:AY35" si="27">IF(AK7&lt;=$F$18,AL7*$G$108+AY6,)</f>
        <v>0</v>
      </c>
    </row>
    <row r="8" spans="2:51" x14ac:dyDescent="0.3">
      <c r="B8" s="373"/>
      <c r="C8" s="93" t="s">
        <v>73</v>
      </c>
      <c r="D8" s="369" t="s">
        <v>135</v>
      </c>
      <c r="E8" s="369"/>
      <c r="F8" s="94">
        <f>IF(D8="","",VLOOKUP(D8,$B$98:$C$101,2,0))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7.2681818181818185</v>
      </c>
      <c r="R8" s="33">
        <f t="shared" si="25"/>
        <v>21.804545454545455</v>
      </c>
      <c r="S8" s="33">
        <f t="shared" si="26"/>
        <v>10.030090909090909</v>
      </c>
      <c r="T8" s="33">
        <f t="shared" si="2"/>
        <v>3.5343133194973508</v>
      </c>
      <c r="U8" s="33">
        <f t="shared" si="20"/>
        <v>70</v>
      </c>
      <c r="V8" s="33">
        <f t="shared" si="3"/>
        <v>1</v>
      </c>
      <c r="W8" s="33">
        <v>0</v>
      </c>
      <c r="X8" s="33">
        <f t="shared" si="4"/>
        <v>283.9580040314579</v>
      </c>
      <c r="Y8" s="38">
        <f t="shared" si="5"/>
        <v>19.357006440537418</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5"/>
        <v>0</v>
      </c>
      <c r="AR8" s="194">
        <f t="shared" si="16"/>
        <v>0</v>
      </c>
      <c r="AS8" s="194">
        <f t="shared" si="17"/>
        <v>0</v>
      </c>
      <c r="AT8" s="194">
        <f t="shared" si="18"/>
        <v>0</v>
      </c>
      <c r="AU8" s="33"/>
      <c r="AV8" s="33"/>
      <c r="AW8" s="33"/>
      <c r="AX8" s="33"/>
      <c r="AY8" s="164">
        <f t="shared" si="27"/>
        <v>0</v>
      </c>
    </row>
    <row r="9" spans="2:51" x14ac:dyDescent="0.3">
      <c r="B9" s="373"/>
      <c r="C9" s="93" t="s">
        <v>74</v>
      </c>
      <c r="D9" s="365" t="str">
        <f>IF(D8=$B$101,"totale","néant")</f>
        <v>totale</v>
      </c>
      <c r="E9" s="365"/>
      <c r="F9" s="94">
        <f>IF(D8=B101,10,VLOOKUP(D8,$B$98:$D$101,3,FALSE))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7.2681818181818185</v>
      </c>
      <c r="R9" s="33">
        <f t="shared" si="25"/>
        <v>29.072727272727274</v>
      </c>
      <c r="S9" s="33">
        <f t="shared" si="26"/>
        <v>13.373454545454546</v>
      </c>
      <c r="T9" s="33">
        <f t="shared" si="2"/>
        <v>4.5572296581058929</v>
      </c>
      <c r="U9" s="33">
        <f t="shared" si="20"/>
        <v>70</v>
      </c>
      <c r="V9" s="33">
        <f t="shared" si="3"/>
        <v>1.3333333333333333</v>
      </c>
      <c r="W9" s="33">
        <v>0</v>
      </c>
      <c r="X9" s="33">
        <f t="shared" si="4"/>
        <v>292.78483054342331</v>
      </c>
      <c r="Y9" s="38">
        <f t="shared" si="5"/>
        <v>25.595672845651166</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5"/>
        <v>0</v>
      </c>
      <c r="AR9" s="194">
        <f t="shared" si="16"/>
        <v>0</v>
      </c>
      <c r="AS9" s="194">
        <f t="shared" si="17"/>
        <v>0</v>
      </c>
      <c r="AT9" s="194">
        <f t="shared" si="18"/>
        <v>0</v>
      </c>
      <c r="AU9" s="33"/>
      <c r="AV9" s="33"/>
      <c r="AW9" s="33"/>
      <c r="AX9" s="33"/>
      <c r="AY9" s="164">
        <f t="shared" si="27"/>
        <v>0</v>
      </c>
    </row>
    <row r="10" spans="2:51" x14ac:dyDescent="0.3">
      <c r="B10" s="373"/>
      <c r="C10" s="367" t="s">
        <v>124</v>
      </c>
      <c r="D10" s="362" t="s">
        <v>136</v>
      </c>
      <c r="E10" s="362"/>
      <c r="F10" s="95">
        <f>F18</f>
        <v>70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7.2681818181818185</v>
      </c>
      <c r="R10" s="33">
        <f t="shared" si="25"/>
        <v>36.340909090909093</v>
      </c>
      <c r="S10" s="33">
        <f t="shared" si="26"/>
        <v>16.716818181818184</v>
      </c>
      <c r="T10" s="33">
        <f t="shared" si="2"/>
        <v>5.5504807727573322</v>
      </c>
      <c r="U10" s="33">
        <f t="shared" si="20"/>
        <v>70</v>
      </c>
      <c r="V10" s="33">
        <f t="shared" si="3"/>
        <v>1.6666666666666667</v>
      </c>
      <c r="W10" s="33">
        <v>0</v>
      </c>
      <c r="X10" s="33">
        <f t="shared" si="4"/>
        <v>301.55999012366345</v>
      </c>
      <c r="Y10" s="38">
        <f t="shared" si="5"/>
        <v>31.793495004881891</v>
      </c>
      <c r="AA10" s="71">
        <v>5</v>
      </c>
      <c r="AB10" s="33">
        <f t="shared" si="6"/>
        <v>0</v>
      </c>
      <c r="AC10" s="305">
        <f t="shared" si="7"/>
        <v>0</v>
      </c>
      <c r="AD10" s="100">
        <f t="shared" si="8"/>
        <v>0</v>
      </c>
      <c r="AE10" s="100">
        <f t="shared" si="9"/>
        <v>0</v>
      </c>
      <c r="AF10" s="194">
        <f t="shared" ref="AF10:AF24" si="28">IF(OR(AA10&lt;=$F$18,AA10&lt;=30),EXP(-LN(2)/$D$104)*AF9+((1-EXP(-LN(2)/$D$104))/(LN(2)/$D$104))*$AB10*AC10*0.475*$F$19*44/12,)</f>
        <v>0</v>
      </c>
      <c r="AG10" s="194">
        <f t="shared" ref="AG10:AG24" si="29">IF(OR(AA10&lt;=$F$18,AA10&lt;=30),EXP(-LN(2)/$D$106)*AG9+((1-EXP(-LN(2)/$D$106))/(LN(2)/$D$106))*$AB10*AD10*0.475*$F$19*44/12,)</f>
        <v>0</v>
      </c>
      <c r="AH10" s="194">
        <f t="shared" ref="AH10:AH24" si="30">IF(OR(AA10&lt;=$F$18,AA10&lt;=30),EXP(-LN(2)/$D$105)*AH9+((1-EXP(-LN(2)/$D$105))/(LN(2)/$D$105))*$AB10*AE10*0.475*$F$19*44/12,)</f>
        <v>0</v>
      </c>
      <c r="AI10" s="199">
        <f t="shared" ref="AI10:AI24" si="31">IF(OR(AA10&lt;=$F$18,AA10&lt;=30),SUM(AF10:AH10),)</f>
        <v>0</v>
      </c>
      <c r="AK10" s="71">
        <v>5</v>
      </c>
      <c r="AL10" s="33">
        <f t="shared" si="10"/>
        <v>0</v>
      </c>
      <c r="AM10" s="33">
        <f t="shared" si="11"/>
        <v>0</v>
      </c>
      <c r="AN10" s="33">
        <f t="shared" si="12"/>
        <v>0</v>
      </c>
      <c r="AO10" s="33">
        <f t="shared" si="13"/>
        <v>0</v>
      </c>
      <c r="AP10" s="33">
        <f t="shared" si="14"/>
        <v>0</v>
      </c>
      <c r="AQ10" s="194">
        <f t="shared" si="15"/>
        <v>0</v>
      </c>
      <c r="AR10" s="194">
        <f t="shared" si="16"/>
        <v>0</v>
      </c>
      <c r="AS10" s="194">
        <f t="shared" si="17"/>
        <v>0</v>
      </c>
      <c r="AT10" s="194">
        <f t="shared" si="18"/>
        <v>0</v>
      </c>
      <c r="AU10" s="33"/>
      <c r="AV10" s="33"/>
      <c r="AW10" s="33"/>
      <c r="AX10" s="33"/>
      <c r="AY10" s="164">
        <f t="shared" si="27"/>
        <v>0</v>
      </c>
    </row>
    <row r="11" spans="2:51" x14ac:dyDescent="0.3">
      <c r="B11" s="373"/>
      <c r="C11" s="367"/>
      <c r="D11" s="365" t="s">
        <v>139</v>
      </c>
      <c r="E11" s="365"/>
      <c r="F11" s="36">
        <f>IF(D8=$B$101,1,0)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7.2681818181818185</v>
      </c>
      <c r="R11" s="33">
        <f t="shared" si="25"/>
        <v>43.609090909090909</v>
      </c>
      <c r="S11" s="33">
        <f t="shared" si="26"/>
        <v>20.060181818181817</v>
      </c>
      <c r="T11" s="33">
        <f t="shared" si="2"/>
        <v>6.520713988043692</v>
      </c>
      <c r="U11" s="33">
        <f t="shared" si="20"/>
        <v>70</v>
      </c>
      <c r="V11" s="33">
        <f t="shared" si="3"/>
        <v>2</v>
      </c>
      <c r="W11" s="33">
        <v>0</v>
      </c>
      <c r="X11" s="33">
        <f t="shared" si="4"/>
        <v>310.29506019584278</v>
      </c>
      <c r="Y11" s="38">
        <f t="shared" si="5"/>
        <v>37.959625215899507</v>
      </c>
      <c r="AA11" s="71">
        <v>6</v>
      </c>
      <c r="AB11" s="33">
        <f t="shared" si="6"/>
        <v>0</v>
      </c>
      <c r="AC11" s="305">
        <f t="shared" si="7"/>
        <v>0</v>
      </c>
      <c r="AD11" s="100">
        <f t="shared" si="8"/>
        <v>0</v>
      </c>
      <c r="AE11" s="100">
        <f t="shared" si="9"/>
        <v>0</v>
      </c>
      <c r="AF11" s="194">
        <f t="shared" si="28"/>
        <v>0</v>
      </c>
      <c r="AG11" s="194">
        <f t="shared" si="29"/>
        <v>0</v>
      </c>
      <c r="AH11" s="194">
        <f t="shared" si="30"/>
        <v>0</v>
      </c>
      <c r="AI11" s="199">
        <f t="shared" si="31"/>
        <v>0</v>
      </c>
      <c r="AK11" s="71">
        <v>6</v>
      </c>
      <c r="AL11" s="33">
        <f t="shared" si="10"/>
        <v>0</v>
      </c>
      <c r="AM11" s="33">
        <f t="shared" si="11"/>
        <v>0</v>
      </c>
      <c r="AN11" s="33">
        <f t="shared" si="12"/>
        <v>0</v>
      </c>
      <c r="AO11" s="33">
        <f t="shared" si="13"/>
        <v>0</v>
      </c>
      <c r="AP11" s="33">
        <f t="shared" si="14"/>
        <v>0</v>
      </c>
      <c r="AQ11" s="194">
        <f t="shared" si="15"/>
        <v>0</v>
      </c>
      <c r="AR11" s="194">
        <f t="shared" si="16"/>
        <v>0</v>
      </c>
      <c r="AS11" s="194">
        <f t="shared" si="17"/>
        <v>0</v>
      </c>
      <c r="AT11" s="194">
        <f t="shared" si="18"/>
        <v>0</v>
      </c>
      <c r="AU11" s="33"/>
      <c r="AV11" s="33"/>
      <c r="AW11" s="33"/>
      <c r="AX11" s="33"/>
      <c r="AY11" s="164">
        <f t="shared" si="27"/>
        <v>0</v>
      </c>
    </row>
    <row r="12" spans="2:51" x14ac:dyDescent="0.3">
      <c r="B12" s="373"/>
      <c r="C12" s="367"/>
      <c r="D12" s="362" t="s">
        <v>131</v>
      </c>
      <c r="E12" s="362"/>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7.2681818181818185</v>
      </c>
      <c r="R12" s="33">
        <f t="shared" si="25"/>
        <v>50.877272727272725</v>
      </c>
      <c r="S12" s="33">
        <f t="shared" si="26"/>
        <v>23.403545454545455</v>
      </c>
      <c r="T12" s="33">
        <f t="shared" si="2"/>
        <v>7.4722145771069073</v>
      </c>
      <c r="U12" s="33">
        <f t="shared" si="20"/>
        <v>70</v>
      </c>
      <c r="V12" s="33">
        <f t="shared" si="3"/>
        <v>2.3333333333333335</v>
      </c>
      <c r="W12" s="33">
        <v>0</v>
      </c>
      <c r="X12" s="33">
        <f t="shared" si="4"/>
        <v>318.99750427735006</v>
      </c>
      <c r="Y12" s="38">
        <f t="shared" si="5"/>
        <v>44.099963611133035</v>
      </c>
      <c r="AA12" s="71">
        <v>7</v>
      </c>
      <c r="AB12" s="33">
        <f t="shared" si="6"/>
        <v>0</v>
      </c>
      <c r="AC12" s="305">
        <f t="shared" si="7"/>
        <v>0</v>
      </c>
      <c r="AD12" s="100">
        <f t="shared" si="8"/>
        <v>0</v>
      </c>
      <c r="AE12" s="100">
        <f t="shared" si="9"/>
        <v>0</v>
      </c>
      <c r="AF12" s="194">
        <f t="shared" si="28"/>
        <v>0</v>
      </c>
      <c r="AG12" s="194">
        <f t="shared" si="29"/>
        <v>0</v>
      </c>
      <c r="AH12" s="194">
        <f t="shared" si="30"/>
        <v>0</v>
      </c>
      <c r="AI12" s="199">
        <f t="shared" si="31"/>
        <v>0</v>
      </c>
      <c r="AK12" s="71">
        <v>7</v>
      </c>
      <c r="AL12" s="33">
        <f t="shared" si="10"/>
        <v>0</v>
      </c>
      <c r="AM12" s="33">
        <f t="shared" si="11"/>
        <v>0</v>
      </c>
      <c r="AN12" s="33">
        <f t="shared" si="12"/>
        <v>0</v>
      </c>
      <c r="AO12" s="33">
        <f t="shared" si="13"/>
        <v>0</v>
      </c>
      <c r="AP12" s="33">
        <f t="shared" si="14"/>
        <v>0</v>
      </c>
      <c r="AQ12" s="194">
        <f t="shared" si="15"/>
        <v>0</v>
      </c>
      <c r="AR12" s="194">
        <f t="shared" si="16"/>
        <v>0</v>
      </c>
      <c r="AS12" s="194">
        <f t="shared" si="17"/>
        <v>0</v>
      </c>
      <c r="AT12" s="194">
        <f t="shared" si="18"/>
        <v>0</v>
      </c>
      <c r="AU12" s="33"/>
      <c r="AV12" s="33"/>
      <c r="AW12" s="33"/>
      <c r="AX12" s="33"/>
      <c r="AY12" s="164">
        <f t="shared" si="27"/>
        <v>0</v>
      </c>
    </row>
    <row r="13" spans="2:51" x14ac:dyDescent="0.3">
      <c r="B13" s="364"/>
      <c r="C13" s="368"/>
      <c r="D13" s="366" t="s">
        <v>155</v>
      </c>
      <c r="E13" s="366"/>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7.2681818181818185</v>
      </c>
      <c r="R13" s="33">
        <f t="shared" si="25"/>
        <v>58.145454545454541</v>
      </c>
      <c r="S13" s="33">
        <f t="shared" si="26"/>
        <v>26.746909090909089</v>
      </c>
      <c r="T13" s="33">
        <f t="shared" si="2"/>
        <v>8.4079674018728259</v>
      </c>
      <c r="U13" s="33">
        <f t="shared" si="20"/>
        <v>70</v>
      </c>
      <c r="V13" s="33">
        <f t="shared" si="3"/>
        <v>2.6666666666666665</v>
      </c>
      <c r="W13" s="33">
        <v>0</v>
      </c>
      <c r="X13" s="33">
        <f t="shared" si="4"/>
        <v>327.67252100270633</v>
      </c>
      <c r="Y13" s="38">
        <f t="shared" si="5"/>
        <v>50.218619865756523</v>
      </c>
      <c r="AA13" s="71">
        <v>8</v>
      </c>
      <c r="AB13" s="33">
        <f t="shared" si="6"/>
        <v>0</v>
      </c>
      <c r="AC13" s="305">
        <f t="shared" si="7"/>
        <v>0</v>
      </c>
      <c r="AD13" s="100">
        <f t="shared" si="8"/>
        <v>0</v>
      </c>
      <c r="AE13" s="100">
        <f t="shared" si="9"/>
        <v>0</v>
      </c>
      <c r="AF13" s="194">
        <f t="shared" si="28"/>
        <v>0</v>
      </c>
      <c r="AG13" s="194">
        <f t="shared" si="29"/>
        <v>0</v>
      </c>
      <c r="AH13" s="194">
        <f t="shared" si="30"/>
        <v>0</v>
      </c>
      <c r="AI13" s="199">
        <f t="shared" si="31"/>
        <v>0</v>
      </c>
      <c r="AK13" s="71">
        <v>8</v>
      </c>
      <c r="AL13" s="33">
        <f t="shared" si="10"/>
        <v>0</v>
      </c>
      <c r="AM13" s="33">
        <f t="shared" si="11"/>
        <v>0</v>
      </c>
      <c r="AN13" s="33">
        <f t="shared" si="12"/>
        <v>0</v>
      </c>
      <c r="AO13" s="33">
        <f t="shared" si="13"/>
        <v>0</v>
      </c>
      <c r="AP13" s="33">
        <f t="shared" si="14"/>
        <v>0</v>
      </c>
      <c r="AQ13" s="194">
        <f t="shared" si="15"/>
        <v>0</v>
      </c>
      <c r="AR13" s="194">
        <f t="shared" si="16"/>
        <v>0</v>
      </c>
      <c r="AS13" s="194">
        <f t="shared" si="17"/>
        <v>0</v>
      </c>
      <c r="AT13" s="194">
        <f t="shared" si="18"/>
        <v>0</v>
      </c>
      <c r="AU13" s="33"/>
      <c r="AV13" s="33"/>
      <c r="AW13" s="33"/>
      <c r="AX13" s="33"/>
      <c r="AY13" s="164">
        <f t="shared" si="27"/>
        <v>0</v>
      </c>
    </row>
    <row r="14" spans="2:51" x14ac:dyDescent="0.3">
      <c r="B14" s="363" t="s">
        <v>132</v>
      </c>
      <c r="C14" s="359"/>
      <c r="D14" s="360"/>
      <c r="E14" s="360"/>
      <c r="F14" s="361"/>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7.2681818181818185</v>
      </c>
      <c r="R14" s="33">
        <f t="shared" si="25"/>
        <v>65.413636363636357</v>
      </c>
      <c r="S14" s="33">
        <f t="shared" si="26"/>
        <v>30.090272727272726</v>
      </c>
      <c r="T14" s="33">
        <f t="shared" si="2"/>
        <v>9.3301663738274208</v>
      </c>
      <c r="U14" s="33">
        <f t="shared" si="20"/>
        <v>70</v>
      </c>
      <c r="V14" s="33">
        <f t="shared" si="3"/>
        <v>3</v>
      </c>
      <c r="W14" s="33">
        <v>0</v>
      </c>
      <c r="X14" s="33">
        <f t="shared" si="4"/>
        <v>336.32393143441607</v>
      </c>
      <c r="Y14" s="38">
        <f t="shared" si="5"/>
        <v>56.318614643301885</v>
      </c>
      <c r="AA14" s="71">
        <v>9</v>
      </c>
      <c r="AB14" s="33">
        <f t="shared" si="6"/>
        <v>0</v>
      </c>
      <c r="AC14" s="305">
        <f t="shared" si="7"/>
        <v>0</v>
      </c>
      <c r="AD14" s="100">
        <f t="shared" si="8"/>
        <v>0</v>
      </c>
      <c r="AE14" s="100">
        <f t="shared" si="9"/>
        <v>0</v>
      </c>
      <c r="AF14" s="194">
        <f t="shared" si="28"/>
        <v>0</v>
      </c>
      <c r="AG14" s="194">
        <f t="shared" si="29"/>
        <v>0</v>
      </c>
      <c r="AH14" s="194">
        <f t="shared" si="30"/>
        <v>0</v>
      </c>
      <c r="AI14" s="199">
        <f t="shared" si="31"/>
        <v>0</v>
      </c>
      <c r="AK14" s="71">
        <v>9</v>
      </c>
      <c r="AL14" s="33">
        <f t="shared" si="10"/>
        <v>0</v>
      </c>
      <c r="AM14" s="33">
        <f t="shared" si="11"/>
        <v>0</v>
      </c>
      <c r="AN14" s="33">
        <f t="shared" si="12"/>
        <v>0</v>
      </c>
      <c r="AO14" s="33">
        <f t="shared" si="13"/>
        <v>0</v>
      </c>
      <c r="AP14" s="33">
        <f t="shared" si="14"/>
        <v>0</v>
      </c>
      <c r="AQ14" s="194">
        <f t="shared" si="15"/>
        <v>0</v>
      </c>
      <c r="AR14" s="194">
        <f t="shared" si="16"/>
        <v>0</v>
      </c>
      <c r="AS14" s="194">
        <f t="shared" si="17"/>
        <v>0</v>
      </c>
      <c r="AT14" s="194">
        <f t="shared" si="18"/>
        <v>0</v>
      </c>
      <c r="AU14" s="33"/>
      <c r="AV14" s="33"/>
      <c r="AW14" s="33"/>
      <c r="AX14" s="33"/>
      <c r="AY14" s="164">
        <f t="shared" si="27"/>
        <v>0</v>
      </c>
    </row>
    <row r="15" spans="2:51" x14ac:dyDescent="0.3">
      <c r="B15" s="373"/>
      <c r="C15" s="93" t="s">
        <v>73</v>
      </c>
      <c r="D15" s="369" t="s">
        <v>135</v>
      </c>
      <c r="E15" s="369"/>
      <c r="F15" s="94">
        <f>IF(D15="","",VLOOKUP(D15,$B$98:$C$101,2,0))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7.2681818181818185</v>
      </c>
      <c r="R15" s="33">
        <f t="shared" si="25"/>
        <v>72.681818181818173</v>
      </c>
      <c r="S15" s="33">
        <f t="shared" si="26"/>
        <v>33.43363636363636</v>
      </c>
      <c r="T15" s="33">
        <f t="shared" si="2"/>
        <v>10.240489267214612</v>
      </c>
      <c r="U15" s="33">
        <f t="shared" si="20"/>
        <v>70</v>
      </c>
      <c r="V15" s="33">
        <f t="shared" si="3"/>
        <v>3.3333333333333335</v>
      </c>
      <c r="W15" s="33">
        <v>0</v>
      </c>
      <c r="X15" s="33">
        <f t="shared" si="4"/>
        <v>344.95465769595427</v>
      </c>
      <c r="Y15" s="38">
        <f t="shared" si="5"/>
        <v>62.40225796926768</v>
      </c>
      <c r="AA15" s="71">
        <v>10</v>
      </c>
      <c r="AB15" s="33">
        <f t="shared" si="6"/>
        <v>0</v>
      </c>
      <c r="AC15" s="305">
        <f t="shared" si="7"/>
        <v>0</v>
      </c>
      <c r="AD15" s="100">
        <f t="shared" si="8"/>
        <v>0</v>
      </c>
      <c r="AE15" s="100">
        <f t="shared" si="9"/>
        <v>0</v>
      </c>
      <c r="AF15" s="194">
        <f t="shared" si="28"/>
        <v>0</v>
      </c>
      <c r="AG15" s="194">
        <f t="shared" si="29"/>
        <v>0</v>
      </c>
      <c r="AH15" s="194">
        <f t="shared" si="30"/>
        <v>0</v>
      </c>
      <c r="AI15" s="199">
        <f t="shared" si="31"/>
        <v>0</v>
      </c>
      <c r="AK15" s="71">
        <v>10</v>
      </c>
      <c r="AL15" s="33">
        <f t="shared" si="10"/>
        <v>0</v>
      </c>
      <c r="AM15" s="33">
        <f t="shared" si="11"/>
        <v>0</v>
      </c>
      <c r="AN15" s="33">
        <f t="shared" si="12"/>
        <v>0</v>
      </c>
      <c r="AO15" s="33">
        <f t="shared" si="13"/>
        <v>0</v>
      </c>
      <c r="AP15" s="33">
        <f t="shared" si="14"/>
        <v>0</v>
      </c>
      <c r="AQ15" s="194">
        <f t="shared" si="15"/>
        <v>0</v>
      </c>
      <c r="AR15" s="194">
        <f t="shared" si="16"/>
        <v>0</v>
      </c>
      <c r="AS15" s="194">
        <f t="shared" si="17"/>
        <v>0</v>
      </c>
      <c r="AT15" s="194">
        <f t="shared" si="18"/>
        <v>0</v>
      </c>
      <c r="AU15" s="33"/>
      <c r="AV15" s="33"/>
      <c r="AW15" s="33"/>
      <c r="AX15" s="33"/>
      <c r="AY15" s="164">
        <f t="shared" si="27"/>
        <v>0</v>
      </c>
    </row>
    <row r="16" spans="2:51" x14ac:dyDescent="0.3">
      <c r="B16" s="373"/>
      <c r="C16" s="93" t="s">
        <v>74</v>
      </c>
      <c r="D16" s="365" t="s">
        <v>138</v>
      </c>
      <c r="E16" s="365"/>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7.2681818181818185</v>
      </c>
      <c r="R16" s="33">
        <f t="shared" si="25"/>
        <v>79.949999999999989</v>
      </c>
      <c r="S16" s="33">
        <f t="shared" si="26"/>
        <v>36.776999999999994</v>
      </c>
      <c r="T16" s="33">
        <f t="shared" si="2"/>
        <v>11.14025888376726</v>
      </c>
      <c r="U16" s="33">
        <f t="shared" si="20"/>
        <v>70</v>
      </c>
      <c r="V16" s="33">
        <f t="shared" si="3"/>
        <v>3.6666666666666665</v>
      </c>
      <c r="W16" s="33">
        <v>0</v>
      </c>
      <c r="X16" s="33">
        <f t="shared" si="4"/>
        <v>353.56700366700579</v>
      </c>
      <c r="Y16" s="38">
        <f t="shared" si="5"/>
        <v>68.471371129052272</v>
      </c>
      <c r="AA16" s="71">
        <v>11</v>
      </c>
      <c r="AB16" s="33">
        <f t="shared" si="6"/>
        <v>0</v>
      </c>
      <c r="AC16" s="305">
        <f t="shared" si="7"/>
        <v>0</v>
      </c>
      <c r="AD16" s="100">
        <f t="shared" si="8"/>
        <v>0</v>
      </c>
      <c r="AE16" s="100">
        <f t="shared" si="9"/>
        <v>0</v>
      </c>
      <c r="AF16" s="194">
        <f t="shared" si="28"/>
        <v>0</v>
      </c>
      <c r="AG16" s="194">
        <f t="shared" si="29"/>
        <v>0</v>
      </c>
      <c r="AH16" s="194">
        <f t="shared" si="30"/>
        <v>0</v>
      </c>
      <c r="AI16" s="199">
        <f t="shared" si="31"/>
        <v>0</v>
      </c>
      <c r="AK16" s="71">
        <v>11</v>
      </c>
      <c r="AL16" s="33">
        <f t="shared" si="10"/>
        <v>0</v>
      </c>
      <c r="AM16" s="33">
        <f t="shared" si="11"/>
        <v>0</v>
      </c>
      <c r="AN16" s="33">
        <f t="shared" si="12"/>
        <v>0</v>
      </c>
      <c r="AO16" s="33">
        <f t="shared" si="13"/>
        <v>0</v>
      </c>
      <c r="AP16" s="33">
        <f t="shared" si="14"/>
        <v>0</v>
      </c>
      <c r="AQ16" s="194">
        <f t="shared" si="15"/>
        <v>0</v>
      </c>
      <c r="AR16" s="194">
        <f t="shared" si="16"/>
        <v>0</v>
      </c>
      <c r="AS16" s="194">
        <f t="shared" si="17"/>
        <v>0</v>
      </c>
      <c r="AT16" s="194">
        <f t="shared" si="18"/>
        <v>0</v>
      </c>
      <c r="AU16" s="33"/>
      <c r="AV16" s="33"/>
      <c r="AW16" s="33"/>
      <c r="AX16" s="33"/>
      <c r="AY16" s="164">
        <f t="shared" si="27"/>
        <v>0</v>
      </c>
    </row>
    <row r="17" spans="2:51" x14ac:dyDescent="0.3">
      <c r="B17" s="373"/>
      <c r="C17" s="367" t="s">
        <v>124</v>
      </c>
      <c r="D17" s="362" t="s">
        <v>131</v>
      </c>
      <c r="E17" s="362"/>
      <c r="F17" s="96" t="s">
        <v>52</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7.2681818181818185</v>
      </c>
      <c r="R17" s="33">
        <f t="shared" si="25"/>
        <v>87.218181818181804</v>
      </c>
      <c r="S17" s="33">
        <f t="shared" si="26"/>
        <v>40.120363636363635</v>
      </c>
      <c r="T17" s="33">
        <f t="shared" si="2"/>
        <v>12.030543720983912</v>
      </c>
      <c r="U17" s="33">
        <f t="shared" si="20"/>
        <v>70</v>
      </c>
      <c r="V17" s="33">
        <f t="shared" si="3"/>
        <v>4</v>
      </c>
      <c r="W17" s="33">
        <v>0</v>
      </c>
      <c r="X17" s="33">
        <f t="shared" si="4"/>
        <v>362.16283031404697</v>
      </c>
      <c r="Y17" s="38">
        <f t="shared" si="5"/>
        <v>74.527425271992399</v>
      </c>
      <c r="AA17" s="71">
        <v>12</v>
      </c>
      <c r="AB17" s="33">
        <f t="shared" si="6"/>
        <v>0</v>
      </c>
      <c r="AC17" s="305">
        <f t="shared" si="7"/>
        <v>0</v>
      </c>
      <c r="AD17" s="100">
        <f t="shared" si="8"/>
        <v>0</v>
      </c>
      <c r="AE17" s="100">
        <f t="shared" si="9"/>
        <v>0</v>
      </c>
      <c r="AF17" s="194">
        <f t="shared" si="28"/>
        <v>0</v>
      </c>
      <c r="AG17" s="194">
        <f t="shared" si="29"/>
        <v>0</v>
      </c>
      <c r="AH17" s="194">
        <f t="shared" si="30"/>
        <v>0</v>
      </c>
      <c r="AI17" s="199">
        <f t="shared" si="31"/>
        <v>0</v>
      </c>
      <c r="AK17" s="71">
        <v>12</v>
      </c>
      <c r="AL17" s="33">
        <f t="shared" si="10"/>
        <v>0</v>
      </c>
      <c r="AM17" s="33">
        <f t="shared" si="11"/>
        <v>0</v>
      </c>
      <c r="AN17" s="33">
        <f t="shared" si="12"/>
        <v>0</v>
      </c>
      <c r="AO17" s="33">
        <f t="shared" si="13"/>
        <v>0</v>
      </c>
      <c r="AP17" s="33">
        <f t="shared" si="14"/>
        <v>0</v>
      </c>
      <c r="AQ17" s="194">
        <f t="shared" si="15"/>
        <v>0</v>
      </c>
      <c r="AR17" s="194">
        <f t="shared" si="16"/>
        <v>0</v>
      </c>
      <c r="AS17" s="194">
        <f t="shared" si="17"/>
        <v>0</v>
      </c>
      <c r="AT17" s="194">
        <f t="shared" si="18"/>
        <v>0</v>
      </c>
      <c r="AU17" s="33"/>
      <c r="AV17" s="33"/>
      <c r="AW17" s="33"/>
      <c r="AX17" s="33"/>
      <c r="AY17" s="164">
        <f t="shared" si="27"/>
        <v>0</v>
      </c>
    </row>
    <row r="18" spans="2:51" x14ac:dyDescent="0.3">
      <c r="B18" s="373"/>
      <c r="C18" s="367"/>
      <c r="D18" s="362" t="s">
        <v>136</v>
      </c>
      <c r="E18" s="362"/>
      <c r="F18" s="97">
        <v>70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7.2681818181818185</v>
      </c>
      <c r="R18" s="33">
        <f t="shared" si="25"/>
        <v>94.48636363636362</v>
      </c>
      <c r="S18" s="33">
        <f t="shared" si="26"/>
        <v>43.463727272727269</v>
      </c>
      <c r="T18" s="33">
        <f t="shared" si="2"/>
        <v>12.912224038407404</v>
      </c>
      <c r="U18" s="33">
        <f t="shared" si="20"/>
        <v>70</v>
      </c>
      <c r="V18" s="33">
        <f t="shared" si="3"/>
        <v>4.333333333333333</v>
      </c>
      <c r="W18" s="33">
        <v>0</v>
      </c>
      <c r="X18" s="33">
        <f t="shared" si="4"/>
        <v>370.74367075578175</v>
      </c>
      <c r="Y18" s="38">
        <f t="shared" si="5"/>
        <v>80.57163237401204</v>
      </c>
      <c r="AA18" s="71">
        <v>13</v>
      </c>
      <c r="AB18" s="33">
        <f t="shared" si="6"/>
        <v>0</v>
      </c>
      <c r="AC18" s="305">
        <f t="shared" si="7"/>
        <v>0</v>
      </c>
      <c r="AD18" s="100">
        <f t="shared" si="8"/>
        <v>0</v>
      </c>
      <c r="AE18" s="100">
        <f t="shared" si="9"/>
        <v>0</v>
      </c>
      <c r="AF18" s="194">
        <f t="shared" si="28"/>
        <v>0</v>
      </c>
      <c r="AG18" s="194">
        <f t="shared" si="29"/>
        <v>0</v>
      </c>
      <c r="AH18" s="194">
        <f t="shared" si="30"/>
        <v>0</v>
      </c>
      <c r="AI18" s="199">
        <f t="shared" si="31"/>
        <v>0</v>
      </c>
      <c r="AK18" s="71">
        <v>13</v>
      </c>
      <c r="AL18" s="33">
        <f t="shared" si="10"/>
        <v>0</v>
      </c>
      <c r="AM18" s="33">
        <f t="shared" si="11"/>
        <v>0</v>
      </c>
      <c r="AN18" s="33">
        <f t="shared" si="12"/>
        <v>0</v>
      </c>
      <c r="AO18" s="33">
        <f t="shared" si="13"/>
        <v>0</v>
      </c>
      <c r="AP18" s="33">
        <f t="shared" si="14"/>
        <v>0</v>
      </c>
      <c r="AQ18" s="194">
        <f t="shared" si="15"/>
        <v>0</v>
      </c>
      <c r="AR18" s="194">
        <f t="shared" si="16"/>
        <v>0</v>
      </c>
      <c r="AS18" s="194">
        <f t="shared" si="17"/>
        <v>0</v>
      </c>
      <c r="AT18" s="194">
        <f t="shared" si="18"/>
        <v>0</v>
      </c>
      <c r="AU18" s="33"/>
      <c r="AV18" s="33"/>
      <c r="AW18" s="33"/>
      <c r="AX18" s="33"/>
      <c r="AY18" s="164">
        <f t="shared" si="27"/>
        <v>0</v>
      </c>
    </row>
    <row r="19" spans="2:51" x14ac:dyDescent="0.3">
      <c r="B19" s="373"/>
      <c r="C19" s="367"/>
      <c r="D19" s="365" t="s">
        <v>155</v>
      </c>
      <c r="E19" s="365"/>
      <c r="F19" s="36">
        <f>IF(ISBLANK(F$17),,VLOOKUP(F$17,C131:D195,2,FALSE))</f>
        <v>0.46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7.2681818181818185</v>
      </c>
      <c r="R19" s="33">
        <f t="shared" si="25"/>
        <v>101.75454545454544</v>
      </c>
      <c r="S19" s="33">
        <f t="shared" si="26"/>
        <v>46.807090909090903</v>
      </c>
      <c r="T19" s="33">
        <f t="shared" si="2"/>
        <v>13.786036978049962</v>
      </c>
      <c r="U19" s="33">
        <f t="shared" si="20"/>
        <v>70</v>
      </c>
      <c r="V19" s="33">
        <f t="shared" si="3"/>
        <v>4.666666666666667</v>
      </c>
      <c r="W19" s="33">
        <v>0</v>
      </c>
      <c r="X19" s="33">
        <f t="shared" si="4"/>
        <v>379.31080884788145</v>
      </c>
      <c r="Y19" s="38">
        <f t="shared" si="5"/>
        <v>86.60500736119559</v>
      </c>
      <c r="AA19" s="71">
        <v>14</v>
      </c>
      <c r="AB19" s="33">
        <f t="shared" si="6"/>
        <v>0</v>
      </c>
      <c r="AC19" s="305">
        <f t="shared" si="7"/>
        <v>0</v>
      </c>
      <c r="AD19" s="100">
        <f t="shared" si="8"/>
        <v>0</v>
      </c>
      <c r="AE19" s="100">
        <f t="shared" si="9"/>
        <v>0</v>
      </c>
      <c r="AF19" s="194">
        <f t="shared" si="28"/>
        <v>0</v>
      </c>
      <c r="AG19" s="194">
        <f t="shared" si="29"/>
        <v>0</v>
      </c>
      <c r="AH19" s="194">
        <f t="shared" si="30"/>
        <v>0</v>
      </c>
      <c r="AI19" s="199">
        <f t="shared" si="31"/>
        <v>0</v>
      </c>
      <c r="AK19" s="71">
        <v>14</v>
      </c>
      <c r="AL19" s="33">
        <f t="shared" si="10"/>
        <v>0</v>
      </c>
      <c r="AM19" s="33">
        <f t="shared" si="11"/>
        <v>0</v>
      </c>
      <c r="AN19" s="33">
        <f t="shared" si="12"/>
        <v>0</v>
      </c>
      <c r="AO19" s="33">
        <f t="shared" si="13"/>
        <v>0</v>
      </c>
      <c r="AP19" s="33">
        <f t="shared" si="14"/>
        <v>0</v>
      </c>
      <c r="AQ19" s="194">
        <f t="shared" si="15"/>
        <v>0</v>
      </c>
      <c r="AR19" s="194">
        <f t="shared" si="16"/>
        <v>0</v>
      </c>
      <c r="AS19" s="194">
        <f t="shared" si="17"/>
        <v>0</v>
      </c>
      <c r="AT19" s="194">
        <f t="shared" si="18"/>
        <v>0</v>
      </c>
      <c r="AU19" s="33"/>
      <c r="AV19" s="33"/>
      <c r="AW19" s="33"/>
      <c r="AX19" s="33"/>
      <c r="AY19" s="164">
        <f t="shared" si="27"/>
        <v>0</v>
      </c>
    </row>
    <row r="20" spans="2:51" x14ac:dyDescent="0.3">
      <c r="B20" s="373"/>
      <c r="C20" s="367"/>
      <c r="D20" s="365" t="s">
        <v>140</v>
      </c>
      <c r="E20" s="365"/>
      <c r="F20" s="36">
        <f>IF(ISBLANK(F$17),,VLOOKUP(F17,Tableau145[#All],4,FALSE))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7.2681818181818185</v>
      </c>
      <c r="R20" s="33">
        <f t="shared" si="25"/>
        <v>109.02272727272725</v>
      </c>
      <c r="S20" s="33">
        <f t="shared" si="26"/>
        <v>50.150454545454537</v>
      </c>
      <c r="T20" s="33">
        <f t="shared" si="2"/>
        <v>14.652608408787367</v>
      </c>
      <c r="U20" s="33">
        <f t="shared" si="20"/>
        <v>70</v>
      </c>
      <c r="V20" s="33">
        <f t="shared" si="3"/>
        <v>5</v>
      </c>
      <c r="W20" s="33">
        <v>0</v>
      </c>
      <c r="X20" s="33">
        <f t="shared" si="4"/>
        <v>387.86533464530459</v>
      </c>
      <c r="Y20" s="38">
        <f t="shared" si="5"/>
        <v>92.628411954401486</v>
      </c>
      <c r="AA20" s="71">
        <v>15</v>
      </c>
      <c r="AB20" s="33">
        <f t="shared" si="6"/>
        <v>0</v>
      </c>
      <c r="AC20" s="305">
        <f t="shared" si="7"/>
        <v>0</v>
      </c>
      <c r="AD20" s="100">
        <f t="shared" si="8"/>
        <v>0</v>
      </c>
      <c r="AE20" s="100">
        <f t="shared" si="9"/>
        <v>0</v>
      </c>
      <c r="AF20" s="194">
        <f t="shared" si="28"/>
        <v>0</v>
      </c>
      <c r="AG20" s="194">
        <f t="shared" si="29"/>
        <v>0</v>
      </c>
      <c r="AH20" s="194">
        <f t="shared" si="30"/>
        <v>0</v>
      </c>
      <c r="AI20" s="199">
        <f t="shared" si="31"/>
        <v>0</v>
      </c>
      <c r="AK20" s="71">
        <v>15</v>
      </c>
      <c r="AL20" s="33">
        <f t="shared" si="10"/>
        <v>0</v>
      </c>
      <c r="AM20" s="33">
        <f t="shared" si="11"/>
        <v>0</v>
      </c>
      <c r="AN20" s="33">
        <f t="shared" si="12"/>
        <v>0</v>
      </c>
      <c r="AO20" s="33">
        <f t="shared" si="13"/>
        <v>0</v>
      </c>
      <c r="AP20" s="33">
        <f t="shared" si="14"/>
        <v>0</v>
      </c>
      <c r="AQ20" s="194">
        <f t="shared" si="15"/>
        <v>0</v>
      </c>
      <c r="AR20" s="194">
        <f t="shared" si="16"/>
        <v>0</v>
      </c>
      <c r="AS20" s="194">
        <f t="shared" si="17"/>
        <v>0</v>
      </c>
      <c r="AT20" s="194">
        <f t="shared" si="18"/>
        <v>0</v>
      </c>
      <c r="AU20" s="33"/>
      <c r="AV20" s="33"/>
      <c r="AW20" s="33"/>
      <c r="AX20" s="33"/>
      <c r="AY20" s="164">
        <f t="shared" si="27"/>
        <v>0</v>
      </c>
    </row>
    <row r="21" spans="2:51" x14ac:dyDescent="0.3">
      <c r="B21" s="364"/>
      <c r="C21" s="368"/>
      <c r="D21" s="366" t="s">
        <v>143</v>
      </c>
      <c r="E21" s="366"/>
      <c r="F21" s="102">
        <v>6.6</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7.2681818181818185</v>
      </c>
      <c r="R21" s="33">
        <f t="shared" si="25"/>
        <v>116.29090909090907</v>
      </c>
      <c r="S21" s="33">
        <f t="shared" si="26"/>
        <v>53.49381818181817</v>
      </c>
      <c r="T21" s="33">
        <f t="shared" si="2"/>
        <v>15.512476029206388</v>
      </c>
      <c r="U21" s="33">
        <f t="shared" si="20"/>
        <v>70</v>
      </c>
      <c r="V21" s="33">
        <f t="shared" si="3"/>
        <v>5.333333333333333</v>
      </c>
      <c r="W21" s="33">
        <v>0</v>
      </c>
      <c r="X21" s="33">
        <f t="shared" si="4"/>
        <v>396.4081846397566</v>
      </c>
      <c r="Y21" s="38">
        <f t="shared" si="5"/>
        <v>98.642586478170188</v>
      </c>
      <c r="AA21" s="71">
        <v>16</v>
      </c>
      <c r="AB21" s="33">
        <f t="shared" si="6"/>
        <v>0</v>
      </c>
      <c r="AC21" s="305">
        <f t="shared" si="7"/>
        <v>0</v>
      </c>
      <c r="AD21" s="100">
        <f t="shared" si="8"/>
        <v>0</v>
      </c>
      <c r="AE21" s="100">
        <f t="shared" si="9"/>
        <v>0</v>
      </c>
      <c r="AF21" s="194">
        <f t="shared" si="28"/>
        <v>0</v>
      </c>
      <c r="AG21" s="194">
        <f t="shared" si="29"/>
        <v>0</v>
      </c>
      <c r="AH21" s="194">
        <f t="shared" si="30"/>
        <v>0</v>
      </c>
      <c r="AI21" s="199">
        <f t="shared" si="31"/>
        <v>0</v>
      </c>
      <c r="AK21" s="71">
        <v>16</v>
      </c>
      <c r="AL21" s="33">
        <f t="shared" si="10"/>
        <v>0</v>
      </c>
      <c r="AM21" s="33">
        <f t="shared" si="11"/>
        <v>0</v>
      </c>
      <c r="AN21" s="33">
        <f t="shared" si="12"/>
        <v>0</v>
      </c>
      <c r="AO21" s="33">
        <f t="shared" si="13"/>
        <v>0</v>
      </c>
      <c r="AP21" s="33">
        <f t="shared" si="14"/>
        <v>0</v>
      </c>
      <c r="AQ21" s="194">
        <f t="shared" si="15"/>
        <v>0</v>
      </c>
      <c r="AR21" s="194">
        <f t="shared" si="16"/>
        <v>0</v>
      </c>
      <c r="AS21" s="194">
        <f t="shared" si="17"/>
        <v>0</v>
      </c>
      <c r="AT21" s="194">
        <f t="shared" si="18"/>
        <v>0</v>
      </c>
      <c r="AU21" s="33"/>
      <c r="AV21" s="33"/>
      <c r="AW21" s="33"/>
      <c r="AX21" s="33"/>
      <c r="AY21" s="164">
        <f t="shared" si="27"/>
        <v>0</v>
      </c>
    </row>
    <row r="22" spans="2:51" x14ac:dyDescent="0.3">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7.2681818181818185</v>
      </c>
      <c r="R22" s="33">
        <f t="shared" si="25"/>
        <v>123.55909090909088</v>
      </c>
      <c r="S22" s="33">
        <f t="shared" si="26"/>
        <v>56.837181818181811</v>
      </c>
      <c r="T22" s="33">
        <f t="shared" si="2"/>
        <v>16.366106526717694</v>
      </c>
      <c r="U22" s="33">
        <f t="shared" si="20"/>
        <v>70</v>
      </c>
      <c r="V22" s="33">
        <f t="shared" si="3"/>
        <v>5.666666666666667</v>
      </c>
      <c r="W22" s="33">
        <v>0</v>
      </c>
      <c r="X22" s="33">
        <f t="shared" si="4"/>
        <v>404.9401716451444</v>
      </c>
      <c r="Y22" s="38">
        <f t="shared" si="5"/>
        <v>104.64817348606454</v>
      </c>
      <c r="AA22" s="71">
        <v>17</v>
      </c>
      <c r="AB22" s="33">
        <f t="shared" si="6"/>
        <v>0</v>
      </c>
      <c r="AC22" s="305">
        <f t="shared" si="7"/>
        <v>0</v>
      </c>
      <c r="AD22" s="100">
        <f t="shared" si="8"/>
        <v>0</v>
      </c>
      <c r="AE22" s="100">
        <f t="shared" si="9"/>
        <v>0</v>
      </c>
      <c r="AF22" s="194">
        <f t="shared" si="28"/>
        <v>0</v>
      </c>
      <c r="AG22" s="194">
        <f t="shared" si="29"/>
        <v>0</v>
      </c>
      <c r="AH22" s="194">
        <f t="shared" si="30"/>
        <v>0</v>
      </c>
      <c r="AI22" s="199">
        <f t="shared" si="31"/>
        <v>0</v>
      </c>
      <c r="AK22" s="71">
        <v>17</v>
      </c>
      <c r="AL22" s="33">
        <f t="shared" si="10"/>
        <v>0</v>
      </c>
      <c r="AM22" s="33">
        <f t="shared" si="11"/>
        <v>0</v>
      </c>
      <c r="AN22" s="33">
        <f t="shared" si="12"/>
        <v>0</v>
      </c>
      <c r="AO22" s="33">
        <f t="shared" si="13"/>
        <v>0</v>
      </c>
      <c r="AP22" s="33">
        <f t="shared" si="14"/>
        <v>0</v>
      </c>
      <c r="AQ22" s="194">
        <f t="shared" si="15"/>
        <v>0</v>
      </c>
      <c r="AR22" s="194">
        <f t="shared" si="16"/>
        <v>0</v>
      </c>
      <c r="AS22" s="194">
        <f t="shared" si="17"/>
        <v>0</v>
      </c>
      <c r="AT22" s="194">
        <f t="shared" si="18"/>
        <v>0</v>
      </c>
      <c r="AU22" s="33"/>
      <c r="AV22" s="33"/>
      <c r="AW22" s="33"/>
      <c r="AX22" s="33"/>
      <c r="AY22" s="164">
        <f t="shared" si="27"/>
        <v>0</v>
      </c>
    </row>
    <row r="23" spans="2:51" x14ac:dyDescent="0.3">
      <c r="B23" s="356" t="s">
        <v>142</v>
      </c>
      <c r="C23" s="357"/>
      <c r="D23" s="357"/>
      <c r="E23" s="357"/>
      <c r="F23" s="357"/>
      <c r="G23" s="358"/>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7.2681818181818185</v>
      </c>
      <c r="R23" s="33">
        <f t="shared" si="25"/>
        <v>130.82727272727271</v>
      </c>
      <c r="S23" s="33">
        <f t="shared" si="26"/>
        <v>60.180545454545452</v>
      </c>
      <c r="T23" s="33">
        <f t="shared" si="2"/>
        <v>17.21390858274102</v>
      </c>
      <c r="U23" s="33">
        <f t="shared" si="20"/>
        <v>70</v>
      </c>
      <c r="V23" s="33">
        <f t="shared" si="3"/>
        <v>6</v>
      </c>
      <c r="W23" s="33">
        <v>0</v>
      </c>
      <c r="X23" s="33">
        <f t="shared" si="4"/>
        <v>413.46200744827388</v>
      </c>
      <c r="Y23" s="38">
        <f t="shared" si="5"/>
        <v>110.64573566672027</v>
      </c>
      <c r="AA23" s="71">
        <v>18</v>
      </c>
      <c r="AB23" s="33">
        <f t="shared" si="6"/>
        <v>0</v>
      </c>
      <c r="AC23" s="305">
        <f t="shared" si="7"/>
        <v>0</v>
      </c>
      <c r="AD23" s="100">
        <f t="shared" si="8"/>
        <v>0</v>
      </c>
      <c r="AE23" s="100">
        <f t="shared" si="9"/>
        <v>0</v>
      </c>
      <c r="AF23" s="194">
        <f t="shared" si="28"/>
        <v>0</v>
      </c>
      <c r="AG23" s="194">
        <f t="shared" si="29"/>
        <v>0</v>
      </c>
      <c r="AH23" s="194">
        <f t="shared" si="30"/>
        <v>0</v>
      </c>
      <c r="AI23" s="199">
        <f t="shared" si="31"/>
        <v>0</v>
      </c>
      <c r="AK23" s="71">
        <v>18</v>
      </c>
      <c r="AL23" s="33">
        <f t="shared" si="10"/>
        <v>0</v>
      </c>
      <c r="AM23" s="33">
        <f t="shared" si="11"/>
        <v>0</v>
      </c>
      <c r="AN23" s="33">
        <f t="shared" si="12"/>
        <v>0</v>
      </c>
      <c r="AO23" s="33">
        <f t="shared" si="13"/>
        <v>0</v>
      </c>
      <c r="AP23" s="33">
        <f t="shared" si="14"/>
        <v>0</v>
      </c>
      <c r="AQ23" s="194">
        <f t="shared" si="15"/>
        <v>0</v>
      </c>
      <c r="AR23" s="194">
        <f t="shared" si="16"/>
        <v>0</v>
      </c>
      <c r="AS23" s="194">
        <f t="shared" si="17"/>
        <v>0</v>
      </c>
      <c r="AT23" s="194">
        <f t="shared" si="18"/>
        <v>0</v>
      </c>
      <c r="AU23" s="33"/>
      <c r="AV23" s="33"/>
      <c r="AW23" s="33"/>
      <c r="AX23" s="33"/>
      <c r="AY23" s="164">
        <f t="shared" si="27"/>
        <v>0</v>
      </c>
    </row>
    <row r="24" spans="2:51" x14ac:dyDescent="0.3">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7.2681818181818185</v>
      </c>
      <c r="R24" s="33">
        <f t="shared" si="25"/>
        <v>138.09545454545454</v>
      </c>
      <c r="S24" s="33">
        <f t="shared" si="26"/>
        <v>63.523909090909093</v>
      </c>
      <c r="T24" s="33">
        <f t="shared" si="2"/>
        <v>18.056242904994416</v>
      </c>
      <c r="U24" s="33">
        <f t="shared" si="20"/>
        <v>70</v>
      </c>
      <c r="V24" s="33">
        <f t="shared" si="3"/>
        <v>6.333333333333333</v>
      </c>
      <c r="W24" s="33">
        <v>0</v>
      </c>
      <c r="X24" s="33">
        <f t="shared" si="4"/>
        <v>421.97432028175416</v>
      </c>
      <c r="Y24" s="38">
        <f t="shared" si="5"/>
        <v>116.63576965669586</v>
      </c>
      <c r="AA24" s="71">
        <v>19</v>
      </c>
      <c r="AB24" s="33">
        <f t="shared" si="6"/>
        <v>0</v>
      </c>
      <c r="AC24" s="305">
        <f t="shared" si="7"/>
        <v>0</v>
      </c>
      <c r="AD24" s="100">
        <f t="shared" si="8"/>
        <v>0</v>
      </c>
      <c r="AE24" s="100">
        <f t="shared" si="9"/>
        <v>0</v>
      </c>
      <c r="AF24" s="194">
        <f t="shared" si="28"/>
        <v>0</v>
      </c>
      <c r="AG24" s="194">
        <f t="shared" si="29"/>
        <v>0</v>
      </c>
      <c r="AH24" s="194">
        <f t="shared" si="30"/>
        <v>0</v>
      </c>
      <c r="AI24" s="199">
        <f t="shared" si="31"/>
        <v>0</v>
      </c>
      <c r="AK24" s="71">
        <v>19</v>
      </c>
      <c r="AL24" s="33">
        <f t="shared" si="10"/>
        <v>0</v>
      </c>
      <c r="AM24" s="33">
        <f t="shared" si="11"/>
        <v>0</v>
      </c>
      <c r="AN24" s="33">
        <f t="shared" si="12"/>
        <v>0</v>
      </c>
      <c r="AO24" s="33">
        <f t="shared" si="13"/>
        <v>0</v>
      </c>
      <c r="AP24" s="33">
        <f t="shared" si="14"/>
        <v>0</v>
      </c>
      <c r="AQ24" s="194">
        <f t="shared" si="15"/>
        <v>0</v>
      </c>
      <c r="AR24" s="194">
        <f t="shared" si="16"/>
        <v>0</v>
      </c>
      <c r="AS24" s="194">
        <f t="shared" si="17"/>
        <v>0</v>
      </c>
      <c r="AT24" s="194">
        <f t="shared" si="18"/>
        <v>0</v>
      </c>
      <c r="AU24" s="33"/>
      <c r="AV24" s="33"/>
      <c r="AW24" s="33"/>
      <c r="AX24" s="33"/>
      <c r="AY24" s="164">
        <f t="shared" si="27"/>
        <v>0</v>
      </c>
    </row>
    <row r="25" spans="2:51" x14ac:dyDescent="0.3">
      <c r="B25" s="45">
        <v>0</v>
      </c>
      <c r="C25" s="334">
        <v>22</v>
      </c>
      <c r="D25" s="344">
        <v>123</v>
      </c>
      <c r="E25" s="140">
        <f t="shared" ref="E25:E46" si="32">$F$20</f>
        <v>1.3</v>
      </c>
      <c r="F25" s="46">
        <f t="shared" ref="F25:F46" si="33">D25*E25</f>
        <v>159.9</v>
      </c>
      <c r="G25" s="50">
        <f>F25/(C25-B25)</f>
        <v>7.2681818181818185</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7.2681818181818185</v>
      </c>
      <c r="R25" s="33">
        <f t="shared" si="25"/>
        <v>145.36363636363637</v>
      </c>
      <c r="S25" s="33">
        <f t="shared" si="26"/>
        <v>66.867272727272734</v>
      </c>
      <c r="T25" s="33">
        <f t="shared" si="2"/>
        <v>18.893430087470122</v>
      </c>
      <c r="U25" s="33">
        <f t="shared" si="20"/>
        <v>70</v>
      </c>
      <c r="V25" s="33">
        <f t="shared" si="3"/>
        <v>6.666666666666667</v>
      </c>
      <c r="W25" s="33">
        <v>0</v>
      </c>
      <c r="X25" s="33">
        <f t="shared" si="4"/>
        <v>430.47766851345494</v>
      </c>
      <c r="Y25" s="38">
        <f t="shared" si="5"/>
        <v>122.61871686239567</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0</v>
      </c>
      <c r="AH25" s="194">
        <f>IF(OR(AA25&lt;=$F$18,AA25&lt;=30),EXP(-LN(2)/$D$105)*AH24+((1-EXP(-LN(2)/$D$105))/(LN(2)/$D$105))*$AB25*AE25*0.475*$F$19*44/12,)</f>
        <v>0</v>
      </c>
      <c r="AI25" s="199">
        <f>IF(OR(AA25&lt;=$F$18,AA25&lt;=30),SUM(AF25:AH25),)</f>
        <v>0</v>
      </c>
      <c r="AK25" s="71">
        <v>20</v>
      </c>
      <c r="AL25" s="33">
        <f t="shared" si="10"/>
        <v>0</v>
      </c>
      <c r="AM25" s="33">
        <f t="shared" si="11"/>
        <v>0</v>
      </c>
      <c r="AN25" s="33">
        <f t="shared" si="12"/>
        <v>0</v>
      </c>
      <c r="AO25" s="33">
        <f t="shared" si="13"/>
        <v>0</v>
      </c>
      <c r="AP25" s="33">
        <f t="shared" si="14"/>
        <v>0</v>
      </c>
      <c r="AQ25" s="194">
        <f t="shared" si="15"/>
        <v>0</v>
      </c>
      <c r="AR25" s="194">
        <f t="shared" si="16"/>
        <v>0</v>
      </c>
      <c r="AS25" s="194">
        <f t="shared" si="17"/>
        <v>0</v>
      </c>
      <c r="AT25" s="194">
        <f t="shared" si="18"/>
        <v>0</v>
      </c>
      <c r="AU25" s="33"/>
      <c r="AV25" s="33"/>
      <c r="AW25" s="33"/>
      <c r="AX25" s="33"/>
      <c r="AY25" s="164">
        <f t="shared" si="27"/>
        <v>0</v>
      </c>
    </row>
    <row r="26" spans="2:51" x14ac:dyDescent="0.3">
      <c r="B26" s="40">
        <f t="shared" ref="B26:B46" si="34">C25</f>
        <v>22</v>
      </c>
      <c r="C26" s="41">
        <f>B26+1</f>
        <v>23</v>
      </c>
      <c r="D26" s="344">
        <v>107</v>
      </c>
      <c r="E26" s="141">
        <f t="shared" si="32"/>
        <v>1.3</v>
      </c>
      <c r="F26" s="42">
        <f t="shared" si="33"/>
        <v>139.1</v>
      </c>
      <c r="G26" s="142">
        <f>(F26-F25)/(C26-B26)</f>
        <v>-20.800000000000011</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7.2681818181818185</v>
      </c>
      <c r="R26" s="33">
        <f t="shared" si="25"/>
        <v>152.6318181818182</v>
      </c>
      <c r="S26" s="33">
        <f t="shared" si="26"/>
        <v>70.210636363636382</v>
      </c>
      <c r="T26" s="33">
        <f t="shared" si="2"/>
        <v>19.725756853741867</v>
      </c>
      <c r="U26" s="33">
        <f t="shared" si="20"/>
        <v>70</v>
      </c>
      <c r="V26" s="33">
        <f t="shared" si="3"/>
        <v>7</v>
      </c>
      <c r="W26" s="33">
        <v>0</v>
      </c>
      <c r="X26" s="33">
        <f t="shared" si="4"/>
        <v>438.97255152026713</v>
      </c>
      <c r="Y26" s="38">
        <f t="shared" si="5"/>
        <v>128.59497205610131</v>
      </c>
      <c r="AA26" s="71">
        <v>21</v>
      </c>
      <c r="AB26" s="33">
        <f t="shared" si="6"/>
        <v>0</v>
      </c>
      <c r="AC26" s="305">
        <f t="shared" si="7"/>
        <v>0</v>
      </c>
      <c r="AD26" s="100">
        <f t="shared" si="8"/>
        <v>0</v>
      </c>
      <c r="AE26" s="100">
        <f t="shared" si="9"/>
        <v>0</v>
      </c>
      <c r="AF26" s="194">
        <f>IF(OR(AA26&lt;=$F$18,AA26&lt;=30),EXP(-LN(2)/$D$104)*AF25+((1-EXP(-LN(2)/$D$104))/(LN(2)/$D$104))*$AB26*AC26*0.475*$F$19*44/12,)</f>
        <v>0</v>
      </c>
      <c r="AG26" s="194">
        <f>IF(OR(AA26&lt;=$F$18,AA26&lt;=30),EXP(-LN(2)/$D$106)*AG25+((1-EXP(-LN(2)/$D$106))/(LN(2)/$D$106))*$AB26*AD26*0.475*$F$19*44/12,)</f>
        <v>0</v>
      </c>
      <c r="AH26" s="194">
        <f>IF(OR(AA26&lt;=$F$18,AA26&lt;=30),EXP(-LN(2)/$D$105)*AH25+((1-EXP(-LN(2)/$D$105))/(LN(2)/$D$105))*$AB26*AE26*0.475*$F$19*44/12,)</f>
        <v>0</v>
      </c>
      <c r="AI26" s="199">
        <f>IF(OR(AA26&lt;=$F$18,AA26&lt;=30),SUM(AF26:AH26),)</f>
        <v>0</v>
      </c>
      <c r="AK26" s="71">
        <v>21</v>
      </c>
      <c r="AL26" s="33">
        <f t="shared" si="10"/>
        <v>0</v>
      </c>
      <c r="AM26" s="33">
        <f t="shared" si="11"/>
        <v>0</v>
      </c>
      <c r="AN26" s="33">
        <f t="shared" si="12"/>
        <v>0</v>
      </c>
      <c r="AO26" s="33">
        <f t="shared" si="13"/>
        <v>0</v>
      </c>
      <c r="AP26" s="33">
        <f t="shared" si="14"/>
        <v>0</v>
      </c>
      <c r="AQ26" s="194">
        <f t="shared" si="15"/>
        <v>0</v>
      </c>
      <c r="AR26" s="194">
        <f t="shared" si="16"/>
        <v>0</v>
      </c>
      <c r="AS26" s="194">
        <f t="shared" si="17"/>
        <v>0</v>
      </c>
      <c r="AT26" s="194">
        <f t="shared" si="18"/>
        <v>0</v>
      </c>
      <c r="AU26" s="33"/>
      <c r="AV26" s="33"/>
      <c r="AW26" s="33"/>
      <c r="AX26" s="33"/>
      <c r="AY26" s="164">
        <f t="shared" si="27"/>
        <v>0</v>
      </c>
    </row>
    <row r="27" spans="2:51" x14ac:dyDescent="0.3">
      <c r="B27" s="40">
        <f t="shared" si="34"/>
        <v>23</v>
      </c>
      <c r="C27" s="152">
        <f>C25+3</f>
        <v>25</v>
      </c>
      <c r="D27" s="137">
        <f>D28+17</f>
        <v>144</v>
      </c>
      <c r="E27" s="141">
        <f t="shared" si="32"/>
        <v>1.3</v>
      </c>
      <c r="F27" s="42">
        <f t="shared" si="33"/>
        <v>187.20000000000002</v>
      </c>
      <c r="G27" s="51">
        <f t="shared" ref="G27:G46" si="35">(F27-F26)/(C27-B27)</f>
        <v>24.050000000000011</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7.2681818181818185</v>
      </c>
      <c r="R27" s="33">
        <f t="shared" si="25"/>
        <v>159.90000000000003</v>
      </c>
      <c r="S27" s="33">
        <f t="shared" si="26"/>
        <v>73.554000000000016</v>
      </c>
      <c r="T27" s="33">
        <f t="shared" si="2"/>
        <v>20.553481077376691</v>
      </c>
      <c r="U27" s="33">
        <f t="shared" si="20"/>
        <v>70</v>
      </c>
      <c r="V27" s="33">
        <f t="shared" si="3"/>
        <v>7.333333333333333</v>
      </c>
      <c r="W27" s="33">
        <v>0</v>
      </c>
      <c r="X27" s="33">
        <f t="shared" si="4"/>
        <v>447.45941843198665</v>
      </c>
      <c r="Y27" s="38">
        <f t="shared" si="5"/>
        <v>134.56489028827173</v>
      </c>
      <c r="AA27" s="71">
        <v>22</v>
      </c>
      <c r="AB27" s="33">
        <f t="shared" si="6"/>
        <v>0</v>
      </c>
      <c r="AC27" s="305">
        <f t="shared" si="7"/>
        <v>0</v>
      </c>
      <c r="AD27" s="100">
        <f t="shared" si="8"/>
        <v>0</v>
      </c>
      <c r="AE27" s="100">
        <f t="shared" si="9"/>
        <v>0</v>
      </c>
      <c r="AF27" s="194">
        <f t="shared" ref="AF27:AF90" si="36">IF(OR(AA27&lt;=$F$18,AA27&lt;=30),EXP(-LN(2)/$D$104)*AF26+((1-EXP(-LN(2)/$D$104))/(LN(2)/$D$104))*$AB27*AC27*0.475*$F$19*44/12,)</f>
        <v>0</v>
      </c>
      <c r="AG27" s="194">
        <f t="shared" ref="AG27:AG90" si="37">IF(OR(AA27&lt;=$F$18,AA27&lt;=30),EXP(-LN(2)/$D$106)*AG26+((1-EXP(-LN(2)/$D$106))/(LN(2)/$D$106))*$AB27*AD27*0.475*$F$19*44/12,)</f>
        <v>0</v>
      </c>
      <c r="AH27" s="194">
        <f t="shared" ref="AH27:AH90" si="38">IF(OR(AA27&lt;=$F$18,AA27&lt;=30),EXP(-LN(2)/$D$105)*AH26+((1-EXP(-LN(2)/$D$105))/(LN(2)/$D$105))*$AB27*AE27*0.475*$F$19*44/12,)</f>
        <v>0</v>
      </c>
      <c r="AI27" s="199">
        <f t="shared" ref="AI27:AI90" si="39">IF(OR(AA27&lt;=$F$18,AA27&lt;=30),SUM(AF27:AH27),)</f>
        <v>0</v>
      </c>
      <c r="AK27" s="71">
        <v>22</v>
      </c>
      <c r="AL27" s="33">
        <f t="shared" si="10"/>
        <v>0</v>
      </c>
      <c r="AM27" s="33">
        <f t="shared" si="11"/>
        <v>0</v>
      </c>
      <c r="AN27" s="33">
        <f t="shared" si="12"/>
        <v>0</v>
      </c>
      <c r="AO27" s="33">
        <f t="shared" si="13"/>
        <v>0</v>
      </c>
      <c r="AP27" s="33">
        <f t="shared" si="14"/>
        <v>0</v>
      </c>
      <c r="AQ27" s="194">
        <f t="shared" si="15"/>
        <v>0</v>
      </c>
      <c r="AR27" s="194">
        <f t="shared" si="16"/>
        <v>0</v>
      </c>
      <c r="AS27" s="194">
        <f t="shared" si="17"/>
        <v>0</v>
      </c>
      <c r="AT27" s="194">
        <f t="shared" si="18"/>
        <v>0</v>
      </c>
      <c r="AU27" s="33"/>
      <c r="AV27" s="33"/>
      <c r="AW27" s="33"/>
      <c r="AX27" s="33"/>
      <c r="AY27" s="164">
        <f t="shared" si="27"/>
        <v>0</v>
      </c>
    </row>
    <row r="28" spans="2:51" x14ac:dyDescent="0.3">
      <c r="B28" s="40">
        <f t="shared" si="34"/>
        <v>25</v>
      </c>
      <c r="C28" s="41">
        <f>B28+1</f>
        <v>26</v>
      </c>
      <c r="D28" s="137">
        <v>127</v>
      </c>
      <c r="E28" s="141">
        <f t="shared" si="32"/>
        <v>1.3</v>
      </c>
      <c r="F28" s="42">
        <f t="shared" si="33"/>
        <v>165.1</v>
      </c>
      <c r="G28" s="51">
        <f t="shared" si="35"/>
        <v>-22.100000000000023</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-20.800000000000011</v>
      </c>
      <c r="R28" s="33">
        <f t="shared" si="25"/>
        <v>139.10000000000002</v>
      </c>
      <c r="S28" s="33">
        <f t="shared" si="26"/>
        <v>63.986000000000011</v>
      </c>
      <c r="T28" s="33">
        <f t="shared" si="2"/>
        <v>18.172251427996663</v>
      </c>
      <c r="U28" s="33">
        <f t="shared" si="20"/>
        <v>70</v>
      </c>
      <c r="V28" s="33">
        <f t="shared" si="3"/>
        <v>7.666666666666667</v>
      </c>
      <c r="W28" s="33">
        <v>0</v>
      </c>
      <c r="X28" s="33">
        <f t="shared" si="4"/>
        <v>427.87006568153873</v>
      </c>
      <c r="Y28" s="38">
        <f t="shared" si="5"/>
        <v>112.46018294861244</v>
      </c>
      <c r="AA28" s="71">
        <v>23</v>
      </c>
      <c r="AB28" s="33">
        <f t="shared" si="6"/>
        <v>16</v>
      </c>
      <c r="AC28" s="305">
        <f t="shared" si="7"/>
        <v>0</v>
      </c>
      <c r="AD28" s="100">
        <f t="shared" si="8"/>
        <v>0.56000000000000005</v>
      </c>
      <c r="AE28" s="100">
        <f t="shared" si="9"/>
        <v>0.44</v>
      </c>
      <c r="AF28" s="194">
        <f t="shared" si="36"/>
        <v>0</v>
      </c>
      <c r="AG28" s="194">
        <f t="shared" si="37"/>
        <v>7.0798522090171758</v>
      </c>
      <c r="AH28" s="194">
        <f t="shared" si="38"/>
        <v>4.7666073940026195</v>
      </c>
      <c r="AI28" s="199">
        <f t="shared" si="39"/>
        <v>11.846459603019795</v>
      </c>
      <c r="AK28" s="71">
        <v>23</v>
      </c>
      <c r="AL28" s="33">
        <f t="shared" si="10"/>
        <v>16</v>
      </c>
      <c r="AM28" s="33">
        <f t="shared" si="11"/>
        <v>0</v>
      </c>
      <c r="AN28" s="33">
        <f t="shared" si="12"/>
        <v>0.56000000000000005</v>
      </c>
      <c r="AO28" s="33">
        <f t="shared" si="13"/>
        <v>0.44</v>
      </c>
      <c r="AP28" s="33">
        <f t="shared" si="14"/>
        <v>0</v>
      </c>
      <c r="AQ28" s="194">
        <f t="shared" si="15"/>
        <v>0</v>
      </c>
      <c r="AR28" s="194">
        <f t="shared" si="16"/>
        <v>8.9600000000000009</v>
      </c>
      <c r="AS28" s="194">
        <f t="shared" si="17"/>
        <v>7.04</v>
      </c>
      <c r="AT28" s="194">
        <f t="shared" si="18"/>
        <v>0</v>
      </c>
      <c r="AU28" s="33"/>
      <c r="AV28" s="33"/>
      <c r="AW28" s="33"/>
      <c r="AX28" s="33"/>
      <c r="AY28" s="164">
        <f t="shared" si="27"/>
        <v>6.88</v>
      </c>
    </row>
    <row r="29" spans="2:51" x14ac:dyDescent="0.3">
      <c r="B29" s="40">
        <f t="shared" si="34"/>
        <v>26</v>
      </c>
      <c r="C29" s="152">
        <f>C27+5</f>
        <v>30</v>
      </c>
      <c r="D29" s="137">
        <f>D30+34</f>
        <v>194</v>
      </c>
      <c r="E29" s="141">
        <f t="shared" si="32"/>
        <v>1.3</v>
      </c>
      <c r="F29" s="42">
        <f t="shared" si="33"/>
        <v>252.20000000000002</v>
      </c>
      <c r="G29" s="51">
        <f t="shared" si="35"/>
        <v>21.775000000000006</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24.050000000000011</v>
      </c>
      <c r="R29" s="33">
        <f t="shared" si="25"/>
        <v>163.15000000000003</v>
      </c>
      <c r="S29" s="33">
        <f t="shared" si="26"/>
        <v>75.049000000000021</v>
      </c>
      <c r="T29" s="33">
        <f t="shared" si="2"/>
        <v>20.922174846609956</v>
      </c>
      <c r="U29" s="33">
        <f t="shared" si="20"/>
        <v>70</v>
      </c>
      <c r="V29" s="33">
        <f t="shared" si="3"/>
        <v>8</v>
      </c>
      <c r="W29" s="33">
        <v>0</v>
      </c>
      <c r="X29" s="33">
        <f t="shared" si="4"/>
        <v>453.14979619117906</v>
      </c>
      <c r="Y29" s="38">
        <f t="shared" si="5"/>
        <v>135.22607572941325</v>
      </c>
      <c r="AA29" s="71">
        <v>24</v>
      </c>
      <c r="AB29" s="33">
        <f t="shared" si="6"/>
        <v>0</v>
      </c>
      <c r="AC29" s="305">
        <f t="shared" si="7"/>
        <v>0</v>
      </c>
      <c r="AD29" s="100">
        <f t="shared" si="8"/>
        <v>0</v>
      </c>
      <c r="AE29" s="100">
        <f t="shared" si="9"/>
        <v>0</v>
      </c>
      <c r="AF29" s="194">
        <f t="shared" si="36"/>
        <v>0</v>
      </c>
      <c r="AG29" s="194">
        <f t="shared" si="37"/>
        <v>6.886253278048355</v>
      </c>
      <c r="AH29" s="194">
        <f t="shared" si="38"/>
        <v>3.37050041155319</v>
      </c>
      <c r="AI29" s="199">
        <f t="shared" si="39"/>
        <v>10.256753689601545</v>
      </c>
      <c r="AK29" s="71">
        <v>24</v>
      </c>
      <c r="AL29" s="33">
        <f t="shared" si="10"/>
        <v>0</v>
      </c>
      <c r="AM29" s="33">
        <f t="shared" si="11"/>
        <v>0</v>
      </c>
      <c r="AN29" s="33">
        <f t="shared" si="12"/>
        <v>0</v>
      </c>
      <c r="AO29" s="33">
        <f t="shared" si="13"/>
        <v>0</v>
      </c>
      <c r="AP29" s="33">
        <f t="shared" si="14"/>
        <v>0</v>
      </c>
      <c r="AQ29" s="194">
        <f t="shared" si="15"/>
        <v>0</v>
      </c>
      <c r="AR29" s="194">
        <f t="shared" si="16"/>
        <v>0</v>
      </c>
      <c r="AS29" s="194">
        <f t="shared" si="17"/>
        <v>0</v>
      </c>
      <c r="AT29" s="194">
        <f t="shared" si="18"/>
        <v>0</v>
      </c>
      <c r="AU29" s="33"/>
      <c r="AV29" s="33"/>
      <c r="AW29" s="33"/>
      <c r="AX29" s="33"/>
      <c r="AY29" s="164">
        <f t="shared" si="27"/>
        <v>6.88</v>
      </c>
    </row>
    <row r="30" spans="2:51" x14ac:dyDescent="0.3">
      <c r="B30" s="40">
        <f t="shared" si="34"/>
        <v>30</v>
      </c>
      <c r="C30" s="41">
        <f>B30+1</f>
        <v>31</v>
      </c>
      <c r="D30" s="137">
        <v>160</v>
      </c>
      <c r="E30" s="141">
        <f t="shared" si="32"/>
        <v>1.3</v>
      </c>
      <c r="F30" s="42">
        <f t="shared" si="33"/>
        <v>208</v>
      </c>
      <c r="G30" s="51">
        <f t="shared" si="35"/>
        <v>-44.200000000000017</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24.050000000000011</v>
      </c>
      <c r="R30" s="33">
        <f t="shared" si="25"/>
        <v>187.20000000000005</v>
      </c>
      <c r="S30" s="33">
        <f t="shared" si="26"/>
        <v>86.112000000000023</v>
      </c>
      <c r="T30" s="33">
        <f t="shared" si="2"/>
        <v>23.625136642852297</v>
      </c>
      <c r="U30" s="33">
        <f t="shared" si="20"/>
        <v>70</v>
      </c>
      <c r="V30" s="33">
        <f t="shared" si="3"/>
        <v>8.3333333333333339</v>
      </c>
      <c r="W30" s="33">
        <v>0</v>
      </c>
      <c r="X30" s="33">
        <f t="shared" si="4"/>
        <v>478.34773520852332</v>
      </c>
      <c r="Y30" s="38">
        <f t="shared" si="5"/>
        <v>157.91162344826739</v>
      </c>
      <c r="AA30" s="71">
        <v>25</v>
      </c>
      <c r="AB30" s="33">
        <f t="shared" si="6"/>
        <v>0</v>
      </c>
      <c r="AC30" s="305">
        <f t="shared" si="7"/>
        <v>0</v>
      </c>
      <c r="AD30" s="100">
        <f t="shared" si="8"/>
        <v>0</v>
      </c>
      <c r="AE30" s="100">
        <f t="shared" si="9"/>
        <v>0</v>
      </c>
      <c r="AF30" s="194">
        <f t="shared" si="36"/>
        <v>0</v>
      </c>
      <c r="AG30" s="194">
        <f t="shared" si="37"/>
        <v>6.6979483200278018</v>
      </c>
      <c r="AH30" s="194">
        <f t="shared" si="38"/>
        <v>2.3833036970013102</v>
      </c>
      <c r="AI30" s="199">
        <f t="shared" si="39"/>
        <v>9.0812520170291116</v>
      </c>
      <c r="AK30" s="71">
        <v>25</v>
      </c>
      <c r="AL30" s="33">
        <f t="shared" si="10"/>
        <v>0</v>
      </c>
      <c r="AM30" s="33">
        <f t="shared" si="11"/>
        <v>0</v>
      </c>
      <c r="AN30" s="33">
        <f t="shared" si="12"/>
        <v>0</v>
      </c>
      <c r="AO30" s="33">
        <f t="shared" si="13"/>
        <v>0</v>
      </c>
      <c r="AP30" s="33">
        <f t="shared" si="14"/>
        <v>0</v>
      </c>
      <c r="AQ30" s="194">
        <f t="shared" si="15"/>
        <v>0</v>
      </c>
      <c r="AR30" s="194">
        <f t="shared" si="16"/>
        <v>0</v>
      </c>
      <c r="AS30" s="194">
        <f t="shared" si="17"/>
        <v>0</v>
      </c>
      <c r="AT30" s="194">
        <f t="shared" si="18"/>
        <v>0</v>
      </c>
      <c r="AU30" s="33"/>
      <c r="AV30" s="33"/>
      <c r="AW30" s="33"/>
      <c r="AX30" s="33"/>
      <c r="AY30" s="164">
        <f t="shared" si="27"/>
        <v>6.88</v>
      </c>
    </row>
    <row r="31" spans="2:51" x14ac:dyDescent="0.3">
      <c r="B31" s="40">
        <f t="shared" si="34"/>
        <v>31</v>
      </c>
      <c r="C31" s="152">
        <f>C29+5</f>
        <v>35</v>
      </c>
      <c r="D31" s="137">
        <f>D32+41</f>
        <v>233</v>
      </c>
      <c r="E31" s="141">
        <f t="shared" si="32"/>
        <v>1.3</v>
      </c>
      <c r="F31" s="42">
        <f t="shared" si="33"/>
        <v>302.90000000000003</v>
      </c>
      <c r="G31" s="51">
        <f t="shared" si="35"/>
        <v>23.725000000000009</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-22.100000000000023</v>
      </c>
      <c r="R31" s="33">
        <f t="shared" si="25"/>
        <v>165.10000000000002</v>
      </c>
      <c r="S31" s="33">
        <f t="shared" si="26"/>
        <v>75.946000000000012</v>
      </c>
      <c r="T31" s="33">
        <f t="shared" si="2"/>
        <v>21.142979995226831</v>
      </c>
      <c r="U31" s="33">
        <f t="shared" si="20"/>
        <v>70</v>
      </c>
      <c r="V31" s="33">
        <f t="shared" si="3"/>
        <v>8.6666666666666661</v>
      </c>
      <c r="W31" s="33">
        <v>0</v>
      </c>
      <c r="X31" s="33">
        <f t="shared" si="4"/>
        <v>457.54108460279787</v>
      </c>
      <c r="Y31" s="38">
        <f t="shared" si="5"/>
        <v>134.59396349770577</v>
      </c>
      <c r="AA31" s="71">
        <v>26</v>
      </c>
      <c r="AB31" s="33">
        <f t="shared" si="6"/>
        <v>17</v>
      </c>
      <c r="AC31" s="305">
        <f t="shared" si="7"/>
        <v>0</v>
      </c>
      <c r="AD31" s="100">
        <f t="shared" si="8"/>
        <v>0.56000000000000005</v>
      </c>
      <c r="AE31" s="100">
        <f t="shared" si="9"/>
        <v>0.44</v>
      </c>
      <c r="AF31" s="194">
        <f t="shared" si="36"/>
        <v>0</v>
      </c>
      <c r="AG31" s="194">
        <f t="shared" si="37"/>
        <v>14.037135543067597</v>
      </c>
      <c r="AH31" s="194">
        <f t="shared" si="38"/>
        <v>6.7497705619043771</v>
      </c>
      <c r="AI31" s="199">
        <f t="shared" si="39"/>
        <v>20.786906104971976</v>
      </c>
      <c r="AK31" s="71">
        <v>26</v>
      </c>
      <c r="AL31" s="33">
        <f t="shared" si="10"/>
        <v>17</v>
      </c>
      <c r="AM31" s="33">
        <f t="shared" si="11"/>
        <v>0</v>
      </c>
      <c r="AN31" s="33">
        <f t="shared" si="12"/>
        <v>0.56000000000000005</v>
      </c>
      <c r="AO31" s="33">
        <f t="shared" si="13"/>
        <v>0.44</v>
      </c>
      <c r="AP31" s="33">
        <f t="shared" si="14"/>
        <v>0</v>
      </c>
      <c r="AQ31" s="194">
        <f t="shared" si="15"/>
        <v>0</v>
      </c>
      <c r="AR31" s="194">
        <f t="shared" si="16"/>
        <v>9.5200000000000014</v>
      </c>
      <c r="AS31" s="194">
        <f t="shared" si="17"/>
        <v>7.48</v>
      </c>
      <c r="AT31" s="194">
        <f t="shared" si="18"/>
        <v>0</v>
      </c>
      <c r="AU31" s="33"/>
      <c r="AV31" s="33"/>
      <c r="AW31" s="33"/>
      <c r="AX31" s="33"/>
      <c r="AY31" s="164">
        <f t="shared" si="27"/>
        <v>14.19</v>
      </c>
    </row>
    <row r="32" spans="2:51" x14ac:dyDescent="0.3">
      <c r="B32" s="40">
        <f t="shared" si="34"/>
        <v>35</v>
      </c>
      <c r="C32" s="41">
        <f>B32+1</f>
        <v>36</v>
      </c>
      <c r="D32" s="137">
        <v>192</v>
      </c>
      <c r="E32" s="141">
        <f t="shared" si="32"/>
        <v>1.3</v>
      </c>
      <c r="F32" s="42">
        <f t="shared" si="33"/>
        <v>249.60000000000002</v>
      </c>
      <c r="G32" s="51">
        <f t="shared" si="35"/>
        <v>-53.300000000000011</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21.775000000000006</v>
      </c>
      <c r="R32" s="33">
        <f t="shared" si="25"/>
        <v>186.87500000000003</v>
      </c>
      <c r="S32" s="33">
        <f t="shared" si="26"/>
        <v>85.96250000000002</v>
      </c>
      <c r="T32" s="33">
        <f t="shared" si="2"/>
        <v>23.588891362707084</v>
      </c>
      <c r="U32" s="33">
        <f t="shared" si="20"/>
        <v>70</v>
      </c>
      <c r="V32" s="33">
        <f t="shared" si="3"/>
        <v>9</v>
      </c>
      <c r="W32" s="33">
        <v>0</v>
      </c>
      <c r="X32" s="33">
        <f t="shared" si="4"/>
        <v>480.46867329004823</v>
      </c>
      <c r="Y32" s="38">
        <f t="shared" si="5"/>
        <v>155.01186555770107</v>
      </c>
      <c r="AA32" s="71">
        <v>27</v>
      </c>
      <c r="AB32" s="33">
        <f t="shared" si="6"/>
        <v>0</v>
      </c>
      <c r="AC32" s="305">
        <f t="shared" si="7"/>
        <v>0</v>
      </c>
      <c r="AD32" s="100">
        <f t="shared" si="8"/>
        <v>0</v>
      </c>
      <c r="AE32" s="100">
        <f t="shared" si="9"/>
        <v>0</v>
      </c>
      <c r="AF32" s="194">
        <f t="shared" si="36"/>
        <v>0</v>
      </c>
      <c r="AG32" s="194">
        <f t="shared" si="37"/>
        <v>13.653289333461538</v>
      </c>
      <c r="AH32" s="194">
        <f t="shared" si="38"/>
        <v>4.7728085357759182</v>
      </c>
      <c r="AI32" s="199">
        <f t="shared" si="39"/>
        <v>18.426097869237456</v>
      </c>
      <c r="AK32" s="71">
        <v>27</v>
      </c>
      <c r="AL32" s="33">
        <f t="shared" si="10"/>
        <v>0</v>
      </c>
      <c r="AM32" s="33">
        <f t="shared" si="11"/>
        <v>0</v>
      </c>
      <c r="AN32" s="33">
        <f t="shared" si="12"/>
        <v>0</v>
      </c>
      <c r="AO32" s="33">
        <f t="shared" si="13"/>
        <v>0</v>
      </c>
      <c r="AP32" s="33">
        <f t="shared" si="14"/>
        <v>0</v>
      </c>
      <c r="AQ32" s="194">
        <f t="shared" si="15"/>
        <v>0</v>
      </c>
      <c r="AR32" s="194">
        <f t="shared" si="16"/>
        <v>0</v>
      </c>
      <c r="AS32" s="194">
        <f t="shared" si="17"/>
        <v>0</v>
      </c>
      <c r="AT32" s="194">
        <f t="shared" si="18"/>
        <v>0</v>
      </c>
      <c r="AU32" s="33"/>
      <c r="AV32" s="33"/>
      <c r="AW32" s="33"/>
      <c r="AX32" s="33"/>
      <c r="AY32" s="164">
        <f t="shared" si="27"/>
        <v>14.19</v>
      </c>
    </row>
    <row r="33" spans="2:51" x14ac:dyDescent="0.3">
      <c r="B33" s="40">
        <f t="shared" si="34"/>
        <v>36</v>
      </c>
      <c r="C33" s="152">
        <f>C31+5</f>
        <v>40</v>
      </c>
      <c r="D33" s="137">
        <f>D34+41</f>
        <v>264</v>
      </c>
      <c r="E33" s="141">
        <f t="shared" si="32"/>
        <v>1.3</v>
      </c>
      <c r="F33" s="42">
        <f t="shared" si="33"/>
        <v>343.2</v>
      </c>
      <c r="G33" s="51">
        <f t="shared" si="35"/>
        <v>23.399999999999991</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21.775000000000006</v>
      </c>
      <c r="R33" s="33">
        <f t="shared" si="25"/>
        <v>208.65000000000003</v>
      </c>
      <c r="S33" s="33">
        <f t="shared" si="26"/>
        <v>95.979000000000013</v>
      </c>
      <c r="T33" s="33">
        <f t="shared" si="2"/>
        <v>26.001773658700102</v>
      </c>
      <c r="U33" s="33">
        <f t="shared" si="20"/>
        <v>70</v>
      </c>
      <c r="V33" s="33">
        <f t="shared" si="3"/>
        <v>9.3333333333333339</v>
      </c>
      <c r="W33" s="33">
        <v>0</v>
      </c>
      <c r="X33" s="33">
        <f t="shared" si="4"/>
        <v>503.33873634445825</v>
      </c>
      <c r="Y33" s="38">
        <f t="shared" si="5"/>
        <v>175.37351010283624</v>
      </c>
      <c r="AA33" s="71">
        <v>28</v>
      </c>
      <c r="AB33" s="33">
        <f t="shared" si="6"/>
        <v>0</v>
      </c>
      <c r="AC33" s="305">
        <f t="shared" si="7"/>
        <v>0</v>
      </c>
      <c r="AD33" s="100">
        <f t="shared" si="8"/>
        <v>0</v>
      </c>
      <c r="AE33" s="100">
        <f t="shared" si="9"/>
        <v>0</v>
      </c>
      <c r="AF33" s="194">
        <f t="shared" si="36"/>
        <v>0</v>
      </c>
      <c r="AG33" s="194">
        <f t="shared" si="37"/>
        <v>13.279939418642751</v>
      </c>
      <c r="AH33" s="194">
        <f t="shared" si="38"/>
        <v>3.3748852809521885</v>
      </c>
      <c r="AI33" s="199">
        <f t="shared" si="39"/>
        <v>16.65482469959494</v>
      </c>
      <c r="AK33" s="71">
        <v>28</v>
      </c>
      <c r="AL33" s="33">
        <f t="shared" si="10"/>
        <v>0</v>
      </c>
      <c r="AM33" s="33">
        <f t="shared" si="11"/>
        <v>0</v>
      </c>
      <c r="AN33" s="33">
        <f t="shared" si="12"/>
        <v>0</v>
      </c>
      <c r="AO33" s="33">
        <f t="shared" si="13"/>
        <v>0</v>
      </c>
      <c r="AP33" s="33">
        <f t="shared" si="14"/>
        <v>0</v>
      </c>
      <c r="AQ33" s="194">
        <f t="shared" si="15"/>
        <v>0</v>
      </c>
      <c r="AR33" s="194">
        <f t="shared" si="16"/>
        <v>0</v>
      </c>
      <c r="AS33" s="194">
        <f t="shared" si="17"/>
        <v>0</v>
      </c>
      <c r="AT33" s="194">
        <f t="shared" si="18"/>
        <v>0</v>
      </c>
      <c r="AU33" s="33"/>
      <c r="AV33" s="33"/>
      <c r="AW33" s="33"/>
      <c r="AX33" s="33"/>
      <c r="AY33" s="164">
        <f t="shared" si="27"/>
        <v>14.19</v>
      </c>
    </row>
    <row r="34" spans="2:51" ht="15" thickBot="1" x14ac:dyDescent="0.35">
      <c r="B34" s="40">
        <f t="shared" si="34"/>
        <v>40</v>
      </c>
      <c r="C34" s="41">
        <f>B34+1</f>
        <v>41</v>
      </c>
      <c r="D34" s="137">
        <v>223</v>
      </c>
      <c r="E34" s="141">
        <f t="shared" si="32"/>
        <v>1.3</v>
      </c>
      <c r="F34" s="42">
        <f t="shared" si="33"/>
        <v>289.90000000000003</v>
      </c>
      <c r="G34" s="51">
        <f t="shared" si="35"/>
        <v>-53.299999999999955</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21.775000000000006</v>
      </c>
      <c r="R34" s="33">
        <f t="shared" si="25"/>
        <v>230.42500000000004</v>
      </c>
      <c r="S34" s="33">
        <f t="shared" si="26"/>
        <v>105.99550000000002</v>
      </c>
      <c r="T34" s="33">
        <f t="shared" si="2"/>
        <v>28.385466506134591</v>
      </c>
      <c r="U34" s="33">
        <f t="shared" si="20"/>
        <v>70</v>
      </c>
      <c r="V34" s="33">
        <f t="shared" si="3"/>
        <v>9.6666666666666661</v>
      </c>
      <c r="W34" s="33">
        <v>0</v>
      </c>
      <c r="X34" s="33">
        <f t="shared" si="4"/>
        <v>526.15796110929546</v>
      </c>
      <c r="Y34" s="38">
        <f t="shared" si="5"/>
        <v>195.6855339978319</v>
      </c>
      <c r="AA34" s="71">
        <v>29</v>
      </c>
      <c r="AB34" s="143">
        <f t="shared" si="6"/>
        <v>0</v>
      </c>
      <c r="AC34" s="305">
        <f t="shared" si="7"/>
        <v>0</v>
      </c>
      <c r="AD34" s="101">
        <f t="shared" si="8"/>
        <v>0</v>
      </c>
      <c r="AE34" s="101">
        <f t="shared" si="9"/>
        <v>0</v>
      </c>
      <c r="AF34" s="196">
        <f t="shared" si="36"/>
        <v>0</v>
      </c>
      <c r="AG34" s="196">
        <f t="shared" si="37"/>
        <v>12.916798776878302</v>
      </c>
      <c r="AH34" s="194">
        <f t="shared" si="38"/>
        <v>2.3864042678879591</v>
      </c>
      <c r="AI34" s="199">
        <f t="shared" si="39"/>
        <v>15.303203044766262</v>
      </c>
      <c r="AK34" s="71">
        <v>29</v>
      </c>
      <c r="AL34" s="143">
        <f t="shared" si="10"/>
        <v>0</v>
      </c>
      <c r="AM34" s="35">
        <f t="shared" si="11"/>
        <v>0</v>
      </c>
      <c r="AN34" s="35">
        <f t="shared" si="12"/>
        <v>0</v>
      </c>
      <c r="AO34" s="35">
        <f t="shared" si="13"/>
        <v>0</v>
      </c>
      <c r="AP34" s="35">
        <f t="shared" si="14"/>
        <v>0</v>
      </c>
      <c r="AQ34" s="194">
        <f t="shared" si="15"/>
        <v>0</v>
      </c>
      <c r="AR34" s="194">
        <f t="shared" si="16"/>
        <v>0</v>
      </c>
      <c r="AS34" s="194">
        <f t="shared" si="17"/>
        <v>0</v>
      </c>
      <c r="AT34" s="194">
        <f t="shared" si="18"/>
        <v>0</v>
      </c>
      <c r="AU34" s="33"/>
      <c r="AV34" s="33"/>
      <c r="AW34" s="33"/>
      <c r="AX34" s="33"/>
      <c r="AY34" s="164">
        <f t="shared" si="27"/>
        <v>14.19</v>
      </c>
    </row>
    <row r="35" spans="2:51" ht="15" thickBot="1" x14ac:dyDescent="0.35">
      <c r="B35" s="40">
        <f t="shared" si="34"/>
        <v>41</v>
      </c>
      <c r="C35" s="152">
        <f>C33+5</f>
        <v>45</v>
      </c>
      <c r="D35" s="137">
        <f>D36+53</f>
        <v>318</v>
      </c>
      <c r="E35" s="141">
        <f t="shared" si="32"/>
        <v>1.3</v>
      </c>
      <c r="F35" s="42">
        <f t="shared" si="33"/>
        <v>413.40000000000003</v>
      </c>
      <c r="G35" s="51">
        <f t="shared" si="35"/>
        <v>30.875</v>
      </c>
      <c r="I35" s="87">
        <v>30</v>
      </c>
      <c r="J35" s="159">
        <f>IF($I35&lt;=$F$10,IF(AND(D8=B101,F12=C194),($F$11*$F$13+J34*50%),$F$11*$F$13+J34),)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21.775000000000006</v>
      </c>
      <c r="R35" s="54">
        <f t="shared" si="25"/>
        <v>252.20000000000005</v>
      </c>
      <c r="S35" s="53">
        <f t="shared" si="26"/>
        <v>116.01200000000003</v>
      </c>
      <c r="T35" s="54">
        <f t="shared" si="2"/>
        <v>30.743042086238173</v>
      </c>
      <c r="U35" s="54">
        <f t="shared" si="20"/>
        <v>70</v>
      </c>
      <c r="V35" s="53">
        <f t="shared" si="3"/>
        <v>10</v>
      </c>
      <c r="W35" s="54">
        <v>0</v>
      </c>
      <c r="X35" s="69">
        <f t="shared" si="4"/>
        <v>548.93169830019815</v>
      </c>
      <c r="Y35" s="65">
        <f t="shared" si="5"/>
        <v>215.95324115850582</v>
      </c>
      <c r="AA35" s="73">
        <v>30</v>
      </c>
      <c r="AB35" s="143">
        <f t="shared" si="6"/>
        <v>0</v>
      </c>
      <c r="AC35" s="305">
        <f t="shared" si="7"/>
        <v>0</v>
      </c>
      <c r="AD35" s="101">
        <f t="shared" si="8"/>
        <v>0</v>
      </c>
      <c r="AE35" s="101">
        <f t="shared" si="9"/>
        <v>0</v>
      </c>
      <c r="AF35" s="200">
        <f t="shared" si="36"/>
        <v>0</v>
      </c>
      <c r="AG35" s="195">
        <f t="shared" si="37"/>
        <v>12.563588235059639</v>
      </c>
      <c r="AH35" s="201">
        <f t="shared" si="38"/>
        <v>1.6874426404760943</v>
      </c>
      <c r="AI35" s="202">
        <f t="shared" si="39"/>
        <v>14.251030875535733</v>
      </c>
      <c r="AK35" s="73">
        <v>30</v>
      </c>
      <c r="AL35" s="143">
        <f t="shared" si="10"/>
        <v>0</v>
      </c>
      <c r="AM35" s="35">
        <f t="shared" si="11"/>
        <v>0</v>
      </c>
      <c r="AN35" s="35">
        <f t="shared" si="12"/>
        <v>0</v>
      </c>
      <c r="AO35" s="35">
        <f t="shared" si="13"/>
        <v>0</v>
      </c>
      <c r="AP35" s="35">
        <f t="shared" si="14"/>
        <v>0</v>
      </c>
      <c r="AQ35" s="195">
        <f t="shared" si="15"/>
        <v>0</v>
      </c>
      <c r="AR35" s="195">
        <f t="shared" si="16"/>
        <v>0</v>
      </c>
      <c r="AS35" s="195">
        <f t="shared" si="17"/>
        <v>0</v>
      </c>
      <c r="AT35" s="195">
        <f t="shared" si="18"/>
        <v>0</v>
      </c>
      <c r="AU35" s="53"/>
      <c r="AV35" s="53"/>
      <c r="AW35" s="53"/>
      <c r="AX35" s="53"/>
      <c r="AY35" s="165">
        <f t="shared" si="27"/>
        <v>14.19</v>
      </c>
    </row>
    <row r="36" spans="2:51" x14ac:dyDescent="0.3">
      <c r="B36" s="40">
        <f t="shared" si="34"/>
        <v>45</v>
      </c>
      <c r="C36" s="41">
        <f>B36+1</f>
        <v>46</v>
      </c>
      <c r="D36" s="137">
        <v>265</v>
      </c>
      <c r="E36" s="141">
        <f t="shared" si="32"/>
        <v>1.3</v>
      </c>
      <c r="F36" s="42">
        <f t="shared" si="33"/>
        <v>344.5</v>
      </c>
      <c r="G36" s="51">
        <f t="shared" si="35"/>
        <v>-68.900000000000034</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-44.200000000000017</v>
      </c>
      <c r="R36" s="33">
        <f t="shared" si="25"/>
        <v>208.00000000000003</v>
      </c>
      <c r="S36" s="33">
        <f t="shared" si="26"/>
        <v>95.680000000000021</v>
      </c>
      <c r="T36" s="33">
        <f t="shared" si="2"/>
        <v>25.930186937101965</v>
      </c>
      <c r="U36" s="33">
        <f t="shared" si="20"/>
        <v>70</v>
      </c>
      <c r="V36" s="33">
        <f t="shared" si="3"/>
        <v>10</v>
      </c>
      <c r="W36" s="33">
        <v>0</v>
      </c>
      <c r="X36" s="33">
        <f t="shared" si="4"/>
        <v>505.13774224878597</v>
      </c>
      <c r="Y36" s="38">
        <f t="shared" si="5"/>
        <v>170.87660463590987</v>
      </c>
      <c r="AA36" s="71">
        <v>31</v>
      </c>
      <c r="AB36" s="33">
        <f t="shared" si="6"/>
        <v>34</v>
      </c>
      <c r="AC36" s="305">
        <f t="shared" si="7"/>
        <v>0.1</v>
      </c>
      <c r="AD36" s="100">
        <f t="shared" si="8"/>
        <v>0.44800000000000006</v>
      </c>
      <c r="AE36" s="100">
        <f t="shared" si="9"/>
        <v>0.35200000000000004</v>
      </c>
      <c r="AF36" s="194">
        <f t="shared" si="36"/>
        <v>2.6971708507996728</v>
      </c>
      <c r="AG36" s="194">
        <f t="shared" si="37"/>
        <v>24.255785009410744</v>
      </c>
      <c r="AH36" s="194">
        <f t="shared" si="38"/>
        <v>9.2964347037484316</v>
      </c>
      <c r="AI36" s="199">
        <f t="shared" si="39"/>
        <v>36.249390563958848</v>
      </c>
      <c r="AK36" s="71">
        <v>31</v>
      </c>
      <c r="AL36" s="33">
        <f t="shared" si="10"/>
        <v>34</v>
      </c>
      <c r="AM36" s="33">
        <f t="shared" si="11"/>
        <v>0.2</v>
      </c>
      <c r="AN36" s="33">
        <f t="shared" si="12"/>
        <v>0.44800000000000006</v>
      </c>
      <c r="AO36" s="33">
        <f t="shared" si="13"/>
        <v>0.35200000000000004</v>
      </c>
      <c r="AP36" s="33">
        <f t="shared" si="14"/>
        <v>0</v>
      </c>
      <c r="AQ36" s="194">
        <f t="shared" ref="AQ36:AQ99" si="40">IF($AK36&lt;=$F$18,$AL36*AM36,)</f>
        <v>6.8000000000000007</v>
      </c>
      <c r="AR36" s="194">
        <f t="shared" ref="AR36:AR99" si="41">IF($AK36&lt;=$F$18,$AL36*AN36,)</f>
        <v>15.232000000000003</v>
      </c>
      <c r="AS36" s="194">
        <f t="shared" ref="AS36:AS99" si="42">IF($AK36&lt;=$F$18,$AL36*AO36,)</f>
        <v>11.968000000000002</v>
      </c>
      <c r="AT36" s="194">
        <f t="shared" ref="AT36:AT99" si="43">IF($AK36&lt;=$F$18,$AL36*AP36,)</f>
        <v>0</v>
      </c>
      <c r="AU36" s="33"/>
      <c r="AV36" s="33"/>
      <c r="AW36" s="33"/>
      <c r="AX36" s="33"/>
      <c r="AY36" s="76"/>
    </row>
    <row r="37" spans="2:51" x14ac:dyDescent="0.3">
      <c r="B37" s="40">
        <f t="shared" si="34"/>
        <v>46</v>
      </c>
      <c r="C37" s="152">
        <f>C35+5</f>
        <v>50</v>
      </c>
      <c r="D37" s="137">
        <f>D38+53</f>
        <v>352</v>
      </c>
      <c r="E37" s="141">
        <f t="shared" si="32"/>
        <v>1.3</v>
      </c>
      <c r="F37" s="42">
        <f t="shared" si="33"/>
        <v>457.6</v>
      </c>
      <c r="G37" s="51">
        <f t="shared" si="35"/>
        <v>28.275000000000006</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23.725000000000009</v>
      </c>
      <c r="R37" s="33">
        <f t="shared" si="25"/>
        <v>231.72500000000002</v>
      </c>
      <c r="S37" s="33">
        <f t="shared" si="26"/>
        <v>106.59350000000002</v>
      </c>
      <c r="T37" s="33">
        <f t="shared" si="2"/>
        <v>28.526923092717553</v>
      </c>
      <c r="U37" s="33">
        <f t="shared" si="20"/>
        <v>70</v>
      </c>
      <c r="V37" s="33">
        <f t="shared" si="3"/>
        <v>10</v>
      </c>
      <c r="W37" s="33">
        <v>0</v>
      </c>
      <c r="X37" s="33">
        <f t="shared" si="4"/>
        <v>528.66807021981651</v>
      </c>
      <c r="Y37" s="38">
        <f t="shared" si="5"/>
        <v>193.12533893576085</v>
      </c>
      <c r="AA37" s="71">
        <v>32</v>
      </c>
      <c r="AB37" s="33">
        <f t="shared" si="6"/>
        <v>0</v>
      </c>
      <c r="AC37" s="305">
        <f t="shared" si="7"/>
        <v>0</v>
      </c>
      <c r="AD37" s="100">
        <f t="shared" si="8"/>
        <v>0</v>
      </c>
      <c r="AE37" s="100">
        <f t="shared" si="9"/>
        <v>0</v>
      </c>
      <c r="AF37" s="194">
        <f t="shared" si="36"/>
        <v>2.6442809755272689</v>
      </c>
      <c r="AG37" s="194">
        <f t="shared" si="37"/>
        <v>23.59250929277211</v>
      </c>
      <c r="AH37" s="194">
        <f t="shared" si="38"/>
        <v>6.5735720198784691</v>
      </c>
      <c r="AI37" s="199">
        <f t="shared" si="39"/>
        <v>32.810362288177849</v>
      </c>
      <c r="AK37" s="71">
        <v>32</v>
      </c>
      <c r="AL37" s="33">
        <f t="shared" si="10"/>
        <v>0</v>
      </c>
      <c r="AM37" s="33">
        <f t="shared" si="11"/>
        <v>0</v>
      </c>
      <c r="AN37" s="33">
        <f t="shared" si="12"/>
        <v>0</v>
      </c>
      <c r="AO37" s="33">
        <f t="shared" si="13"/>
        <v>0</v>
      </c>
      <c r="AP37" s="33">
        <f t="shared" si="14"/>
        <v>0</v>
      </c>
      <c r="AQ37" s="194">
        <f t="shared" si="40"/>
        <v>0</v>
      </c>
      <c r="AR37" s="194">
        <f t="shared" si="41"/>
        <v>0</v>
      </c>
      <c r="AS37" s="194">
        <f t="shared" si="42"/>
        <v>0</v>
      </c>
      <c r="AT37" s="194">
        <f t="shared" si="43"/>
        <v>0</v>
      </c>
      <c r="AU37" s="33"/>
      <c r="AV37" s="33"/>
      <c r="AW37" s="33"/>
      <c r="AX37" s="33"/>
      <c r="AY37" s="76"/>
    </row>
    <row r="38" spans="2:51" x14ac:dyDescent="0.3">
      <c r="B38" s="40">
        <f t="shared" si="34"/>
        <v>50</v>
      </c>
      <c r="C38" s="41">
        <f>B38+1</f>
        <v>51</v>
      </c>
      <c r="D38" s="137">
        <v>299</v>
      </c>
      <c r="E38" s="141">
        <f t="shared" si="32"/>
        <v>1.3</v>
      </c>
      <c r="F38" s="42">
        <f t="shared" si="33"/>
        <v>388.7</v>
      </c>
      <c r="G38" s="51">
        <f t="shared" si="35"/>
        <v>-68.900000000000034</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23.725000000000009</v>
      </c>
      <c r="R38" s="33">
        <f t="shared" si="25"/>
        <v>255.45000000000005</v>
      </c>
      <c r="S38" s="33">
        <f t="shared" si="26"/>
        <v>117.50700000000002</v>
      </c>
      <c r="T38" s="33">
        <f t="shared" si="2"/>
        <v>31.09283945239704</v>
      </c>
      <c r="U38" s="33">
        <f t="shared" si="20"/>
        <v>70</v>
      </c>
      <c r="V38" s="33">
        <f t="shared" si="3"/>
        <v>10</v>
      </c>
      <c r="W38" s="33">
        <v>0</v>
      </c>
      <c r="X38" s="33">
        <f t="shared" si="4"/>
        <v>552.1447203795916</v>
      </c>
      <c r="Y38" s="38">
        <f t="shared" si="5"/>
        <v>215.32144436499777</v>
      </c>
      <c r="AA38" s="71">
        <v>33</v>
      </c>
      <c r="AB38" s="33">
        <f t="shared" si="6"/>
        <v>0</v>
      </c>
      <c r="AC38" s="305">
        <f t="shared" si="7"/>
        <v>0</v>
      </c>
      <c r="AD38" s="100">
        <f t="shared" si="8"/>
        <v>0</v>
      </c>
      <c r="AE38" s="100">
        <f t="shared" si="9"/>
        <v>0</v>
      </c>
      <c r="AF38" s="194">
        <f t="shared" si="36"/>
        <v>2.5924282384493185</v>
      </c>
      <c r="AG38" s="194">
        <f t="shared" si="37"/>
        <v>22.947370885485114</v>
      </c>
      <c r="AH38" s="194">
        <f t="shared" si="38"/>
        <v>4.6482173518742158</v>
      </c>
      <c r="AI38" s="199">
        <f t="shared" si="39"/>
        <v>30.188016475808649</v>
      </c>
      <c r="AK38" s="71">
        <v>33</v>
      </c>
      <c r="AL38" s="33">
        <f t="shared" si="10"/>
        <v>0</v>
      </c>
      <c r="AM38" s="33">
        <f t="shared" si="11"/>
        <v>0</v>
      </c>
      <c r="AN38" s="33">
        <f t="shared" si="12"/>
        <v>0</v>
      </c>
      <c r="AO38" s="33">
        <f t="shared" si="13"/>
        <v>0</v>
      </c>
      <c r="AP38" s="33">
        <f t="shared" si="14"/>
        <v>0</v>
      </c>
      <c r="AQ38" s="194">
        <f t="shared" si="40"/>
        <v>0</v>
      </c>
      <c r="AR38" s="194">
        <f t="shared" si="41"/>
        <v>0</v>
      </c>
      <c r="AS38" s="194">
        <f t="shared" si="42"/>
        <v>0</v>
      </c>
      <c r="AT38" s="194">
        <f t="shared" si="43"/>
        <v>0</v>
      </c>
      <c r="AU38" s="33"/>
      <c r="AV38" s="33"/>
      <c r="AW38" s="33"/>
      <c r="AX38" s="33"/>
      <c r="AY38" s="76"/>
    </row>
    <row r="39" spans="2:51" x14ac:dyDescent="0.3">
      <c r="B39" s="40">
        <f t="shared" si="34"/>
        <v>51</v>
      </c>
      <c r="C39" s="152">
        <f>C37+8</f>
        <v>58</v>
      </c>
      <c r="D39" s="137">
        <f>D40+78</f>
        <v>440</v>
      </c>
      <c r="E39" s="141">
        <f t="shared" si="32"/>
        <v>1.3</v>
      </c>
      <c r="F39" s="42">
        <f t="shared" si="33"/>
        <v>572</v>
      </c>
      <c r="G39" s="51">
        <f t="shared" si="35"/>
        <v>26.185714285714287</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23.725000000000009</v>
      </c>
      <c r="R39" s="33">
        <f t="shared" si="25"/>
        <v>279.17500000000007</v>
      </c>
      <c r="S39" s="33">
        <f t="shared" si="26"/>
        <v>128.42050000000003</v>
      </c>
      <c r="T39" s="33">
        <f t="shared" si="2"/>
        <v>33.631123997607411</v>
      </c>
      <c r="U39" s="33">
        <f t="shared" si="20"/>
        <v>70</v>
      </c>
      <c r="V39" s="33">
        <f t="shared" si="3"/>
        <v>10</v>
      </c>
      <c r="W39" s="33">
        <v>0</v>
      </c>
      <c r="X39" s="33">
        <f t="shared" si="4"/>
        <v>575.57324512916637</v>
      </c>
      <c r="Y39" s="38">
        <f t="shared" si="5"/>
        <v>237.47043789020785</v>
      </c>
      <c r="AA39" s="71">
        <v>34</v>
      </c>
      <c r="AB39" s="33">
        <f t="shared" si="6"/>
        <v>0</v>
      </c>
      <c r="AC39" s="305">
        <f t="shared" si="7"/>
        <v>0</v>
      </c>
      <c r="AD39" s="100">
        <f t="shared" si="8"/>
        <v>0</v>
      </c>
      <c r="AE39" s="100">
        <f t="shared" si="9"/>
        <v>0</v>
      </c>
      <c r="AF39" s="194">
        <f t="shared" si="36"/>
        <v>2.5415923019184197</v>
      </c>
      <c r="AG39" s="194">
        <f t="shared" si="37"/>
        <v>22.319873821871735</v>
      </c>
      <c r="AH39" s="194">
        <f t="shared" si="38"/>
        <v>3.2867860099392345</v>
      </c>
      <c r="AI39" s="199">
        <f t="shared" si="39"/>
        <v>28.14825213372939</v>
      </c>
      <c r="AK39" s="71">
        <v>34</v>
      </c>
      <c r="AL39" s="33">
        <f t="shared" si="10"/>
        <v>0</v>
      </c>
      <c r="AM39" s="33">
        <f t="shared" si="11"/>
        <v>0</v>
      </c>
      <c r="AN39" s="33">
        <f t="shared" si="12"/>
        <v>0</v>
      </c>
      <c r="AO39" s="33">
        <f t="shared" si="13"/>
        <v>0</v>
      </c>
      <c r="AP39" s="33">
        <f t="shared" si="14"/>
        <v>0</v>
      </c>
      <c r="AQ39" s="194">
        <f t="shared" si="40"/>
        <v>0</v>
      </c>
      <c r="AR39" s="194">
        <f t="shared" si="41"/>
        <v>0</v>
      </c>
      <c r="AS39" s="194">
        <f t="shared" si="42"/>
        <v>0</v>
      </c>
      <c r="AT39" s="194">
        <f t="shared" si="43"/>
        <v>0</v>
      </c>
      <c r="AU39" s="33"/>
      <c r="AV39" s="33"/>
      <c r="AW39" s="33"/>
      <c r="AX39" s="33"/>
      <c r="AY39" s="76"/>
    </row>
    <row r="40" spans="2:51" x14ac:dyDescent="0.3">
      <c r="B40" s="40">
        <f t="shared" si="34"/>
        <v>58</v>
      </c>
      <c r="C40" s="41">
        <f>B40+1</f>
        <v>59</v>
      </c>
      <c r="D40" s="137">
        <v>362</v>
      </c>
      <c r="E40" s="141">
        <f t="shared" si="32"/>
        <v>1.3</v>
      </c>
      <c r="F40" s="42">
        <f t="shared" si="33"/>
        <v>470.6</v>
      </c>
      <c r="G40" s="51">
        <f t="shared" si="35"/>
        <v>-101.39999999999998</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23.725000000000009</v>
      </c>
      <c r="R40" s="33">
        <f t="shared" si="25"/>
        <v>302.90000000000009</v>
      </c>
      <c r="S40" s="33">
        <f t="shared" si="26"/>
        <v>139.33400000000006</v>
      </c>
      <c r="T40" s="33">
        <f t="shared" si="2"/>
        <v>36.144391930570897</v>
      </c>
      <c r="U40" s="33">
        <f t="shared" si="20"/>
        <v>70</v>
      </c>
      <c r="V40" s="33">
        <f t="shared" si="3"/>
        <v>10</v>
      </c>
      <c r="W40" s="33">
        <v>0</v>
      </c>
      <c r="X40" s="33">
        <f t="shared" si="4"/>
        <v>598.9581992790778</v>
      </c>
      <c r="Y40" s="38">
        <f t="shared" si="5"/>
        <v>259.57684109034221</v>
      </c>
      <c r="AA40" s="71">
        <v>35</v>
      </c>
      <c r="AB40" s="33">
        <f t="shared" si="6"/>
        <v>0</v>
      </c>
      <c r="AC40" s="305">
        <f t="shared" si="7"/>
        <v>0</v>
      </c>
      <c r="AD40" s="100">
        <f t="shared" si="8"/>
        <v>0</v>
      </c>
      <c r="AE40" s="100">
        <f t="shared" si="9"/>
        <v>0</v>
      </c>
      <c r="AF40" s="194">
        <f t="shared" si="36"/>
        <v>2.4917532270960323</v>
      </c>
      <c r="AG40" s="194">
        <f t="shared" si="37"/>
        <v>21.709535698461501</v>
      </c>
      <c r="AH40" s="194">
        <f t="shared" si="38"/>
        <v>2.3241086759371079</v>
      </c>
      <c r="AI40" s="199">
        <f t="shared" si="39"/>
        <v>26.525397601494642</v>
      </c>
      <c r="AK40" s="71">
        <v>35</v>
      </c>
      <c r="AL40" s="33">
        <f t="shared" si="10"/>
        <v>0</v>
      </c>
      <c r="AM40" s="33">
        <f t="shared" si="11"/>
        <v>0</v>
      </c>
      <c r="AN40" s="33">
        <f t="shared" si="12"/>
        <v>0</v>
      </c>
      <c r="AO40" s="33">
        <f t="shared" si="13"/>
        <v>0</v>
      </c>
      <c r="AP40" s="33">
        <f t="shared" si="14"/>
        <v>0</v>
      </c>
      <c r="AQ40" s="194">
        <f t="shared" si="40"/>
        <v>0</v>
      </c>
      <c r="AR40" s="194">
        <f t="shared" si="41"/>
        <v>0</v>
      </c>
      <c r="AS40" s="194">
        <f t="shared" si="42"/>
        <v>0</v>
      </c>
      <c r="AT40" s="194">
        <f t="shared" si="43"/>
        <v>0</v>
      </c>
      <c r="AU40" s="33"/>
      <c r="AV40" s="33"/>
      <c r="AW40" s="33"/>
      <c r="AX40" s="33"/>
      <c r="AY40" s="76"/>
    </row>
    <row r="41" spans="2:51" x14ac:dyDescent="0.3">
      <c r="B41" s="40">
        <f t="shared" si="34"/>
        <v>59</v>
      </c>
      <c r="C41" s="152">
        <f>C39+8</f>
        <v>66</v>
      </c>
      <c r="D41" s="137">
        <f>D42+65</f>
        <v>495</v>
      </c>
      <c r="E41" s="141">
        <f t="shared" si="32"/>
        <v>1.3</v>
      </c>
      <c r="F41" s="42">
        <f t="shared" si="33"/>
        <v>643.5</v>
      </c>
      <c r="G41" s="51">
        <f t="shared" si="35"/>
        <v>24.699999999999996</v>
      </c>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-53.300000000000011</v>
      </c>
      <c r="R41" s="33">
        <f t="shared" si="25"/>
        <v>249.60000000000008</v>
      </c>
      <c r="S41" s="33">
        <f t="shared" si="26"/>
        <v>114.81600000000005</v>
      </c>
      <c r="T41" s="33">
        <f t="shared" si="2"/>
        <v>30.462826482209856</v>
      </c>
      <c r="U41" s="33">
        <f t="shared" si="20"/>
        <v>70</v>
      </c>
      <c r="V41" s="33">
        <f t="shared" si="3"/>
        <v>10</v>
      </c>
      <c r="W41" s="33">
        <v>0</v>
      </c>
      <c r="X41" s="33">
        <f t="shared" si="4"/>
        <v>546.36062278984889</v>
      </c>
      <c r="Y41" s="38">
        <f t="shared" si="5"/>
        <v>205.70166270129283</v>
      </c>
      <c r="AA41" s="71">
        <v>36</v>
      </c>
      <c r="AB41" s="33">
        <f t="shared" si="6"/>
        <v>41</v>
      </c>
      <c r="AC41" s="305">
        <f t="shared" si="7"/>
        <v>0.15</v>
      </c>
      <c r="AD41" s="100">
        <f t="shared" si="8"/>
        <v>0.39200000000000002</v>
      </c>
      <c r="AE41" s="100">
        <f t="shared" si="9"/>
        <v>0.308</v>
      </c>
      <c r="AF41" s="194">
        <f t="shared" si="36"/>
        <v>7.3215975639020758</v>
      </c>
      <c r="AG41" s="194">
        <f t="shared" si="37"/>
        <v>33.815372203056768</v>
      </c>
      <c r="AH41" s="194">
        <f t="shared" si="38"/>
        <v>10.193495017961814</v>
      </c>
      <c r="AI41" s="199">
        <f t="shared" si="39"/>
        <v>51.330464784920657</v>
      </c>
      <c r="AK41" s="71">
        <v>36</v>
      </c>
      <c r="AL41" s="33">
        <f t="shared" si="10"/>
        <v>41</v>
      </c>
      <c r="AM41" s="33">
        <f t="shared" si="11"/>
        <v>0.3</v>
      </c>
      <c r="AN41" s="33">
        <f t="shared" si="12"/>
        <v>0.39200000000000002</v>
      </c>
      <c r="AO41" s="33">
        <f t="shared" si="13"/>
        <v>0.308</v>
      </c>
      <c r="AP41" s="33">
        <f t="shared" si="14"/>
        <v>0</v>
      </c>
      <c r="AQ41" s="194">
        <f t="shared" si="40"/>
        <v>12.299999999999999</v>
      </c>
      <c r="AR41" s="194">
        <f t="shared" si="41"/>
        <v>16.071999999999999</v>
      </c>
      <c r="AS41" s="194">
        <f t="shared" si="42"/>
        <v>12.628</v>
      </c>
      <c r="AT41" s="194">
        <f t="shared" si="43"/>
        <v>0</v>
      </c>
      <c r="AU41" s="33"/>
      <c r="AV41" s="33"/>
      <c r="AW41" s="33"/>
      <c r="AX41" s="33"/>
      <c r="AY41" s="76"/>
    </row>
    <row r="42" spans="2:51" x14ac:dyDescent="0.3">
      <c r="B42" s="40">
        <f t="shared" si="34"/>
        <v>66</v>
      </c>
      <c r="C42" s="41">
        <f>B42+1</f>
        <v>67</v>
      </c>
      <c r="D42" s="137">
        <v>430</v>
      </c>
      <c r="E42" s="141">
        <f t="shared" si="32"/>
        <v>1.3</v>
      </c>
      <c r="F42" s="42">
        <f t="shared" si="33"/>
        <v>559</v>
      </c>
      <c r="G42" s="51">
        <f t="shared" si="35"/>
        <v>-84.5</v>
      </c>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23.399999999999991</v>
      </c>
      <c r="R42" s="33">
        <f t="shared" si="25"/>
        <v>273.00000000000006</v>
      </c>
      <c r="S42" s="33">
        <f t="shared" si="26"/>
        <v>125.58000000000003</v>
      </c>
      <c r="T42" s="33">
        <f t="shared" si="2"/>
        <v>32.972980053624248</v>
      </c>
      <c r="U42" s="33">
        <f t="shared" si="20"/>
        <v>70</v>
      </c>
      <c r="V42" s="33">
        <f t="shared" si="3"/>
        <v>10</v>
      </c>
      <c r="W42" s="33">
        <v>0</v>
      </c>
      <c r="X42" s="33">
        <f t="shared" si="4"/>
        <v>569.47977359339563</v>
      </c>
      <c r="Y42" s="38">
        <f t="shared" si="5"/>
        <v>227.54413126375454</v>
      </c>
      <c r="AA42" s="71">
        <v>37</v>
      </c>
      <c r="AB42" s="33">
        <f t="shared" si="6"/>
        <v>0</v>
      </c>
      <c r="AC42" s="305">
        <f t="shared" si="7"/>
        <v>0</v>
      </c>
      <c r="AD42" s="100">
        <f t="shared" si="8"/>
        <v>0</v>
      </c>
      <c r="AE42" s="100">
        <f t="shared" si="9"/>
        <v>0</v>
      </c>
      <c r="AF42" s="194">
        <f t="shared" si="36"/>
        <v>7.1780255014075154</v>
      </c>
      <c r="AG42" s="194">
        <f t="shared" si="37"/>
        <v>32.890689071891039</v>
      </c>
      <c r="AH42" s="194">
        <f t="shared" si="38"/>
        <v>7.207889451192087</v>
      </c>
      <c r="AI42" s="199">
        <f t="shared" si="39"/>
        <v>47.276604024490645</v>
      </c>
      <c r="AK42" s="71">
        <v>37</v>
      </c>
      <c r="AL42" s="33">
        <f t="shared" si="10"/>
        <v>0</v>
      </c>
      <c r="AM42" s="33">
        <f t="shared" si="11"/>
        <v>0</v>
      </c>
      <c r="AN42" s="33">
        <f t="shared" si="12"/>
        <v>0</v>
      </c>
      <c r="AO42" s="33">
        <f t="shared" si="13"/>
        <v>0</v>
      </c>
      <c r="AP42" s="33">
        <f t="shared" si="14"/>
        <v>0</v>
      </c>
      <c r="AQ42" s="194">
        <f t="shared" si="40"/>
        <v>0</v>
      </c>
      <c r="AR42" s="194">
        <f t="shared" si="41"/>
        <v>0</v>
      </c>
      <c r="AS42" s="194">
        <f t="shared" si="42"/>
        <v>0</v>
      </c>
      <c r="AT42" s="194">
        <f t="shared" si="43"/>
        <v>0</v>
      </c>
      <c r="AU42" s="33"/>
      <c r="AV42" s="33"/>
      <c r="AW42" s="33"/>
      <c r="AX42" s="33"/>
      <c r="AY42" s="76"/>
    </row>
    <row r="43" spans="2:51" x14ac:dyDescent="0.3">
      <c r="B43" s="40">
        <f t="shared" si="34"/>
        <v>67</v>
      </c>
      <c r="C43" s="152">
        <f>C41+8</f>
        <v>74</v>
      </c>
      <c r="D43" s="137">
        <f>D44+37</f>
        <v>533</v>
      </c>
      <c r="E43" s="141">
        <f t="shared" si="32"/>
        <v>1.3</v>
      </c>
      <c r="F43" s="42">
        <f t="shared" si="33"/>
        <v>692.9</v>
      </c>
      <c r="G43" s="51">
        <f t="shared" si="35"/>
        <v>19.128571428571426</v>
      </c>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23.399999999999991</v>
      </c>
      <c r="R43" s="33">
        <f t="shared" si="25"/>
        <v>296.40000000000003</v>
      </c>
      <c r="S43" s="33">
        <f t="shared" si="26"/>
        <v>136.34400000000002</v>
      </c>
      <c r="T43" s="33">
        <f t="shared" si="2"/>
        <v>35.458181756405082</v>
      </c>
      <c r="U43" s="33">
        <f t="shared" si="20"/>
        <v>70</v>
      </c>
      <c r="V43" s="33">
        <f t="shared" si="3"/>
        <v>10</v>
      </c>
      <c r="W43" s="33">
        <v>0</v>
      </c>
      <c r="X43" s="33">
        <f t="shared" si="4"/>
        <v>592.55546655907222</v>
      </c>
      <c r="Y43" s="38">
        <f t="shared" si="5"/>
        <v>249.34403393501373</v>
      </c>
      <c r="AA43" s="71">
        <v>38</v>
      </c>
      <c r="AB43" s="33">
        <f t="shared" si="6"/>
        <v>0</v>
      </c>
      <c r="AC43" s="305">
        <f t="shared" si="7"/>
        <v>0</v>
      </c>
      <c r="AD43" s="100">
        <f t="shared" si="8"/>
        <v>0</v>
      </c>
      <c r="AE43" s="100">
        <f t="shared" si="9"/>
        <v>0</v>
      </c>
      <c r="AF43" s="194">
        <f t="shared" si="36"/>
        <v>7.037268799488162</v>
      </c>
      <c r="AG43" s="194">
        <f t="shared" si="37"/>
        <v>31.991291449574014</v>
      </c>
      <c r="AH43" s="194">
        <f t="shared" si="38"/>
        <v>5.0967475089809078</v>
      </c>
      <c r="AI43" s="199">
        <f t="shared" si="39"/>
        <v>44.125307758043078</v>
      </c>
      <c r="AK43" s="71">
        <v>38</v>
      </c>
      <c r="AL43" s="33">
        <f t="shared" si="10"/>
        <v>0</v>
      </c>
      <c r="AM43" s="33">
        <f t="shared" si="11"/>
        <v>0</v>
      </c>
      <c r="AN43" s="33">
        <f t="shared" si="12"/>
        <v>0</v>
      </c>
      <c r="AO43" s="33">
        <f t="shared" si="13"/>
        <v>0</v>
      </c>
      <c r="AP43" s="33">
        <f t="shared" si="14"/>
        <v>0</v>
      </c>
      <c r="AQ43" s="194">
        <f t="shared" si="40"/>
        <v>0</v>
      </c>
      <c r="AR43" s="194">
        <f t="shared" si="41"/>
        <v>0</v>
      </c>
      <c r="AS43" s="194">
        <f t="shared" si="42"/>
        <v>0</v>
      </c>
      <c r="AT43" s="194">
        <f t="shared" si="43"/>
        <v>0</v>
      </c>
      <c r="AU43" s="33"/>
      <c r="AV43" s="33"/>
      <c r="AW43" s="33"/>
      <c r="AX43" s="33"/>
      <c r="AY43" s="76"/>
    </row>
    <row r="44" spans="2:51" x14ac:dyDescent="0.3">
      <c r="B44" s="40">
        <f t="shared" si="34"/>
        <v>74</v>
      </c>
      <c r="C44" s="41">
        <f>B44+1</f>
        <v>75</v>
      </c>
      <c r="D44" s="137">
        <v>496</v>
      </c>
      <c r="E44" s="141">
        <f t="shared" si="32"/>
        <v>1.3</v>
      </c>
      <c r="F44" s="42">
        <f t="shared" si="33"/>
        <v>644.80000000000007</v>
      </c>
      <c r="G44" s="51">
        <f t="shared" si="35"/>
        <v>-48.099999999999909</v>
      </c>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23.399999999999991</v>
      </c>
      <c r="R44" s="33">
        <f t="shared" si="25"/>
        <v>319.8</v>
      </c>
      <c r="S44" s="33">
        <f t="shared" si="26"/>
        <v>147.108</v>
      </c>
      <c r="T44" s="33">
        <f t="shared" si="2"/>
        <v>37.920625436598897</v>
      </c>
      <c r="U44" s="33">
        <f t="shared" si="20"/>
        <v>70</v>
      </c>
      <c r="V44" s="33">
        <f t="shared" si="3"/>
        <v>10</v>
      </c>
      <c r="W44" s="33">
        <v>0</v>
      </c>
      <c r="X44" s="33">
        <f t="shared" si="4"/>
        <v>615.59152263540977</v>
      </c>
      <c r="Y44" s="38">
        <f t="shared" si="5"/>
        <v>271.10516549312638</v>
      </c>
      <c r="AA44" s="71">
        <v>39</v>
      </c>
      <c r="AB44" s="33">
        <f t="shared" si="6"/>
        <v>0</v>
      </c>
      <c r="AC44" s="305">
        <f t="shared" si="7"/>
        <v>0</v>
      </c>
      <c r="AD44" s="100">
        <f t="shared" si="8"/>
        <v>0</v>
      </c>
      <c r="AE44" s="100">
        <f t="shared" si="9"/>
        <v>0</v>
      </c>
      <c r="AF44" s="194">
        <f t="shared" si="36"/>
        <v>6.8992722506403368</v>
      </c>
      <c r="AG44" s="194">
        <f t="shared" si="37"/>
        <v>31.116487902536512</v>
      </c>
      <c r="AH44" s="194">
        <f t="shared" si="38"/>
        <v>3.603944725596044</v>
      </c>
      <c r="AI44" s="199">
        <f t="shared" si="39"/>
        <v>41.619704878772893</v>
      </c>
      <c r="AK44" s="71">
        <v>39</v>
      </c>
      <c r="AL44" s="33">
        <f t="shared" si="10"/>
        <v>0</v>
      </c>
      <c r="AM44" s="33">
        <f t="shared" si="11"/>
        <v>0</v>
      </c>
      <c r="AN44" s="33">
        <f t="shared" si="12"/>
        <v>0</v>
      </c>
      <c r="AO44" s="33">
        <f t="shared" si="13"/>
        <v>0</v>
      </c>
      <c r="AP44" s="33">
        <f t="shared" si="14"/>
        <v>0</v>
      </c>
      <c r="AQ44" s="194">
        <f t="shared" si="40"/>
        <v>0</v>
      </c>
      <c r="AR44" s="194">
        <f t="shared" si="41"/>
        <v>0</v>
      </c>
      <c r="AS44" s="194">
        <f t="shared" si="42"/>
        <v>0</v>
      </c>
      <c r="AT44" s="194">
        <f t="shared" si="43"/>
        <v>0</v>
      </c>
      <c r="AU44" s="33"/>
      <c r="AV44" s="33"/>
      <c r="AW44" s="33"/>
      <c r="AX44" s="33"/>
      <c r="AY44" s="76"/>
    </row>
    <row r="45" spans="2:51" x14ac:dyDescent="0.3">
      <c r="B45" s="40">
        <f t="shared" si="34"/>
        <v>75</v>
      </c>
      <c r="C45" s="152">
        <f>C43+8</f>
        <v>82</v>
      </c>
      <c r="D45" s="137">
        <f>D46+26</f>
        <v>567</v>
      </c>
      <c r="E45" s="141">
        <f t="shared" si="32"/>
        <v>1.3</v>
      </c>
      <c r="F45" s="42">
        <f t="shared" si="33"/>
        <v>737.1</v>
      </c>
      <c r="G45" s="51">
        <f t="shared" si="35"/>
        <v>13.18571428571428</v>
      </c>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23.399999999999991</v>
      </c>
      <c r="R45" s="33">
        <f t="shared" si="25"/>
        <v>343.2</v>
      </c>
      <c r="S45" s="33">
        <f t="shared" si="26"/>
        <v>157.87200000000001</v>
      </c>
      <c r="T45" s="33">
        <f t="shared" si="2"/>
        <v>40.362165684361159</v>
      </c>
      <c r="U45" s="33">
        <f t="shared" si="20"/>
        <v>70</v>
      </c>
      <c r="V45" s="33">
        <f t="shared" si="3"/>
        <v>10</v>
      </c>
      <c r="W45" s="33">
        <v>0</v>
      </c>
      <c r="X45" s="33">
        <f t="shared" si="4"/>
        <v>638.59117190026234</v>
      </c>
      <c r="Y45" s="38">
        <f t="shared" si="5"/>
        <v>292.83073126400683</v>
      </c>
      <c r="AA45" s="71">
        <v>40</v>
      </c>
      <c r="AB45" s="33">
        <f t="shared" si="6"/>
        <v>0</v>
      </c>
      <c r="AC45" s="305">
        <f t="shared" si="7"/>
        <v>0</v>
      </c>
      <c r="AD45" s="100">
        <f t="shared" si="8"/>
        <v>0</v>
      </c>
      <c r="AE45" s="100">
        <f t="shared" si="9"/>
        <v>0</v>
      </c>
      <c r="AF45" s="194">
        <f t="shared" si="36"/>
        <v>6.7639817299458329</v>
      </c>
      <c r="AG45" s="194">
        <f t="shared" si="37"/>
        <v>30.26560590449667</v>
      </c>
      <c r="AH45" s="194">
        <f t="shared" si="38"/>
        <v>2.5483737544904539</v>
      </c>
      <c r="AI45" s="199">
        <f t="shared" si="39"/>
        <v>39.577961388932962</v>
      </c>
      <c r="AK45" s="71">
        <v>40</v>
      </c>
      <c r="AL45" s="33">
        <f t="shared" si="10"/>
        <v>0</v>
      </c>
      <c r="AM45" s="33">
        <f t="shared" si="11"/>
        <v>0</v>
      </c>
      <c r="AN45" s="33">
        <f t="shared" si="12"/>
        <v>0</v>
      </c>
      <c r="AO45" s="33">
        <f t="shared" si="13"/>
        <v>0</v>
      </c>
      <c r="AP45" s="33">
        <f t="shared" si="14"/>
        <v>0</v>
      </c>
      <c r="AQ45" s="194">
        <f t="shared" si="40"/>
        <v>0</v>
      </c>
      <c r="AR45" s="194">
        <f t="shared" si="41"/>
        <v>0</v>
      </c>
      <c r="AS45" s="194">
        <f t="shared" si="42"/>
        <v>0</v>
      </c>
      <c r="AT45" s="194">
        <f t="shared" si="43"/>
        <v>0</v>
      </c>
      <c r="AU45" s="33"/>
      <c r="AV45" s="33"/>
      <c r="AW45" s="33"/>
      <c r="AX45" s="33"/>
      <c r="AY45" s="76"/>
    </row>
    <row r="46" spans="2:51" x14ac:dyDescent="0.3">
      <c r="B46" s="40">
        <f t="shared" si="34"/>
        <v>82</v>
      </c>
      <c r="C46" s="41">
        <f>B46+8</f>
        <v>90</v>
      </c>
      <c r="D46" s="137">
        <v>541</v>
      </c>
      <c r="E46" s="141">
        <f t="shared" si="32"/>
        <v>1.3</v>
      </c>
      <c r="F46" s="42">
        <f t="shared" si="33"/>
        <v>703.30000000000007</v>
      </c>
      <c r="G46" s="51">
        <f t="shared" si="35"/>
        <v>-4.2249999999999943</v>
      </c>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-53.299999999999955</v>
      </c>
      <c r="R46" s="33">
        <f t="shared" si="25"/>
        <v>289.90000000000003</v>
      </c>
      <c r="S46" s="33">
        <f t="shared" si="26"/>
        <v>133.35400000000001</v>
      </c>
      <c r="T46" s="33">
        <f t="shared" si="2"/>
        <v>34.770217553947298</v>
      </c>
      <c r="U46" s="33">
        <f t="shared" si="20"/>
        <v>70</v>
      </c>
      <c r="V46" s="33">
        <f t="shared" si="3"/>
        <v>10</v>
      </c>
      <c r="W46" s="33">
        <v>0</v>
      </c>
      <c r="X46" s="33">
        <f t="shared" si="4"/>
        <v>586.14967890645823</v>
      </c>
      <c r="Y46" s="38">
        <f t="shared" si="5"/>
        <v>239.11597235667642</v>
      </c>
      <c r="AA46" s="71">
        <v>41</v>
      </c>
      <c r="AB46" s="33">
        <f t="shared" si="6"/>
        <v>41</v>
      </c>
      <c r="AC46" s="305">
        <f t="shared" si="7"/>
        <v>0.2</v>
      </c>
      <c r="AD46" s="100">
        <f t="shared" si="8"/>
        <v>0.33600000000000002</v>
      </c>
      <c r="AE46" s="100">
        <f t="shared" si="9"/>
        <v>0.26400000000000001</v>
      </c>
      <c r="AF46" s="194">
        <f t="shared" si="36"/>
        <v>13.136285637536407</v>
      </c>
      <c r="AG46" s="194">
        <f t="shared" si="37"/>
        <v>40.323264090803079</v>
      </c>
      <c r="AH46" s="194">
        <f t="shared" si="38"/>
        <v>9.1306312310770501</v>
      </c>
      <c r="AI46" s="199">
        <f t="shared" si="39"/>
        <v>62.590180959416529</v>
      </c>
      <c r="AK46" s="71">
        <v>41</v>
      </c>
      <c r="AL46" s="33">
        <f t="shared" si="10"/>
        <v>41</v>
      </c>
      <c r="AM46" s="33">
        <f t="shared" si="11"/>
        <v>0.4</v>
      </c>
      <c r="AN46" s="33">
        <f t="shared" si="12"/>
        <v>0.33600000000000002</v>
      </c>
      <c r="AO46" s="33">
        <f t="shared" si="13"/>
        <v>0.26400000000000001</v>
      </c>
      <c r="AP46" s="33">
        <f t="shared" si="14"/>
        <v>0</v>
      </c>
      <c r="AQ46" s="194">
        <f t="shared" si="40"/>
        <v>16.400000000000002</v>
      </c>
      <c r="AR46" s="194">
        <f t="shared" si="41"/>
        <v>13.776000000000002</v>
      </c>
      <c r="AS46" s="194">
        <f t="shared" si="42"/>
        <v>10.824</v>
      </c>
      <c r="AT46" s="194">
        <f t="shared" si="43"/>
        <v>0</v>
      </c>
      <c r="AU46" s="33"/>
      <c r="AV46" s="33"/>
      <c r="AW46" s="33"/>
      <c r="AX46" s="33"/>
      <c r="AY46" s="76"/>
    </row>
    <row r="47" spans="2:51" x14ac:dyDescent="0.3">
      <c r="B47" s="40"/>
      <c r="C47" s="152"/>
      <c r="D47" s="137"/>
      <c r="E47" s="141"/>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30.875</v>
      </c>
      <c r="R47" s="33">
        <f t="shared" si="25"/>
        <v>320.77500000000003</v>
      </c>
      <c r="S47" s="33">
        <f t="shared" si="26"/>
        <v>147.55650000000003</v>
      </c>
      <c r="T47" s="33">
        <f t="shared" si="2"/>
        <v>38.022761796295221</v>
      </c>
      <c r="U47" s="33">
        <f t="shared" si="20"/>
        <v>70</v>
      </c>
      <c r="V47" s="33">
        <f t="shared" si="3"/>
        <v>10</v>
      </c>
      <c r="W47" s="33">
        <v>0</v>
      </c>
      <c r="X47" s="33">
        <f t="shared" si="4"/>
        <v>616.55054762854752</v>
      </c>
      <c r="Y47" s="38">
        <f t="shared" si="5"/>
        <v>268.24437051068077</v>
      </c>
      <c r="AA47" s="71">
        <v>42</v>
      </c>
      <c r="AB47" s="33">
        <f t="shared" si="6"/>
        <v>0</v>
      </c>
      <c r="AC47" s="305">
        <f t="shared" si="7"/>
        <v>0</v>
      </c>
      <c r="AD47" s="100">
        <f t="shared" si="8"/>
        <v>0</v>
      </c>
      <c r="AE47" s="100">
        <f t="shared" si="9"/>
        <v>0</v>
      </c>
      <c r="AF47" s="194">
        <f t="shared" si="36"/>
        <v>12.878691088527404</v>
      </c>
      <c r="AG47" s="194">
        <f t="shared" si="37"/>
        <v>39.220622313731774</v>
      </c>
      <c r="AH47" s="194">
        <f t="shared" si="38"/>
        <v>6.4563312600082572</v>
      </c>
      <c r="AI47" s="199">
        <f t="shared" si="39"/>
        <v>58.555644662267433</v>
      </c>
      <c r="AK47" s="71">
        <v>42</v>
      </c>
      <c r="AL47" s="33">
        <f t="shared" si="10"/>
        <v>0</v>
      </c>
      <c r="AM47" s="33">
        <f t="shared" si="11"/>
        <v>0</v>
      </c>
      <c r="AN47" s="33">
        <f t="shared" si="12"/>
        <v>0</v>
      </c>
      <c r="AO47" s="33">
        <f t="shared" si="13"/>
        <v>0</v>
      </c>
      <c r="AP47" s="33">
        <f t="shared" si="14"/>
        <v>0</v>
      </c>
      <c r="AQ47" s="194">
        <f t="shared" si="40"/>
        <v>0</v>
      </c>
      <c r="AR47" s="194">
        <f t="shared" si="41"/>
        <v>0</v>
      </c>
      <c r="AS47" s="194">
        <f t="shared" si="42"/>
        <v>0</v>
      </c>
      <c r="AT47" s="194">
        <f t="shared" si="43"/>
        <v>0</v>
      </c>
      <c r="AU47" s="33"/>
      <c r="AV47" s="33"/>
      <c r="AW47" s="33"/>
      <c r="AX47" s="33"/>
      <c r="AY47" s="76"/>
    </row>
    <row r="48" spans="2:51" x14ac:dyDescent="0.3">
      <c r="B48" s="40"/>
      <c r="C48" s="152"/>
      <c r="D48" s="137"/>
      <c r="E48" s="141"/>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30.875</v>
      </c>
      <c r="R48" s="33">
        <f t="shared" si="25"/>
        <v>351.65000000000003</v>
      </c>
      <c r="S48" s="33">
        <f t="shared" si="26"/>
        <v>161.75900000000001</v>
      </c>
      <c r="T48" s="33">
        <f t="shared" si="2"/>
        <v>41.239009945858278</v>
      </c>
      <c r="U48" s="33">
        <f t="shared" si="20"/>
        <v>70</v>
      </c>
      <c r="V48" s="33">
        <f t="shared" si="3"/>
        <v>10</v>
      </c>
      <c r="W48" s="33">
        <v>0</v>
      </c>
      <c r="X48" s="33">
        <f t="shared" si="4"/>
        <v>646.88820065570314</v>
      </c>
      <c r="Y48" s="38">
        <f t="shared" si="5"/>
        <v>297.31032719938815</v>
      </c>
      <c r="AA48" s="71">
        <v>43</v>
      </c>
      <c r="AB48" s="33">
        <f t="shared" si="6"/>
        <v>0</v>
      </c>
      <c r="AC48" s="305">
        <f t="shared" si="7"/>
        <v>0</v>
      </c>
      <c r="AD48" s="100">
        <f t="shared" si="8"/>
        <v>0</v>
      </c>
      <c r="AE48" s="100">
        <f t="shared" si="9"/>
        <v>0</v>
      </c>
      <c r="AF48" s="194">
        <f t="shared" si="36"/>
        <v>12.626147811507307</v>
      </c>
      <c r="AG48" s="194">
        <f t="shared" si="37"/>
        <v>38.148132334039893</v>
      </c>
      <c r="AH48" s="194">
        <f t="shared" si="38"/>
        <v>4.5653156155385259</v>
      </c>
      <c r="AI48" s="199">
        <f t="shared" si="39"/>
        <v>55.339595761085725</v>
      </c>
      <c r="AK48" s="71">
        <v>43</v>
      </c>
      <c r="AL48" s="33">
        <f t="shared" si="10"/>
        <v>0</v>
      </c>
      <c r="AM48" s="33">
        <f t="shared" si="11"/>
        <v>0</v>
      </c>
      <c r="AN48" s="33">
        <f t="shared" si="12"/>
        <v>0</v>
      </c>
      <c r="AO48" s="33">
        <f t="shared" si="13"/>
        <v>0</v>
      </c>
      <c r="AP48" s="33">
        <f t="shared" si="14"/>
        <v>0</v>
      </c>
      <c r="AQ48" s="194">
        <f t="shared" si="40"/>
        <v>0</v>
      </c>
      <c r="AR48" s="194">
        <f t="shared" si="41"/>
        <v>0</v>
      </c>
      <c r="AS48" s="194">
        <f t="shared" si="42"/>
        <v>0</v>
      </c>
      <c r="AT48" s="194">
        <f t="shared" si="43"/>
        <v>0</v>
      </c>
      <c r="AU48" s="33"/>
      <c r="AV48" s="33"/>
      <c r="AW48" s="33"/>
      <c r="AX48" s="33"/>
      <c r="AY48" s="76"/>
    </row>
    <row r="49" spans="2:51" x14ac:dyDescent="0.3">
      <c r="B49" s="40"/>
      <c r="C49" s="152"/>
      <c r="D49" s="137"/>
      <c r="E49" s="141"/>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30.875</v>
      </c>
      <c r="R49" s="33">
        <f t="shared" si="25"/>
        <v>382.52500000000003</v>
      </c>
      <c r="S49" s="33">
        <f t="shared" si="26"/>
        <v>175.96150000000003</v>
      </c>
      <c r="T49" s="33">
        <f t="shared" si="2"/>
        <v>44.42251117380227</v>
      </c>
      <c r="U49" s="33">
        <f t="shared" si="20"/>
        <v>70</v>
      </c>
      <c r="V49" s="33">
        <f t="shared" si="3"/>
        <v>10</v>
      </c>
      <c r="W49" s="33">
        <v>0</v>
      </c>
      <c r="X49" s="33">
        <f t="shared" si="4"/>
        <v>677.16881946103899</v>
      </c>
      <c r="Y49" s="38">
        <f t="shared" si="5"/>
        <v>326.32000381827447</v>
      </c>
      <c r="AA49" s="71">
        <v>44</v>
      </c>
      <c r="AB49" s="33">
        <f t="shared" si="6"/>
        <v>0</v>
      </c>
      <c r="AC49" s="305">
        <f t="shared" si="7"/>
        <v>0</v>
      </c>
      <c r="AD49" s="100">
        <f t="shared" si="8"/>
        <v>0</v>
      </c>
      <c r="AE49" s="100">
        <f t="shared" si="9"/>
        <v>0</v>
      </c>
      <c r="AF49" s="194">
        <f t="shared" si="36"/>
        <v>12.378556754113385</v>
      </c>
      <c r="AG49" s="194">
        <f t="shared" si="37"/>
        <v>37.104969649242484</v>
      </c>
      <c r="AH49" s="194">
        <f t="shared" si="38"/>
        <v>3.228165630004129</v>
      </c>
      <c r="AI49" s="199">
        <f t="shared" si="39"/>
        <v>52.711692033359995</v>
      </c>
      <c r="AK49" s="71">
        <v>44</v>
      </c>
      <c r="AL49" s="33">
        <f t="shared" si="10"/>
        <v>0</v>
      </c>
      <c r="AM49" s="33">
        <f t="shared" si="11"/>
        <v>0</v>
      </c>
      <c r="AN49" s="33">
        <f t="shared" si="12"/>
        <v>0</v>
      </c>
      <c r="AO49" s="33">
        <f t="shared" si="13"/>
        <v>0</v>
      </c>
      <c r="AP49" s="33">
        <f t="shared" si="14"/>
        <v>0</v>
      </c>
      <c r="AQ49" s="194">
        <f t="shared" si="40"/>
        <v>0</v>
      </c>
      <c r="AR49" s="194">
        <f t="shared" si="41"/>
        <v>0</v>
      </c>
      <c r="AS49" s="194">
        <f t="shared" si="42"/>
        <v>0</v>
      </c>
      <c r="AT49" s="194">
        <f t="shared" si="43"/>
        <v>0</v>
      </c>
      <c r="AU49" s="33"/>
      <c r="AV49" s="33"/>
      <c r="AW49" s="33"/>
      <c r="AX49" s="33"/>
      <c r="AY49" s="76"/>
    </row>
    <row r="50" spans="2:51" x14ac:dyDescent="0.3">
      <c r="B50" s="40"/>
      <c r="C50" s="152"/>
      <c r="D50" s="137"/>
      <c r="E50" s="141"/>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30.875</v>
      </c>
      <c r="R50" s="33">
        <f t="shared" si="25"/>
        <v>413.40000000000003</v>
      </c>
      <c r="S50" s="33">
        <f t="shared" si="26"/>
        <v>190.16400000000002</v>
      </c>
      <c r="T50" s="33">
        <f t="shared" si="2"/>
        <v>47.576209101852911</v>
      </c>
      <c r="U50" s="33">
        <f t="shared" si="20"/>
        <v>70</v>
      </c>
      <c r="V50" s="33">
        <f t="shared" si="3"/>
        <v>10</v>
      </c>
      <c r="W50" s="33">
        <v>0</v>
      </c>
      <c r="X50" s="33">
        <f t="shared" si="4"/>
        <v>707.39753085239397</v>
      </c>
      <c r="Y50" s="38">
        <f t="shared" si="5"/>
        <v>355.27850806224848</v>
      </c>
      <c r="AA50" s="71">
        <v>45</v>
      </c>
      <c r="AB50" s="33">
        <f t="shared" si="6"/>
        <v>0</v>
      </c>
      <c r="AC50" s="305">
        <f t="shared" si="7"/>
        <v>0</v>
      </c>
      <c r="AD50" s="100">
        <f t="shared" si="8"/>
        <v>0</v>
      </c>
      <c r="AE50" s="100">
        <f t="shared" si="9"/>
        <v>0</v>
      </c>
      <c r="AF50" s="194">
        <f t="shared" si="36"/>
        <v>12.135820806339323</v>
      </c>
      <c r="AG50" s="194">
        <f t="shared" si="37"/>
        <v>36.090332302918398</v>
      </c>
      <c r="AH50" s="194">
        <f t="shared" si="38"/>
        <v>2.282657807769263</v>
      </c>
      <c r="AI50" s="199">
        <f t="shared" si="39"/>
        <v>50.508810917026985</v>
      </c>
      <c r="AK50" s="71">
        <v>45</v>
      </c>
      <c r="AL50" s="33">
        <f t="shared" si="10"/>
        <v>0</v>
      </c>
      <c r="AM50" s="33">
        <f t="shared" si="11"/>
        <v>0</v>
      </c>
      <c r="AN50" s="33">
        <f t="shared" si="12"/>
        <v>0</v>
      </c>
      <c r="AO50" s="33">
        <f t="shared" si="13"/>
        <v>0</v>
      </c>
      <c r="AP50" s="33">
        <f t="shared" si="14"/>
        <v>0</v>
      </c>
      <c r="AQ50" s="194">
        <f t="shared" si="40"/>
        <v>0</v>
      </c>
      <c r="AR50" s="194">
        <f t="shared" si="41"/>
        <v>0</v>
      </c>
      <c r="AS50" s="194">
        <f t="shared" si="42"/>
        <v>0</v>
      </c>
      <c r="AT50" s="194">
        <f t="shared" si="43"/>
        <v>0</v>
      </c>
      <c r="AU50" s="33"/>
      <c r="AV50" s="33"/>
      <c r="AW50" s="33"/>
      <c r="AX50" s="33"/>
      <c r="AY50" s="76"/>
    </row>
    <row r="51" spans="2:51" x14ac:dyDescent="0.3">
      <c r="B51" s="40"/>
      <c r="C51" s="152"/>
      <c r="D51" s="137"/>
      <c r="E51" s="141"/>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-68.900000000000034</v>
      </c>
      <c r="R51" s="33">
        <f t="shared" si="25"/>
        <v>344.5</v>
      </c>
      <c r="S51" s="33">
        <f t="shared" si="26"/>
        <v>158.47</v>
      </c>
      <c r="T51" s="33">
        <f t="shared" si="2"/>
        <v>40.497226890293632</v>
      </c>
      <c r="U51" s="33">
        <f t="shared" si="20"/>
        <v>70</v>
      </c>
      <c r="V51" s="33">
        <f t="shared" si="3"/>
        <v>10</v>
      </c>
      <c r="W51" s="33">
        <v>0</v>
      </c>
      <c r="X51" s="33">
        <f t="shared" si="4"/>
        <v>639.86792016726133</v>
      </c>
      <c r="Y51" s="38">
        <f t="shared" si="5"/>
        <v>286.47940705383616</v>
      </c>
      <c r="AA51" s="71">
        <v>46</v>
      </c>
      <c r="AB51" s="33">
        <f t="shared" si="6"/>
        <v>53</v>
      </c>
      <c r="AC51" s="305">
        <f t="shared" si="7"/>
        <v>0.25</v>
      </c>
      <c r="AD51" s="100">
        <f t="shared" si="8"/>
        <v>0.28000000000000003</v>
      </c>
      <c r="AE51" s="100">
        <f t="shared" si="9"/>
        <v>0.22</v>
      </c>
      <c r="AF51" s="194">
        <f t="shared" si="36"/>
        <v>22.408878225121999</v>
      </c>
      <c r="AG51" s="194">
        <f t="shared" si="37"/>
        <v>46.829445489371707</v>
      </c>
      <c r="AH51" s="194">
        <f t="shared" si="38"/>
        <v>9.5087763113189006</v>
      </c>
      <c r="AI51" s="199">
        <f t="shared" si="39"/>
        <v>78.7471000258126</v>
      </c>
      <c r="AK51" s="71">
        <v>46</v>
      </c>
      <c r="AL51" s="33">
        <f t="shared" si="10"/>
        <v>53</v>
      </c>
      <c r="AM51" s="33">
        <f t="shared" si="11"/>
        <v>0.5</v>
      </c>
      <c r="AN51" s="33">
        <f t="shared" si="12"/>
        <v>0.28000000000000003</v>
      </c>
      <c r="AO51" s="33">
        <f t="shared" si="13"/>
        <v>0.22</v>
      </c>
      <c r="AP51" s="33">
        <f t="shared" si="14"/>
        <v>0</v>
      </c>
      <c r="AQ51" s="194">
        <f t="shared" si="40"/>
        <v>26.5</v>
      </c>
      <c r="AR51" s="194">
        <f t="shared" si="41"/>
        <v>14.840000000000002</v>
      </c>
      <c r="AS51" s="194">
        <f t="shared" si="42"/>
        <v>11.66</v>
      </c>
      <c r="AT51" s="194">
        <f t="shared" si="43"/>
        <v>0</v>
      </c>
      <c r="AU51" s="33"/>
      <c r="AV51" s="33"/>
      <c r="AW51" s="33"/>
      <c r="AX51" s="33"/>
      <c r="AY51" s="76"/>
    </row>
    <row r="52" spans="2:51" x14ac:dyDescent="0.3">
      <c r="B52" s="40"/>
      <c r="C52" s="152"/>
      <c r="D52" s="137"/>
      <c r="E52" s="141"/>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28.275000000000006</v>
      </c>
      <c r="R52" s="33">
        <f t="shared" si="25"/>
        <v>372.77499999999998</v>
      </c>
      <c r="S52" s="33">
        <f t="shared" si="26"/>
        <v>171.47649999999999</v>
      </c>
      <c r="T52" s="33">
        <f t="shared" si="2"/>
        <v>43.420543849413228</v>
      </c>
      <c r="U52" s="33">
        <f t="shared" si="20"/>
        <v>70</v>
      </c>
      <c r="V52" s="33">
        <f t="shared" si="3"/>
        <v>10</v>
      </c>
      <c r="W52" s="33">
        <v>0</v>
      </c>
      <c r="X52" s="33">
        <f t="shared" si="4"/>
        <v>667.61235137106144</v>
      </c>
      <c r="Y52" s="38">
        <f t="shared" si="5"/>
        <v>312.95504738067638</v>
      </c>
      <c r="AA52" s="71">
        <v>47</v>
      </c>
      <c r="AB52" s="33">
        <f t="shared" si="6"/>
        <v>0</v>
      </c>
      <c r="AC52" s="305">
        <f t="shared" si="7"/>
        <v>0</v>
      </c>
      <c r="AD52" s="100">
        <f t="shared" si="8"/>
        <v>0</v>
      </c>
      <c r="AE52" s="100">
        <f t="shared" si="9"/>
        <v>0</v>
      </c>
      <c r="AF52" s="194">
        <f t="shared" si="36"/>
        <v>21.969453791193466</v>
      </c>
      <c r="AG52" s="194">
        <f t="shared" si="37"/>
        <v>45.548891839811333</v>
      </c>
      <c r="AH52" s="194">
        <f t="shared" si="38"/>
        <v>6.723720210519601</v>
      </c>
      <c r="AI52" s="199">
        <f t="shared" si="39"/>
        <v>74.242065841524393</v>
      </c>
      <c r="AK52" s="71">
        <v>47</v>
      </c>
      <c r="AL52" s="33">
        <f t="shared" si="10"/>
        <v>0</v>
      </c>
      <c r="AM52" s="33">
        <f t="shared" si="11"/>
        <v>0</v>
      </c>
      <c r="AN52" s="33">
        <f t="shared" si="12"/>
        <v>0</v>
      </c>
      <c r="AO52" s="33">
        <f t="shared" si="13"/>
        <v>0</v>
      </c>
      <c r="AP52" s="33">
        <f t="shared" si="14"/>
        <v>0</v>
      </c>
      <c r="AQ52" s="194">
        <f t="shared" si="40"/>
        <v>0</v>
      </c>
      <c r="AR52" s="194">
        <f t="shared" si="41"/>
        <v>0</v>
      </c>
      <c r="AS52" s="194">
        <f t="shared" si="42"/>
        <v>0</v>
      </c>
      <c r="AT52" s="194">
        <f t="shared" si="43"/>
        <v>0</v>
      </c>
      <c r="AU52" s="33"/>
      <c r="AV52" s="33"/>
      <c r="AW52" s="33"/>
      <c r="AX52" s="33"/>
      <c r="AY52" s="76"/>
    </row>
    <row r="53" spans="2:51" x14ac:dyDescent="0.3">
      <c r="B53" s="40"/>
      <c r="C53" s="152"/>
      <c r="D53" s="137"/>
      <c r="E53" s="141"/>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28.275000000000006</v>
      </c>
      <c r="R53" s="33">
        <f t="shared" si="25"/>
        <v>401.04999999999995</v>
      </c>
      <c r="S53" s="33">
        <f t="shared" si="26"/>
        <v>184.48299999999998</v>
      </c>
      <c r="T53" s="33">
        <f t="shared" si="2"/>
        <v>46.318138584708528</v>
      </c>
      <c r="U53" s="33">
        <f t="shared" si="20"/>
        <v>70</v>
      </c>
      <c r="V53" s="33">
        <f t="shared" si="3"/>
        <v>10</v>
      </c>
      <c r="W53" s="33">
        <v>0</v>
      </c>
      <c r="X53" s="33">
        <f t="shared" si="4"/>
        <v>695.3119830350339</v>
      </c>
      <c r="Y53" s="38">
        <f t="shared" si="5"/>
        <v>339.386571017954</v>
      </c>
      <c r="AA53" s="71">
        <v>48</v>
      </c>
      <c r="AB53" s="33">
        <f t="shared" si="6"/>
        <v>0</v>
      </c>
      <c r="AC53" s="305">
        <f t="shared" si="7"/>
        <v>0</v>
      </c>
      <c r="AD53" s="100">
        <f t="shared" si="8"/>
        <v>0</v>
      </c>
      <c r="AE53" s="100">
        <f t="shared" si="9"/>
        <v>0</v>
      </c>
      <c r="AF53" s="194">
        <f t="shared" si="36"/>
        <v>21.538646202391831</v>
      </c>
      <c r="AG53" s="194">
        <f t="shared" si="37"/>
        <v>44.303354997139571</v>
      </c>
      <c r="AH53" s="194">
        <f t="shared" si="38"/>
        <v>4.7543881556594512</v>
      </c>
      <c r="AI53" s="199">
        <f t="shared" si="39"/>
        <v>70.596389355190865</v>
      </c>
      <c r="AK53" s="71">
        <v>48</v>
      </c>
      <c r="AL53" s="33">
        <f t="shared" si="10"/>
        <v>0</v>
      </c>
      <c r="AM53" s="33">
        <f t="shared" si="11"/>
        <v>0</v>
      </c>
      <c r="AN53" s="33">
        <f t="shared" si="12"/>
        <v>0</v>
      </c>
      <c r="AO53" s="33">
        <f t="shared" si="13"/>
        <v>0</v>
      </c>
      <c r="AP53" s="33">
        <f t="shared" si="14"/>
        <v>0</v>
      </c>
      <c r="AQ53" s="194">
        <f t="shared" si="40"/>
        <v>0</v>
      </c>
      <c r="AR53" s="194">
        <f t="shared" si="41"/>
        <v>0</v>
      </c>
      <c r="AS53" s="194">
        <f t="shared" si="42"/>
        <v>0</v>
      </c>
      <c r="AT53" s="194">
        <f t="shared" si="43"/>
        <v>0</v>
      </c>
      <c r="AU53" s="33"/>
      <c r="AV53" s="33"/>
      <c r="AW53" s="33"/>
      <c r="AX53" s="33"/>
      <c r="AY53" s="76"/>
    </row>
    <row r="54" spans="2:51" x14ac:dyDescent="0.3">
      <c r="B54" s="40"/>
      <c r="C54" s="152"/>
      <c r="D54" s="137"/>
      <c r="E54" s="141"/>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28.275000000000006</v>
      </c>
      <c r="R54" s="33">
        <f t="shared" si="25"/>
        <v>429.32499999999993</v>
      </c>
      <c r="S54" s="33">
        <f t="shared" si="26"/>
        <v>197.48949999999996</v>
      </c>
      <c r="T54" s="33">
        <f t="shared" si="2"/>
        <v>49.192030844445625</v>
      </c>
      <c r="U54" s="33">
        <f t="shared" si="20"/>
        <v>70</v>
      </c>
      <c r="V54" s="33">
        <f t="shared" si="3"/>
        <v>10</v>
      </c>
      <c r="W54" s="33">
        <v>0</v>
      </c>
      <c r="X54" s="33">
        <f t="shared" si="4"/>
        <v>722.97033288740943</v>
      </c>
      <c r="Y54" s="38">
        <f t="shared" si="5"/>
        <v>365.77747982886456</v>
      </c>
      <c r="AA54" s="71">
        <v>49</v>
      </c>
      <c r="AB54" s="33">
        <f t="shared" si="6"/>
        <v>0</v>
      </c>
      <c r="AC54" s="305">
        <f t="shared" si="7"/>
        <v>0</v>
      </c>
      <c r="AD54" s="100">
        <f t="shared" si="8"/>
        <v>0</v>
      </c>
      <c r="AE54" s="100">
        <f t="shared" si="9"/>
        <v>0</v>
      </c>
      <c r="AF54" s="194">
        <f t="shared" si="36"/>
        <v>21.116286487639911</v>
      </c>
      <c r="AG54" s="194">
        <f t="shared" si="37"/>
        <v>43.091877424930608</v>
      </c>
      <c r="AH54" s="194">
        <f t="shared" si="38"/>
        <v>3.3618601052598009</v>
      </c>
      <c r="AI54" s="199">
        <f t="shared" si="39"/>
        <v>67.57002401783032</v>
      </c>
      <c r="AK54" s="71">
        <v>49</v>
      </c>
      <c r="AL54" s="33">
        <f t="shared" si="10"/>
        <v>0</v>
      </c>
      <c r="AM54" s="33">
        <f t="shared" si="11"/>
        <v>0</v>
      </c>
      <c r="AN54" s="33">
        <f t="shared" si="12"/>
        <v>0</v>
      </c>
      <c r="AO54" s="33">
        <f t="shared" si="13"/>
        <v>0</v>
      </c>
      <c r="AP54" s="33">
        <f t="shared" si="14"/>
        <v>0</v>
      </c>
      <c r="AQ54" s="194">
        <f t="shared" si="40"/>
        <v>0</v>
      </c>
      <c r="AR54" s="194">
        <f t="shared" si="41"/>
        <v>0</v>
      </c>
      <c r="AS54" s="194">
        <f t="shared" si="42"/>
        <v>0</v>
      </c>
      <c r="AT54" s="194">
        <f t="shared" si="43"/>
        <v>0</v>
      </c>
      <c r="AU54" s="33"/>
      <c r="AV54" s="33"/>
      <c r="AW54" s="33"/>
      <c r="AX54" s="33"/>
      <c r="AY54" s="76"/>
    </row>
    <row r="55" spans="2:51" x14ac:dyDescent="0.3">
      <c r="B55" s="40"/>
      <c r="C55" s="152"/>
      <c r="D55" s="137"/>
      <c r="E55" s="141"/>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28.275000000000006</v>
      </c>
      <c r="R55" s="33">
        <f t="shared" si="25"/>
        <v>457.59999999999991</v>
      </c>
      <c r="S55" s="33">
        <f t="shared" si="26"/>
        <v>210.49599999999998</v>
      </c>
      <c r="T55" s="33">
        <f t="shared" si="2"/>
        <v>52.043959291168463</v>
      </c>
      <c r="U55" s="33">
        <f t="shared" si="20"/>
        <v>70</v>
      </c>
      <c r="V55" s="33">
        <f t="shared" si="3"/>
        <v>10</v>
      </c>
      <c r="W55" s="33">
        <v>0</v>
      </c>
      <c r="X55" s="33">
        <f t="shared" si="4"/>
        <v>750.59042909878497</v>
      </c>
      <c r="Y55" s="38">
        <f t="shared" si="5"/>
        <v>392.13078680353971</v>
      </c>
      <c r="AA55" s="71">
        <v>50</v>
      </c>
      <c r="AB55" s="33">
        <f t="shared" si="6"/>
        <v>0</v>
      </c>
      <c r="AC55" s="305">
        <f t="shared" si="7"/>
        <v>0</v>
      </c>
      <c r="AD55" s="100">
        <f t="shared" si="8"/>
        <v>0</v>
      </c>
      <c r="AE55" s="100">
        <f t="shared" si="9"/>
        <v>0</v>
      </c>
      <c r="AF55" s="194">
        <f t="shared" si="36"/>
        <v>20.70220898928029</v>
      </c>
      <c r="AG55" s="194">
        <f t="shared" si="37"/>
        <v>41.913527770642531</v>
      </c>
      <c r="AH55" s="194">
        <f t="shared" si="38"/>
        <v>2.377194077829726</v>
      </c>
      <c r="AI55" s="199">
        <f t="shared" si="39"/>
        <v>64.992930837752553</v>
      </c>
      <c r="AK55" s="71">
        <v>50</v>
      </c>
      <c r="AL55" s="33">
        <f t="shared" si="10"/>
        <v>0</v>
      </c>
      <c r="AM55" s="33">
        <f t="shared" si="11"/>
        <v>0</v>
      </c>
      <c r="AN55" s="33">
        <f t="shared" si="12"/>
        <v>0</v>
      </c>
      <c r="AO55" s="33">
        <f t="shared" si="13"/>
        <v>0</v>
      </c>
      <c r="AP55" s="33">
        <f t="shared" si="14"/>
        <v>0</v>
      </c>
      <c r="AQ55" s="194">
        <f t="shared" si="40"/>
        <v>0</v>
      </c>
      <c r="AR55" s="194">
        <f t="shared" si="41"/>
        <v>0</v>
      </c>
      <c r="AS55" s="194">
        <f t="shared" si="42"/>
        <v>0</v>
      </c>
      <c r="AT55" s="194">
        <f t="shared" si="43"/>
        <v>0</v>
      </c>
      <c r="AU55" s="33"/>
      <c r="AV55" s="33"/>
      <c r="AW55" s="33"/>
      <c r="AX55" s="33"/>
      <c r="AY55" s="76"/>
    </row>
    <row r="56" spans="2:51" x14ac:dyDescent="0.3">
      <c r="B56" s="40"/>
      <c r="C56" s="152"/>
      <c r="D56" s="137"/>
      <c r="E56" s="141"/>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-68.900000000000034</v>
      </c>
      <c r="R56" s="33">
        <f t="shared" si="25"/>
        <v>388.69999999999987</v>
      </c>
      <c r="S56" s="33">
        <f t="shared" si="26"/>
        <v>178.80199999999996</v>
      </c>
      <c r="T56" s="33">
        <f t="shared" si="2"/>
        <v>45.055549739375898</v>
      </c>
      <c r="U56" s="33">
        <f t="shared" si="20"/>
        <v>70</v>
      </c>
      <c r="V56" s="33">
        <f t="shared" si="3"/>
        <v>10</v>
      </c>
      <c r="W56" s="33">
        <v>0</v>
      </c>
      <c r="X56" s="33">
        <f t="shared" si="4"/>
        <v>683.21856579607959</v>
      </c>
      <c r="Y56" s="38">
        <f t="shared" si="5"/>
        <v>323.49277153037258</v>
      </c>
      <c r="AA56" s="71">
        <v>51</v>
      </c>
      <c r="AB56" s="33">
        <f t="shared" si="6"/>
        <v>53</v>
      </c>
      <c r="AC56" s="305">
        <f t="shared" si="7"/>
        <v>0.3</v>
      </c>
      <c r="AD56" s="100">
        <f t="shared" si="8"/>
        <v>0.22400000000000003</v>
      </c>
      <c r="AE56" s="100">
        <f t="shared" si="9"/>
        <v>0.17600000000000002</v>
      </c>
      <c r="AF56" s="194">
        <f t="shared" si="36"/>
        <v>32.909491453311404</v>
      </c>
      <c r="AG56" s="194">
        <f t="shared" si="37"/>
        <v>50.148204326565434</v>
      </c>
      <c r="AH56" s="194">
        <f t="shared" si="38"/>
        <v>7.9966848496833709</v>
      </c>
      <c r="AI56" s="199">
        <f t="shared" si="39"/>
        <v>91.054380629560214</v>
      </c>
      <c r="AK56" s="71">
        <v>51</v>
      </c>
      <c r="AL56" s="33">
        <f t="shared" si="10"/>
        <v>53</v>
      </c>
      <c r="AM56" s="33">
        <f t="shared" si="11"/>
        <v>0.6</v>
      </c>
      <c r="AN56" s="33">
        <f t="shared" si="12"/>
        <v>0.22400000000000003</v>
      </c>
      <c r="AO56" s="33">
        <f t="shared" si="13"/>
        <v>0.17600000000000002</v>
      </c>
      <c r="AP56" s="33">
        <f t="shared" si="14"/>
        <v>0</v>
      </c>
      <c r="AQ56" s="194">
        <f t="shared" si="40"/>
        <v>31.799999999999997</v>
      </c>
      <c r="AR56" s="194">
        <f t="shared" si="41"/>
        <v>11.872000000000002</v>
      </c>
      <c r="AS56" s="194">
        <f t="shared" si="42"/>
        <v>9.3280000000000012</v>
      </c>
      <c r="AT56" s="194">
        <f t="shared" si="43"/>
        <v>0</v>
      </c>
      <c r="AU56" s="33"/>
      <c r="AV56" s="33"/>
      <c r="AW56" s="33"/>
      <c r="AX56" s="33"/>
      <c r="AY56" s="76"/>
    </row>
    <row r="57" spans="2:51" x14ac:dyDescent="0.3">
      <c r="B57" s="40"/>
      <c r="C57" s="152"/>
      <c r="D57" s="137"/>
      <c r="E57" s="141"/>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26.185714285714287</v>
      </c>
      <c r="R57" s="33">
        <f t="shared" si="25"/>
        <v>414.88571428571419</v>
      </c>
      <c r="S57" s="33">
        <f t="shared" si="26"/>
        <v>190.84742857142854</v>
      </c>
      <c r="T57" s="33">
        <f t="shared" si="2"/>
        <v>47.727258723326813</v>
      </c>
      <c r="U57" s="33">
        <f t="shared" si="20"/>
        <v>70</v>
      </c>
      <c r="V57" s="33">
        <f t="shared" si="3"/>
        <v>10</v>
      </c>
      <c r="W57" s="33">
        <v>0</v>
      </c>
      <c r="X57" s="33">
        <f t="shared" si="4"/>
        <v>708.85091370503221</v>
      </c>
      <c r="Y57" s="38">
        <f t="shared" si="5"/>
        <v>347.85959079932451</v>
      </c>
      <c r="AA57" s="71">
        <v>52</v>
      </c>
      <c r="AB57" s="33">
        <f t="shared" si="6"/>
        <v>0</v>
      </c>
      <c r="AC57" s="305">
        <f t="shared" si="7"/>
        <v>0</v>
      </c>
      <c r="AD57" s="100">
        <f t="shared" si="8"/>
        <v>0</v>
      </c>
      <c r="AE57" s="100">
        <f t="shared" si="9"/>
        <v>0</v>
      </c>
      <c r="AF57" s="194">
        <f t="shared" si="36"/>
        <v>32.264156398719727</v>
      </c>
      <c r="AG57" s="194">
        <f t="shared" si="37"/>
        <v>48.776899042076053</v>
      </c>
      <c r="AH57" s="194">
        <f t="shared" si="38"/>
        <v>5.6545100842228395</v>
      </c>
      <c r="AI57" s="199">
        <f t="shared" si="39"/>
        <v>86.695565525018623</v>
      </c>
      <c r="AK57" s="71">
        <v>52</v>
      </c>
      <c r="AL57" s="33">
        <f t="shared" si="10"/>
        <v>0</v>
      </c>
      <c r="AM57" s="33">
        <f t="shared" si="11"/>
        <v>0</v>
      </c>
      <c r="AN57" s="33">
        <f t="shared" si="12"/>
        <v>0</v>
      </c>
      <c r="AO57" s="33">
        <f t="shared" si="13"/>
        <v>0</v>
      </c>
      <c r="AP57" s="33">
        <f t="shared" si="14"/>
        <v>0</v>
      </c>
      <c r="AQ57" s="194">
        <f t="shared" si="40"/>
        <v>0</v>
      </c>
      <c r="AR57" s="194">
        <f t="shared" si="41"/>
        <v>0</v>
      </c>
      <c r="AS57" s="194">
        <f t="shared" si="42"/>
        <v>0</v>
      </c>
      <c r="AT57" s="194">
        <f t="shared" si="43"/>
        <v>0</v>
      </c>
      <c r="AU57" s="33"/>
      <c r="AV57" s="33"/>
      <c r="AW57" s="33"/>
      <c r="AX57" s="33"/>
      <c r="AY57" s="76"/>
    </row>
    <row r="58" spans="2:51" x14ac:dyDescent="0.3">
      <c r="B58" s="40"/>
      <c r="C58" s="152"/>
      <c r="D58" s="137"/>
      <c r="E58" s="141"/>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26.185714285714287</v>
      </c>
      <c r="R58" s="33">
        <f t="shared" si="25"/>
        <v>441.0714285714285</v>
      </c>
      <c r="S58" s="33">
        <f t="shared" si="26"/>
        <v>202.89285714285711</v>
      </c>
      <c r="T58" s="33">
        <f t="shared" si="2"/>
        <v>50.379397827792161</v>
      </c>
      <c r="U58" s="33">
        <f t="shared" si="20"/>
        <v>70</v>
      </c>
      <c r="V58" s="33">
        <f t="shared" si="3"/>
        <v>10</v>
      </c>
      <c r="W58" s="33">
        <v>0</v>
      </c>
      <c r="X58" s="33">
        <f t="shared" si="4"/>
        <v>734.44917740721428</v>
      </c>
      <c r="Y58" s="38">
        <f t="shared" si="5"/>
        <v>372.1929358228457</v>
      </c>
      <c r="AA58" s="71">
        <v>53</v>
      </c>
      <c r="AB58" s="33">
        <f t="shared" si="6"/>
        <v>0</v>
      </c>
      <c r="AC58" s="305">
        <f t="shared" si="7"/>
        <v>0</v>
      </c>
      <c r="AD58" s="100">
        <f t="shared" si="8"/>
        <v>0</v>
      </c>
      <c r="AE58" s="100">
        <f t="shared" si="9"/>
        <v>0</v>
      </c>
      <c r="AF58" s="194">
        <f t="shared" si="36"/>
        <v>31.631475970933078</v>
      </c>
      <c r="AG58" s="194">
        <f t="shared" si="37"/>
        <v>47.443092172704844</v>
      </c>
      <c r="AH58" s="194">
        <f t="shared" si="38"/>
        <v>3.9983424248416859</v>
      </c>
      <c r="AI58" s="199">
        <f t="shared" si="39"/>
        <v>83.0729105684796</v>
      </c>
      <c r="AK58" s="71">
        <v>53</v>
      </c>
      <c r="AL58" s="33">
        <f t="shared" si="10"/>
        <v>0</v>
      </c>
      <c r="AM58" s="33">
        <f t="shared" si="11"/>
        <v>0</v>
      </c>
      <c r="AN58" s="33">
        <f t="shared" si="12"/>
        <v>0</v>
      </c>
      <c r="AO58" s="33">
        <f t="shared" si="13"/>
        <v>0</v>
      </c>
      <c r="AP58" s="33">
        <f t="shared" si="14"/>
        <v>0</v>
      </c>
      <c r="AQ58" s="194">
        <f t="shared" si="40"/>
        <v>0</v>
      </c>
      <c r="AR58" s="194">
        <f t="shared" si="41"/>
        <v>0</v>
      </c>
      <c r="AS58" s="194">
        <f t="shared" si="42"/>
        <v>0</v>
      </c>
      <c r="AT58" s="194">
        <f t="shared" si="43"/>
        <v>0</v>
      </c>
      <c r="AU58" s="33"/>
      <c r="AV58" s="33"/>
      <c r="AW58" s="33"/>
      <c r="AX58" s="33"/>
      <c r="AY58" s="76"/>
    </row>
    <row r="59" spans="2:51" x14ac:dyDescent="0.3">
      <c r="B59" s="40"/>
      <c r="C59" s="152"/>
      <c r="D59" s="137"/>
      <c r="E59" s="141"/>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26.185714285714287</v>
      </c>
      <c r="R59" s="33">
        <f t="shared" si="25"/>
        <v>467.25714285714281</v>
      </c>
      <c r="S59" s="33">
        <f t="shared" si="26"/>
        <v>214.93828571428571</v>
      </c>
      <c r="T59" s="33">
        <f t="shared" si="2"/>
        <v>53.013261216311491</v>
      </c>
      <c r="U59" s="33">
        <f t="shared" si="20"/>
        <v>70</v>
      </c>
      <c r="V59" s="33">
        <f t="shared" si="3"/>
        <v>10</v>
      </c>
      <c r="W59" s="33">
        <v>0</v>
      </c>
      <c r="X59" s="33">
        <f t="shared" si="4"/>
        <v>760.01561090412349</v>
      </c>
      <c r="Y59" s="38">
        <f t="shared" si="5"/>
        <v>396.49504776667851</v>
      </c>
      <c r="AA59" s="71">
        <v>54</v>
      </c>
      <c r="AB59" s="33">
        <f t="shared" si="6"/>
        <v>0</v>
      </c>
      <c r="AC59" s="305">
        <f t="shared" si="7"/>
        <v>0</v>
      </c>
      <c r="AD59" s="100">
        <f t="shared" si="8"/>
        <v>0</v>
      </c>
      <c r="AE59" s="100">
        <f t="shared" si="9"/>
        <v>0</v>
      </c>
      <c r="AF59" s="194">
        <f t="shared" si="36"/>
        <v>31.011202020438368</v>
      </c>
      <c r="AG59" s="194">
        <f t="shared" si="37"/>
        <v>46.145758322318443</v>
      </c>
      <c r="AH59" s="194">
        <f t="shared" si="38"/>
        <v>2.8272550421114202</v>
      </c>
      <c r="AI59" s="199">
        <f t="shared" si="39"/>
        <v>79.984215384868222</v>
      </c>
      <c r="AK59" s="71">
        <v>54</v>
      </c>
      <c r="AL59" s="33">
        <f t="shared" si="10"/>
        <v>0</v>
      </c>
      <c r="AM59" s="33">
        <f t="shared" si="11"/>
        <v>0</v>
      </c>
      <c r="AN59" s="33">
        <f t="shared" si="12"/>
        <v>0</v>
      </c>
      <c r="AO59" s="33">
        <f t="shared" si="13"/>
        <v>0</v>
      </c>
      <c r="AP59" s="33">
        <f t="shared" si="14"/>
        <v>0</v>
      </c>
      <c r="AQ59" s="194">
        <f t="shared" si="40"/>
        <v>0</v>
      </c>
      <c r="AR59" s="194">
        <f t="shared" si="41"/>
        <v>0</v>
      </c>
      <c r="AS59" s="194">
        <f t="shared" si="42"/>
        <v>0</v>
      </c>
      <c r="AT59" s="194">
        <f t="shared" si="43"/>
        <v>0</v>
      </c>
      <c r="AU59" s="33"/>
      <c r="AV59" s="33"/>
      <c r="AW59" s="33"/>
      <c r="AX59" s="33"/>
      <c r="AY59" s="76"/>
    </row>
    <row r="60" spans="2:51" x14ac:dyDescent="0.3">
      <c r="B60" s="40"/>
      <c r="C60" s="152"/>
      <c r="D60" s="137"/>
      <c r="E60" s="141"/>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26.185714285714287</v>
      </c>
      <c r="R60" s="33">
        <f t="shared" si="25"/>
        <v>493.44285714285712</v>
      </c>
      <c r="S60" s="33">
        <f t="shared" si="26"/>
        <v>226.98371428571429</v>
      </c>
      <c r="T60" s="33">
        <f t="shared" si="2"/>
        <v>55.62998980652975</v>
      </c>
      <c r="U60" s="33">
        <f t="shared" si="20"/>
        <v>70</v>
      </c>
      <c r="V60" s="33">
        <f t="shared" si="3"/>
        <v>10</v>
      </c>
      <c r="W60" s="33">
        <v>0</v>
      </c>
      <c r="X60" s="33">
        <f t="shared" si="4"/>
        <v>785.55220129399152</v>
      </c>
      <c r="Y60" s="38">
        <f t="shared" si="5"/>
        <v>420.76790139590986</v>
      </c>
      <c r="AA60" s="71">
        <v>55</v>
      </c>
      <c r="AB60" s="33">
        <f t="shared" si="6"/>
        <v>0</v>
      </c>
      <c r="AC60" s="305">
        <f t="shared" si="7"/>
        <v>0</v>
      </c>
      <c r="AD60" s="100">
        <f t="shared" si="8"/>
        <v>0</v>
      </c>
      <c r="AE60" s="100">
        <f t="shared" si="9"/>
        <v>0</v>
      </c>
      <c r="AF60" s="194">
        <f t="shared" si="36"/>
        <v>30.403091263783107</v>
      </c>
      <c r="AG60" s="194">
        <f t="shared" si="37"/>
        <v>44.883900134294684</v>
      </c>
      <c r="AH60" s="194">
        <f t="shared" si="38"/>
        <v>1.9991712124208434</v>
      </c>
      <c r="AI60" s="199">
        <f t="shared" si="39"/>
        <v>77.286162610498636</v>
      </c>
      <c r="AK60" s="71">
        <v>55</v>
      </c>
      <c r="AL60" s="33">
        <f t="shared" si="10"/>
        <v>0</v>
      </c>
      <c r="AM60" s="33">
        <f t="shared" si="11"/>
        <v>0</v>
      </c>
      <c r="AN60" s="33">
        <f t="shared" si="12"/>
        <v>0</v>
      </c>
      <c r="AO60" s="33">
        <f t="shared" si="13"/>
        <v>0</v>
      </c>
      <c r="AP60" s="33">
        <f t="shared" si="14"/>
        <v>0</v>
      </c>
      <c r="AQ60" s="194">
        <f t="shared" si="40"/>
        <v>0</v>
      </c>
      <c r="AR60" s="194">
        <f t="shared" si="41"/>
        <v>0</v>
      </c>
      <c r="AS60" s="194">
        <f t="shared" si="42"/>
        <v>0</v>
      </c>
      <c r="AT60" s="194">
        <f t="shared" si="43"/>
        <v>0</v>
      </c>
      <c r="AU60" s="33"/>
      <c r="AV60" s="33"/>
      <c r="AW60" s="33"/>
      <c r="AX60" s="33"/>
      <c r="AY60" s="76"/>
    </row>
    <row r="61" spans="2:51" x14ac:dyDescent="0.3">
      <c r="B61" s="40"/>
      <c r="C61" s="152"/>
      <c r="D61" s="137"/>
      <c r="E61" s="141"/>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26.185714285714287</v>
      </c>
      <c r="R61" s="33">
        <f t="shared" si="25"/>
        <v>519.62857142857138</v>
      </c>
      <c r="S61" s="33">
        <f t="shared" si="26"/>
        <v>239.02914285714283</v>
      </c>
      <c r="T61" s="33">
        <f t="shared" si="2"/>
        <v>58.23059658600431</v>
      </c>
      <c r="U61" s="33">
        <f t="shared" si="20"/>
        <v>70</v>
      </c>
      <c r="V61" s="33">
        <f t="shared" si="3"/>
        <v>10</v>
      </c>
      <c r="W61" s="33">
        <v>0</v>
      </c>
      <c r="X61" s="33">
        <f t="shared" si="4"/>
        <v>811.06071286348117</v>
      </c>
      <c r="Y61" s="38">
        <f t="shared" si="5"/>
        <v>445.01324913821384</v>
      </c>
      <c r="AA61" s="71">
        <v>56</v>
      </c>
      <c r="AB61" s="33">
        <f t="shared" si="6"/>
        <v>0</v>
      </c>
      <c r="AC61" s="305">
        <f t="shared" si="7"/>
        <v>0</v>
      </c>
      <c r="AD61" s="100">
        <f t="shared" si="8"/>
        <v>0</v>
      </c>
      <c r="AE61" s="100">
        <f t="shared" si="9"/>
        <v>0</v>
      </c>
      <c r="AF61" s="194">
        <f t="shared" si="36"/>
        <v>29.806905188154918</v>
      </c>
      <c r="AG61" s="194">
        <f t="shared" si="37"/>
        <v>43.65654752478067</v>
      </c>
      <c r="AH61" s="194">
        <f t="shared" si="38"/>
        <v>1.4136275210557103</v>
      </c>
      <c r="AI61" s="199">
        <f t="shared" si="39"/>
        <v>74.877080233991308</v>
      </c>
      <c r="AK61" s="71">
        <v>56</v>
      </c>
      <c r="AL61" s="33">
        <f t="shared" si="10"/>
        <v>0</v>
      </c>
      <c r="AM61" s="33">
        <f t="shared" si="11"/>
        <v>0</v>
      </c>
      <c r="AN61" s="33">
        <f t="shared" si="12"/>
        <v>0</v>
      </c>
      <c r="AO61" s="33">
        <f t="shared" si="13"/>
        <v>0</v>
      </c>
      <c r="AP61" s="33">
        <f t="shared" si="14"/>
        <v>0</v>
      </c>
      <c r="AQ61" s="194">
        <f t="shared" si="40"/>
        <v>0</v>
      </c>
      <c r="AR61" s="194">
        <f t="shared" si="41"/>
        <v>0</v>
      </c>
      <c r="AS61" s="194">
        <f t="shared" si="42"/>
        <v>0</v>
      </c>
      <c r="AT61" s="194">
        <f t="shared" si="43"/>
        <v>0</v>
      </c>
      <c r="AU61" s="33"/>
      <c r="AV61" s="33"/>
      <c r="AW61" s="33"/>
      <c r="AX61" s="33"/>
      <c r="AY61" s="76"/>
    </row>
    <row r="62" spans="2:51" x14ac:dyDescent="0.3">
      <c r="B62" s="40"/>
      <c r="C62" s="152"/>
      <c r="D62" s="137"/>
      <c r="E62" s="141"/>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26.185714285714287</v>
      </c>
      <c r="R62" s="33">
        <f t="shared" si="25"/>
        <v>545.81428571428569</v>
      </c>
      <c r="S62" s="33">
        <f t="shared" si="26"/>
        <v>251.07457142857143</v>
      </c>
      <c r="T62" s="33">
        <f t="shared" si="2"/>
        <v>60.815986679944274</v>
      </c>
      <c r="U62" s="33">
        <f t="shared" si="20"/>
        <v>70</v>
      </c>
      <c r="V62" s="33">
        <f t="shared" si="3"/>
        <v>10</v>
      </c>
      <c r="W62" s="33">
        <v>0</v>
      </c>
      <c r="X62" s="33">
        <f t="shared" si="4"/>
        <v>836.54272203899825</v>
      </c>
      <c r="Y62" s="38">
        <f t="shared" si="5"/>
        <v>469.23265600879824</v>
      </c>
      <c r="AA62" s="71">
        <v>57</v>
      </c>
      <c r="AB62" s="33">
        <f t="shared" si="6"/>
        <v>0</v>
      </c>
      <c r="AC62" s="305">
        <f t="shared" si="7"/>
        <v>0</v>
      </c>
      <c r="AD62" s="100">
        <f t="shared" si="8"/>
        <v>0</v>
      </c>
      <c r="AE62" s="100">
        <f t="shared" si="9"/>
        <v>0</v>
      </c>
      <c r="AF62" s="194">
        <f t="shared" si="36"/>
        <v>29.222409957832198</v>
      </c>
      <c r="AG62" s="194">
        <f t="shared" si="37"/>
        <v>42.462756936917486</v>
      </c>
      <c r="AH62" s="194">
        <f t="shared" si="38"/>
        <v>0.99958560621042181</v>
      </c>
      <c r="AI62" s="199">
        <f t="shared" si="39"/>
        <v>72.684752500960101</v>
      </c>
      <c r="AK62" s="71">
        <v>57</v>
      </c>
      <c r="AL62" s="33">
        <f t="shared" si="10"/>
        <v>0</v>
      </c>
      <c r="AM62" s="33">
        <f t="shared" si="11"/>
        <v>0</v>
      </c>
      <c r="AN62" s="33">
        <f t="shared" si="12"/>
        <v>0</v>
      </c>
      <c r="AO62" s="33">
        <f t="shared" si="13"/>
        <v>0</v>
      </c>
      <c r="AP62" s="33">
        <f t="shared" si="14"/>
        <v>0</v>
      </c>
      <c r="AQ62" s="194">
        <f t="shared" si="40"/>
        <v>0</v>
      </c>
      <c r="AR62" s="194">
        <f t="shared" si="41"/>
        <v>0</v>
      </c>
      <c r="AS62" s="194">
        <f t="shared" si="42"/>
        <v>0</v>
      </c>
      <c r="AT62" s="194">
        <f t="shared" si="43"/>
        <v>0</v>
      </c>
      <c r="AU62" s="33"/>
      <c r="AV62" s="33"/>
      <c r="AW62" s="33"/>
      <c r="AX62" s="33"/>
      <c r="AY62" s="76"/>
    </row>
    <row r="63" spans="2:51" x14ac:dyDescent="0.3">
      <c r="B63" s="40"/>
      <c r="C63" s="152"/>
      <c r="D63" s="137"/>
      <c r="E63" s="141"/>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26.185714285714287</v>
      </c>
      <c r="R63" s="33">
        <f t="shared" si="25"/>
        <v>572</v>
      </c>
      <c r="S63" s="33">
        <f t="shared" si="26"/>
        <v>263.12</v>
      </c>
      <c r="T63" s="33">
        <f t="shared" si="2"/>
        <v>63.386973458752003</v>
      </c>
      <c r="U63" s="33">
        <f t="shared" si="20"/>
        <v>70</v>
      </c>
      <c r="V63" s="33">
        <f t="shared" si="3"/>
        <v>10</v>
      </c>
      <c r="W63" s="33">
        <v>0</v>
      </c>
      <c r="X63" s="33">
        <f t="shared" si="4"/>
        <v>861.99964544065972</v>
      </c>
      <c r="Y63" s="38">
        <f t="shared" si="5"/>
        <v>493.42752763991035</v>
      </c>
      <c r="AA63" s="71">
        <v>58</v>
      </c>
      <c r="AB63" s="33">
        <f t="shared" si="6"/>
        <v>0</v>
      </c>
      <c r="AC63" s="305">
        <f t="shared" si="7"/>
        <v>0</v>
      </c>
      <c r="AD63" s="100">
        <f t="shared" si="8"/>
        <v>0</v>
      </c>
      <c r="AE63" s="100">
        <f t="shared" si="9"/>
        <v>0</v>
      </c>
      <c r="AF63" s="194">
        <f t="shared" si="36"/>
        <v>28.64937632246922</v>
      </c>
      <c r="AG63" s="194">
        <f t="shared" si="37"/>
        <v>41.301610615458138</v>
      </c>
      <c r="AH63" s="194">
        <f t="shared" si="38"/>
        <v>0.70681376052785527</v>
      </c>
      <c r="AI63" s="199">
        <f t="shared" si="39"/>
        <v>70.657800698455205</v>
      </c>
      <c r="AK63" s="71">
        <v>58</v>
      </c>
      <c r="AL63" s="33">
        <f t="shared" si="10"/>
        <v>0</v>
      </c>
      <c r="AM63" s="33">
        <f t="shared" si="11"/>
        <v>0</v>
      </c>
      <c r="AN63" s="33">
        <f t="shared" si="12"/>
        <v>0</v>
      </c>
      <c r="AO63" s="33">
        <f t="shared" si="13"/>
        <v>0</v>
      </c>
      <c r="AP63" s="33">
        <f t="shared" si="14"/>
        <v>0</v>
      </c>
      <c r="AQ63" s="194">
        <f t="shared" si="40"/>
        <v>0</v>
      </c>
      <c r="AR63" s="194">
        <f t="shared" si="41"/>
        <v>0</v>
      </c>
      <c r="AS63" s="194">
        <f t="shared" si="42"/>
        <v>0</v>
      </c>
      <c r="AT63" s="194">
        <f t="shared" si="43"/>
        <v>0</v>
      </c>
      <c r="AU63" s="33"/>
      <c r="AV63" s="33"/>
      <c r="AW63" s="33"/>
      <c r="AX63" s="33"/>
      <c r="AY63" s="76"/>
    </row>
    <row r="64" spans="2:51" x14ac:dyDescent="0.3">
      <c r="B64" s="40"/>
      <c r="C64" s="152"/>
      <c r="D64" s="137"/>
      <c r="E64" s="141"/>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-101.39999999999998</v>
      </c>
      <c r="R64" s="33">
        <f t="shared" si="25"/>
        <v>470.6</v>
      </c>
      <c r="S64" s="33">
        <f t="shared" si="26"/>
        <v>216.47600000000003</v>
      </c>
      <c r="T64" s="33">
        <f t="shared" si="2"/>
        <v>53.348243400339264</v>
      </c>
      <c r="U64" s="33">
        <f t="shared" si="20"/>
        <v>70</v>
      </c>
      <c r="V64" s="33">
        <f t="shared" si="3"/>
        <v>10</v>
      </c>
      <c r="W64" s="33">
        <v>0</v>
      </c>
      <c r="X64" s="33">
        <f t="shared" si="4"/>
        <v>763.27722392225758</v>
      </c>
      <c r="Y64" s="38">
        <f t="shared" si="5"/>
        <v>393.44359429807349</v>
      </c>
      <c r="AA64" s="71">
        <v>59</v>
      </c>
      <c r="AB64" s="33">
        <f t="shared" si="6"/>
        <v>78</v>
      </c>
      <c r="AC64" s="305">
        <f t="shared" si="7"/>
        <v>0.35</v>
      </c>
      <c r="AD64" s="100">
        <f t="shared" si="8"/>
        <v>0.16800000000000004</v>
      </c>
      <c r="AE64" s="100">
        <f t="shared" si="9"/>
        <v>0.13200000000000003</v>
      </c>
      <c r="AF64" s="194">
        <f t="shared" si="36"/>
        <v>49.74427488801237</v>
      </c>
      <c r="AG64" s="194">
        <f t="shared" si="37"/>
        <v>50.526499756908748</v>
      </c>
      <c r="AH64" s="194">
        <f t="shared" si="38"/>
        <v>7.4709561168340439</v>
      </c>
      <c r="AI64" s="199">
        <f t="shared" si="39"/>
        <v>107.74173076175516</v>
      </c>
      <c r="AK64" s="71">
        <v>59</v>
      </c>
      <c r="AL64" s="33">
        <f t="shared" si="10"/>
        <v>78</v>
      </c>
      <c r="AM64" s="33">
        <f t="shared" si="11"/>
        <v>0.7</v>
      </c>
      <c r="AN64" s="33">
        <f t="shared" si="12"/>
        <v>0.16800000000000004</v>
      </c>
      <c r="AO64" s="33">
        <f t="shared" si="13"/>
        <v>0.13200000000000003</v>
      </c>
      <c r="AP64" s="33">
        <f t="shared" si="14"/>
        <v>0</v>
      </c>
      <c r="AQ64" s="194">
        <f t="shared" si="40"/>
        <v>54.599999999999994</v>
      </c>
      <c r="AR64" s="194">
        <f t="shared" si="41"/>
        <v>13.104000000000003</v>
      </c>
      <c r="AS64" s="194">
        <f t="shared" si="42"/>
        <v>10.296000000000003</v>
      </c>
      <c r="AT64" s="194">
        <f t="shared" si="43"/>
        <v>0</v>
      </c>
      <c r="AU64" s="33"/>
      <c r="AV64" s="33"/>
      <c r="AW64" s="33"/>
      <c r="AX64" s="33"/>
      <c r="AY64" s="76"/>
    </row>
    <row r="65" spans="2:51" x14ac:dyDescent="0.3">
      <c r="B65" s="40"/>
      <c r="C65" s="152"/>
      <c r="D65" s="137"/>
      <c r="E65" s="141"/>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24.699999999999996</v>
      </c>
      <c r="R65" s="33">
        <f t="shared" si="25"/>
        <v>495.3</v>
      </c>
      <c r="S65" s="33">
        <f t="shared" si="26"/>
        <v>227.83800000000002</v>
      </c>
      <c r="T65" s="33">
        <f t="shared" si="2"/>
        <v>55.814949938288613</v>
      </c>
      <c r="U65" s="33">
        <f t="shared" si="20"/>
        <v>70</v>
      </c>
      <c r="V65" s="33">
        <f t="shared" si="3"/>
        <v>10</v>
      </c>
      <c r="W65" s="33">
        <v>0</v>
      </c>
      <c r="X65" s="33">
        <f t="shared" si="4"/>
        <v>787.36222114251939</v>
      </c>
      <c r="Y65" s="38">
        <f t="shared" si="5"/>
        <v>416.26760943420442</v>
      </c>
      <c r="AA65" s="71">
        <v>60</v>
      </c>
      <c r="AB65" s="33">
        <f t="shared" si="6"/>
        <v>0</v>
      </c>
      <c r="AC65" s="305">
        <f t="shared" si="7"/>
        <v>0</v>
      </c>
      <c r="AD65" s="100">
        <f t="shared" si="8"/>
        <v>0</v>
      </c>
      <c r="AE65" s="100">
        <f t="shared" si="9"/>
        <v>0</v>
      </c>
      <c r="AF65" s="194">
        <f t="shared" si="36"/>
        <v>48.768819998470207</v>
      </c>
      <c r="AG65" s="194">
        <f t="shared" si="37"/>
        <v>49.144849963982935</v>
      </c>
      <c r="AH65" s="194">
        <f t="shared" si="38"/>
        <v>5.2827637321604692</v>
      </c>
      <c r="AI65" s="199">
        <f t="shared" si="39"/>
        <v>103.19643369461362</v>
      </c>
      <c r="AK65" s="71">
        <v>60</v>
      </c>
      <c r="AL65" s="33">
        <f t="shared" si="10"/>
        <v>0</v>
      </c>
      <c r="AM65" s="33">
        <f t="shared" si="11"/>
        <v>0</v>
      </c>
      <c r="AN65" s="33">
        <f t="shared" si="12"/>
        <v>0</v>
      </c>
      <c r="AO65" s="33">
        <f t="shared" si="13"/>
        <v>0</v>
      </c>
      <c r="AP65" s="33">
        <f t="shared" si="14"/>
        <v>0</v>
      </c>
      <c r="AQ65" s="194">
        <f t="shared" si="40"/>
        <v>0</v>
      </c>
      <c r="AR65" s="194">
        <f t="shared" si="41"/>
        <v>0</v>
      </c>
      <c r="AS65" s="194">
        <f t="shared" si="42"/>
        <v>0</v>
      </c>
      <c r="AT65" s="194">
        <f t="shared" si="43"/>
        <v>0</v>
      </c>
      <c r="AU65" s="33"/>
      <c r="AV65" s="33"/>
      <c r="AW65" s="33"/>
      <c r="AX65" s="33"/>
      <c r="AY65" s="76"/>
    </row>
    <row r="66" spans="2:51" x14ac:dyDescent="0.3">
      <c r="B66" s="40"/>
      <c r="C66" s="152"/>
      <c r="D66" s="137"/>
      <c r="E66" s="141"/>
      <c r="F66" s="42"/>
      <c r="G66" s="51"/>
      <c r="I66" s="55">
        <v>61</v>
      </c>
      <c r="J66" s="33">
        <f t="shared" si="21"/>
        <v>34.77000000000001</v>
      </c>
      <c r="K66" s="33">
        <f t="shared" si="22"/>
        <v>10.601334297333203</v>
      </c>
      <c r="L66" s="33">
        <f t="shared" si="23"/>
        <v>70</v>
      </c>
      <c r="M66" s="33">
        <f t="shared" si="24"/>
        <v>10</v>
      </c>
      <c r="N66" s="33">
        <f t="shared" si="0"/>
        <v>0</v>
      </c>
      <c r="O66" s="34">
        <f t="shared" si="1"/>
        <v>372.35507390118869</v>
      </c>
      <c r="P66" s="55">
        <v>61</v>
      </c>
      <c r="Q66" s="33">
        <f t="shared" si="19"/>
        <v>24.699999999999996</v>
      </c>
      <c r="R66" s="33">
        <f t="shared" si="25"/>
        <v>520</v>
      </c>
      <c r="S66" s="33">
        <f t="shared" si="26"/>
        <v>239.20000000000002</v>
      </c>
      <c r="T66" s="33">
        <f t="shared" si="2"/>
        <v>58.267373151570702</v>
      </c>
      <c r="U66" s="33">
        <f t="shared" si="20"/>
        <v>70</v>
      </c>
      <c r="V66" s="33">
        <f t="shared" si="3"/>
        <v>10</v>
      </c>
      <c r="W66" s="33">
        <v>0</v>
      </c>
      <c r="X66" s="33">
        <f t="shared" si="4"/>
        <v>811.42234157231894</v>
      </c>
      <c r="Y66" s="38">
        <f t="shared" si="5"/>
        <v>439.06726767113025</v>
      </c>
      <c r="AA66" s="71">
        <v>61</v>
      </c>
      <c r="AB66" s="33">
        <f t="shared" si="6"/>
        <v>0</v>
      </c>
      <c r="AC66" s="305">
        <f t="shared" si="7"/>
        <v>0</v>
      </c>
      <c r="AD66" s="100">
        <f t="shared" si="8"/>
        <v>0</v>
      </c>
      <c r="AE66" s="100">
        <f t="shared" si="9"/>
        <v>0</v>
      </c>
      <c r="AF66" s="194">
        <f t="shared" si="36"/>
        <v>47.812493184343225</v>
      </c>
      <c r="AG66" s="194">
        <f t="shared" si="37"/>
        <v>47.800981457302484</v>
      </c>
      <c r="AH66" s="194">
        <f t="shared" si="38"/>
        <v>3.7354780584170224</v>
      </c>
      <c r="AI66" s="199">
        <f t="shared" si="39"/>
        <v>99.348952700062725</v>
      </c>
      <c r="AK66" s="71">
        <v>61</v>
      </c>
      <c r="AL66" s="33">
        <f t="shared" si="10"/>
        <v>0</v>
      </c>
      <c r="AM66" s="33">
        <f t="shared" si="11"/>
        <v>0</v>
      </c>
      <c r="AN66" s="33">
        <f t="shared" si="12"/>
        <v>0</v>
      </c>
      <c r="AO66" s="33">
        <f t="shared" si="13"/>
        <v>0</v>
      </c>
      <c r="AP66" s="33">
        <f t="shared" si="14"/>
        <v>0</v>
      </c>
      <c r="AQ66" s="194">
        <f t="shared" si="40"/>
        <v>0</v>
      </c>
      <c r="AR66" s="194">
        <f t="shared" si="41"/>
        <v>0</v>
      </c>
      <c r="AS66" s="194">
        <f t="shared" si="42"/>
        <v>0</v>
      </c>
      <c r="AT66" s="194">
        <f t="shared" si="43"/>
        <v>0</v>
      </c>
      <c r="AU66" s="33"/>
      <c r="AV66" s="33"/>
      <c r="AW66" s="33"/>
      <c r="AX66" s="33"/>
      <c r="AY66" s="76"/>
    </row>
    <row r="67" spans="2:51" x14ac:dyDescent="0.3">
      <c r="B67" s="40"/>
      <c r="C67" s="152"/>
      <c r="D67" s="137"/>
      <c r="E67" s="141"/>
      <c r="F67" s="42"/>
      <c r="G67" s="51"/>
      <c r="I67" s="55">
        <v>62</v>
      </c>
      <c r="J67" s="33">
        <f t="shared" si="21"/>
        <v>35.340000000000011</v>
      </c>
      <c r="K67" s="33">
        <f t="shared" si="22"/>
        <v>10.754751603513711</v>
      </c>
      <c r="L67" s="33">
        <f t="shared" si="23"/>
        <v>70</v>
      </c>
      <c r="M67" s="33">
        <f t="shared" si="24"/>
        <v>10</v>
      </c>
      <c r="N67" s="33">
        <f t="shared" si="0"/>
        <v>0</v>
      </c>
      <c r="O67" s="34">
        <f t="shared" si="1"/>
        <v>373.61502570945305</v>
      </c>
      <c r="P67" s="55">
        <v>62</v>
      </c>
      <c r="Q67" s="33">
        <f t="shared" si="19"/>
        <v>24.699999999999996</v>
      </c>
      <c r="R67" s="33">
        <f t="shared" si="25"/>
        <v>544.70000000000005</v>
      </c>
      <c r="S67" s="33">
        <f t="shared" si="26"/>
        <v>250.56200000000004</v>
      </c>
      <c r="T67" s="33">
        <f t="shared" si="2"/>
        <v>60.706268962016573</v>
      </c>
      <c r="U67" s="33">
        <f t="shared" si="20"/>
        <v>70</v>
      </c>
      <c r="V67" s="33">
        <f t="shared" si="3"/>
        <v>10</v>
      </c>
      <c r="W67" s="33">
        <v>0</v>
      </c>
      <c r="X67" s="33">
        <f t="shared" si="4"/>
        <v>835.45890177551235</v>
      </c>
      <c r="Y67" s="38">
        <f t="shared" si="5"/>
        <v>461.84387606605929</v>
      </c>
      <c r="AA67" s="71">
        <v>62</v>
      </c>
      <c r="AB67" s="33">
        <f t="shared" si="6"/>
        <v>0</v>
      </c>
      <c r="AC67" s="305">
        <f t="shared" si="7"/>
        <v>0</v>
      </c>
      <c r="AD67" s="100">
        <f t="shared" si="8"/>
        <v>0</v>
      </c>
      <c r="AE67" s="100">
        <f t="shared" si="9"/>
        <v>0</v>
      </c>
      <c r="AF67" s="194">
        <f t="shared" si="36"/>
        <v>46.874919355739515</v>
      </c>
      <c r="AG67" s="194">
        <f t="shared" si="37"/>
        <v>46.493861105608183</v>
      </c>
      <c r="AH67" s="194">
        <f t="shared" si="38"/>
        <v>2.6413818660802351</v>
      </c>
      <c r="AI67" s="199">
        <f t="shared" si="39"/>
        <v>96.010162327427935</v>
      </c>
      <c r="AK67" s="71">
        <v>62</v>
      </c>
      <c r="AL67" s="33">
        <f t="shared" si="10"/>
        <v>0</v>
      </c>
      <c r="AM67" s="33">
        <f t="shared" si="11"/>
        <v>0</v>
      </c>
      <c r="AN67" s="33">
        <f t="shared" si="12"/>
        <v>0</v>
      </c>
      <c r="AO67" s="33">
        <f t="shared" si="13"/>
        <v>0</v>
      </c>
      <c r="AP67" s="33">
        <f t="shared" si="14"/>
        <v>0</v>
      </c>
      <c r="AQ67" s="194">
        <f t="shared" si="40"/>
        <v>0</v>
      </c>
      <c r="AR67" s="194">
        <f t="shared" si="41"/>
        <v>0</v>
      </c>
      <c r="AS67" s="194">
        <f t="shared" si="42"/>
        <v>0</v>
      </c>
      <c r="AT67" s="194">
        <f t="shared" si="43"/>
        <v>0</v>
      </c>
      <c r="AU67" s="33"/>
      <c r="AV67" s="33"/>
      <c r="AW67" s="33"/>
      <c r="AX67" s="33"/>
      <c r="AY67" s="76"/>
    </row>
    <row r="68" spans="2:51" x14ac:dyDescent="0.3">
      <c r="B68" s="40"/>
      <c r="C68" s="152"/>
      <c r="D68" s="137"/>
      <c r="E68" s="141"/>
      <c r="F68" s="42"/>
      <c r="G68" s="51"/>
      <c r="I68" s="55">
        <v>63</v>
      </c>
      <c r="J68" s="33">
        <f t="shared" si="21"/>
        <v>35.910000000000011</v>
      </c>
      <c r="K68" s="33">
        <f t="shared" si="22"/>
        <v>10.907881138088664</v>
      </c>
      <c r="L68" s="33">
        <f t="shared" si="23"/>
        <v>70</v>
      </c>
      <c r="M68" s="33">
        <f t="shared" si="24"/>
        <v>10</v>
      </c>
      <c r="N68" s="33">
        <f t="shared" si="0"/>
        <v>0</v>
      </c>
      <c r="O68" s="34">
        <f t="shared" si="1"/>
        <v>374.87447631550441</v>
      </c>
      <c r="P68" s="55">
        <v>63</v>
      </c>
      <c r="Q68" s="33">
        <f t="shared" si="19"/>
        <v>24.699999999999996</v>
      </c>
      <c r="R68" s="33">
        <f t="shared" si="25"/>
        <v>569.40000000000009</v>
      </c>
      <c r="S68" s="33">
        <f t="shared" si="26"/>
        <v>261.92400000000004</v>
      </c>
      <c r="T68" s="33">
        <f t="shared" si="2"/>
        <v>63.132320859995644</v>
      </c>
      <c r="U68" s="33">
        <f t="shared" si="20"/>
        <v>70</v>
      </c>
      <c r="V68" s="33">
        <f t="shared" si="3"/>
        <v>10</v>
      </c>
      <c r="W68" s="33">
        <v>0</v>
      </c>
      <c r="X68" s="33">
        <f t="shared" si="4"/>
        <v>859.47309216449241</v>
      </c>
      <c r="Y68" s="38">
        <f t="shared" si="5"/>
        <v>484.598615848988</v>
      </c>
      <c r="AA68" s="71">
        <v>63</v>
      </c>
      <c r="AB68" s="33">
        <f t="shared" si="6"/>
        <v>0</v>
      </c>
      <c r="AC68" s="305">
        <f t="shared" si="7"/>
        <v>0</v>
      </c>
      <c r="AD68" s="100">
        <f t="shared" si="8"/>
        <v>0</v>
      </c>
      <c r="AE68" s="100">
        <f t="shared" si="9"/>
        <v>0</v>
      </c>
      <c r="AF68" s="194">
        <f t="shared" si="36"/>
        <v>45.955730778051155</v>
      </c>
      <c r="AG68" s="194">
        <f t="shared" si="37"/>
        <v>45.222484028669435</v>
      </c>
      <c r="AH68" s="194">
        <f t="shared" si="38"/>
        <v>1.8677390292085114</v>
      </c>
      <c r="AI68" s="199">
        <f t="shared" si="39"/>
        <v>93.045953835929097</v>
      </c>
      <c r="AK68" s="71">
        <v>63</v>
      </c>
      <c r="AL68" s="33">
        <f t="shared" si="10"/>
        <v>0</v>
      </c>
      <c r="AM68" s="33">
        <f t="shared" si="11"/>
        <v>0</v>
      </c>
      <c r="AN68" s="33">
        <f t="shared" si="12"/>
        <v>0</v>
      </c>
      <c r="AO68" s="33">
        <f t="shared" si="13"/>
        <v>0</v>
      </c>
      <c r="AP68" s="33">
        <f t="shared" si="14"/>
        <v>0</v>
      </c>
      <c r="AQ68" s="194">
        <f t="shared" si="40"/>
        <v>0</v>
      </c>
      <c r="AR68" s="194">
        <f t="shared" si="41"/>
        <v>0</v>
      </c>
      <c r="AS68" s="194">
        <f t="shared" si="42"/>
        <v>0</v>
      </c>
      <c r="AT68" s="194">
        <f t="shared" si="43"/>
        <v>0</v>
      </c>
      <c r="AU68" s="33"/>
      <c r="AV68" s="33"/>
      <c r="AW68" s="33"/>
      <c r="AX68" s="33"/>
      <c r="AY68" s="76"/>
    </row>
    <row r="69" spans="2:51" x14ac:dyDescent="0.3">
      <c r="B69" s="40"/>
      <c r="C69" s="152"/>
      <c r="D69" s="137"/>
      <c r="E69" s="141"/>
      <c r="F69" s="42"/>
      <c r="G69" s="51"/>
      <c r="I69" s="55">
        <v>64</v>
      </c>
      <c r="J69" s="33">
        <f t="shared" si="21"/>
        <v>36.480000000000011</v>
      </c>
      <c r="K69" s="33">
        <f t="shared" si="22"/>
        <v>11.060727996276549</v>
      </c>
      <c r="L69" s="33">
        <f t="shared" si="23"/>
        <v>70</v>
      </c>
      <c r="M69" s="33">
        <f t="shared" si="24"/>
        <v>10</v>
      </c>
      <c r="N69" s="33">
        <f t="shared" ref="N69:N132" si="44">IF(P70&lt;=$F$18,0,)</f>
        <v>0</v>
      </c>
      <c r="O69" s="34">
        <f t="shared" ref="O69:O132" si="45">((J69+K69)*0.475+L69+M69+N69)*44/12</f>
        <v>376.13343459351501</v>
      </c>
      <c r="P69" s="55">
        <v>64</v>
      </c>
      <c r="Q69" s="33">
        <f t="shared" si="19"/>
        <v>24.699999999999996</v>
      </c>
      <c r="R69" s="33">
        <f t="shared" si="25"/>
        <v>594.10000000000014</v>
      </c>
      <c r="S69" s="33">
        <f t="shared" si="26"/>
        <v>273.28600000000006</v>
      </c>
      <c r="T69" s="33">
        <f t="shared" ref="T69:T132" si="46">IF(S69=0,0,EXP(-1.0587+0.8836*LN(S69)+0.284))</f>
        <v>65.546149684229391</v>
      </c>
      <c r="U69" s="33">
        <f t="shared" si="20"/>
        <v>70</v>
      </c>
      <c r="V69" s="33">
        <f t="shared" ref="V69:V132" si="47">IF(P69&lt;=$F$18,IF(P69&lt;=30,P69*($F$16-$F$6)/30,$F$16-$F$6),)</f>
        <v>10</v>
      </c>
      <c r="W69" s="33">
        <v>0</v>
      </c>
      <c r="X69" s="33">
        <f t="shared" ref="X69:X132" si="48">((S69+T69)*0.475+U69+V69+W69)*44/12</f>
        <v>883.4659940333662</v>
      </c>
      <c r="Y69" s="38">
        <f t="shared" ref="Y69:Y132" si="49">IF(P69&lt;=$F$18,X69-O69,)</f>
        <v>507.3325594398512</v>
      </c>
      <c r="AA69" s="71">
        <v>64</v>
      </c>
      <c r="AB69" s="33">
        <f t="shared" ref="AB69:AB132" si="50">IF(AA69&lt;=$F$18,IFERROR(VLOOKUP($AA69,$B$82:$G$95,2,FALSE),0),)</f>
        <v>0</v>
      </c>
      <c r="AC69" s="305">
        <f t="shared" ref="AC69:AC132" si="51">IF(AA69&lt;=$F$18,IFERROR(VLOOKUP($AA69,$B$82:$G$95,3,FALSE),0),)*50%</f>
        <v>0</v>
      </c>
      <c r="AD69" s="100">
        <f t="shared" ref="AD69:AD132" si="52">IF(AA69&lt;=$F$18,IFERROR(VLOOKUP($AA69,$B$82:$G$95,4,FALSE),0),)</f>
        <v>0</v>
      </c>
      <c r="AE69" s="100">
        <f t="shared" ref="AE69:AE132" si="53">IF(AA69&lt;=$F$18,IFERROR(VLOOKUP($AA69,$B$82:$G$95,5,FALSE),0),)</f>
        <v>0</v>
      </c>
      <c r="AF69" s="194">
        <f t="shared" si="36"/>
        <v>45.054566927721588</v>
      </c>
      <c r="AG69" s="194">
        <f t="shared" si="37"/>
        <v>43.985872824758388</v>
      </c>
      <c r="AH69" s="194">
        <f t="shared" si="38"/>
        <v>1.3206909330401178</v>
      </c>
      <c r="AI69" s="199">
        <f t="shared" si="39"/>
        <v>90.361130685520095</v>
      </c>
      <c r="AK69" s="71">
        <v>64</v>
      </c>
      <c r="AL69" s="33">
        <f t="shared" ref="AL69:AL132" si="54">IF(AK69&lt;=$F$18,IFERROR(VLOOKUP($AA69,$B$82:$G$95,2,FALSE),0),)</f>
        <v>0</v>
      </c>
      <c r="AM69" s="33">
        <f t="shared" ref="AM69:AM132" si="55">IF(AK69&lt;=$F$18,IFERROR(VLOOKUP($AA69,$B$82:$G$95,3,FALSE),0),)</f>
        <v>0</v>
      </c>
      <c r="AN69" s="33">
        <f t="shared" ref="AN69:AN132" si="56">IF(AK69&lt;=$F$18,IFERROR(VLOOKUP($AA69,$B$82:$G$95,4,FALSE),0),)</f>
        <v>0</v>
      </c>
      <c r="AO69" s="33">
        <f t="shared" ref="AO69:AO132" si="57">IF(AK69&lt;=$F$18,IFERROR(VLOOKUP($AA69,$B$82:$G$95,5,FALSE),0),)</f>
        <v>0</v>
      </c>
      <c r="AP69" s="33">
        <f t="shared" ref="AP69:AP132" si="58">IF(AK69&lt;=$F$18,IFERROR(VLOOKUP($AA69,$B$82:$G$95,6,FALSE),0),)</f>
        <v>0</v>
      </c>
      <c r="AQ69" s="194">
        <f t="shared" si="40"/>
        <v>0</v>
      </c>
      <c r="AR69" s="194">
        <f t="shared" si="41"/>
        <v>0</v>
      </c>
      <c r="AS69" s="194">
        <f t="shared" si="42"/>
        <v>0</v>
      </c>
      <c r="AT69" s="194">
        <f t="shared" si="43"/>
        <v>0</v>
      </c>
      <c r="AU69" s="33"/>
      <c r="AV69" s="33"/>
      <c r="AW69" s="33"/>
      <c r="AX69" s="33"/>
      <c r="AY69" s="76"/>
    </row>
    <row r="70" spans="2:51" x14ac:dyDescent="0.3">
      <c r="B70" s="40"/>
      <c r="C70" s="152"/>
      <c r="D70" s="137"/>
      <c r="E70" s="141"/>
      <c r="F70" s="42"/>
      <c r="G70" s="51"/>
      <c r="I70" s="55">
        <v>65</v>
      </c>
      <c r="J70" s="33">
        <f t="shared" si="21"/>
        <v>37.050000000000011</v>
      </c>
      <c r="K70" s="33">
        <f t="shared" si="22"/>
        <v>11.213297104936025</v>
      </c>
      <c r="L70" s="33">
        <f t="shared" si="23"/>
        <v>70</v>
      </c>
      <c r="M70" s="33">
        <f t="shared" si="24"/>
        <v>10</v>
      </c>
      <c r="N70" s="33">
        <f t="shared" si="44"/>
        <v>0</v>
      </c>
      <c r="O70" s="34">
        <f t="shared" si="45"/>
        <v>377.39190912443024</v>
      </c>
      <c r="P70" s="55">
        <v>65</v>
      </c>
      <c r="Q70" s="33">
        <f t="shared" ref="Q70:Q133" si="59">IF(P70&lt;=$F$18,LOOKUP(P70-1,$B$25:$B$78,$G$25:$G$78),)</f>
        <v>24.699999999999996</v>
      </c>
      <c r="R70" s="33">
        <f t="shared" si="25"/>
        <v>618.80000000000018</v>
      </c>
      <c r="S70" s="33">
        <f t="shared" si="26"/>
        <v>284.64800000000008</v>
      </c>
      <c r="T70" s="33">
        <f t="shared" si="46"/>
        <v>67.948321729376303</v>
      </c>
      <c r="U70" s="33">
        <f t="shared" ref="U70:U133" si="60">IF(P70&lt;=$F$18,$F$5+($F$15-$F$5)*(1-EXP(-0.0175*P70)),)</f>
        <v>70</v>
      </c>
      <c r="V70" s="33">
        <f t="shared" si="47"/>
        <v>10</v>
      </c>
      <c r="W70" s="33">
        <v>0</v>
      </c>
      <c r="X70" s="33">
        <f t="shared" si="48"/>
        <v>907.43859367866378</v>
      </c>
      <c r="Y70" s="38">
        <f t="shared" si="49"/>
        <v>530.04668455423348</v>
      </c>
      <c r="AA70" s="71">
        <v>65</v>
      </c>
      <c r="AB70" s="33">
        <f t="shared" si="50"/>
        <v>0</v>
      </c>
      <c r="AC70" s="305">
        <f t="shared" si="51"/>
        <v>0</v>
      </c>
      <c r="AD70" s="100">
        <f t="shared" si="52"/>
        <v>0</v>
      </c>
      <c r="AE70" s="100">
        <f t="shared" si="53"/>
        <v>0</v>
      </c>
      <c r="AF70" s="194">
        <f t="shared" si="36"/>
        <v>44.171074350841309</v>
      </c>
      <c r="AG70" s="194">
        <f t="shared" si="37"/>
        <v>42.783076819248848</v>
      </c>
      <c r="AH70" s="194">
        <f t="shared" si="38"/>
        <v>0.93386951460425593</v>
      </c>
      <c r="AI70" s="199">
        <f t="shared" si="39"/>
        <v>87.888020684694411</v>
      </c>
      <c r="AK70" s="71">
        <v>65</v>
      </c>
      <c r="AL70" s="33">
        <f t="shared" si="54"/>
        <v>0</v>
      </c>
      <c r="AM70" s="33">
        <f t="shared" si="55"/>
        <v>0</v>
      </c>
      <c r="AN70" s="33">
        <f t="shared" si="56"/>
        <v>0</v>
      </c>
      <c r="AO70" s="33">
        <f t="shared" si="57"/>
        <v>0</v>
      </c>
      <c r="AP70" s="33">
        <f t="shared" si="58"/>
        <v>0</v>
      </c>
      <c r="AQ70" s="194">
        <f t="shared" si="40"/>
        <v>0</v>
      </c>
      <c r="AR70" s="194">
        <f t="shared" si="41"/>
        <v>0</v>
      </c>
      <c r="AS70" s="194">
        <f t="shared" si="42"/>
        <v>0</v>
      </c>
      <c r="AT70" s="194">
        <f t="shared" si="43"/>
        <v>0</v>
      </c>
      <c r="AU70" s="33"/>
      <c r="AV70" s="33"/>
      <c r="AW70" s="33"/>
      <c r="AX70" s="33"/>
      <c r="AY70" s="76"/>
    </row>
    <row r="71" spans="2:51" x14ac:dyDescent="0.3">
      <c r="B71" s="40"/>
      <c r="C71" s="152"/>
      <c r="D71" s="137"/>
      <c r="E71" s="141"/>
      <c r="F71" s="42"/>
      <c r="G71" s="51"/>
      <c r="I71" s="55">
        <v>66</v>
      </c>
      <c r="J71" s="33">
        <f t="shared" ref="J71:J134" si="61">IF($I71&lt;=$F$10,$F$11*$F$13+J70,)</f>
        <v>37.620000000000012</v>
      </c>
      <c r="K71" s="33">
        <f t="shared" ref="K71:K134" si="62">IF(J71=0,0,EXP(-1.0587+0.8836*LN(J71)+0.284))</f>
        <v>11.365593230631907</v>
      </c>
      <c r="L71" s="33">
        <f t="shared" ref="L71:L134" si="63">IF(I71&lt;=$F$10,$F$5+($F$8-$F$5)*(1-EXP(-0.0175*I71)),)</f>
        <v>70</v>
      </c>
      <c r="M71" s="33">
        <f t="shared" ref="M71:M134" si="64">IF(I71&lt;=$F$10,IF(I71&lt;=30,I71*($F$9-$F$6)/30,$F$9-$F$6),)</f>
        <v>10</v>
      </c>
      <c r="N71" s="33">
        <f t="shared" si="44"/>
        <v>0</v>
      </c>
      <c r="O71" s="34">
        <f t="shared" si="45"/>
        <v>378.64990821001726</v>
      </c>
      <c r="P71" s="55">
        <v>66</v>
      </c>
      <c r="Q71" s="33">
        <f t="shared" si="59"/>
        <v>24.699999999999996</v>
      </c>
      <c r="R71" s="33">
        <f t="shared" ref="R71:R134" si="65">IF(P71&lt;=$F$18,Q71+R70,)</f>
        <v>643.50000000000023</v>
      </c>
      <c r="S71" s="33">
        <f t="shared" ref="S71:S134" si="66">$F$19*R71</f>
        <v>296.0100000000001</v>
      </c>
      <c r="T71" s="33">
        <f t="shared" si="46"/>
        <v>70.339355522692216</v>
      </c>
      <c r="U71" s="33">
        <f t="shared" si="60"/>
        <v>70</v>
      </c>
      <c r="V71" s="33">
        <f t="shared" si="47"/>
        <v>10</v>
      </c>
      <c r="W71" s="33">
        <v>0</v>
      </c>
      <c r="X71" s="33">
        <f t="shared" si="48"/>
        <v>931.39179420202254</v>
      </c>
      <c r="Y71" s="38">
        <f t="shared" si="49"/>
        <v>552.74188599200534</v>
      </c>
      <c r="AA71" s="71">
        <v>66</v>
      </c>
      <c r="AB71" s="33">
        <f t="shared" si="50"/>
        <v>0</v>
      </c>
      <c r="AC71" s="305">
        <f t="shared" si="51"/>
        <v>0</v>
      </c>
      <c r="AD71" s="100">
        <f t="shared" si="52"/>
        <v>0</v>
      </c>
      <c r="AE71" s="100">
        <f t="shared" si="53"/>
        <v>0</v>
      </c>
      <c r="AF71" s="194">
        <f t="shared" si="36"/>
        <v>43.30490652451639</v>
      </c>
      <c r="AG71" s="194">
        <f t="shared" si="37"/>
        <v>41.61317133376226</v>
      </c>
      <c r="AH71" s="194">
        <f t="shared" si="38"/>
        <v>0.66034546652005899</v>
      </c>
      <c r="AI71" s="199">
        <f t="shared" si="39"/>
        <v>85.578423324798706</v>
      </c>
      <c r="AK71" s="71">
        <v>66</v>
      </c>
      <c r="AL71" s="33">
        <f t="shared" si="54"/>
        <v>0</v>
      </c>
      <c r="AM71" s="33">
        <f t="shared" si="55"/>
        <v>0</v>
      </c>
      <c r="AN71" s="33">
        <f t="shared" si="56"/>
        <v>0</v>
      </c>
      <c r="AO71" s="33">
        <f t="shared" si="57"/>
        <v>0</v>
      </c>
      <c r="AP71" s="33">
        <f t="shared" si="58"/>
        <v>0</v>
      </c>
      <c r="AQ71" s="194">
        <f t="shared" si="40"/>
        <v>0</v>
      </c>
      <c r="AR71" s="194">
        <f t="shared" si="41"/>
        <v>0</v>
      </c>
      <c r="AS71" s="194">
        <f t="shared" si="42"/>
        <v>0</v>
      </c>
      <c r="AT71" s="194">
        <f t="shared" si="43"/>
        <v>0</v>
      </c>
      <c r="AU71" s="33"/>
      <c r="AV71" s="33"/>
      <c r="AW71" s="33"/>
      <c r="AX71" s="33"/>
      <c r="AY71" s="76"/>
    </row>
    <row r="72" spans="2:51" x14ac:dyDescent="0.3">
      <c r="B72" s="40"/>
      <c r="C72" s="152"/>
      <c r="D72" s="137"/>
      <c r="E72" s="141"/>
      <c r="F72" s="42"/>
      <c r="G72" s="51"/>
      <c r="I72" s="55">
        <v>67</v>
      </c>
      <c r="J72" s="33">
        <f t="shared" si="61"/>
        <v>38.190000000000012</v>
      </c>
      <c r="K72" s="33">
        <f t="shared" si="62"/>
        <v>11.517620987198425</v>
      </c>
      <c r="L72" s="33">
        <f t="shared" si="63"/>
        <v>70</v>
      </c>
      <c r="M72" s="33">
        <f t="shared" si="64"/>
        <v>10</v>
      </c>
      <c r="N72" s="33">
        <f t="shared" si="44"/>
        <v>0</v>
      </c>
      <c r="O72" s="34">
        <f t="shared" si="45"/>
        <v>379.90743988603725</v>
      </c>
      <c r="P72" s="55">
        <v>67</v>
      </c>
      <c r="Q72" s="33">
        <f t="shared" si="59"/>
        <v>-84.5</v>
      </c>
      <c r="R72" s="33">
        <f t="shared" si="65"/>
        <v>559.00000000000023</v>
      </c>
      <c r="S72" s="33">
        <f t="shared" si="66"/>
        <v>257.1400000000001</v>
      </c>
      <c r="T72" s="33">
        <f t="shared" si="46"/>
        <v>62.112349635142238</v>
      </c>
      <c r="U72" s="33">
        <f t="shared" si="60"/>
        <v>70</v>
      </c>
      <c r="V72" s="33">
        <f t="shared" si="47"/>
        <v>10</v>
      </c>
      <c r="W72" s="33">
        <v>0</v>
      </c>
      <c r="X72" s="33">
        <f t="shared" si="48"/>
        <v>849.36450894787276</v>
      </c>
      <c r="Y72" s="38">
        <f t="shared" si="49"/>
        <v>469.45706906183551</v>
      </c>
      <c r="AA72" s="71">
        <v>67</v>
      </c>
      <c r="AB72" s="33">
        <f t="shared" si="50"/>
        <v>65</v>
      </c>
      <c r="AC72" s="305">
        <f t="shared" si="51"/>
        <v>0.4</v>
      </c>
      <c r="AD72" s="100">
        <f t="shared" si="52"/>
        <v>0.11199999999999999</v>
      </c>
      <c r="AE72" s="100">
        <f t="shared" si="53"/>
        <v>8.7999999999999981E-2</v>
      </c>
      <c r="AF72" s="194">
        <f t="shared" si="36"/>
        <v>63.081147874129471</v>
      </c>
      <c r="AG72" s="194">
        <f t="shared" si="37"/>
        <v>46.227636895125414</v>
      </c>
      <c r="AH72" s="194">
        <f t="shared" si="38"/>
        <v>4.3398032649292562</v>
      </c>
      <c r="AI72" s="199">
        <f t="shared" si="39"/>
        <v>113.64858803418414</v>
      </c>
      <c r="AK72" s="71">
        <v>67</v>
      </c>
      <c r="AL72" s="33">
        <f t="shared" si="54"/>
        <v>65</v>
      </c>
      <c r="AM72" s="33">
        <f t="shared" si="55"/>
        <v>0.8</v>
      </c>
      <c r="AN72" s="33">
        <f t="shared" si="56"/>
        <v>0.11199999999999999</v>
      </c>
      <c r="AO72" s="33">
        <f t="shared" si="57"/>
        <v>8.7999999999999981E-2</v>
      </c>
      <c r="AP72" s="33">
        <f t="shared" si="58"/>
        <v>0</v>
      </c>
      <c r="AQ72" s="194">
        <f t="shared" si="40"/>
        <v>52</v>
      </c>
      <c r="AR72" s="194">
        <f t="shared" si="41"/>
        <v>7.2799999999999994</v>
      </c>
      <c r="AS72" s="194">
        <f t="shared" si="42"/>
        <v>5.7199999999999989</v>
      </c>
      <c r="AT72" s="194">
        <f t="shared" si="43"/>
        <v>0</v>
      </c>
      <c r="AU72" s="33"/>
      <c r="AV72" s="33"/>
      <c r="AW72" s="33"/>
      <c r="AX72" s="33"/>
      <c r="AY72" s="76"/>
    </row>
    <row r="73" spans="2:51" x14ac:dyDescent="0.3">
      <c r="B73" s="40"/>
      <c r="C73" s="152"/>
      <c r="D73" s="137"/>
      <c r="E73" s="141"/>
      <c r="F73" s="42"/>
      <c r="G73" s="51"/>
      <c r="I73" s="55">
        <v>68</v>
      </c>
      <c r="J73" s="33">
        <f t="shared" si="61"/>
        <v>38.760000000000012</v>
      </c>
      <c r="K73" s="33">
        <f t="shared" si="62"/>
        <v>11.669384842838118</v>
      </c>
      <c r="L73" s="33">
        <f t="shared" si="63"/>
        <v>70</v>
      </c>
      <c r="M73" s="33">
        <f t="shared" si="64"/>
        <v>10</v>
      </c>
      <c r="N73" s="33">
        <f t="shared" si="44"/>
        <v>0</v>
      </c>
      <c r="O73" s="34">
        <f t="shared" si="45"/>
        <v>381.16451193460972</v>
      </c>
      <c r="P73" s="55">
        <v>68</v>
      </c>
      <c r="Q73" s="33">
        <f t="shared" si="59"/>
        <v>19.128571428571426</v>
      </c>
      <c r="R73" s="33">
        <f t="shared" si="65"/>
        <v>578.1285714285716</v>
      </c>
      <c r="S73" s="33">
        <f t="shared" si="66"/>
        <v>265.93914285714294</v>
      </c>
      <c r="T73" s="33">
        <f t="shared" si="46"/>
        <v>63.986694274177893</v>
      </c>
      <c r="U73" s="33">
        <f t="shared" si="60"/>
        <v>70</v>
      </c>
      <c r="V73" s="33">
        <f t="shared" si="47"/>
        <v>10</v>
      </c>
      <c r="W73" s="33">
        <v>0</v>
      </c>
      <c r="X73" s="33">
        <f t="shared" si="48"/>
        <v>867.95416633705042</v>
      </c>
      <c r="Y73" s="38">
        <f t="shared" si="49"/>
        <v>486.7896544024407</v>
      </c>
      <c r="AA73" s="71">
        <v>68</v>
      </c>
      <c r="AB73" s="33">
        <f t="shared" si="50"/>
        <v>0</v>
      </c>
      <c r="AC73" s="305">
        <f t="shared" si="51"/>
        <v>0</v>
      </c>
      <c r="AD73" s="100">
        <f t="shared" si="52"/>
        <v>0</v>
      </c>
      <c r="AE73" s="100">
        <f t="shared" si="53"/>
        <v>0</v>
      </c>
      <c r="AF73" s="194">
        <f t="shared" si="36"/>
        <v>61.844165040018837</v>
      </c>
      <c r="AG73" s="194">
        <f t="shared" si="37"/>
        <v>44.96353973322244</v>
      </c>
      <c r="AH73" s="194">
        <f t="shared" si="38"/>
        <v>3.0687043176469961</v>
      </c>
      <c r="AI73" s="199">
        <f t="shared" si="39"/>
        <v>109.87640909088827</v>
      </c>
      <c r="AK73" s="71">
        <v>68</v>
      </c>
      <c r="AL73" s="33">
        <f t="shared" si="54"/>
        <v>0</v>
      </c>
      <c r="AM73" s="33">
        <f t="shared" si="55"/>
        <v>0</v>
      </c>
      <c r="AN73" s="33">
        <f t="shared" si="56"/>
        <v>0</v>
      </c>
      <c r="AO73" s="33">
        <f t="shared" si="57"/>
        <v>0</v>
      </c>
      <c r="AP73" s="33">
        <f t="shared" si="58"/>
        <v>0</v>
      </c>
      <c r="AQ73" s="194">
        <f t="shared" si="40"/>
        <v>0</v>
      </c>
      <c r="AR73" s="194">
        <f t="shared" si="41"/>
        <v>0</v>
      </c>
      <c r="AS73" s="194">
        <f t="shared" si="42"/>
        <v>0</v>
      </c>
      <c r="AT73" s="194">
        <f t="shared" si="43"/>
        <v>0</v>
      </c>
      <c r="AU73" s="33"/>
      <c r="AV73" s="33"/>
      <c r="AW73" s="33"/>
      <c r="AX73" s="33"/>
      <c r="AY73" s="76"/>
    </row>
    <row r="74" spans="2:51" x14ac:dyDescent="0.3">
      <c r="B74" s="40"/>
      <c r="C74" s="152"/>
      <c r="D74" s="137"/>
      <c r="E74" s="141"/>
      <c r="F74" s="42"/>
      <c r="G74" s="51"/>
      <c r="I74" s="55">
        <v>69</v>
      </c>
      <c r="J74" s="33">
        <f t="shared" si="61"/>
        <v>39.330000000000013</v>
      </c>
      <c r="K74" s="33">
        <f t="shared" si="62"/>
        <v>11.820889126791316</v>
      </c>
      <c r="L74" s="33">
        <f t="shared" si="63"/>
        <v>70</v>
      </c>
      <c r="M74" s="33">
        <f t="shared" si="64"/>
        <v>10</v>
      </c>
      <c r="N74" s="33">
        <f t="shared" si="44"/>
        <v>0</v>
      </c>
      <c r="O74" s="34">
        <f t="shared" si="45"/>
        <v>382.42113189582824</v>
      </c>
      <c r="P74" s="55">
        <v>69</v>
      </c>
      <c r="Q74" s="33">
        <f t="shared" si="59"/>
        <v>19.128571428571426</v>
      </c>
      <c r="R74" s="33">
        <f t="shared" si="65"/>
        <v>597.25714285714298</v>
      </c>
      <c r="S74" s="33">
        <f t="shared" si="66"/>
        <v>274.73828571428578</v>
      </c>
      <c r="T74" s="33">
        <f t="shared" si="46"/>
        <v>65.853832681602938</v>
      </c>
      <c r="U74" s="33">
        <f t="shared" si="60"/>
        <v>70</v>
      </c>
      <c r="V74" s="33">
        <f t="shared" si="47"/>
        <v>10</v>
      </c>
      <c r="W74" s="33">
        <v>0</v>
      </c>
      <c r="X74" s="33">
        <f t="shared" si="48"/>
        <v>886.53127287283951</v>
      </c>
      <c r="Y74" s="38">
        <f t="shared" si="49"/>
        <v>504.11014097701127</v>
      </c>
      <c r="AA74" s="71">
        <v>69</v>
      </c>
      <c r="AB74" s="33">
        <f t="shared" si="50"/>
        <v>0</v>
      </c>
      <c r="AC74" s="305">
        <f t="shared" si="51"/>
        <v>0</v>
      </c>
      <c r="AD74" s="100">
        <f t="shared" si="52"/>
        <v>0</v>
      </c>
      <c r="AE74" s="100">
        <f t="shared" si="53"/>
        <v>0</v>
      </c>
      <c r="AF74" s="194">
        <f t="shared" si="36"/>
        <v>60.631438684800081</v>
      </c>
      <c r="AG74" s="194">
        <f t="shared" si="37"/>
        <v>43.73400937468768</v>
      </c>
      <c r="AH74" s="194">
        <f t="shared" si="38"/>
        <v>2.1699016324646281</v>
      </c>
      <c r="AI74" s="199">
        <f t="shared" si="39"/>
        <v>106.53534969195239</v>
      </c>
      <c r="AK74" s="71">
        <v>69</v>
      </c>
      <c r="AL74" s="33">
        <f t="shared" si="54"/>
        <v>0</v>
      </c>
      <c r="AM74" s="33">
        <f t="shared" si="55"/>
        <v>0</v>
      </c>
      <c r="AN74" s="33">
        <f t="shared" si="56"/>
        <v>0</v>
      </c>
      <c r="AO74" s="33">
        <f t="shared" si="57"/>
        <v>0</v>
      </c>
      <c r="AP74" s="33">
        <f t="shared" si="58"/>
        <v>0</v>
      </c>
      <c r="AQ74" s="194">
        <f t="shared" si="40"/>
        <v>0</v>
      </c>
      <c r="AR74" s="194">
        <f t="shared" si="41"/>
        <v>0</v>
      </c>
      <c r="AS74" s="194">
        <f t="shared" si="42"/>
        <v>0</v>
      </c>
      <c r="AT74" s="194">
        <f t="shared" si="43"/>
        <v>0</v>
      </c>
      <c r="AU74" s="33"/>
      <c r="AV74" s="33"/>
      <c r="AW74" s="33"/>
      <c r="AX74" s="33"/>
      <c r="AY74" s="76"/>
    </row>
    <row r="75" spans="2:51" x14ac:dyDescent="0.3">
      <c r="B75" s="40"/>
      <c r="C75" s="152"/>
      <c r="D75" s="137"/>
      <c r="E75" s="141"/>
      <c r="F75" s="42"/>
      <c r="G75" s="51"/>
      <c r="I75" s="55">
        <v>70</v>
      </c>
      <c r="J75" s="33">
        <f t="shared" si="61"/>
        <v>39.900000000000013</v>
      </c>
      <c r="K75" s="33">
        <f t="shared" si="62"/>
        <v>11.97213803560796</v>
      </c>
      <c r="L75" s="33">
        <f t="shared" si="63"/>
        <v>70</v>
      </c>
      <c r="M75" s="33">
        <f t="shared" si="64"/>
        <v>10</v>
      </c>
      <c r="N75" s="33">
        <f t="shared" si="44"/>
        <v>0</v>
      </c>
      <c r="O75" s="34">
        <f t="shared" si="45"/>
        <v>383.6773070786839</v>
      </c>
      <c r="P75" s="55">
        <v>70</v>
      </c>
      <c r="Q75" s="33">
        <f t="shared" si="59"/>
        <v>19.128571428571426</v>
      </c>
      <c r="R75" s="33">
        <f t="shared" si="65"/>
        <v>616.38571428571436</v>
      </c>
      <c r="S75" s="33">
        <f t="shared" si="66"/>
        <v>283.53742857142862</v>
      </c>
      <c r="T75" s="33">
        <f t="shared" si="46"/>
        <v>67.714022128334662</v>
      </c>
      <c r="U75" s="33">
        <f t="shared" si="60"/>
        <v>70</v>
      </c>
      <c r="V75" s="33">
        <f t="shared" si="47"/>
        <v>10</v>
      </c>
      <c r="W75" s="33">
        <v>0</v>
      </c>
      <c r="X75" s="33">
        <f t="shared" si="48"/>
        <v>905.09627663542096</v>
      </c>
      <c r="Y75" s="38">
        <f t="shared" si="49"/>
        <v>521.41896955673701</v>
      </c>
      <c r="AA75" s="71">
        <v>70</v>
      </c>
      <c r="AB75" s="33">
        <f t="shared" si="50"/>
        <v>430</v>
      </c>
      <c r="AC75" s="305">
        <f t="shared" si="51"/>
        <v>0.45</v>
      </c>
      <c r="AD75" s="100">
        <f t="shared" si="52"/>
        <v>5.5999999999999994E-2</v>
      </c>
      <c r="AE75" s="100">
        <f t="shared" si="53"/>
        <v>4.3999999999999991E-2</v>
      </c>
      <c r="AF75" s="194">
        <f t="shared" si="36"/>
        <v>212.94324598599263</v>
      </c>
      <c r="AG75" s="194">
        <f t="shared" si="37"/>
        <v>61.565203400198911</v>
      </c>
      <c r="AH75" s="194">
        <f t="shared" si="38"/>
        <v>14.344609530205535</v>
      </c>
      <c r="AI75" s="199">
        <f t="shared" si="39"/>
        <v>288.85305891639712</v>
      </c>
      <c r="AK75" s="71">
        <v>70</v>
      </c>
      <c r="AL75" s="33">
        <f t="shared" si="54"/>
        <v>430</v>
      </c>
      <c r="AM75" s="33">
        <f t="shared" si="55"/>
        <v>0.9</v>
      </c>
      <c r="AN75" s="33">
        <f t="shared" si="56"/>
        <v>5.5999999999999994E-2</v>
      </c>
      <c r="AO75" s="33">
        <f t="shared" si="57"/>
        <v>4.3999999999999991E-2</v>
      </c>
      <c r="AP75" s="33">
        <f t="shared" si="58"/>
        <v>0</v>
      </c>
      <c r="AQ75" s="194">
        <f t="shared" si="40"/>
        <v>387</v>
      </c>
      <c r="AR75" s="194">
        <f t="shared" si="41"/>
        <v>24.08</v>
      </c>
      <c r="AS75" s="194">
        <f t="shared" si="42"/>
        <v>18.919999999999995</v>
      </c>
      <c r="AT75" s="194">
        <f t="shared" si="43"/>
        <v>0</v>
      </c>
      <c r="AU75" s="33"/>
      <c r="AV75" s="33"/>
      <c r="AW75" s="33"/>
      <c r="AX75" s="33"/>
      <c r="AY75" s="76"/>
    </row>
    <row r="76" spans="2:51" x14ac:dyDescent="0.3">
      <c r="B76" s="40"/>
      <c r="C76" s="152"/>
      <c r="D76" s="137"/>
      <c r="E76" s="141"/>
      <c r="F76" s="42"/>
      <c r="G76" s="51"/>
      <c r="I76" s="55">
        <v>71</v>
      </c>
      <c r="J76" s="33">
        <f t="shared" si="61"/>
        <v>0</v>
      </c>
      <c r="K76" s="33">
        <f t="shared" si="62"/>
        <v>0</v>
      </c>
      <c r="L76" s="33">
        <f t="shared" si="63"/>
        <v>0</v>
      </c>
      <c r="M76" s="33">
        <f t="shared" si="64"/>
        <v>0</v>
      </c>
      <c r="N76" s="33">
        <f t="shared" si="44"/>
        <v>0</v>
      </c>
      <c r="O76" s="34">
        <f t="shared" si="45"/>
        <v>0</v>
      </c>
      <c r="P76" s="55">
        <v>71</v>
      </c>
      <c r="Q76" s="33">
        <f t="shared" si="59"/>
        <v>0</v>
      </c>
      <c r="R76" s="33">
        <f t="shared" si="65"/>
        <v>0</v>
      </c>
      <c r="S76" s="33">
        <f t="shared" si="66"/>
        <v>0</v>
      </c>
      <c r="T76" s="33">
        <f t="shared" si="46"/>
        <v>0</v>
      </c>
      <c r="U76" s="33">
        <f t="shared" si="60"/>
        <v>0</v>
      </c>
      <c r="V76" s="33">
        <f t="shared" si="47"/>
        <v>0</v>
      </c>
      <c r="W76" s="33">
        <v>0</v>
      </c>
      <c r="X76" s="33">
        <f t="shared" si="48"/>
        <v>0</v>
      </c>
      <c r="Y76" s="38">
        <f t="shared" si="49"/>
        <v>0</v>
      </c>
      <c r="AA76" s="71">
        <v>71</v>
      </c>
      <c r="AB76" s="33">
        <f t="shared" si="50"/>
        <v>0</v>
      </c>
      <c r="AC76" s="305">
        <f t="shared" si="51"/>
        <v>0</v>
      </c>
      <c r="AD76" s="100">
        <f t="shared" si="52"/>
        <v>0</v>
      </c>
      <c r="AE76" s="100">
        <f t="shared" si="53"/>
        <v>0</v>
      </c>
      <c r="AF76" s="194">
        <f t="shared" si="36"/>
        <v>0</v>
      </c>
      <c r="AG76" s="194">
        <f t="shared" si="37"/>
        <v>0</v>
      </c>
      <c r="AH76" s="194">
        <f t="shared" si="38"/>
        <v>0</v>
      </c>
      <c r="AI76" s="199">
        <f t="shared" si="39"/>
        <v>0</v>
      </c>
      <c r="AK76" s="71">
        <v>71</v>
      </c>
      <c r="AL76" s="33">
        <f t="shared" si="54"/>
        <v>0</v>
      </c>
      <c r="AM76" s="33">
        <f t="shared" si="55"/>
        <v>0</v>
      </c>
      <c r="AN76" s="33">
        <f t="shared" si="56"/>
        <v>0</v>
      </c>
      <c r="AO76" s="33">
        <f t="shared" si="57"/>
        <v>0</v>
      </c>
      <c r="AP76" s="33">
        <f t="shared" si="58"/>
        <v>0</v>
      </c>
      <c r="AQ76" s="194">
        <f t="shared" si="40"/>
        <v>0</v>
      </c>
      <c r="AR76" s="194">
        <f t="shared" si="41"/>
        <v>0</v>
      </c>
      <c r="AS76" s="194">
        <f t="shared" si="42"/>
        <v>0</v>
      </c>
      <c r="AT76" s="194">
        <f t="shared" si="43"/>
        <v>0</v>
      </c>
      <c r="AU76" s="33"/>
      <c r="AV76" s="33"/>
      <c r="AW76" s="33"/>
      <c r="AX76" s="33"/>
      <c r="AY76" s="76"/>
    </row>
    <row r="77" spans="2:51" x14ac:dyDescent="0.3">
      <c r="B77" s="40"/>
      <c r="C77" s="152"/>
      <c r="D77" s="137"/>
      <c r="E77" s="141"/>
      <c r="F77" s="42"/>
      <c r="G77" s="51"/>
      <c r="I77" s="55">
        <v>72</v>
      </c>
      <c r="J77" s="33">
        <f t="shared" si="61"/>
        <v>0</v>
      </c>
      <c r="K77" s="33">
        <f t="shared" si="62"/>
        <v>0</v>
      </c>
      <c r="L77" s="33">
        <f t="shared" si="63"/>
        <v>0</v>
      </c>
      <c r="M77" s="33">
        <f t="shared" si="64"/>
        <v>0</v>
      </c>
      <c r="N77" s="33">
        <f t="shared" si="44"/>
        <v>0</v>
      </c>
      <c r="O77" s="34">
        <f t="shared" si="45"/>
        <v>0</v>
      </c>
      <c r="P77" s="55">
        <v>72</v>
      </c>
      <c r="Q77" s="33">
        <f t="shared" si="59"/>
        <v>0</v>
      </c>
      <c r="R77" s="33">
        <f t="shared" si="65"/>
        <v>0</v>
      </c>
      <c r="S77" s="33">
        <f t="shared" si="66"/>
        <v>0</v>
      </c>
      <c r="T77" s="33">
        <f t="shared" si="46"/>
        <v>0</v>
      </c>
      <c r="U77" s="33">
        <f t="shared" si="60"/>
        <v>0</v>
      </c>
      <c r="V77" s="33">
        <f t="shared" si="47"/>
        <v>0</v>
      </c>
      <c r="W77" s="33">
        <v>0</v>
      </c>
      <c r="X77" s="33">
        <f t="shared" si="48"/>
        <v>0</v>
      </c>
      <c r="Y77" s="38">
        <f t="shared" si="49"/>
        <v>0</v>
      </c>
      <c r="AA77" s="71">
        <v>72</v>
      </c>
      <c r="AB77" s="33">
        <f t="shared" si="50"/>
        <v>0</v>
      </c>
      <c r="AC77" s="305">
        <f t="shared" si="51"/>
        <v>0</v>
      </c>
      <c r="AD77" s="100">
        <f t="shared" si="52"/>
        <v>0</v>
      </c>
      <c r="AE77" s="100">
        <f t="shared" si="53"/>
        <v>0</v>
      </c>
      <c r="AF77" s="194">
        <f t="shared" si="36"/>
        <v>0</v>
      </c>
      <c r="AG77" s="194">
        <f t="shared" si="37"/>
        <v>0</v>
      </c>
      <c r="AH77" s="194">
        <f t="shared" si="38"/>
        <v>0</v>
      </c>
      <c r="AI77" s="199">
        <f t="shared" si="39"/>
        <v>0</v>
      </c>
      <c r="AK77" s="71">
        <v>72</v>
      </c>
      <c r="AL77" s="33">
        <f t="shared" si="54"/>
        <v>0</v>
      </c>
      <c r="AM77" s="33">
        <f t="shared" si="55"/>
        <v>0</v>
      </c>
      <c r="AN77" s="33">
        <f t="shared" si="56"/>
        <v>0</v>
      </c>
      <c r="AO77" s="33">
        <f t="shared" si="57"/>
        <v>0</v>
      </c>
      <c r="AP77" s="33">
        <f t="shared" si="58"/>
        <v>0</v>
      </c>
      <c r="AQ77" s="194">
        <f t="shared" si="40"/>
        <v>0</v>
      </c>
      <c r="AR77" s="194">
        <f t="shared" si="41"/>
        <v>0</v>
      </c>
      <c r="AS77" s="194">
        <f t="shared" si="42"/>
        <v>0</v>
      </c>
      <c r="AT77" s="194">
        <f t="shared" si="43"/>
        <v>0</v>
      </c>
      <c r="AU77" s="33"/>
      <c r="AV77" s="33"/>
      <c r="AW77" s="33"/>
      <c r="AX77" s="33"/>
      <c r="AY77" s="76"/>
    </row>
    <row r="78" spans="2:51" x14ac:dyDescent="0.3">
      <c r="B78" s="43"/>
      <c r="C78" s="153"/>
      <c r="D78" s="154"/>
      <c r="E78" s="141"/>
      <c r="F78" s="42"/>
      <c r="G78" s="51"/>
      <c r="I78" s="55">
        <v>73</v>
      </c>
      <c r="J78" s="33">
        <f t="shared" si="61"/>
        <v>0</v>
      </c>
      <c r="K78" s="33">
        <f t="shared" si="62"/>
        <v>0</v>
      </c>
      <c r="L78" s="33">
        <f t="shared" si="63"/>
        <v>0</v>
      </c>
      <c r="M78" s="33">
        <f t="shared" si="64"/>
        <v>0</v>
      </c>
      <c r="N78" s="33">
        <f t="shared" si="44"/>
        <v>0</v>
      </c>
      <c r="O78" s="34">
        <f t="shared" si="45"/>
        <v>0</v>
      </c>
      <c r="P78" s="55">
        <v>73</v>
      </c>
      <c r="Q78" s="33">
        <f t="shared" si="59"/>
        <v>0</v>
      </c>
      <c r="R78" s="33">
        <f t="shared" si="65"/>
        <v>0</v>
      </c>
      <c r="S78" s="33">
        <f t="shared" si="66"/>
        <v>0</v>
      </c>
      <c r="T78" s="33">
        <f t="shared" si="46"/>
        <v>0</v>
      </c>
      <c r="U78" s="33">
        <f t="shared" si="60"/>
        <v>0</v>
      </c>
      <c r="V78" s="33">
        <f t="shared" si="47"/>
        <v>0</v>
      </c>
      <c r="W78" s="33">
        <v>0</v>
      </c>
      <c r="X78" s="33">
        <f t="shared" si="48"/>
        <v>0</v>
      </c>
      <c r="Y78" s="38">
        <f t="shared" si="49"/>
        <v>0</v>
      </c>
      <c r="AA78" s="71">
        <v>73</v>
      </c>
      <c r="AB78" s="33">
        <f t="shared" si="50"/>
        <v>0</v>
      </c>
      <c r="AC78" s="305">
        <f t="shared" si="51"/>
        <v>0</v>
      </c>
      <c r="AD78" s="100">
        <f t="shared" si="52"/>
        <v>0</v>
      </c>
      <c r="AE78" s="100">
        <f t="shared" si="53"/>
        <v>0</v>
      </c>
      <c r="AF78" s="194">
        <f t="shared" si="36"/>
        <v>0</v>
      </c>
      <c r="AG78" s="194">
        <f t="shared" si="37"/>
        <v>0</v>
      </c>
      <c r="AH78" s="194">
        <f t="shared" si="38"/>
        <v>0</v>
      </c>
      <c r="AI78" s="199">
        <f t="shared" si="39"/>
        <v>0</v>
      </c>
      <c r="AK78" s="71">
        <v>73</v>
      </c>
      <c r="AL78" s="33">
        <f t="shared" si="54"/>
        <v>0</v>
      </c>
      <c r="AM78" s="33">
        <f t="shared" si="55"/>
        <v>0</v>
      </c>
      <c r="AN78" s="33">
        <f t="shared" si="56"/>
        <v>0</v>
      </c>
      <c r="AO78" s="33">
        <f t="shared" si="57"/>
        <v>0</v>
      </c>
      <c r="AP78" s="33">
        <f t="shared" si="58"/>
        <v>0</v>
      </c>
      <c r="AQ78" s="194">
        <f t="shared" si="40"/>
        <v>0</v>
      </c>
      <c r="AR78" s="194">
        <f t="shared" si="41"/>
        <v>0</v>
      </c>
      <c r="AS78" s="194">
        <f t="shared" si="42"/>
        <v>0</v>
      </c>
      <c r="AT78" s="194">
        <f t="shared" si="43"/>
        <v>0</v>
      </c>
      <c r="AU78" s="33"/>
      <c r="AV78" s="33"/>
      <c r="AW78" s="33"/>
      <c r="AX78" s="33"/>
      <c r="AY78" s="76"/>
    </row>
    <row r="79" spans="2:51" x14ac:dyDescent="0.3">
      <c r="I79" s="55">
        <v>74</v>
      </c>
      <c r="J79" s="33">
        <f t="shared" si="61"/>
        <v>0</v>
      </c>
      <c r="K79" s="33">
        <f t="shared" si="62"/>
        <v>0</v>
      </c>
      <c r="L79" s="33">
        <f t="shared" si="63"/>
        <v>0</v>
      </c>
      <c r="M79" s="33">
        <f t="shared" si="64"/>
        <v>0</v>
      </c>
      <c r="N79" s="33">
        <f t="shared" si="44"/>
        <v>0</v>
      </c>
      <c r="O79" s="34">
        <f t="shared" si="45"/>
        <v>0</v>
      </c>
      <c r="P79" s="55">
        <v>74</v>
      </c>
      <c r="Q79" s="33">
        <f t="shared" si="59"/>
        <v>0</v>
      </c>
      <c r="R79" s="33">
        <f t="shared" si="65"/>
        <v>0</v>
      </c>
      <c r="S79" s="33">
        <f t="shared" si="66"/>
        <v>0</v>
      </c>
      <c r="T79" s="33">
        <f t="shared" si="46"/>
        <v>0</v>
      </c>
      <c r="U79" s="33">
        <f t="shared" si="60"/>
        <v>0</v>
      </c>
      <c r="V79" s="33">
        <f t="shared" si="47"/>
        <v>0</v>
      </c>
      <c r="W79" s="33">
        <v>0</v>
      </c>
      <c r="X79" s="33">
        <f t="shared" si="48"/>
        <v>0</v>
      </c>
      <c r="Y79" s="38">
        <f t="shared" si="49"/>
        <v>0</v>
      </c>
      <c r="AA79" s="71">
        <v>74</v>
      </c>
      <c r="AB79" s="33">
        <f t="shared" si="50"/>
        <v>0</v>
      </c>
      <c r="AC79" s="305">
        <f t="shared" si="51"/>
        <v>0</v>
      </c>
      <c r="AD79" s="100">
        <f t="shared" si="52"/>
        <v>0</v>
      </c>
      <c r="AE79" s="100">
        <f t="shared" si="53"/>
        <v>0</v>
      </c>
      <c r="AF79" s="194">
        <f t="shared" si="36"/>
        <v>0</v>
      </c>
      <c r="AG79" s="194">
        <f t="shared" si="37"/>
        <v>0</v>
      </c>
      <c r="AH79" s="194">
        <f t="shared" si="38"/>
        <v>0</v>
      </c>
      <c r="AI79" s="199">
        <f t="shared" si="39"/>
        <v>0</v>
      </c>
      <c r="AK79" s="71">
        <v>74</v>
      </c>
      <c r="AL79" s="33">
        <f t="shared" si="54"/>
        <v>0</v>
      </c>
      <c r="AM79" s="33">
        <f t="shared" si="55"/>
        <v>0</v>
      </c>
      <c r="AN79" s="33">
        <f t="shared" si="56"/>
        <v>0</v>
      </c>
      <c r="AO79" s="33">
        <f t="shared" si="57"/>
        <v>0</v>
      </c>
      <c r="AP79" s="33">
        <f t="shared" si="58"/>
        <v>0</v>
      </c>
      <c r="AQ79" s="194">
        <f t="shared" si="40"/>
        <v>0</v>
      </c>
      <c r="AR79" s="194">
        <f t="shared" si="41"/>
        <v>0</v>
      </c>
      <c r="AS79" s="194">
        <f t="shared" si="42"/>
        <v>0</v>
      </c>
      <c r="AT79" s="194">
        <f t="shared" si="43"/>
        <v>0</v>
      </c>
      <c r="AU79" s="33"/>
      <c r="AV79" s="33"/>
      <c r="AW79" s="33"/>
      <c r="AX79" s="33"/>
      <c r="AY79" s="76"/>
    </row>
    <row r="80" spans="2:51" x14ac:dyDescent="0.3">
      <c r="B80" s="356" t="s">
        <v>259</v>
      </c>
      <c r="C80" s="357"/>
      <c r="D80" s="357"/>
      <c r="E80" s="357"/>
      <c r="F80" s="357"/>
      <c r="G80" s="358"/>
      <c r="H80" s="23"/>
      <c r="I80" s="55">
        <v>75</v>
      </c>
      <c r="J80" s="33">
        <f t="shared" si="61"/>
        <v>0</v>
      </c>
      <c r="K80" s="33">
        <f t="shared" si="62"/>
        <v>0</v>
      </c>
      <c r="L80" s="33">
        <f t="shared" si="63"/>
        <v>0</v>
      </c>
      <c r="M80" s="33">
        <f t="shared" si="64"/>
        <v>0</v>
      </c>
      <c r="N80" s="33">
        <f t="shared" si="44"/>
        <v>0</v>
      </c>
      <c r="O80" s="34">
        <f t="shared" si="45"/>
        <v>0</v>
      </c>
      <c r="P80" s="55">
        <v>75</v>
      </c>
      <c r="Q80" s="33">
        <f t="shared" si="59"/>
        <v>0</v>
      </c>
      <c r="R80" s="33">
        <f t="shared" si="65"/>
        <v>0</v>
      </c>
      <c r="S80" s="33">
        <f t="shared" si="66"/>
        <v>0</v>
      </c>
      <c r="T80" s="33">
        <f t="shared" si="46"/>
        <v>0</v>
      </c>
      <c r="U80" s="33">
        <f t="shared" si="60"/>
        <v>0</v>
      </c>
      <c r="V80" s="33">
        <f t="shared" si="47"/>
        <v>0</v>
      </c>
      <c r="W80" s="33">
        <v>0</v>
      </c>
      <c r="X80" s="33">
        <f t="shared" si="48"/>
        <v>0</v>
      </c>
      <c r="Y80" s="38">
        <f t="shared" si="49"/>
        <v>0</v>
      </c>
      <c r="AA80" s="71">
        <v>75</v>
      </c>
      <c r="AB80" s="33">
        <f t="shared" si="50"/>
        <v>0</v>
      </c>
      <c r="AC80" s="305">
        <f t="shared" si="51"/>
        <v>0</v>
      </c>
      <c r="AD80" s="100">
        <f t="shared" si="52"/>
        <v>0</v>
      </c>
      <c r="AE80" s="100">
        <f t="shared" si="53"/>
        <v>0</v>
      </c>
      <c r="AF80" s="194">
        <f t="shared" si="36"/>
        <v>0</v>
      </c>
      <c r="AG80" s="194">
        <f t="shared" si="37"/>
        <v>0</v>
      </c>
      <c r="AH80" s="194">
        <f t="shared" si="38"/>
        <v>0</v>
      </c>
      <c r="AI80" s="199">
        <f t="shared" si="39"/>
        <v>0</v>
      </c>
      <c r="AK80" s="71">
        <v>75</v>
      </c>
      <c r="AL80" s="33">
        <f t="shared" si="54"/>
        <v>0</v>
      </c>
      <c r="AM80" s="33">
        <f t="shared" si="55"/>
        <v>0</v>
      </c>
      <c r="AN80" s="33">
        <f t="shared" si="56"/>
        <v>0</v>
      </c>
      <c r="AO80" s="33">
        <f t="shared" si="57"/>
        <v>0</v>
      </c>
      <c r="AP80" s="33">
        <f t="shared" si="58"/>
        <v>0</v>
      </c>
      <c r="AQ80" s="194">
        <f t="shared" si="40"/>
        <v>0</v>
      </c>
      <c r="AR80" s="194">
        <f t="shared" si="41"/>
        <v>0</v>
      </c>
      <c r="AS80" s="194">
        <f t="shared" si="42"/>
        <v>0</v>
      </c>
      <c r="AT80" s="194">
        <f t="shared" si="43"/>
        <v>0</v>
      </c>
      <c r="AU80" s="33"/>
      <c r="AV80" s="33"/>
      <c r="AW80" s="33"/>
      <c r="AX80" s="33"/>
      <c r="AY80" s="76"/>
    </row>
    <row r="81" spans="2:51" x14ac:dyDescent="0.3">
      <c r="B81" s="156" t="s">
        <v>76</v>
      </c>
      <c r="C81" s="132" t="s">
        <v>156</v>
      </c>
      <c r="D81" s="130" t="s">
        <v>78</v>
      </c>
      <c r="E81" s="130" t="s">
        <v>81</v>
      </c>
      <c r="F81" s="130" t="s">
        <v>80</v>
      </c>
      <c r="G81" s="131" t="s">
        <v>79</v>
      </c>
      <c r="H81" s="57"/>
      <c r="I81" s="55">
        <v>76</v>
      </c>
      <c r="J81" s="33">
        <f t="shared" si="61"/>
        <v>0</v>
      </c>
      <c r="K81" s="33">
        <f t="shared" si="62"/>
        <v>0</v>
      </c>
      <c r="L81" s="33">
        <f t="shared" si="63"/>
        <v>0</v>
      </c>
      <c r="M81" s="33">
        <f t="shared" si="64"/>
        <v>0</v>
      </c>
      <c r="N81" s="33">
        <f t="shared" si="44"/>
        <v>0</v>
      </c>
      <c r="O81" s="34">
        <f t="shared" si="45"/>
        <v>0</v>
      </c>
      <c r="P81" s="55">
        <v>76</v>
      </c>
      <c r="Q81" s="33">
        <f t="shared" si="59"/>
        <v>0</v>
      </c>
      <c r="R81" s="33">
        <f t="shared" si="65"/>
        <v>0</v>
      </c>
      <c r="S81" s="33">
        <f t="shared" si="66"/>
        <v>0</v>
      </c>
      <c r="T81" s="33">
        <f t="shared" si="46"/>
        <v>0</v>
      </c>
      <c r="U81" s="33">
        <f t="shared" si="60"/>
        <v>0</v>
      </c>
      <c r="V81" s="33">
        <f t="shared" si="47"/>
        <v>0</v>
      </c>
      <c r="W81" s="33">
        <v>0</v>
      </c>
      <c r="X81" s="33">
        <f t="shared" si="48"/>
        <v>0</v>
      </c>
      <c r="Y81" s="38">
        <f t="shared" si="49"/>
        <v>0</v>
      </c>
      <c r="AA81" s="71">
        <v>76</v>
      </c>
      <c r="AB81" s="33">
        <f t="shared" si="50"/>
        <v>0</v>
      </c>
      <c r="AC81" s="305">
        <f t="shared" si="51"/>
        <v>0</v>
      </c>
      <c r="AD81" s="100">
        <f t="shared" si="52"/>
        <v>0</v>
      </c>
      <c r="AE81" s="100">
        <f t="shared" si="53"/>
        <v>0</v>
      </c>
      <c r="AF81" s="194">
        <f t="shared" si="36"/>
        <v>0</v>
      </c>
      <c r="AG81" s="194">
        <f t="shared" si="37"/>
        <v>0</v>
      </c>
      <c r="AH81" s="194">
        <f t="shared" si="38"/>
        <v>0</v>
      </c>
      <c r="AI81" s="199">
        <f t="shared" si="39"/>
        <v>0</v>
      </c>
      <c r="AK81" s="71">
        <v>76</v>
      </c>
      <c r="AL81" s="33">
        <f t="shared" si="54"/>
        <v>0</v>
      </c>
      <c r="AM81" s="33">
        <f t="shared" si="55"/>
        <v>0</v>
      </c>
      <c r="AN81" s="33">
        <f t="shared" si="56"/>
        <v>0</v>
      </c>
      <c r="AO81" s="33">
        <f t="shared" si="57"/>
        <v>0</v>
      </c>
      <c r="AP81" s="33">
        <f t="shared" si="58"/>
        <v>0</v>
      </c>
      <c r="AQ81" s="194">
        <f t="shared" si="40"/>
        <v>0</v>
      </c>
      <c r="AR81" s="194">
        <f t="shared" si="41"/>
        <v>0</v>
      </c>
      <c r="AS81" s="194">
        <f t="shared" si="42"/>
        <v>0</v>
      </c>
      <c r="AT81" s="194">
        <f t="shared" si="43"/>
        <v>0</v>
      </c>
      <c r="AU81" s="33"/>
      <c r="AV81" s="33"/>
      <c r="AW81" s="33"/>
      <c r="AX81" s="33"/>
      <c r="AY81" s="76"/>
    </row>
    <row r="82" spans="2:51" x14ac:dyDescent="0.3">
      <c r="B82" s="170">
        <f>IF(C25&lt;=$F$18,C25+1,"-")</f>
        <v>23</v>
      </c>
      <c r="C82" s="145">
        <f>D25-D26</f>
        <v>16</v>
      </c>
      <c r="D82" s="146">
        <v>0</v>
      </c>
      <c r="E82" s="171">
        <f>IF(G82+D82&lt;&gt;1,(1-(G82+D82))*56%,0)</f>
        <v>0.56000000000000005</v>
      </c>
      <c r="F82" s="171">
        <f>IF(G82+D82&lt;&gt;1,(1-(G82+D82))*44%,0)</f>
        <v>0.44</v>
      </c>
      <c r="G82" s="150"/>
      <c r="H82" s="58">
        <f t="shared" ref="H82:H93" si="67">IF(C82=0,0,IF(SUM(D82:G82)&lt;&gt;1,"erreur",))</f>
        <v>0</v>
      </c>
      <c r="I82" s="55">
        <v>77</v>
      </c>
      <c r="J82" s="33">
        <f t="shared" si="61"/>
        <v>0</v>
      </c>
      <c r="K82" s="33">
        <f t="shared" si="62"/>
        <v>0</v>
      </c>
      <c r="L82" s="33">
        <f t="shared" si="63"/>
        <v>0</v>
      </c>
      <c r="M82" s="33">
        <f t="shared" si="64"/>
        <v>0</v>
      </c>
      <c r="N82" s="33">
        <f t="shared" si="44"/>
        <v>0</v>
      </c>
      <c r="O82" s="34">
        <f t="shared" si="45"/>
        <v>0</v>
      </c>
      <c r="P82" s="55">
        <v>77</v>
      </c>
      <c r="Q82" s="33">
        <f t="shared" si="59"/>
        <v>0</v>
      </c>
      <c r="R82" s="33">
        <f t="shared" si="65"/>
        <v>0</v>
      </c>
      <c r="S82" s="33">
        <f t="shared" si="66"/>
        <v>0</v>
      </c>
      <c r="T82" s="33">
        <f t="shared" si="46"/>
        <v>0</v>
      </c>
      <c r="U82" s="33">
        <f t="shared" si="60"/>
        <v>0</v>
      </c>
      <c r="V82" s="33">
        <f t="shared" si="47"/>
        <v>0</v>
      </c>
      <c r="W82" s="33">
        <v>0</v>
      </c>
      <c r="X82" s="33">
        <f t="shared" si="48"/>
        <v>0</v>
      </c>
      <c r="Y82" s="38">
        <f t="shared" si="49"/>
        <v>0</v>
      </c>
      <c r="AA82" s="71">
        <v>77</v>
      </c>
      <c r="AB82" s="33">
        <f t="shared" si="50"/>
        <v>0</v>
      </c>
      <c r="AC82" s="305">
        <f t="shared" si="51"/>
        <v>0</v>
      </c>
      <c r="AD82" s="100">
        <f t="shared" si="52"/>
        <v>0</v>
      </c>
      <c r="AE82" s="100">
        <f t="shared" si="53"/>
        <v>0</v>
      </c>
      <c r="AF82" s="194">
        <f t="shared" si="36"/>
        <v>0</v>
      </c>
      <c r="AG82" s="194">
        <f t="shared" si="37"/>
        <v>0</v>
      </c>
      <c r="AH82" s="194">
        <f t="shared" si="38"/>
        <v>0</v>
      </c>
      <c r="AI82" s="199">
        <f t="shared" si="39"/>
        <v>0</v>
      </c>
      <c r="AK82" s="71">
        <v>77</v>
      </c>
      <c r="AL82" s="33">
        <f t="shared" si="54"/>
        <v>0</v>
      </c>
      <c r="AM82" s="33">
        <f t="shared" si="55"/>
        <v>0</v>
      </c>
      <c r="AN82" s="33">
        <f t="shared" si="56"/>
        <v>0</v>
      </c>
      <c r="AO82" s="33">
        <f t="shared" si="57"/>
        <v>0</v>
      </c>
      <c r="AP82" s="33">
        <f t="shared" si="58"/>
        <v>0</v>
      </c>
      <c r="AQ82" s="194">
        <f t="shared" si="40"/>
        <v>0</v>
      </c>
      <c r="AR82" s="194">
        <f t="shared" si="41"/>
        <v>0</v>
      </c>
      <c r="AS82" s="194">
        <f t="shared" si="42"/>
        <v>0</v>
      </c>
      <c r="AT82" s="194">
        <f t="shared" si="43"/>
        <v>0</v>
      </c>
      <c r="AU82" s="33"/>
      <c r="AV82" s="33"/>
      <c r="AW82" s="33"/>
      <c r="AX82" s="33"/>
      <c r="AY82" s="76"/>
    </row>
    <row r="83" spans="2:51" x14ac:dyDescent="0.3">
      <c r="B83" s="172">
        <f>IF(C27&lt;=$F$18,C27+1,"-")</f>
        <v>26</v>
      </c>
      <c r="C83" s="148">
        <f>D27-D28</f>
        <v>17</v>
      </c>
      <c r="D83" s="149">
        <v>0</v>
      </c>
      <c r="E83" s="129">
        <f t="shared" ref="E83:E93" si="68">IF(G83+D83&lt;&gt;1,(1-(G83+D83))*56%,0)</f>
        <v>0.56000000000000005</v>
      </c>
      <c r="F83" s="129">
        <f t="shared" ref="F83:F93" si="69">IF(G83+D83&lt;&gt;1,(1-(G83+D83))*44%,0)</f>
        <v>0.44</v>
      </c>
      <c r="G83" s="150"/>
      <c r="H83" s="58">
        <f t="shared" si="67"/>
        <v>0</v>
      </c>
      <c r="I83" s="55">
        <v>78</v>
      </c>
      <c r="J83" s="33">
        <f t="shared" si="61"/>
        <v>0</v>
      </c>
      <c r="K83" s="33">
        <f t="shared" si="62"/>
        <v>0</v>
      </c>
      <c r="L83" s="33">
        <f t="shared" si="63"/>
        <v>0</v>
      </c>
      <c r="M83" s="33">
        <f t="shared" si="64"/>
        <v>0</v>
      </c>
      <c r="N83" s="33">
        <f t="shared" si="44"/>
        <v>0</v>
      </c>
      <c r="O83" s="34">
        <f t="shared" si="45"/>
        <v>0</v>
      </c>
      <c r="P83" s="55">
        <v>78</v>
      </c>
      <c r="Q83" s="33">
        <f t="shared" si="59"/>
        <v>0</v>
      </c>
      <c r="R83" s="33">
        <f t="shared" si="65"/>
        <v>0</v>
      </c>
      <c r="S83" s="33">
        <f t="shared" si="66"/>
        <v>0</v>
      </c>
      <c r="T83" s="33">
        <f t="shared" si="46"/>
        <v>0</v>
      </c>
      <c r="U83" s="33">
        <f t="shared" si="60"/>
        <v>0</v>
      </c>
      <c r="V83" s="33">
        <f t="shared" si="47"/>
        <v>0</v>
      </c>
      <c r="W83" s="33">
        <v>0</v>
      </c>
      <c r="X83" s="33">
        <f t="shared" si="48"/>
        <v>0</v>
      </c>
      <c r="Y83" s="38">
        <f t="shared" si="49"/>
        <v>0</v>
      </c>
      <c r="AA83" s="71">
        <v>78</v>
      </c>
      <c r="AB83" s="33">
        <f t="shared" si="50"/>
        <v>0</v>
      </c>
      <c r="AC83" s="305">
        <f t="shared" si="51"/>
        <v>0</v>
      </c>
      <c r="AD83" s="100">
        <f t="shared" si="52"/>
        <v>0</v>
      </c>
      <c r="AE83" s="100">
        <f t="shared" si="53"/>
        <v>0</v>
      </c>
      <c r="AF83" s="194">
        <f t="shared" si="36"/>
        <v>0</v>
      </c>
      <c r="AG83" s="194">
        <f t="shared" si="37"/>
        <v>0</v>
      </c>
      <c r="AH83" s="194">
        <f t="shared" si="38"/>
        <v>0</v>
      </c>
      <c r="AI83" s="199">
        <f t="shared" si="39"/>
        <v>0</v>
      </c>
      <c r="AK83" s="71">
        <v>78</v>
      </c>
      <c r="AL83" s="33">
        <f t="shared" si="54"/>
        <v>0</v>
      </c>
      <c r="AM83" s="33">
        <f t="shared" si="55"/>
        <v>0</v>
      </c>
      <c r="AN83" s="33">
        <f t="shared" si="56"/>
        <v>0</v>
      </c>
      <c r="AO83" s="33">
        <f t="shared" si="57"/>
        <v>0</v>
      </c>
      <c r="AP83" s="33">
        <f t="shared" si="58"/>
        <v>0</v>
      </c>
      <c r="AQ83" s="194">
        <f t="shared" si="40"/>
        <v>0</v>
      </c>
      <c r="AR83" s="194">
        <f t="shared" si="41"/>
        <v>0</v>
      </c>
      <c r="AS83" s="194">
        <f t="shared" si="42"/>
        <v>0</v>
      </c>
      <c r="AT83" s="194">
        <f t="shared" si="43"/>
        <v>0</v>
      </c>
      <c r="AU83" s="33"/>
      <c r="AV83" s="33"/>
      <c r="AW83" s="33"/>
      <c r="AX83" s="33"/>
      <c r="AY83" s="76"/>
    </row>
    <row r="84" spans="2:51" x14ac:dyDescent="0.3">
      <c r="B84" s="187">
        <f>IF(C29&lt;=$F$18,C29+1,"-")</f>
        <v>31</v>
      </c>
      <c r="C84" s="148">
        <f>D29-D30</f>
        <v>34</v>
      </c>
      <c r="D84" s="149">
        <v>0.2</v>
      </c>
      <c r="E84" s="129">
        <f t="shared" si="68"/>
        <v>0.44800000000000006</v>
      </c>
      <c r="F84" s="129">
        <f t="shared" si="69"/>
        <v>0.35200000000000004</v>
      </c>
      <c r="G84" s="150"/>
      <c r="H84" s="58">
        <f t="shared" si="67"/>
        <v>0</v>
      </c>
      <c r="I84" s="55">
        <v>79</v>
      </c>
      <c r="J84" s="33">
        <f t="shared" si="61"/>
        <v>0</v>
      </c>
      <c r="K84" s="33">
        <f t="shared" si="62"/>
        <v>0</v>
      </c>
      <c r="L84" s="33">
        <f t="shared" si="63"/>
        <v>0</v>
      </c>
      <c r="M84" s="33">
        <f t="shared" si="64"/>
        <v>0</v>
      </c>
      <c r="N84" s="33">
        <f t="shared" si="44"/>
        <v>0</v>
      </c>
      <c r="O84" s="34">
        <f t="shared" si="45"/>
        <v>0</v>
      </c>
      <c r="P84" s="55">
        <v>79</v>
      </c>
      <c r="Q84" s="33">
        <f t="shared" si="59"/>
        <v>0</v>
      </c>
      <c r="R84" s="33">
        <f t="shared" si="65"/>
        <v>0</v>
      </c>
      <c r="S84" s="33">
        <f t="shared" si="66"/>
        <v>0</v>
      </c>
      <c r="T84" s="33">
        <f t="shared" si="46"/>
        <v>0</v>
      </c>
      <c r="U84" s="33">
        <f t="shared" si="60"/>
        <v>0</v>
      </c>
      <c r="V84" s="33">
        <f t="shared" si="47"/>
        <v>0</v>
      </c>
      <c r="W84" s="33">
        <v>0</v>
      </c>
      <c r="X84" s="33">
        <f t="shared" si="48"/>
        <v>0</v>
      </c>
      <c r="Y84" s="38">
        <f t="shared" si="49"/>
        <v>0</v>
      </c>
      <c r="AA84" s="71">
        <v>79</v>
      </c>
      <c r="AB84" s="33">
        <f t="shared" si="50"/>
        <v>0</v>
      </c>
      <c r="AC84" s="305">
        <f t="shared" si="51"/>
        <v>0</v>
      </c>
      <c r="AD84" s="100">
        <f t="shared" si="52"/>
        <v>0</v>
      </c>
      <c r="AE84" s="100">
        <f t="shared" si="53"/>
        <v>0</v>
      </c>
      <c r="AF84" s="194">
        <f t="shared" si="36"/>
        <v>0</v>
      </c>
      <c r="AG84" s="194">
        <f t="shared" si="37"/>
        <v>0</v>
      </c>
      <c r="AH84" s="194">
        <f t="shared" si="38"/>
        <v>0</v>
      </c>
      <c r="AI84" s="199">
        <f t="shared" si="39"/>
        <v>0</v>
      </c>
      <c r="AK84" s="71">
        <v>79</v>
      </c>
      <c r="AL84" s="33">
        <f t="shared" si="54"/>
        <v>0</v>
      </c>
      <c r="AM84" s="33">
        <f t="shared" si="55"/>
        <v>0</v>
      </c>
      <c r="AN84" s="33">
        <f t="shared" si="56"/>
        <v>0</v>
      </c>
      <c r="AO84" s="33">
        <f t="shared" si="57"/>
        <v>0</v>
      </c>
      <c r="AP84" s="33">
        <f t="shared" si="58"/>
        <v>0</v>
      </c>
      <c r="AQ84" s="194">
        <f t="shared" si="40"/>
        <v>0</v>
      </c>
      <c r="AR84" s="194">
        <f t="shared" si="41"/>
        <v>0</v>
      </c>
      <c r="AS84" s="194">
        <f t="shared" si="42"/>
        <v>0</v>
      </c>
      <c r="AT84" s="194">
        <f t="shared" si="43"/>
        <v>0</v>
      </c>
      <c r="AU84" s="33"/>
      <c r="AV84" s="33"/>
      <c r="AW84" s="33"/>
      <c r="AX84" s="33"/>
      <c r="AY84" s="76"/>
    </row>
    <row r="85" spans="2:51" x14ac:dyDescent="0.3">
      <c r="B85" s="172">
        <f>IF(C31&lt;=$F$18,C31+1,"-")</f>
        <v>36</v>
      </c>
      <c r="C85" s="148">
        <f>D31-D32</f>
        <v>41</v>
      </c>
      <c r="D85" s="149">
        <v>0.3</v>
      </c>
      <c r="E85" s="129">
        <f t="shared" si="68"/>
        <v>0.39200000000000002</v>
      </c>
      <c r="F85" s="129">
        <f t="shared" si="69"/>
        <v>0.308</v>
      </c>
      <c r="G85" s="150"/>
      <c r="H85" s="58">
        <f t="shared" si="67"/>
        <v>0</v>
      </c>
      <c r="I85" s="55">
        <v>80</v>
      </c>
      <c r="J85" s="33">
        <f t="shared" si="61"/>
        <v>0</v>
      </c>
      <c r="K85" s="33">
        <f t="shared" si="62"/>
        <v>0</v>
      </c>
      <c r="L85" s="33">
        <f t="shared" si="63"/>
        <v>0</v>
      </c>
      <c r="M85" s="33">
        <f t="shared" si="64"/>
        <v>0</v>
      </c>
      <c r="N85" s="33">
        <f t="shared" si="44"/>
        <v>0</v>
      </c>
      <c r="O85" s="34">
        <f t="shared" si="45"/>
        <v>0</v>
      </c>
      <c r="P85" s="55">
        <v>80</v>
      </c>
      <c r="Q85" s="33">
        <f t="shared" si="59"/>
        <v>0</v>
      </c>
      <c r="R85" s="33">
        <f t="shared" si="65"/>
        <v>0</v>
      </c>
      <c r="S85" s="33">
        <f t="shared" si="66"/>
        <v>0</v>
      </c>
      <c r="T85" s="33">
        <f t="shared" si="46"/>
        <v>0</v>
      </c>
      <c r="U85" s="33">
        <f t="shared" si="60"/>
        <v>0</v>
      </c>
      <c r="V85" s="33">
        <f t="shared" si="47"/>
        <v>0</v>
      </c>
      <c r="W85" s="33">
        <v>0</v>
      </c>
      <c r="X85" s="33">
        <f t="shared" si="48"/>
        <v>0</v>
      </c>
      <c r="Y85" s="38">
        <f t="shared" si="49"/>
        <v>0</v>
      </c>
      <c r="AA85" s="71">
        <v>80</v>
      </c>
      <c r="AB85" s="33">
        <f t="shared" si="50"/>
        <v>0</v>
      </c>
      <c r="AC85" s="305">
        <f t="shared" si="51"/>
        <v>0</v>
      </c>
      <c r="AD85" s="100">
        <f t="shared" si="52"/>
        <v>0</v>
      </c>
      <c r="AE85" s="100">
        <f t="shared" si="53"/>
        <v>0</v>
      </c>
      <c r="AF85" s="194">
        <f t="shared" si="36"/>
        <v>0</v>
      </c>
      <c r="AG85" s="194">
        <f t="shared" si="37"/>
        <v>0</v>
      </c>
      <c r="AH85" s="194">
        <f t="shared" si="38"/>
        <v>0</v>
      </c>
      <c r="AI85" s="199">
        <f t="shared" si="39"/>
        <v>0</v>
      </c>
      <c r="AK85" s="71">
        <v>80</v>
      </c>
      <c r="AL85" s="33">
        <f t="shared" si="54"/>
        <v>0</v>
      </c>
      <c r="AM85" s="33">
        <f t="shared" si="55"/>
        <v>0</v>
      </c>
      <c r="AN85" s="33">
        <f t="shared" si="56"/>
        <v>0</v>
      </c>
      <c r="AO85" s="33">
        <f t="shared" si="57"/>
        <v>0</v>
      </c>
      <c r="AP85" s="33">
        <f t="shared" si="58"/>
        <v>0</v>
      </c>
      <c r="AQ85" s="194">
        <f t="shared" si="40"/>
        <v>0</v>
      </c>
      <c r="AR85" s="194">
        <f t="shared" si="41"/>
        <v>0</v>
      </c>
      <c r="AS85" s="194">
        <f t="shared" si="42"/>
        <v>0</v>
      </c>
      <c r="AT85" s="194">
        <f t="shared" si="43"/>
        <v>0</v>
      </c>
      <c r="AU85" s="33"/>
      <c r="AV85" s="33"/>
      <c r="AW85" s="33"/>
      <c r="AX85" s="33"/>
      <c r="AY85" s="76"/>
    </row>
    <row r="86" spans="2:51" x14ac:dyDescent="0.3">
      <c r="B86" s="172">
        <f>IF(C33&lt;=$F$18,C33+1,"-")</f>
        <v>41</v>
      </c>
      <c r="C86" s="148">
        <f>D33-D34</f>
        <v>41</v>
      </c>
      <c r="D86" s="149">
        <v>0.4</v>
      </c>
      <c r="E86" s="129">
        <f t="shared" si="68"/>
        <v>0.33600000000000002</v>
      </c>
      <c r="F86" s="129">
        <f t="shared" si="69"/>
        <v>0.26400000000000001</v>
      </c>
      <c r="G86" s="150"/>
      <c r="H86" s="58">
        <f t="shared" si="67"/>
        <v>0</v>
      </c>
      <c r="I86" s="55">
        <v>81</v>
      </c>
      <c r="J86" s="33">
        <f t="shared" si="61"/>
        <v>0</v>
      </c>
      <c r="K86" s="33">
        <f t="shared" si="62"/>
        <v>0</v>
      </c>
      <c r="L86" s="33">
        <f t="shared" si="63"/>
        <v>0</v>
      </c>
      <c r="M86" s="33">
        <f t="shared" si="64"/>
        <v>0</v>
      </c>
      <c r="N86" s="33">
        <f t="shared" si="44"/>
        <v>0</v>
      </c>
      <c r="O86" s="34">
        <f t="shared" si="45"/>
        <v>0</v>
      </c>
      <c r="P86" s="55">
        <v>81</v>
      </c>
      <c r="Q86" s="33">
        <f t="shared" si="59"/>
        <v>0</v>
      </c>
      <c r="R86" s="33">
        <f t="shared" si="65"/>
        <v>0</v>
      </c>
      <c r="S86" s="33">
        <f t="shared" si="66"/>
        <v>0</v>
      </c>
      <c r="T86" s="33">
        <f t="shared" si="46"/>
        <v>0</v>
      </c>
      <c r="U86" s="33">
        <f t="shared" si="60"/>
        <v>0</v>
      </c>
      <c r="V86" s="33">
        <f t="shared" si="47"/>
        <v>0</v>
      </c>
      <c r="W86" s="33">
        <v>0</v>
      </c>
      <c r="X86" s="33">
        <f t="shared" si="48"/>
        <v>0</v>
      </c>
      <c r="Y86" s="38">
        <f t="shared" si="49"/>
        <v>0</v>
      </c>
      <c r="AA86" s="71">
        <v>81</v>
      </c>
      <c r="AB86" s="33">
        <f t="shared" si="50"/>
        <v>0</v>
      </c>
      <c r="AC86" s="305">
        <f t="shared" si="51"/>
        <v>0</v>
      </c>
      <c r="AD86" s="100">
        <f t="shared" si="52"/>
        <v>0</v>
      </c>
      <c r="AE86" s="100">
        <f t="shared" si="53"/>
        <v>0</v>
      </c>
      <c r="AF86" s="194">
        <f t="shared" si="36"/>
        <v>0</v>
      </c>
      <c r="AG86" s="194">
        <f t="shared" si="37"/>
        <v>0</v>
      </c>
      <c r="AH86" s="194">
        <f t="shared" si="38"/>
        <v>0</v>
      </c>
      <c r="AI86" s="199">
        <f t="shared" si="39"/>
        <v>0</v>
      </c>
      <c r="AK86" s="71">
        <v>81</v>
      </c>
      <c r="AL86" s="33">
        <f t="shared" si="54"/>
        <v>0</v>
      </c>
      <c r="AM86" s="33">
        <f t="shared" si="55"/>
        <v>0</v>
      </c>
      <c r="AN86" s="33">
        <f t="shared" si="56"/>
        <v>0</v>
      </c>
      <c r="AO86" s="33">
        <f t="shared" si="57"/>
        <v>0</v>
      </c>
      <c r="AP86" s="33">
        <f t="shared" si="58"/>
        <v>0</v>
      </c>
      <c r="AQ86" s="194">
        <f t="shared" si="40"/>
        <v>0</v>
      </c>
      <c r="AR86" s="194">
        <f t="shared" si="41"/>
        <v>0</v>
      </c>
      <c r="AS86" s="194">
        <f t="shared" si="42"/>
        <v>0</v>
      </c>
      <c r="AT86" s="194">
        <f t="shared" si="43"/>
        <v>0</v>
      </c>
      <c r="AU86" s="33"/>
      <c r="AV86" s="33"/>
      <c r="AW86" s="33"/>
      <c r="AX86" s="33"/>
      <c r="AY86" s="76"/>
    </row>
    <row r="87" spans="2:51" x14ac:dyDescent="0.3">
      <c r="B87" s="172">
        <f>IF(C35&lt;=$F$18,C35+1,"-")</f>
        <v>46</v>
      </c>
      <c r="C87" s="148">
        <f>D35-D36</f>
        <v>53</v>
      </c>
      <c r="D87" s="149">
        <v>0.5</v>
      </c>
      <c r="E87" s="129">
        <f t="shared" si="68"/>
        <v>0.28000000000000003</v>
      </c>
      <c r="F87" s="129">
        <f t="shared" si="69"/>
        <v>0.22</v>
      </c>
      <c r="G87" s="150"/>
      <c r="H87" s="58">
        <f t="shared" si="67"/>
        <v>0</v>
      </c>
      <c r="I87" s="55">
        <v>82</v>
      </c>
      <c r="J87" s="33">
        <f t="shared" si="61"/>
        <v>0</v>
      </c>
      <c r="K87" s="33">
        <f t="shared" si="62"/>
        <v>0</v>
      </c>
      <c r="L87" s="33">
        <f t="shared" si="63"/>
        <v>0</v>
      </c>
      <c r="M87" s="33">
        <f t="shared" si="64"/>
        <v>0</v>
      </c>
      <c r="N87" s="33">
        <f t="shared" si="44"/>
        <v>0</v>
      </c>
      <c r="O87" s="34">
        <f t="shared" si="45"/>
        <v>0</v>
      </c>
      <c r="P87" s="55">
        <v>82</v>
      </c>
      <c r="Q87" s="33">
        <f t="shared" si="59"/>
        <v>0</v>
      </c>
      <c r="R87" s="33">
        <f t="shared" si="65"/>
        <v>0</v>
      </c>
      <c r="S87" s="33">
        <f t="shared" si="66"/>
        <v>0</v>
      </c>
      <c r="T87" s="33">
        <f t="shared" si="46"/>
        <v>0</v>
      </c>
      <c r="U87" s="33">
        <f t="shared" si="60"/>
        <v>0</v>
      </c>
      <c r="V87" s="33">
        <f t="shared" si="47"/>
        <v>0</v>
      </c>
      <c r="W87" s="33">
        <v>0</v>
      </c>
      <c r="X87" s="33">
        <f t="shared" si="48"/>
        <v>0</v>
      </c>
      <c r="Y87" s="38">
        <f t="shared" si="49"/>
        <v>0</v>
      </c>
      <c r="AA87" s="71">
        <v>82</v>
      </c>
      <c r="AB87" s="33">
        <f t="shared" si="50"/>
        <v>0</v>
      </c>
      <c r="AC87" s="305">
        <f t="shared" si="51"/>
        <v>0</v>
      </c>
      <c r="AD87" s="100">
        <f t="shared" si="52"/>
        <v>0</v>
      </c>
      <c r="AE87" s="100">
        <f t="shared" si="53"/>
        <v>0</v>
      </c>
      <c r="AF87" s="194">
        <f t="shared" si="36"/>
        <v>0</v>
      </c>
      <c r="AG87" s="194">
        <f t="shared" si="37"/>
        <v>0</v>
      </c>
      <c r="AH87" s="194">
        <f t="shared" si="38"/>
        <v>0</v>
      </c>
      <c r="AI87" s="199">
        <f t="shared" si="39"/>
        <v>0</v>
      </c>
      <c r="AK87" s="71">
        <v>82</v>
      </c>
      <c r="AL87" s="33">
        <f t="shared" si="54"/>
        <v>0</v>
      </c>
      <c r="AM87" s="33">
        <f t="shared" si="55"/>
        <v>0</v>
      </c>
      <c r="AN87" s="33">
        <f t="shared" si="56"/>
        <v>0</v>
      </c>
      <c r="AO87" s="33">
        <f t="shared" si="57"/>
        <v>0</v>
      </c>
      <c r="AP87" s="33">
        <f t="shared" si="58"/>
        <v>0</v>
      </c>
      <c r="AQ87" s="194">
        <f t="shared" si="40"/>
        <v>0</v>
      </c>
      <c r="AR87" s="194">
        <f t="shared" si="41"/>
        <v>0</v>
      </c>
      <c r="AS87" s="194">
        <f t="shared" si="42"/>
        <v>0</v>
      </c>
      <c r="AT87" s="194">
        <f t="shared" si="43"/>
        <v>0</v>
      </c>
      <c r="AU87" s="33"/>
      <c r="AV87" s="33"/>
      <c r="AW87" s="33"/>
      <c r="AX87" s="33"/>
      <c r="AY87" s="76"/>
    </row>
    <row r="88" spans="2:51" x14ac:dyDescent="0.3">
      <c r="B88" s="172">
        <f>IF(C37&lt;=$F$18,C37+1,"-")</f>
        <v>51</v>
      </c>
      <c r="C88" s="148">
        <f>D37-D38</f>
        <v>53</v>
      </c>
      <c r="D88" s="149">
        <v>0.6</v>
      </c>
      <c r="E88" s="129">
        <f t="shared" si="68"/>
        <v>0.22400000000000003</v>
      </c>
      <c r="F88" s="129">
        <f t="shared" si="69"/>
        <v>0.17600000000000002</v>
      </c>
      <c r="G88" s="150"/>
      <c r="H88" s="58">
        <f t="shared" si="67"/>
        <v>0</v>
      </c>
      <c r="I88" s="55">
        <v>83</v>
      </c>
      <c r="J88" s="33">
        <f t="shared" si="61"/>
        <v>0</v>
      </c>
      <c r="K88" s="33">
        <f t="shared" si="62"/>
        <v>0</v>
      </c>
      <c r="L88" s="33">
        <f t="shared" si="63"/>
        <v>0</v>
      </c>
      <c r="M88" s="33">
        <f t="shared" si="64"/>
        <v>0</v>
      </c>
      <c r="N88" s="33">
        <f t="shared" si="44"/>
        <v>0</v>
      </c>
      <c r="O88" s="34">
        <f t="shared" si="45"/>
        <v>0</v>
      </c>
      <c r="P88" s="55">
        <v>83</v>
      </c>
      <c r="Q88" s="33">
        <f t="shared" si="59"/>
        <v>0</v>
      </c>
      <c r="R88" s="33">
        <f t="shared" si="65"/>
        <v>0</v>
      </c>
      <c r="S88" s="33">
        <f t="shared" si="66"/>
        <v>0</v>
      </c>
      <c r="T88" s="33">
        <f t="shared" si="46"/>
        <v>0</v>
      </c>
      <c r="U88" s="33">
        <f t="shared" si="60"/>
        <v>0</v>
      </c>
      <c r="V88" s="33">
        <f t="shared" si="47"/>
        <v>0</v>
      </c>
      <c r="W88" s="33">
        <v>0</v>
      </c>
      <c r="X88" s="33">
        <f t="shared" si="48"/>
        <v>0</v>
      </c>
      <c r="Y88" s="38">
        <f t="shared" si="49"/>
        <v>0</v>
      </c>
      <c r="AA88" s="71">
        <v>83</v>
      </c>
      <c r="AB88" s="33">
        <f t="shared" si="50"/>
        <v>0</v>
      </c>
      <c r="AC88" s="305">
        <f t="shared" si="51"/>
        <v>0</v>
      </c>
      <c r="AD88" s="100">
        <f t="shared" si="52"/>
        <v>0</v>
      </c>
      <c r="AE88" s="100">
        <f t="shared" si="53"/>
        <v>0</v>
      </c>
      <c r="AF88" s="194">
        <f t="shared" si="36"/>
        <v>0</v>
      </c>
      <c r="AG88" s="194">
        <f t="shared" si="37"/>
        <v>0</v>
      </c>
      <c r="AH88" s="194">
        <f t="shared" si="38"/>
        <v>0</v>
      </c>
      <c r="AI88" s="199">
        <f t="shared" si="39"/>
        <v>0</v>
      </c>
      <c r="AK88" s="71">
        <v>83</v>
      </c>
      <c r="AL88" s="33">
        <f t="shared" si="54"/>
        <v>0</v>
      </c>
      <c r="AM88" s="33">
        <f t="shared" si="55"/>
        <v>0</v>
      </c>
      <c r="AN88" s="33">
        <f t="shared" si="56"/>
        <v>0</v>
      </c>
      <c r="AO88" s="33">
        <f t="shared" si="57"/>
        <v>0</v>
      </c>
      <c r="AP88" s="33">
        <f t="shared" si="58"/>
        <v>0</v>
      </c>
      <c r="AQ88" s="194">
        <f t="shared" si="40"/>
        <v>0</v>
      </c>
      <c r="AR88" s="194">
        <f t="shared" si="41"/>
        <v>0</v>
      </c>
      <c r="AS88" s="194">
        <f t="shared" si="42"/>
        <v>0</v>
      </c>
      <c r="AT88" s="194">
        <f t="shared" si="43"/>
        <v>0</v>
      </c>
      <c r="AU88" s="33"/>
      <c r="AV88" s="33"/>
      <c r="AW88" s="33"/>
      <c r="AX88" s="33"/>
      <c r="AY88" s="76"/>
    </row>
    <row r="89" spans="2:51" x14ac:dyDescent="0.3">
      <c r="B89" s="172">
        <f>IF(C39&lt;=$F$18,C39+1,"-")</f>
        <v>59</v>
      </c>
      <c r="C89" s="148">
        <f>D39-D40</f>
        <v>78</v>
      </c>
      <c r="D89" s="149">
        <v>0.7</v>
      </c>
      <c r="E89" s="129">
        <f t="shared" si="68"/>
        <v>0.16800000000000004</v>
      </c>
      <c r="F89" s="129">
        <f t="shared" si="69"/>
        <v>0.13200000000000003</v>
      </c>
      <c r="G89" s="150"/>
      <c r="H89" s="58">
        <f t="shared" si="67"/>
        <v>0</v>
      </c>
      <c r="I89" s="55">
        <v>84</v>
      </c>
      <c r="J89" s="33">
        <f t="shared" si="61"/>
        <v>0</v>
      </c>
      <c r="K89" s="33">
        <f t="shared" si="62"/>
        <v>0</v>
      </c>
      <c r="L89" s="33">
        <f t="shared" si="63"/>
        <v>0</v>
      </c>
      <c r="M89" s="33">
        <f t="shared" si="64"/>
        <v>0</v>
      </c>
      <c r="N89" s="33">
        <f t="shared" si="44"/>
        <v>0</v>
      </c>
      <c r="O89" s="34">
        <f t="shared" si="45"/>
        <v>0</v>
      </c>
      <c r="P89" s="55">
        <v>84</v>
      </c>
      <c r="Q89" s="33">
        <f t="shared" si="59"/>
        <v>0</v>
      </c>
      <c r="R89" s="33">
        <f t="shared" si="65"/>
        <v>0</v>
      </c>
      <c r="S89" s="33">
        <f t="shared" si="66"/>
        <v>0</v>
      </c>
      <c r="T89" s="33">
        <f t="shared" si="46"/>
        <v>0</v>
      </c>
      <c r="U89" s="33">
        <f t="shared" si="60"/>
        <v>0</v>
      </c>
      <c r="V89" s="33">
        <f t="shared" si="47"/>
        <v>0</v>
      </c>
      <c r="W89" s="33">
        <v>0</v>
      </c>
      <c r="X89" s="33">
        <f t="shared" si="48"/>
        <v>0</v>
      </c>
      <c r="Y89" s="38">
        <f t="shared" si="49"/>
        <v>0</v>
      </c>
      <c r="AA89" s="71">
        <v>84</v>
      </c>
      <c r="AB89" s="33">
        <f t="shared" si="50"/>
        <v>0</v>
      </c>
      <c r="AC89" s="305">
        <f t="shared" si="51"/>
        <v>0</v>
      </c>
      <c r="AD89" s="100">
        <f t="shared" si="52"/>
        <v>0</v>
      </c>
      <c r="AE89" s="100">
        <f t="shared" si="53"/>
        <v>0</v>
      </c>
      <c r="AF89" s="194">
        <f t="shared" si="36"/>
        <v>0</v>
      </c>
      <c r="AG89" s="194">
        <f t="shared" si="37"/>
        <v>0</v>
      </c>
      <c r="AH89" s="194">
        <f t="shared" si="38"/>
        <v>0</v>
      </c>
      <c r="AI89" s="199">
        <f t="shared" si="39"/>
        <v>0</v>
      </c>
      <c r="AK89" s="71">
        <v>84</v>
      </c>
      <c r="AL89" s="33">
        <f t="shared" si="54"/>
        <v>0</v>
      </c>
      <c r="AM89" s="33">
        <f t="shared" si="55"/>
        <v>0</v>
      </c>
      <c r="AN89" s="33">
        <f t="shared" si="56"/>
        <v>0</v>
      </c>
      <c r="AO89" s="33">
        <f t="shared" si="57"/>
        <v>0</v>
      </c>
      <c r="AP89" s="33">
        <f t="shared" si="58"/>
        <v>0</v>
      </c>
      <c r="AQ89" s="194">
        <f t="shared" si="40"/>
        <v>0</v>
      </c>
      <c r="AR89" s="194">
        <f t="shared" si="41"/>
        <v>0</v>
      </c>
      <c r="AS89" s="194">
        <f t="shared" si="42"/>
        <v>0</v>
      </c>
      <c r="AT89" s="194">
        <f t="shared" si="43"/>
        <v>0</v>
      </c>
      <c r="AU89" s="33"/>
      <c r="AV89" s="33"/>
      <c r="AW89" s="33"/>
      <c r="AX89" s="33"/>
      <c r="AY89" s="76"/>
    </row>
    <row r="90" spans="2:51" x14ac:dyDescent="0.3">
      <c r="B90" s="172">
        <f>IF(C41&lt;=$F$18,C41+1,"-")</f>
        <v>67</v>
      </c>
      <c r="C90" s="148">
        <f>D41-D42</f>
        <v>65</v>
      </c>
      <c r="D90" s="149">
        <v>0.8</v>
      </c>
      <c r="E90" s="129">
        <f t="shared" si="68"/>
        <v>0.11199999999999999</v>
      </c>
      <c r="F90" s="129">
        <f t="shared" si="69"/>
        <v>8.7999999999999981E-2</v>
      </c>
      <c r="G90" s="150"/>
      <c r="H90" s="58">
        <f t="shared" si="67"/>
        <v>0</v>
      </c>
      <c r="I90" s="55">
        <v>85</v>
      </c>
      <c r="J90" s="33">
        <f t="shared" si="61"/>
        <v>0</v>
      </c>
      <c r="K90" s="33">
        <f t="shared" si="62"/>
        <v>0</v>
      </c>
      <c r="L90" s="33">
        <f t="shared" si="63"/>
        <v>0</v>
      </c>
      <c r="M90" s="33">
        <f t="shared" si="64"/>
        <v>0</v>
      </c>
      <c r="N90" s="33">
        <f t="shared" si="44"/>
        <v>0</v>
      </c>
      <c r="O90" s="34">
        <f t="shared" si="45"/>
        <v>0</v>
      </c>
      <c r="P90" s="55">
        <v>85</v>
      </c>
      <c r="Q90" s="33">
        <f t="shared" si="59"/>
        <v>0</v>
      </c>
      <c r="R90" s="33">
        <f t="shared" si="65"/>
        <v>0</v>
      </c>
      <c r="S90" s="33">
        <f t="shared" si="66"/>
        <v>0</v>
      </c>
      <c r="T90" s="33">
        <f t="shared" si="46"/>
        <v>0</v>
      </c>
      <c r="U90" s="33">
        <f t="shared" si="60"/>
        <v>0</v>
      </c>
      <c r="V90" s="33">
        <f t="shared" si="47"/>
        <v>0</v>
      </c>
      <c r="W90" s="33">
        <v>0</v>
      </c>
      <c r="X90" s="33">
        <f t="shared" si="48"/>
        <v>0</v>
      </c>
      <c r="Y90" s="38">
        <f t="shared" si="49"/>
        <v>0</v>
      </c>
      <c r="AA90" s="71">
        <v>85</v>
      </c>
      <c r="AB90" s="33">
        <f t="shared" si="50"/>
        <v>0</v>
      </c>
      <c r="AC90" s="305">
        <f t="shared" si="51"/>
        <v>0</v>
      </c>
      <c r="AD90" s="100">
        <f t="shared" si="52"/>
        <v>0</v>
      </c>
      <c r="AE90" s="100">
        <f t="shared" si="53"/>
        <v>0</v>
      </c>
      <c r="AF90" s="194">
        <f t="shared" si="36"/>
        <v>0</v>
      </c>
      <c r="AG90" s="194">
        <f t="shared" si="37"/>
        <v>0</v>
      </c>
      <c r="AH90" s="194">
        <f t="shared" si="38"/>
        <v>0</v>
      </c>
      <c r="AI90" s="199">
        <f t="shared" si="39"/>
        <v>0</v>
      </c>
      <c r="AK90" s="71">
        <v>85</v>
      </c>
      <c r="AL90" s="33">
        <f t="shared" si="54"/>
        <v>0</v>
      </c>
      <c r="AM90" s="33">
        <f t="shared" si="55"/>
        <v>0</v>
      </c>
      <c r="AN90" s="33">
        <f t="shared" si="56"/>
        <v>0</v>
      </c>
      <c r="AO90" s="33">
        <f t="shared" si="57"/>
        <v>0</v>
      </c>
      <c r="AP90" s="33">
        <f t="shared" si="58"/>
        <v>0</v>
      </c>
      <c r="AQ90" s="194">
        <f t="shared" si="40"/>
        <v>0</v>
      </c>
      <c r="AR90" s="194">
        <f t="shared" si="41"/>
        <v>0</v>
      </c>
      <c r="AS90" s="194">
        <f t="shared" si="42"/>
        <v>0</v>
      </c>
      <c r="AT90" s="194">
        <f t="shared" si="43"/>
        <v>0</v>
      </c>
      <c r="AU90" s="33"/>
      <c r="AV90" s="33"/>
      <c r="AW90" s="33"/>
      <c r="AX90" s="33"/>
      <c r="AY90" s="76"/>
    </row>
    <row r="91" spans="2:51" x14ac:dyDescent="0.3">
      <c r="B91" s="172" t="str">
        <f>IF(C43&lt;=$F$18,C43+1,"-")</f>
        <v>-</v>
      </c>
      <c r="C91" s="148">
        <f>D43-D44</f>
        <v>37</v>
      </c>
      <c r="D91" s="149">
        <v>0.4</v>
      </c>
      <c r="E91" s="129">
        <f t="shared" si="68"/>
        <v>0.33600000000000002</v>
      </c>
      <c r="F91" s="129">
        <f t="shared" si="69"/>
        <v>0.26400000000000001</v>
      </c>
      <c r="G91" s="150"/>
      <c r="H91" s="58">
        <f t="shared" si="67"/>
        <v>0</v>
      </c>
      <c r="I91" s="55">
        <v>86</v>
      </c>
      <c r="J91" s="33">
        <f t="shared" si="61"/>
        <v>0</v>
      </c>
      <c r="K91" s="33">
        <f t="shared" si="62"/>
        <v>0</v>
      </c>
      <c r="L91" s="33">
        <f t="shared" si="63"/>
        <v>0</v>
      </c>
      <c r="M91" s="33">
        <f t="shared" si="64"/>
        <v>0</v>
      </c>
      <c r="N91" s="33">
        <f t="shared" si="44"/>
        <v>0</v>
      </c>
      <c r="O91" s="34">
        <f t="shared" si="45"/>
        <v>0</v>
      </c>
      <c r="P91" s="55">
        <v>86</v>
      </c>
      <c r="Q91" s="33">
        <f t="shared" si="59"/>
        <v>0</v>
      </c>
      <c r="R91" s="33">
        <f t="shared" si="65"/>
        <v>0</v>
      </c>
      <c r="S91" s="33">
        <f t="shared" si="66"/>
        <v>0</v>
      </c>
      <c r="T91" s="33">
        <f t="shared" si="46"/>
        <v>0</v>
      </c>
      <c r="U91" s="33">
        <f t="shared" si="60"/>
        <v>0</v>
      </c>
      <c r="V91" s="33">
        <f t="shared" si="47"/>
        <v>0</v>
      </c>
      <c r="W91" s="33">
        <v>0</v>
      </c>
      <c r="X91" s="33">
        <f t="shared" si="48"/>
        <v>0</v>
      </c>
      <c r="Y91" s="38">
        <f t="shared" si="49"/>
        <v>0</v>
      </c>
      <c r="AA91" s="71">
        <v>86</v>
      </c>
      <c r="AB91" s="33">
        <f t="shared" si="50"/>
        <v>0</v>
      </c>
      <c r="AC91" s="305">
        <f t="shared" si="51"/>
        <v>0</v>
      </c>
      <c r="AD91" s="100">
        <f t="shared" si="52"/>
        <v>0</v>
      </c>
      <c r="AE91" s="100">
        <f t="shared" si="53"/>
        <v>0</v>
      </c>
      <c r="AF91" s="194">
        <f t="shared" ref="AF91:AF154" si="70">IF(OR(AA91&lt;=$F$18,AA91&lt;=30),EXP(-LN(2)/$D$104)*AF90+((1-EXP(-LN(2)/$D$104))/(LN(2)/$D$104))*$AB91*AC91*0.475*$F$19*44/12,)</f>
        <v>0</v>
      </c>
      <c r="AG91" s="194">
        <f t="shared" ref="AG91:AG154" si="71">IF(OR(AA91&lt;=$F$18,AA91&lt;=30),EXP(-LN(2)/$D$106)*AG90+((1-EXP(-LN(2)/$D$106))/(LN(2)/$D$106))*$AB91*AD91*0.475*$F$19*44/12,)</f>
        <v>0</v>
      </c>
      <c r="AH91" s="194">
        <f t="shared" ref="AH91:AH154" si="72">IF(OR(AA91&lt;=$F$18,AA91&lt;=30),EXP(-LN(2)/$D$105)*AH90+((1-EXP(-LN(2)/$D$105))/(LN(2)/$D$105))*$AB91*AE91*0.475*$F$19*44/12,)</f>
        <v>0</v>
      </c>
      <c r="AI91" s="199">
        <f t="shared" ref="AI91:AI154" si="73">IF(OR(AA91&lt;=$F$18,AA91&lt;=30),SUM(AF91:AH91),)</f>
        <v>0</v>
      </c>
      <c r="AK91" s="71">
        <v>86</v>
      </c>
      <c r="AL91" s="33">
        <f t="shared" si="54"/>
        <v>0</v>
      </c>
      <c r="AM91" s="33">
        <f t="shared" si="55"/>
        <v>0</v>
      </c>
      <c r="AN91" s="33">
        <f t="shared" si="56"/>
        <v>0</v>
      </c>
      <c r="AO91" s="33">
        <f t="shared" si="57"/>
        <v>0</v>
      </c>
      <c r="AP91" s="33">
        <f t="shared" si="58"/>
        <v>0</v>
      </c>
      <c r="AQ91" s="194">
        <f t="shared" si="40"/>
        <v>0</v>
      </c>
      <c r="AR91" s="194">
        <f t="shared" si="41"/>
        <v>0</v>
      </c>
      <c r="AS91" s="194">
        <f t="shared" si="42"/>
        <v>0</v>
      </c>
      <c r="AT91" s="194">
        <f t="shared" si="43"/>
        <v>0</v>
      </c>
      <c r="AU91" s="33"/>
      <c r="AV91" s="33"/>
      <c r="AW91" s="33"/>
      <c r="AX91" s="33"/>
      <c r="AY91" s="76"/>
    </row>
    <row r="92" spans="2:51" x14ac:dyDescent="0.3">
      <c r="B92" s="172" t="str">
        <f>IF(C45&lt;=$F$18,C45+1,"-")</f>
        <v>-</v>
      </c>
      <c r="C92" s="148">
        <f>D45-D46</f>
        <v>26</v>
      </c>
      <c r="D92" s="149">
        <v>0.4</v>
      </c>
      <c r="E92" s="129">
        <f t="shared" si="68"/>
        <v>0.33600000000000002</v>
      </c>
      <c r="F92" s="129">
        <f t="shared" si="69"/>
        <v>0.26400000000000001</v>
      </c>
      <c r="G92" s="150"/>
      <c r="H92" s="58">
        <f t="shared" si="67"/>
        <v>0</v>
      </c>
      <c r="I92" s="55">
        <v>87</v>
      </c>
      <c r="J92" s="33">
        <f t="shared" si="61"/>
        <v>0</v>
      </c>
      <c r="K92" s="33">
        <f t="shared" si="62"/>
        <v>0</v>
      </c>
      <c r="L92" s="33">
        <f t="shared" si="63"/>
        <v>0</v>
      </c>
      <c r="M92" s="33">
        <f t="shared" si="64"/>
        <v>0</v>
      </c>
      <c r="N92" s="33">
        <f t="shared" si="44"/>
        <v>0</v>
      </c>
      <c r="O92" s="34">
        <f t="shared" si="45"/>
        <v>0</v>
      </c>
      <c r="P92" s="55">
        <v>87</v>
      </c>
      <c r="Q92" s="33">
        <f t="shared" si="59"/>
        <v>0</v>
      </c>
      <c r="R92" s="33">
        <f t="shared" si="65"/>
        <v>0</v>
      </c>
      <c r="S92" s="33">
        <f t="shared" si="66"/>
        <v>0</v>
      </c>
      <c r="T92" s="33">
        <f t="shared" si="46"/>
        <v>0</v>
      </c>
      <c r="U92" s="33">
        <f t="shared" si="60"/>
        <v>0</v>
      </c>
      <c r="V92" s="33">
        <f t="shared" si="47"/>
        <v>0</v>
      </c>
      <c r="W92" s="33">
        <v>0</v>
      </c>
      <c r="X92" s="33">
        <f t="shared" si="48"/>
        <v>0</v>
      </c>
      <c r="Y92" s="38">
        <f t="shared" si="49"/>
        <v>0</v>
      </c>
      <c r="AA92" s="71">
        <v>87</v>
      </c>
      <c r="AB92" s="33">
        <f t="shared" si="50"/>
        <v>0</v>
      </c>
      <c r="AC92" s="305">
        <f t="shared" si="51"/>
        <v>0</v>
      </c>
      <c r="AD92" s="100">
        <f t="shared" si="52"/>
        <v>0</v>
      </c>
      <c r="AE92" s="100">
        <f t="shared" si="53"/>
        <v>0</v>
      </c>
      <c r="AF92" s="194">
        <f t="shared" si="70"/>
        <v>0</v>
      </c>
      <c r="AG92" s="194">
        <f t="shared" si="71"/>
        <v>0</v>
      </c>
      <c r="AH92" s="194">
        <f t="shared" si="72"/>
        <v>0</v>
      </c>
      <c r="AI92" s="199">
        <f t="shared" si="73"/>
        <v>0</v>
      </c>
      <c r="AK92" s="71">
        <v>87</v>
      </c>
      <c r="AL92" s="33">
        <f t="shared" si="54"/>
        <v>0</v>
      </c>
      <c r="AM92" s="33">
        <f t="shared" si="55"/>
        <v>0</v>
      </c>
      <c r="AN92" s="33">
        <f t="shared" si="56"/>
        <v>0</v>
      </c>
      <c r="AO92" s="33">
        <f t="shared" si="57"/>
        <v>0</v>
      </c>
      <c r="AP92" s="33">
        <f t="shared" si="58"/>
        <v>0</v>
      </c>
      <c r="AQ92" s="194">
        <f t="shared" si="40"/>
        <v>0</v>
      </c>
      <c r="AR92" s="194">
        <f t="shared" si="41"/>
        <v>0</v>
      </c>
      <c r="AS92" s="194">
        <f t="shared" si="42"/>
        <v>0</v>
      </c>
      <c r="AT92" s="194">
        <f t="shared" si="43"/>
        <v>0</v>
      </c>
      <c r="AU92" s="33"/>
      <c r="AV92" s="33"/>
      <c r="AW92" s="33"/>
      <c r="AX92" s="33"/>
      <c r="AY92" s="76"/>
    </row>
    <row r="93" spans="2:51" x14ac:dyDescent="0.3">
      <c r="B93" s="172">
        <f>IF(C47&lt;=$F$18,C47+1,"-")</f>
        <v>1</v>
      </c>
      <c r="C93" s="148">
        <f>D47-D48</f>
        <v>0</v>
      </c>
      <c r="D93" s="149">
        <v>0.5</v>
      </c>
      <c r="E93" s="129">
        <f t="shared" si="68"/>
        <v>0.28000000000000003</v>
      </c>
      <c r="F93" s="129">
        <f t="shared" si="69"/>
        <v>0.22</v>
      </c>
      <c r="G93" s="150"/>
      <c r="H93" s="58">
        <f t="shared" si="67"/>
        <v>0</v>
      </c>
      <c r="I93" s="55">
        <v>88</v>
      </c>
      <c r="J93" s="33">
        <f t="shared" si="61"/>
        <v>0</v>
      </c>
      <c r="K93" s="33">
        <f t="shared" si="62"/>
        <v>0</v>
      </c>
      <c r="L93" s="33">
        <f t="shared" si="63"/>
        <v>0</v>
      </c>
      <c r="M93" s="33">
        <f t="shared" si="64"/>
        <v>0</v>
      </c>
      <c r="N93" s="33">
        <f t="shared" si="44"/>
        <v>0</v>
      </c>
      <c r="O93" s="34">
        <f t="shared" si="45"/>
        <v>0</v>
      </c>
      <c r="P93" s="55">
        <v>88</v>
      </c>
      <c r="Q93" s="33">
        <f t="shared" si="59"/>
        <v>0</v>
      </c>
      <c r="R93" s="33">
        <f t="shared" si="65"/>
        <v>0</v>
      </c>
      <c r="S93" s="33">
        <f t="shared" si="66"/>
        <v>0</v>
      </c>
      <c r="T93" s="33">
        <f t="shared" si="46"/>
        <v>0</v>
      </c>
      <c r="U93" s="33">
        <f t="shared" si="60"/>
        <v>0</v>
      </c>
      <c r="V93" s="33">
        <f t="shared" si="47"/>
        <v>0</v>
      </c>
      <c r="W93" s="33">
        <v>0</v>
      </c>
      <c r="X93" s="33">
        <f t="shared" si="48"/>
        <v>0</v>
      </c>
      <c r="Y93" s="38">
        <f t="shared" si="49"/>
        <v>0</v>
      </c>
      <c r="AA93" s="71">
        <v>88</v>
      </c>
      <c r="AB93" s="33">
        <f t="shared" si="50"/>
        <v>0</v>
      </c>
      <c r="AC93" s="305">
        <f t="shared" si="51"/>
        <v>0</v>
      </c>
      <c r="AD93" s="100">
        <f t="shared" si="52"/>
        <v>0</v>
      </c>
      <c r="AE93" s="100">
        <f t="shared" si="53"/>
        <v>0</v>
      </c>
      <c r="AF93" s="194">
        <f t="shared" si="70"/>
        <v>0</v>
      </c>
      <c r="AG93" s="194">
        <f t="shared" si="71"/>
        <v>0</v>
      </c>
      <c r="AH93" s="194">
        <f t="shared" si="72"/>
        <v>0</v>
      </c>
      <c r="AI93" s="199">
        <f t="shared" si="73"/>
        <v>0</v>
      </c>
      <c r="AK93" s="71">
        <v>88</v>
      </c>
      <c r="AL93" s="33">
        <f t="shared" si="54"/>
        <v>0</v>
      </c>
      <c r="AM93" s="33">
        <f t="shared" si="55"/>
        <v>0</v>
      </c>
      <c r="AN93" s="33">
        <f t="shared" si="56"/>
        <v>0</v>
      </c>
      <c r="AO93" s="33">
        <f t="shared" si="57"/>
        <v>0</v>
      </c>
      <c r="AP93" s="33">
        <f t="shared" si="58"/>
        <v>0</v>
      </c>
      <c r="AQ93" s="194">
        <f t="shared" si="40"/>
        <v>0</v>
      </c>
      <c r="AR93" s="194">
        <f t="shared" si="41"/>
        <v>0</v>
      </c>
      <c r="AS93" s="194">
        <f t="shared" si="42"/>
        <v>0</v>
      </c>
      <c r="AT93" s="194">
        <f t="shared" si="43"/>
        <v>0</v>
      </c>
      <c r="AU93" s="33"/>
      <c r="AV93" s="33"/>
      <c r="AW93" s="33"/>
      <c r="AX93" s="33"/>
      <c r="AY93" s="76"/>
    </row>
    <row r="94" spans="2:51" x14ac:dyDescent="0.3">
      <c r="B94" s="172">
        <f>IF(C49&lt;=$F$18,C49+1,"-")</f>
        <v>1</v>
      </c>
      <c r="C94" s="148">
        <f>D49-D50</f>
        <v>0</v>
      </c>
      <c r="D94" s="149">
        <v>0.5</v>
      </c>
      <c r="E94" s="129">
        <f>IF(G94+D94&lt;&gt;1,(1-(G94+D94))*56%,0)</f>
        <v>0.28000000000000003</v>
      </c>
      <c r="F94" s="129">
        <f>IF(G94+D94&lt;&gt;1,(1-(G94+D94))*44%,0)</f>
        <v>0.22</v>
      </c>
      <c r="G94" s="150"/>
      <c r="H94" s="58">
        <f>IF(C94=0,0,IF(SUM(D94:G94)&lt;&gt;1,"erreur",))</f>
        <v>0</v>
      </c>
      <c r="I94" s="55">
        <v>89</v>
      </c>
      <c r="J94" s="33">
        <f t="shared" si="61"/>
        <v>0</v>
      </c>
      <c r="K94" s="33">
        <f t="shared" si="62"/>
        <v>0</v>
      </c>
      <c r="L94" s="33">
        <f t="shared" si="63"/>
        <v>0</v>
      </c>
      <c r="M94" s="33">
        <f t="shared" si="64"/>
        <v>0</v>
      </c>
      <c r="N94" s="33">
        <f t="shared" si="44"/>
        <v>0</v>
      </c>
      <c r="O94" s="34">
        <f t="shared" si="45"/>
        <v>0</v>
      </c>
      <c r="P94" s="55">
        <v>89</v>
      </c>
      <c r="Q94" s="33">
        <f t="shared" si="59"/>
        <v>0</v>
      </c>
      <c r="R94" s="33">
        <f t="shared" si="65"/>
        <v>0</v>
      </c>
      <c r="S94" s="33">
        <f t="shared" si="66"/>
        <v>0</v>
      </c>
      <c r="T94" s="33">
        <f t="shared" si="46"/>
        <v>0</v>
      </c>
      <c r="U94" s="33">
        <f t="shared" si="60"/>
        <v>0</v>
      </c>
      <c r="V94" s="33">
        <f t="shared" si="47"/>
        <v>0</v>
      </c>
      <c r="W94" s="33">
        <v>0</v>
      </c>
      <c r="X94" s="33">
        <f t="shared" si="48"/>
        <v>0</v>
      </c>
      <c r="Y94" s="38">
        <f t="shared" si="49"/>
        <v>0</v>
      </c>
      <c r="AA94" s="71">
        <v>89</v>
      </c>
      <c r="AB94" s="33">
        <f t="shared" si="50"/>
        <v>0</v>
      </c>
      <c r="AC94" s="305">
        <f t="shared" si="51"/>
        <v>0</v>
      </c>
      <c r="AD94" s="100">
        <f t="shared" si="52"/>
        <v>0</v>
      </c>
      <c r="AE94" s="100">
        <f t="shared" si="53"/>
        <v>0</v>
      </c>
      <c r="AF94" s="194">
        <f t="shared" si="70"/>
        <v>0</v>
      </c>
      <c r="AG94" s="194">
        <f t="shared" si="71"/>
        <v>0</v>
      </c>
      <c r="AH94" s="194">
        <f t="shared" si="72"/>
        <v>0</v>
      </c>
      <c r="AI94" s="199">
        <f t="shared" si="73"/>
        <v>0</v>
      </c>
      <c r="AK94" s="71">
        <v>89</v>
      </c>
      <c r="AL94" s="33">
        <f t="shared" si="54"/>
        <v>0</v>
      </c>
      <c r="AM94" s="33">
        <f t="shared" si="55"/>
        <v>0</v>
      </c>
      <c r="AN94" s="33">
        <f t="shared" si="56"/>
        <v>0</v>
      </c>
      <c r="AO94" s="33">
        <f t="shared" si="57"/>
        <v>0</v>
      </c>
      <c r="AP94" s="33">
        <f t="shared" si="58"/>
        <v>0</v>
      </c>
      <c r="AQ94" s="194">
        <f t="shared" si="40"/>
        <v>0</v>
      </c>
      <c r="AR94" s="194">
        <f t="shared" si="41"/>
        <v>0</v>
      </c>
      <c r="AS94" s="194">
        <f t="shared" si="42"/>
        <v>0</v>
      </c>
      <c r="AT94" s="194">
        <f t="shared" si="43"/>
        <v>0</v>
      </c>
      <c r="AU94" s="33"/>
      <c r="AV94" s="33"/>
      <c r="AW94" s="33"/>
      <c r="AX94" s="33"/>
      <c r="AY94" s="76"/>
    </row>
    <row r="95" spans="2:51" x14ac:dyDescent="0.3">
      <c r="B95" s="184">
        <f>F18</f>
        <v>70</v>
      </c>
      <c r="C95" s="181">
        <f>VLOOKUP(B95,C25:D78,2)</f>
        <v>430</v>
      </c>
      <c r="D95" s="336">
        <v>0.9</v>
      </c>
      <c r="E95" s="338">
        <f>IF(G95+D95&lt;&gt;1,(1-(G95+D95))*56%,0)</f>
        <v>5.5999999999999994E-2</v>
      </c>
      <c r="F95" s="338">
        <f>IF(G95+D95&lt;&gt;1,(1-(G95+D95))*44%,0)</f>
        <v>4.3999999999999991E-2</v>
      </c>
      <c r="G95" s="151"/>
      <c r="H95" s="58">
        <f>IF(C95=0,0,IF(SUM(D95:G95)&lt;&gt;1,"erreur",))</f>
        <v>0</v>
      </c>
      <c r="I95" s="55">
        <v>90</v>
      </c>
      <c r="J95" s="33">
        <f t="shared" si="61"/>
        <v>0</v>
      </c>
      <c r="K95" s="33">
        <f t="shared" si="62"/>
        <v>0</v>
      </c>
      <c r="L95" s="33">
        <f t="shared" si="63"/>
        <v>0</v>
      </c>
      <c r="M95" s="33">
        <f t="shared" si="64"/>
        <v>0</v>
      </c>
      <c r="N95" s="33">
        <f t="shared" si="44"/>
        <v>0</v>
      </c>
      <c r="O95" s="34">
        <f t="shared" si="45"/>
        <v>0</v>
      </c>
      <c r="P95" s="55">
        <v>90</v>
      </c>
      <c r="Q95" s="33">
        <f t="shared" si="59"/>
        <v>0</v>
      </c>
      <c r="R95" s="33">
        <f t="shared" si="65"/>
        <v>0</v>
      </c>
      <c r="S95" s="33">
        <f t="shared" si="66"/>
        <v>0</v>
      </c>
      <c r="T95" s="33">
        <f t="shared" si="46"/>
        <v>0</v>
      </c>
      <c r="U95" s="33">
        <f t="shared" si="60"/>
        <v>0</v>
      </c>
      <c r="V95" s="33">
        <f t="shared" si="47"/>
        <v>0</v>
      </c>
      <c r="W95" s="33">
        <v>0</v>
      </c>
      <c r="X95" s="33">
        <f t="shared" si="48"/>
        <v>0</v>
      </c>
      <c r="Y95" s="38">
        <f t="shared" si="49"/>
        <v>0</v>
      </c>
      <c r="AA95" s="71">
        <v>90</v>
      </c>
      <c r="AB95" s="33">
        <f t="shared" si="50"/>
        <v>0</v>
      </c>
      <c r="AC95" s="305">
        <f t="shared" si="51"/>
        <v>0</v>
      </c>
      <c r="AD95" s="100">
        <f t="shared" si="52"/>
        <v>0</v>
      </c>
      <c r="AE95" s="100">
        <f t="shared" si="53"/>
        <v>0</v>
      </c>
      <c r="AF95" s="194">
        <f t="shared" si="70"/>
        <v>0</v>
      </c>
      <c r="AG95" s="194">
        <f t="shared" si="71"/>
        <v>0</v>
      </c>
      <c r="AH95" s="194">
        <f t="shared" si="72"/>
        <v>0</v>
      </c>
      <c r="AI95" s="199">
        <f t="shared" si="73"/>
        <v>0</v>
      </c>
      <c r="AK95" s="71">
        <v>90</v>
      </c>
      <c r="AL95" s="33">
        <f t="shared" si="54"/>
        <v>0</v>
      </c>
      <c r="AM95" s="33">
        <f t="shared" si="55"/>
        <v>0</v>
      </c>
      <c r="AN95" s="33">
        <f t="shared" si="56"/>
        <v>0</v>
      </c>
      <c r="AO95" s="33">
        <f t="shared" si="57"/>
        <v>0</v>
      </c>
      <c r="AP95" s="33">
        <f t="shared" si="58"/>
        <v>0</v>
      </c>
      <c r="AQ95" s="194">
        <f t="shared" si="40"/>
        <v>0</v>
      </c>
      <c r="AR95" s="194">
        <f t="shared" si="41"/>
        <v>0</v>
      </c>
      <c r="AS95" s="194">
        <f t="shared" si="42"/>
        <v>0</v>
      </c>
      <c r="AT95" s="194">
        <f t="shared" si="43"/>
        <v>0</v>
      </c>
      <c r="AU95" s="33"/>
      <c r="AV95" s="33"/>
      <c r="AW95" s="33"/>
      <c r="AX95" s="33"/>
      <c r="AY95" s="76"/>
    </row>
    <row r="96" spans="2:51" x14ac:dyDescent="0.3">
      <c r="I96" s="55">
        <v>91</v>
      </c>
      <c r="J96" s="33">
        <f t="shared" si="61"/>
        <v>0</v>
      </c>
      <c r="K96" s="33">
        <f t="shared" si="62"/>
        <v>0</v>
      </c>
      <c r="L96" s="33">
        <f t="shared" si="63"/>
        <v>0</v>
      </c>
      <c r="M96" s="33">
        <f t="shared" si="64"/>
        <v>0</v>
      </c>
      <c r="N96" s="33">
        <f t="shared" si="44"/>
        <v>0</v>
      </c>
      <c r="O96" s="34">
        <f t="shared" si="45"/>
        <v>0</v>
      </c>
      <c r="P96" s="55">
        <v>91</v>
      </c>
      <c r="Q96" s="33">
        <f t="shared" si="59"/>
        <v>0</v>
      </c>
      <c r="R96" s="33">
        <f t="shared" si="65"/>
        <v>0</v>
      </c>
      <c r="S96" s="33">
        <f t="shared" si="66"/>
        <v>0</v>
      </c>
      <c r="T96" s="33">
        <f t="shared" si="46"/>
        <v>0</v>
      </c>
      <c r="U96" s="33">
        <f t="shared" si="60"/>
        <v>0</v>
      </c>
      <c r="V96" s="33">
        <f t="shared" si="47"/>
        <v>0</v>
      </c>
      <c r="W96" s="33">
        <v>0</v>
      </c>
      <c r="X96" s="33">
        <f t="shared" si="48"/>
        <v>0</v>
      </c>
      <c r="Y96" s="38">
        <f t="shared" si="49"/>
        <v>0</v>
      </c>
      <c r="AA96" s="71">
        <v>91</v>
      </c>
      <c r="AB96" s="33">
        <f t="shared" si="50"/>
        <v>0</v>
      </c>
      <c r="AC96" s="305">
        <f t="shared" si="51"/>
        <v>0</v>
      </c>
      <c r="AD96" s="100">
        <f t="shared" si="52"/>
        <v>0</v>
      </c>
      <c r="AE96" s="100">
        <f t="shared" si="53"/>
        <v>0</v>
      </c>
      <c r="AF96" s="194">
        <f t="shared" si="70"/>
        <v>0</v>
      </c>
      <c r="AG96" s="194">
        <f t="shared" si="71"/>
        <v>0</v>
      </c>
      <c r="AH96" s="194">
        <f t="shared" si="72"/>
        <v>0</v>
      </c>
      <c r="AI96" s="199">
        <f t="shared" si="73"/>
        <v>0</v>
      </c>
      <c r="AK96" s="71">
        <v>91</v>
      </c>
      <c r="AL96" s="33">
        <f t="shared" si="54"/>
        <v>0</v>
      </c>
      <c r="AM96" s="33">
        <f t="shared" si="55"/>
        <v>0</v>
      </c>
      <c r="AN96" s="33">
        <f t="shared" si="56"/>
        <v>0</v>
      </c>
      <c r="AO96" s="33">
        <f t="shared" si="57"/>
        <v>0</v>
      </c>
      <c r="AP96" s="33">
        <f t="shared" si="58"/>
        <v>0</v>
      </c>
      <c r="AQ96" s="194">
        <f t="shared" si="40"/>
        <v>0</v>
      </c>
      <c r="AR96" s="194">
        <f t="shared" si="41"/>
        <v>0</v>
      </c>
      <c r="AS96" s="194">
        <f t="shared" si="42"/>
        <v>0</v>
      </c>
      <c r="AT96" s="194">
        <f t="shared" si="43"/>
        <v>0</v>
      </c>
      <c r="AU96" s="33"/>
      <c r="AV96" s="33"/>
      <c r="AW96" s="33"/>
      <c r="AX96" s="33"/>
      <c r="AY96" s="76"/>
    </row>
    <row r="97" spans="2:51" x14ac:dyDescent="0.3">
      <c r="C97" s="67" t="s">
        <v>154</v>
      </c>
      <c r="D97" t="s">
        <v>137</v>
      </c>
      <c r="E97" s="6"/>
      <c r="I97" s="55">
        <v>92</v>
      </c>
      <c r="J97" s="33">
        <f t="shared" si="61"/>
        <v>0</v>
      </c>
      <c r="K97" s="33">
        <f t="shared" si="62"/>
        <v>0</v>
      </c>
      <c r="L97" s="33">
        <f t="shared" si="63"/>
        <v>0</v>
      </c>
      <c r="M97" s="33">
        <f t="shared" si="64"/>
        <v>0</v>
      </c>
      <c r="N97" s="33">
        <f t="shared" si="44"/>
        <v>0</v>
      </c>
      <c r="O97" s="34">
        <f t="shared" si="45"/>
        <v>0</v>
      </c>
      <c r="P97" s="55">
        <v>92</v>
      </c>
      <c r="Q97" s="33">
        <f t="shared" si="59"/>
        <v>0</v>
      </c>
      <c r="R97" s="33">
        <f t="shared" si="65"/>
        <v>0</v>
      </c>
      <c r="S97" s="33">
        <f t="shared" si="66"/>
        <v>0</v>
      </c>
      <c r="T97" s="33">
        <f t="shared" si="46"/>
        <v>0</v>
      </c>
      <c r="U97" s="33">
        <f t="shared" si="60"/>
        <v>0</v>
      </c>
      <c r="V97" s="33">
        <f t="shared" si="47"/>
        <v>0</v>
      </c>
      <c r="W97" s="33">
        <v>0</v>
      </c>
      <c r="X97" s="33">
        <f t="shared" si="48"/>
        <v>0</v>
      </c>
      <c r="Y97" s="38">
        <f t="shared" si="49"/>
        <v>0</v>
      </c>
      <c r="AA97" s="71">
        <v>92</v>
      </c>
      <c r="AB97" s="33">
        <f t="shared" si="50"/>
        <v>0</v>
      </c>
      <c r="AC97" s="305">
        <f t="shared" si="51"/>
        <v>0</v>
      </c>
      <c r="AD97" s="100">
        <f t="shared" si="52"/>
        <v>0</v>
      </c>
      <c r="AE97" s="100">
        <f t="shared" si="53"/>
        <v>0</v>
      </c>
      <c r="AF97" s="194">
        <f t="shared" si="70"/>
        <v>0</v>
      </c>
      <c r="AG97" s="194">
        <f t="shared" si="71"/>
        <v>0</v>
      </c>
      <c r="AH97" s="194">
        <f t="shared" si="72"/>
        <v>0</v>
      </c>
      <c r="AI97" s="199">
        <f t="shared" si="73"/>
        <v>0</v>
      </c>
      <c r="AK97" s="71">
        <v>92</v>
      </c>
      <c r="AL97" s="33">
        <f t="shared" si="54"/>
        <v>0</v>
      </c>
      <c r="AM97" s="33">
        <f t="shared" si="55"/>
        <v>0</v>
      </c>
      <c r="AN97" s="33">
        <f t="shared" si="56"/>
        <v>0</v>
      </c>
      <c r="AO97" s="33">
        <f t="shared" si="57"/>
        <v>0</v>
      </c>
      <c r="AP97" s="33">
        <f t="shared" si="58"/>
        <v>0</v>
      </c>
      <c r="AQ97" s="194">
        <f t="shared" si="40"/>
        <v>0</v>
      </c>
      <c r="AR97" s="194">
        <f t="shared" si="41"/>
        <v>0</v>
      </c>
      <c r="AS97" s="194">
        <f t="shared" si="42"/>
        <v>0</v>
      </c>
      <c r="AT97" s="194">
        <f t="shared" si="43"/>
        <v>0</v>
      </c>
      <c r="AU97" s="33"/>
      <c r="AV97" s="33"/>
      <c r="AW97" s="33"/>
      <c r="AX97" s="33"/>
      <c r="AY97" s="76"/>
    </row>
    <row r="98" spans="2:51" x14ac:dyDescent="0.3">
      <c r="B98" s="2" t="s">
        <v>0</v>
      </c>
      <c r="C98">
        <v>32</v>
      </c>
      <c r="D98">
        <v>0</v>
      </c>
      <c r="E98" s="6"/>
      <c r="I98" s="55">
        <v>93</v>
      </c>
      <c r="J98" s="33">
        <f t="shared" si="61"/>
        <v>0</v>
      </c>
      <c r="K98" s="33">
        <f t="shared" si="62"/>
        <v>0</v>
      </c>
      <c r="L98" s="33">
        <f t="shared" si="63"/>
        <v>0</v>
      </c>
      <c r="M98" s="33">
        <f t="shared" si="64"/>
        <v>0</v>
      </c>
      <c r="N98" s="33">
        <f t="shared" si="44"/>
        <v>0</v>
      </c>
      <c r="O98" s="34">
        <f t="shared" si="45"/>
        <v>0</v>
      </c>
      <c r="P98" s="55">
        <v>93</v>
      </c>
      <c r="Q98" s="33">
        <f t="shared" si="59"/>
        <v>0</v>
      </c>
      <c r="R98" s="33">
        <f t="shared" si="65"/>
        <v>0</v>
      </c>
      <c r="S98" s="33">
        <f t="shared" si="66"/>
        <v>0</v>
      </c>
      <c r="T98" s="33">
        <f t="shared" si="46"/>
        <v>0</v>
      </c>
      <c r="U98" s="33">
        <f t="shared" si="60"/>
        <v>0</v>
      </c>
      <c r="V98" s="33">
        <f t="shared" si="47"/>
        <v>0</v>
      </c>
      <c r="W98" s="33">
        <v>0</v>
      </c>
      <c r="X98" s="33">
        <f t="shared" si="48"/>
        <v>0</v>
      </c>
      <c r="Y98" s="38">
        <f t="shared" si="49"/>
        <v>0</v>
      </c>
      <c r="AA98" s="71">
        <v>93</v>
      </c>
      <c r="AB98" s="33">
        <f t="shared" si="50"/>
        <v>0</v>
      </c>
      <c r="AC98" s="305">
        <f t="shared" si="51"/>
        <v>0</v>
      </c>
      <c r="AD98" s="100">
        <f t="shared" si="52"/>
        <v>0</v>
      </c>
      <c r="AE98" s="100">
        <f t="shared" si="53"/>
        <v>0</v>
      </c>
      <c r="AF98" s="194">
        <f t="shared" si="70"/>
        <v>0</v>
      </c>
      <c r="AG98" s="194">
        <f t="shared" si="71"/>
        <v>0</v>
      </c>
      <c r="AH98" s="194">
        <f t="shared" si="72"/>
        <v>0</v>
      </c>
      <c r="AI98" s="199">
        <f t="shared" si="73"/>
        <v>0</v>
      </c>
      <c r="AK98" s="71">
        <v>93</v>
      </c>
      <c r="AL98" s="33">
        <f t="shared" si="54"/>
        <v>0</v>
      </c>
      <c r="AM98" s="33">
        <f t="shared" si="55"/>
        <v>0</v>
      </c>
      <c r="AN98" s="33">
        <f t="shared" si="56"/>
        <v>0</v>
      </c>
      <c r="AO98" s="33">
        <f t="shared" si="57"/>
        <v>0</v>
      </c>
      <c r="AP98" s="33">
        <f t="shared" si="58"/>
        <v>0</v>
      </c>
      <c r="AQ98" s="194">
        <f t="shared" si="40"/>
        <v>0</v>
      </c>
      <c r="AR98" s="194">
        <f t="shared" si="41"/>
        <v>0</v>
      </c>
      <c r="AS98" s="194">
        <f t="shared" si="42"/>
        <v>0</v>
      </c>
      <c r="AT98" s="194">
        <f t="shared" si="43"/>
        <v>0</v>
      </c>
      <c r="AU98" s="33"/>
      <c r="AV98" s="33"/>
      <c r="AW98" s="33"/>
      <c r="AX98" s="33"/>
      <c r="AY98" s="76"/>
    </row>
    <row r="99" spans="2:51" x14ac:dyDescent="0.3">
      <c r="B99" s="2" t="s">
        <v>1</v>
      </c>
      <c r="C99">
        <v>45</v>
      </c>
      <c r="D99">
        <v>0</v>
      </c>
      <c r="E99" s="6"/>
      <c r="I99" s="55">
        <v>94</v>
      </c>
      <c r="J99" s="33">
        <f t="shared" si="61"/>
        <v>0</v>
      </c>
      <c r="K99" s="33">
        <f t="shared" si="62"/>
        <v>0</v>
      </c>
      <c r="L99" s="33">
        <f t="shared" si="63"/>
        <v>0</v>
      </c>
      <c r="M99" s="33">
        <f t="shared" si="64"/>
        <v>0</v>
      </c>
      <c r="N99" s="33">
        <f t="shared" si="44"/>
        <v>0</v>
      </c>
      <c r="O99" s="34">
        <f t="shared" si="45"/>
        <v>0</v>
      </c>
      <c r="P99" s="55">
        <v>94</v>
      </c>
      <c r="Q99" s="33">
        <f t="shared" si="59"/>
        <v>0</v>
      </c>
      <c r="R99" s="33">
        <f t="shared" si="65"/>
        <v>0</v>
      </c>
      <c r="S99" s="33">
        <f t="shared" si="66"/>
        <v>0</v>
      </c>
      <c r="T99" s="33">
        <f t="shared" si="46"/>
        <v>0</v>
      </c>
      <c r="U99" s="33">
        <f t="shared" si="60"/>
        <v>0</v>
      </c>
      <c r="V99" s="33">
        <f t="shared" si="47"/>
        <v>0</v>
      </c>
      <c r="W99" s="33">
        <v>0</v>
      </c>
      <c r="X99" s="33">
        <f t="shared" si="48"/>
        <v>0</v>
      </c>
      <c r="Y99" s="38">
        <f t="shared" si="49"/>
        <v>0</v>
      </c>
      <c r="AA99" s="71">
        <v>94</v>
      </c>
      <c r="AB99" s="33">
        <f t="shared" si="50"/>
        <v>0</v>
      </c>
      <c r="AC99" s="305">
        <f t="shared" si="51"/>
        <v>0</v>
      </c>
      <c r="AD99" s="100">
        <f t="shared" si="52"/>
        <v>0</v>
      </c>
      <c r="AE99" s="100">
        <f t="shared" si="53"/>
        <v>0</v>
      </c>
      <c r="AF99" s="194">
        <f t="shared" si="70"/>
        <v>0</v>
      </c>
      <c r="AG99" s="194">
        <f t="shared" si="71"/>
        <v>0</v>
      </c>
      <c r="AH99" s="194">
        <f t="shared" si="72"/>
        <v>0</v>
      </c>
      <c r="AI99" s="199">
        <f t="shared" si="73"/>
        <v>0</v>
      </c>
      <c r="AK99" s="71">
        <v>94</v>
      </c>
      <c r="AL99" s="33">
        <f t="shared" si="54"/>
        <v>0</v>
      </c>
      <c r="AM99" s="33">
        <f t="shared" si="55"/>
        <v>0</v>
      </c>
      <c r="AN99" s="33">
        <f t="shared" si="56"/>
        <v>0</v>
      </c>
      <c r="AO99" s="33">
        <f t="shared" si="57"/>
        <v>0</v>
      </c>
      <c r="AP99" s="33">
        <f t="shared" si="58"/>
        <v>0</v>
      </c>
      <c r="AQ99" s="194">
        <f t="shared" si="40"/>
        <v>0</v>
      </c>
      <c r="AR99" s="194">
        <f t="shared" si="41"/>
        <v>0</v>
      </c>
      <c r="AS99" s="194">
        <f t="shared" si="42"/>
        <v>0</v>
      </c>
      <c r="AT99" s="194">
        <f t="shared" si="43"/>
        <v>0</v>
      </c>
      <c r="AU99" s="33"/>
      <c r="AV99" s="33"/>
      <c r="AW99" s="33"/>
      <c r="AX99" s="33"/>
      <c r="AY99" s="76"/>
    </row>
    <row r="100" spans="2:51" x14ac:dyDescent="0.3">
      <c r="B100" s="2" t="s">
        <v>2</v>
      </c>
      <c r="C100">
        <v>70</v>
      </c>
      <c r="D100">
        <v>0</v>
      </c>
      <c r="E100" s="6"/>
      <c r="I100" s="55">
        <v>95</v>
      </c>
      <c r="J100" s="33">
        <f t="shared" si="61"/>
        <v>0</v>
      </c>
      <c r="K100" s="33">
        <f t="shared" si="62"/>
        <v>0</v>
      </c>
      <c r="L100" s="33">
        <f t="shared" si="63"/>
        <v>0</v>
      </c>
      <c r="M100" s="33">
        <f t="shared" si="64"/>
        <v>0</v>
      </c>
      <c r="N100" s="33">
        <f t="shared" si="44"/>
        <v>0</v>
      </c>
      <c r="O100" s="34">
        <f t="shared" si="45"/>
        <v>0</v>
      </c>
      <c r="P100" s="55">
        <v>95</v>
      </c>
      <c r="Q100" s="33">
        <f t="shared" si="59"/>
        <v>0</v>
      </c>
      <c r="R100" s="33">
        <f t="shared" si="65"/>
        <v>0</v>
      </c>
      <c r="S100" s="33">
        <f t="shared" si="66"/>
        <v>0</v>
      </c>
      <c r="T100" s="33">
        <f t="shared" si="46"/>
        <v>0</v>
      </c>
      <c r="U100" s="33">
        <f t="shared" si="60"/>
        <v>0</v>
      </c>
      <c r="V100" s="33">
        <f t="shared" si="47"/>
        <v>0</v>
      </c>
      <c r="W100" s="33">
        <v>0</v>
      </c>
      <c r="X100" s="33">
        <f t="shared" si="48"/>
        <v>0</v>
      </c>
      <c r="Y100" s="38">
        <f t="shared" si="49"/>
        <v>0</v>
      </c>
      <c r="AA100" s="71">
        <v>95</v>
      </c>
      <c r="AB100" s="33">
        <f t="shared" si="50"/>
        <v>0</v>
      </c>
      <c r="AC100" s="305">
        <f t="shared" si="51"/>
        <v>0</v>
      </c>
      <c r="AD100" s="100">
        <f t="shared" si="52"/>
        <v>0</v>
      </c>
      <c r="AE100" s="100">
        <f t="shared" si="53"/>
        <v>0</v>
      </c>
      <c r="AF100" s="194">
        <f t="shared" si="70"/>
        <v>0</v>
      </c>
      <c r="AG100" s="194">
        <f t="shared" si="71"/>
        <v>0</v>
      </c>
      <c r="AH100" s="194">
        <f t="shared" si="72"/>
        <v>0</v>
      </c>
      <c r="AI100" s="199">
        <f t="shared" si="73"/>
        <v>0</v>
      </c>
      <c r="AK100" s="71">
        <v>95</v>
      </c>
      <c r="AL100" s="33">
        <f t="shared" si="54"/>
        <v>0</v>
      </c>
      <c r="AM100" s="33">
        <f t="shared" si="55"/>
        <v>0</v>
      </c>
      <c r="AN100" s="33">
        <f t="shared" si="56"/>
        <v>0</v>
      </c>
      <c r="AO100" s="33">
        <f t="shared" si="57"/>
        <v>0</v>
      </c>
      <c r="AP100" s="33">
        <f t="shared" si="58"/>
        <v>0</v>
      </c>
      <c r="AQ100" s="194">
        <f t="shared" ref="AQ100:AQ163" si="74">IF($AK100&lt;=$F$18,$AL100*AM100,)</f>
        <v>0</v>
      </c>
      <c r="AR100" s="194">
        <f t="shared" ref="AR100:AR163" si="75">IF($AK100&lt;=$F$18,$AL100*AN100,)</f>
        <v>0</v>
      </c>
      <c r="AS100" s="194">
        <f t="shared" ref="AS100:AS163" si="76">IF($AK100&lt;=$F$18,$AL100*AO100,)</f>
        <v>0</v>
      </c>
      <c r="AT100" s="194">
        <f t="shared" ref="AT100:AT163" si="77">IF($AK100&lt;=$F$18,$AL100*AP100,)</f>
        <v>0</v>
      </c>
      <c r="AU100" s="33"/>
      <c r="AV100" s="33"/>
      <c r="AW100" s="33"/>
      <c r="AX100" s="33"/>
      <c r="AY100" s="76"/>
    </row>
    <row r="101" spans="2:51" x14ac:dyDescent="0.3">
      <c r="B101" s="2" t="s">
        <v>135</v>
      </c>
      <c r="C101">
        <v>70</v>
      </c>
      <c r="D101">
        <v>0</v>
      </c>
      <c r="E101" s="6"/>
      <c r="I101" s="55">
        <v>96</v>
      </c>
      <c r="J101" s="33">
        <f t="shared" si="61"/>
        <v>0</v>
      </c>
      <c r="K101" s="33">
        <f t="shared" si="62"/>
        <v>0</v>
      </c>
      <c r="L101" s="33">
        <f t="shared" si="63"/>
        <v>0</v>
      </c>
      <c r="M101" s="33">
        <f t="shared" si="64"/>
        <v>0</v>
      </c>
      <c r="N101" s="33">
        <f t="shared" si="44"/>
        <v>0</v>
      </c>
      <c r="O101" s="34">
        <f t="shared" si="45"/>
        <v>0</v>
      </c>
      <c r="P101" s="55">
        <v>96</v>
      </c>
      <c r="Q101" s="33">
        <f t="shared" si="59"/>
        <v>0</v>
      </c>
      <c r="R101" s="33">
        <f t="shared" si="65"/>
        <v>0</v>
      </c>
      <c r="S101" s="33">
        <f t="shared" si="66"/>
        <v>0</v>
      </c>
      <c r="T101" s="33">
        <f t="shared" si="46"/>
        <v>0</v>
      </c>
      <c r="U101" s="33">
        <f t="shared" si="60"/>
        <v>0</v>
      </c>
      <c r="V101" s="33">
        <f t="shared" si="47"/>
        <v>0</v>
      </c>
      <c r="W101" s="33">
        <v>0</v>
      </c>
      <c r="X101" s="33">
        <f t="shared" si="48"/>
        <v>0</v>
      </c>
      <c r="Y101" s="38">
        <f t="shared" si="49"/>
        <v>0</v>
      </c>
      <c r="AA101" s="71">
        <v>96</v>
      </c>
      <c r="AB101" s="33">
        <f t="shared" si="50"/>
        <v>0</v>
      </c>
      <c r="AC101" s="305">
        <f t="shared" si="51"/>
        <v>0</v>
      </c>
      <c r="AD101" s="100">
        <f t="shared" si="52"/>
        <v>0</v>
      </c>
      <c r="AE101" s="100">
        <f t="shared" si="53"/>
        <v>0</v>
      </c>
      <c r="AF101" s="194">
        <f t="shared" si="70"/>
        <v>0</v>
      </c>
      <c r="AG101" s="194">
        <f t="shared" si="71"/>
        <v>0</v>
      </c>
      <c r="AH101" s="194">
        <f t="shared" si="72"/>
        <v>0</v>
      </c>
      <c r="AI101" s="199">
        <f t="shared" si="73"/>
        <v>0</v>
      </c>
      <c r="AK101" s="71">
        <v>96</v>
      </c>
      <c r="AL101" s="33">
        <f t="shared" si="54"/>
        <v>0</v>
      </c>
      <c r="AM101" s="33">
        <f t="shared" si="55"/>
        <v>0</v>
      </c>
      <c r="AN101" s="33">
        <f t="shared" si="56"/>
        <v>0</v>
      </c>
      <c r="AO101" s="33">
        <f t="shared" si="57"/>
        <v>0</v>
      </c>
      <c r="AP101" s="33">
        <f t="shared" si="58"/>
        <v>0</v>
      </c>
      <c r="AQ101" s="194">
        <f t="shared" si="74"/>
        <v>0</v>
      </c>
      <c r="AR101" s="194">
        <f t="shared" si="75"/>
        <v>0</v>
      </c>
      <c r="AS101" s="194">
        <f t="shared" si="76"/>
        <v>0</v>
      </c>
      <c r="AT101" s="194">
        <f t="shared" si="77"/>
        <v>0</v>
      </c>
      <c r="AU101" s="33"/>
      <c r="AV101" s="33"/>
      <c r="AW101" s="33"/>
      <c r="AX101" s="33"/>
      <c r="AY101" s="76"/>
    </row>
    <row r="102" spans="2:51" x14ac:dyDescent="0.3">
      <c r="C102" s="27"/>
      <c r="E102" s="6"/>
      <c r="I102" s="55">
        <v>97</v>
      </c>
      <c r="J102" s="33">
        <f t="shared" si="61"/>
        <v>0</v>
      </c>
      <c r="K102" s="33">
        <f t="shared" si="62"/>
        <v>0</v>
      </c>
      <c r="L102" s="33">
        <f t="shared" si="63"/>
        <v>0</v>
      </c>
      <c r="M102" s="33">
        <f t="shared" si="64"/>
        <v>0</v>
      </c>
      <c r="N102" s="33">
        <f t="shared" si="44"/>
        <v>0</v>
      </c>
      <c r="O102" s="34">
        <f t="shared" si="45"/>
        <v>0</v>
      </c>
      <c r="P102" s="55">
        <v>97</v>
      </c>
      <c r="Q102" s="33">
        <f t="shared" si="59"/>
        <v>0</v>
      </c>
      <c r="R102" s="33">
        <f t="shared" si="65"/>
        <v>0</v>
      </c>
      <c r="S102" s="33">
        <f t="shared" si="66"/>
        <v>0</v>
      </c>
      <c r="T102" s="33">
        <f t="shared" si="46"/>
        <v>0</v>
      </c>
      <c r="U102" s="33">
        <f t="shared" si="60"/>
        <v>0</v>
      </c>
      <c r="V102" s="33">
        <f t="shared" si="47"/>
        <v>0</v>
      </c>
      <c r="W102" s="33">
        <v>0</v>
      </c>
      <c r="X102" s="33">
        <f t="shared" si="48"/>
        <v>0</v>
      </c>
      <c r="Y102" s="38">
        <f t="shared" si="49"/>
        <v>0</v>
      </c>
      <c r="AA102" s="71">
        <v>97</v>
      </c>
      <c r="AB102" s="33">
        <f t="shared" si="50"/>
        <v>0</v>
      </c>
      <c r="AC102" s="305">
        <f t="shared" si="51"/>
        <v>0</v>
      </c>
      <c r="AD102" s="100">
        <f t="shared" si="52"/>
        <v>0</v>
      </c>
      <c r="AE102" s="100">
        <f t="shared" si="53"/>
        <v>0</v>
      </c>
      <c r="AF102" s="194">
        <f t="shared" si="70"/>
        <v>0</v>
      </c>
      <c r="AG102" s="194">
        <f t="shared" si="71"/>
        <v>0</v>
      </c>
      <c r="AH102" s="194">
        <f t="shared" si="72"/>
        <v>0</v>
      </c>
      <c r="AI102" s="199">
        <f t="shared" si="73"/>
        <v>0</v>
      </c>
      <c r="AK102" s="71">
        <v>97</v>
      </c>
      <c r="AL102" s="33">
        <f t="shared" si="54"/>
        <v>0</v>
      </c>
      <c r="AM102" s="33">
        <f t="shared" si="55"/>
        <v>0</v>
      </c>
      <c r="AN102" s="33">
        <f t="shared" si="56"/>
        <v>0</v>
      </c>
      <c r="AO102" s="33">
        <f t="shared" si="57"/>
        <v>0</v>
      </c>
      <c r="AP102" s="33">
        <f t="shared" si="58"/>
        <v>0</v>
      </c>
      <c r="AQ102" s="194">
        <f t="shared" si="74"/>
        <v>0</v>
      </c>
      <c r="AR102" s="194">
        <f t="shared" si="75"/>
        <v>0</v>
      </c>
      <c r="AS102" s="194">
        <f t="shared" si="76"/>
        <v>0</v>
      </c>
      <c r="AT102" s="194">
        <f t="shared" si="77"/>
        <v>0</v>
      </c>
      <c r="AU102" s="33"/>
      <c r="AV102" s="33"/>
      <c r="AW102" s="33"/>
      <c r="AX102" s="33"/>
      <c r="AY102" s="76"/>
    </row>
    <row r="103" spans="2:51" x14ac:dyDescent="0.3">
      <c r="C103" s="25" t="s">
        <v>157</v>
      </c>
      <c r="D103" s="157" t="s">
        <v>158</v>
      </c>
      <c r="F103" s="190" t="s">
        <v>232</v>
      </c>
      <c r="I103" s="55">
        <v>98</v>
      </c>
      <c r="J103" s="33">
        <f t="shared" si="61"/>
        <v>0</v>
      </c>
      <c r="K103" s="33">
        <f t="shared" si="62"/>
        <v>0</v>
      </c>
      <c r="L103" s="33">
        <f t="shared" si="63"/>
        <v>0</v>
      </c>
      <c r="M103" s="33">
        <f t="shared" si="64"/>
        <v>0</v>
      </c>
      <c r="N103" s="33">
        <f t="shared" si="44"/>
        <v>0</v>
      </c>
      <c r="O103" s="34">
        <f t="shared" si="45"/>
        <v>0</v>
      </c>
      <c r="P103" s="55">
        <v>98</v>
      </c>
      <c r="Q103" s="33">
        <f t="shared" si="59"/>
        <v>0</v>
      </c>
      <c r="R103" s="33">
        <f t="shared" si="65"/>
        <v>0</v>
      </c>
      <c r="S103" s="33">
        <f t="shared" si="66"/>
        <v>0</v>
      </c>
      <c r="T103" s="33">
        <f t="shared" si="46"/>
        <v>0</v>
      </c>
      <c r="U103" s="33">
        <f t="shared" si="60"/>
        <v>0</v>
      </c>
      <c r="V103" s="33">
        <f t="shared" si="47"/>
        <v>0</v>
      </c>
      <c r="W103" s="33">
        <v>0</v>
      </c>
      <c r="X103" s="33">
        <f t="shared" si="48"/>
        <v>0</v>
      </c>
      <c r="Y103" s="38">
        <f t="shared" si="49"/>
        <v>0</v>
      </c>
      <c r="AA103" s="71">
        <v>98</v>
      </c>
      <c r="AB103" s="33">
        <f t="shared" si="50"/>
        <v>0</v>
      </c>
      <c r="AC103" s="305">
        <f t="shared" si="51"/>
        <v>0</v>
      </c>
      <c r="AD103" s="100">
        <f t="shared" si="52"/>
        <v>0</v>
      </c>
      <c r="AE103" s="100">
        <f t="shared" si="53"/>
        <v>0</v>
      </c>
      <c r="AF103" s="194">
        <f t="shared" si="70"/>
        <v>0</v>
      </c>
      <c r="AG103" s="194">
        <f t="shared" si="71"/>
        <v>0</v>
      </c>
      <c r="AH103" s="194">
        <f t="shared" si="72"/>
        <v>0</v>
      </c>
      <c r="AI103" s="199">
        <f t="shared" si="73"/>
        <v>0</v>
      </c>
      <c r="AK103" s="71">
        <v>98</v>
      </c>
      <c r="AL103" s="33">
        <f t="shared" si="54"/>
        <v>0</v>
      </c>
      <c r="AM103" s="33">
        <f t="shared" si="55"/>
        <v>0</v>
      </c>
      <c r="AN103" s="33">
        <f t="shared" si="56"/>
        <v>0</v>
      </c>
      <c r="AO103" s="33">
        <f t="shared" si="57"/>
        <v>0</v>
      </c>
      <c r="AP103" s="33">
        <f t="shared" si="58"/>
        <v>0</v>
      </c>
      <c r="AQ103" s="194">
        <f t="shared" si="74"/>
        <v>0</v>
      </c>
      <c r="AR103" s="194">
        <f t="shared" si="75"/>
        <v>0</v>
      </c>
      <c r="AS103" s="194">
        <f t="shared" si="76"/>
        <v>0</v>
      </c>
      <c r="AT103" s="194">
        <f t="shared" si="77"/>
        <v>0</v>
      </c>
      <c r="AU103" s="33"/>
      <c r="AV103" s="33"/>
      <c r="AW103" s="33"/>
      <c r="AX103" s="33"/>
      <c r="AY103" s="76"/>
    </row>
    <row r="104" spans="2:51" x14ac:dyDescent="0.3">
      <c r="B104" t="s">
        <v>78</v>
      </c>
      <c r="C104">
        <v>1.52</v>
      </c>
      <c r="D104">
        <v>35</v>
      </c>
      <c r="F104" s="300" t="s">
        <v>228</v>
      </c>
      <c r="G104" s="24">
        <v>0.25</v>
      </c>
      <c r="I104" s="55">
        <v>99</v>
      </c>
      <c r="J104" s="33">
        <f t="shared" si="61"/>
        <v>0</v>
      </c>
      <c r="K104" s="33">
        <f t="shared" si="62"/>
        <v>0</v>
      </c>
      <c r="L104" s="33">
        <f t="shared" si="63"/>
        <v>0</v>
      </c>
      <c r="M104" s="33">
        <f t="shared" si="64"/>
        <v>0</v>
      </c>
      <c r="N104" s="33">
        <f t="shared" si="44"/>
        <v>0</v>
      </c>
      <c r="O104" s="34">
        <f t="shared" si="45"/>
        <v>0</v>
      </c>
      <c r="P104" s="55">
        <v>99</v>
      </c>
      <c r="Q104" s="33">
        <f t="shared" si="59"/>
        <v>0</v>
      </c>
      <c r="R104" s="33">
        <f t="shared" si="65"/>
        <v>0</v>
      </c>
      <c r="S104" s="33">
        <f t="shared" si="66"/>
        <v>0</v>
      </c>
      <c r="T104" s="33">
        <f t="shared" si="46"/>
        <v>0</v>
      </c>
      <c r="U104" s="33">
        <f t="shared" si="60"/>
        <v>0</v>
      </c>
      <c r="V104" s="33">
        <f t="shared" si="47"/>
        <v>0</v>
      </c>
      <c r="W104" s="33">
        <v>0</v>
      </c>
      <c r="X104" s="33">
        <f t="shared" si="48"/>
        <v>0</v>
      </c>
      <c r="Y104" s="38">
        <f t="shared" si="49"/>
        <v>0</v>
      </c>
      <c r="AA104" s="71">
        <v>99</v>
      </c>
      <c r="AB104" s="33">
        <f t="shared" si="50"/>
        <v>0</v>
      </c>
      <c r="AC104" s="305">
        <f t="shared" si="51"/>
        <v>0</v>
      </c>
      <c r="AD104" s="100">
        <f t="shared" si="52"/>
        <v>0</v>
      </c>
      <c r="AE104" s="100">
        <f t="shared" si="53"/>
        <v>0</v>
      </c>
      <c r="AF104" s="194">
        <f t="shared" si="70"/>
        <v>0</v>
      </c>
      <c r="AG104" s="194">
        <f t="shared" si="71"/>
        <v>0</v>
      </c>
      <c r="AH104" s="194">
        <f t="shared" si="72"/>
        <v>0</v>
      </c>
      <c r="AI104" s="199">
        <f t="shared" si="73"/>
        <v>0</v>
      </c>
      <c r="AK104" s="71">
        <v>99</v>
      </c>
      <c r="AL104" s="33">
        <f t="shared" si="54"/>
        <v>0</v>
      </c>
      <c r="AM104" s="33">
        <f t="shared" si="55"/>
        <v>0</v>
      </c>
      <c r="AN104" s="33">
        <f t="shared" si="56"/>
        <v>0</v>
      </c>
      <c r="AO104" s="33">
        <f t="shared" si="57"/>
        <v>0</v>
      </c>
      <c r="AP104" s="33">
        <f t="shared" si="58"/>
        <v>0</v>
      </c>
      <c r="AQ104" s="194">
        <f t="shared" si="74"/>
        <v>0</v>
      </c>
      <c r="AR104" s="194">
        <f t="shared" si="75"/>
        <v>0</v>
      </c>
      <c r="AS104" s="194">
        <f t="shared" si="76"/>
        <v>0</v>
      </c>
      <c r="AT104" s="194">
        <f t="shared" si="77"/>
        <v>0</v>
      </c>
      <c r="AU104" s="33"/>
      <c r="AV104" s="33"/>
      <c r="AW104" s="33"/>
      <c r="AX104" s="33"/>
      <c r="AY104" s="76"/>
    </row>
    <row r="105" spans="2:51" x14ac:dyDescent="0.3">
      <c r="B105" t="s">
        <v>80</v>
      </c>
      <c r="C105">
        <v>0</v>
      </c>
      <c r="D105">
        <v>2</v>
      </c>
      <c r="F105" s="300" t="s">
        <v>230</v>
      </c>
      <c r="G105" s="24">
        <v>1.03</v>
      </c>
      <c r="I105" s="55">
        <v>100</v>
      </c>
      <c r="J105" s="33">
        <f t="shared" si="61"/>
        <v>0</v>
      </c>
      <c r="K105" s="33">
        <f t="shared" si="62"/>
        <v>0</v>
      </c>
      <c r="L105" s="33">
        <f t="shared" si="63"/>
        <v>0</v>
      </c>
      <c r="M105" s="33">
        <f t="shared" si="64"/>
        <v>0</v>
      </c>
      <c r="N105" s="33">
        <f t="shared" si="44"/>
        <v>0</v>
      </c>
      <c r="O105" s="34">
        <f t="shared" si="45"/>
        <v>0</v>
      </c>
      <c r="P105" s="55">
        <v>100</v>
      </c>
      <c r="Q105" s="33">
        <f t="shared" si="59"/>
        <v>0</v>
      </c>
      <c r="R105" s="33">
        <f t="shared" si="65"/>
        <v>0</v>
      </c>
      <c r="S105" s="33">
        <f t="shared" si="66"/>
        <v>0</v>
      </c>
      <c r="T105" s="33">
        <f t="shared" si="46"/>
        <v>0</v>
      </c>
      <c r="U105" s="33">
        <f t="shared" si="60"/>
        <v>0</v>
      </c>
      <c r="V105" s="33">
        <f t="shared" si="47"/>
        <v>0</v>
      </c>
      <c r="W105" s="33">
        <v>0</v>
      </c>
      <c r="X105" s="33">
        <f t="shared" si="48"/>
        <v>0</v>
      </c>
      <c r="Y105" s="38">
        <f t="shared" si="49"/>
        <v>0</v>
      </c>
      <c r="AA105" s="71">
        <v>100</v>
      </c>
      <c r="AB105" s="33">
        <f t="shared" si="50"/>
        <v>0</v>
      </c>
      <c r="AC105" s="305">
        <f t="shared" si="51"/>
        <v>0</v>
      </c>
      <c r="AD105" s="100">
        <f t="shared" si="52"/>
        <v>0</v>
      </c>
      <c r="AE105" s="100">
        <f t="shared" si="53"/>
        <v>0</v>
      </c>
      <c r="AF105" s="194">
        <f t="shared" si="70"/>
        <v>0</v>
      </c>
      <c r="AG105" s="194">
        <f t="shared" si="71"/>
        <v>0</v>
      </c>
      <c r="AH105" s="194">
        <f t="shared" si="72"/>
        <v>0</v>
      </c>
      <c r="AI105" s="199">
        <f t="shared" si="73"/>
        <v>0</v>
      </c>
      <c r="AK105" s="71">
        <v>100</v>
      </c>
      <c r="AL105" s="33">
        <f t="shared" si="54"/>
        <v>0</v>
      </c>
      <c r="AM105" s="33">
        <f t="shared" si="55"/>
        <v>0</v>
      </c>
      <c r="AN105" s="33">
        <f t="shared" si="56"/>
        <v>0</v>
      </c>
      <c r="AO105" s="33">
        <f t="shared" si="57"/>
        <v>0</v>
      </c>
      <c r="AP105" s="33">
        <f t="shared" si="58"/>
        <v>0</v>
      </c>
      <c r="AQ105" s="194">
        <f t="shared" si="74"/>
        <v>0</v>
      </c>
      <c r="AR105" s="194">
        <f t="shared" si="75"/>
        <v>0</v>
      </c>
      <c r="AS105" s="194">
        <f t="shared" si="76"/>
        <v>0</v>
      </c>
      <c r="AT105" s="194">
        <f t="shared" si="77"/>
        <v>0</v>
      </c>
      <c r="AU105" s="33"/>
      <c r="AV105" s="33"/>
      <c r="AW105" s="33"/>
      <c r="AX105" s="33"/>
      <c r="AY105" s="76"/>
    </row>
    <row r="106" spans="2:51" ht="27.6" x14ac:dyDescent="0.3">
      <c r="B106" t="s">
        <v>81</v>
      </c>
      <c r="C106">
        <v>0.77</v>
      </c>
      <c r="D106">
        <v>25</v>
      </c>
      <c r="F106" s="300" t="s">
        <v>231</v>
      </c>
      <c r="G106" s="24">
        <v>0.59</v>
      </c>
      <c r="I106" s="55">
        <v>101</v>
      </c>
      <c r="J106" s="33">
        <f t="shared" si="61"/>
        <v>0</v>
      </c>
      <c r="K106" s="33">
        <f t="shared" si="62"/>
        <v>0</v>
      </c>
      <c r="L106" s="33">
        <f t="shared" si="63"/>
        <v>0</v>
      </c>
      <c r="M106" s="33">
        <f t="shared" si="64"/>
        <v>0</v>
      </c>
      <c r="N106" s="33">
        <f t="shared" si="44"/>
        <v>0</v>
      </c>
      <c r="O106" s="34">
        <f t="shared" si="45"/>
        <v>0</v>
      </c>
      <c r="P106" s="55">
        <v>101</v>
      </c>
      <c r="Q106" s="33">
        <f t="shared" si="59"/>
        <v>0</v>
      </c>
      <c r="R106" s="33">
        <f t="shared" si="65"/>
        <v>0</v>
      </c>
      <c r="S106" s="33">
        <f t="shared" si="66"/>
        <v>0</v>
      </c>
      <c r="T106" s="33">
        <f t="shared" si="46"/>
        <v>0</v>
      </c>
      <c r="U106" s="33">
        <f t="shared" si="60"/>
        <v>0</v>
      </c>
      <c r="V106" s="33">
        <f t="shared" si="47"/>
        <v>0</v>
      </c>
      <c r="W106" s="33">
        <v>0</v>
      </c>
      <c r="X106" s="33">
        <f t="shared" si="48"/>
        <v>0</v>
      </c>
      <c r="Y106" s="38">
        <f t="shared" si="49"/>
        <v>0</v>
      </c>
      <c r="AA106" s="71">
        <v>101</v>
      </c>
      <c r="AB106" s="33">
        <f t="shared" si="50"/>
        <v>0</v>
      </c>
      <c r="AC106" s="305">
        <f t="shared" si="51"/>
        <v>0</v>
      </c>
      <c r="AD106" s="100">
        <f t="shared" si="52"/>
        <v>0</v>
      </c>
      <c r="AE106" s="100">
        <f t="shared" si="53"/>
        <v>0</v>
      </c>
      <c r="AF106" s="194">
        <f t="shared" si="70"/>
        <v>0</v>
      </c>
      <c r="AG106" s="194">
        <f t="shared" si="71"/>
        <v>0</v>
      </c>
      <c r="AH106" s="194">
        <f t="shared" si="72"/>
        <v>0</v>
      </c>
      <c r="AI106" s="199">
        <f t="shared" si="73"/>
        <v>0</v>
      </c>
      <c r="AK106" s="71">
        <v>101</v>
      </c>
      <c r="AL106" s="33">
        <f t="shared" si="54"/>
        <v>0</v>
      </c>
      <c r="AM106" s="33">
        <f t="shared" si="55"/>
        <v>0</v>
      </c>
      <c r="AN106" s="33">
        <f t="shared" si="56"/>
        <v>0</v>
      </c>
      <c r="AO106" s="33">
        <f t="shared" si="57"/>
        <v>0</v>
      </c>
      <c r="AP106" s="33">
        <f t="shared" si="58"/>
        <v>0</v>
      </c>
      <c r="AQ106" s="194">
        <f t="shared" si="74"/>
        <v>0</v>
      </c>
      <c r="AR106" s="194">
        <f t="shared" si="75"/>
        <v>0</v>
      </c>
      <c r="AS106" s="194">
        <f t="shared" si="76"/>
        <v>0</v>
      </c>
      <c r="AT106" s="194">
        <f t="shared" si="77"/>
        <v>0</v>
      </c>
      <c r="AU106" s="33"/>
      <c r="AV106" s="33"/>
      <c r="AW106" s="33"/>
      <c r="AX106" s="33"/>
      <c r="AY106" s="76"/>
    </row>
    <row r="107" spans="2:51" x14ac:dyDescent="0.3">
      <c r="B107" t="s">
        <v>82</v>
      </c>
      <c r="C107">
        <f>44%*C105+56%*C106</f>
        <v>0.43120000000000003</v>
      </c>
      <c r="D107" s="341">
        <f>44%*D105+56%*D106</f>
        <v>14.880000000000003</v>
      </c>
      <c r="F107" s="300" t="s">
        <v>229</v>
      </c>
      <c r="G107" s="24">
        <v>0.43</v>
      </c>
      <c r="I107" s="55">
        <v>102</v>
      </c>
      <c r="J107" s="33">
        <f t="shared" si="61"/>
        <v>0</v>
      </c>
      <c r="K107" s="33">
        <f t="shared" si="62"/>
        <v>0</v>
      </c>
      <c r="L107" s="33">
        <f t="shared" si="63"/>
        <v>0</v>
      </c>
      <c r="M107" s="33">
        <f t="shared" si="64"/>
        <v>0</v>
      </c>
      <c r="N107" s="33">
        <f t="shared" si="44"/>
        <v>0</v>
      </c>
      <c r="O107" s="34">
        <f t="shared" si="45"/>
        <v>0</v>
      </c>
      <c r="P107" s="55">
        <v>102</v>
      </c>
      <c r="Q107" s="33">
        <f t="shared" si="59"/>
        <v>0</v>
      </c>
      <c r="R107" s="33">
        <f t="shared" si="65"/>
        <v>0</v>
      </c>
      <c r="S107" s="33">
        <f t="shared" si="66"/>
        <v>0</v>
      </c>
      <c r="T107" s="33">
        <f t="shared" si="46"/>
        <v>0</v>
      </c>
      <c r="U107" s="33">
        <f t="shared" si="60"/>
        <v>0</v>
      </c>
      <c r="V107" s="33">
        <f t="shared" si="47"/>
        <v>0</v>
      </c>
      <c r="W107" s="33">
        <v>0</v>
      </c>
      <c r="X107" s="33">
        <f t="shared" si="48"/>
        <v>0</v>
      </c>
      <c r="Y107" s="38">
        <f t="shared" si="49"/>
        <v>0</v>
      </c>
      <c r="AA107" s="71">
        <v>102</v>
      </c>
      <c r="AB107" s="33">
        <f t="shared" si="50"/>
        <v>0</v>
      </c>
      <c r="AC107" s="305">
        <f t="shared" si="51"/>
        <v>0</v>
      </c>
      <c r="AD107" s="100">
        <f t="shared" si="52"/>
        <v>0</v>
      </c>
      <c r="AE107" s="100">
        <f t="shared" si="53"/>
        <v>0</v>
      </c>
      <c r="AF107" s="194">
        <f t="shared" si="70"/>
        <v>0</v>
      </c>
      <c r="AG107" s="194">
        <f t="shared" si="71"/>
        <v>0</v>
      </c>
      <c r="AH107" s="194">
        <f t="shared" si="72"/>
        <v>0</v>
      </c>
      <c r="AI107" s="199">
        <f t="shared" si="73"/>
        <v>0</v>
      </c>
      <c r="AK107" s="71">
        <v>102</v>
      </c>
      <c r="AL107" s="33">
        <f t="shared" si="54"/>
        <v>0</v>
      </c>
      <c r="AM107" s="33">
        <f t="shared" si="55"/>
        <v>0</v>
      </c>
      <c r="AN107" s="33">
        <f t="shared" si="56"/>
        <v>0</v>
      </c>
      <c r="AO107" s="33">
        <f t="shared" si="57"/>
        <v>0</v>
      </c>
      <c r="AP107" s="33">
        <f t="shared" si="58"/>
        <v>0</v>
      </c>
      <c r="AQ107" s="194">
        <f t="shared" si="74"/>
        <v>0</v>
      </c>
      <c r="AR107" s="194">
        <f t="shared" si="75"/>
        <v>0</v>
      </c>
      <c r="AS107" s="194">
        <f t="shared" si="76"/>
        <v>0</v>
      </c>
      <c r="AT107" s="194">
        <f t="shared" si="77"/>
        <v>0</v>
      </c>
      <c r="AU107" s="33"/>
      <c r="AV107" s="33"/>
      <c r="AW107" s="33"/>
      <c r="AX107" s="33"/>
      <c r="AY107" s="76"/>
    </row>
    <row r="108" spans="2:51" x14ac:dyDescent="0.3">
      <c r="B108" t="s">
        <v>79</v>
      </c>
      <c r="C108">
        <v>0.25</v>
      </c>
      <c r="D108">
        <v>0</v>
      </c>
      <c r="F108" s="301" t="s">
        <v>233</v>
      </c>
      <c r="G108" s="302">
        <f>VLOOKUP(VLOOKUP(F17,C131:E195,3,FALSE),F104:G107,2,FALSE)</f>
        <v>0.43</v>
      </c>
      <c r="I108" s="55">
        <v>103</v>
      </c>
      <c r="J108" s="33">
        <f t="shared" si="61"/>
        <v>0</v>
      </c>
      <c r="K108" s="33">
        <f t="shared" si="62"/>
        <v>0</v>
      </c>
      <c r="L108" s="33">
        <f t="shared" si="63"/>
        <v>0</v>
      </c>
      <c r="M108" s="33">
        <f t="shared" si="64"/>
        <v>0</v>
      </c>
      <c r="N108" s="33">
        <f t="shared" si="44"/>
        <v>0</v>
      </c>
      <c r="O108" s="34">
        <f t="shared" si="45"/>
        <v>0</v>
      </c>
      <c r="P108" s="55">
        <v>103</v>
      </c>
      <c r="Q108" s="33">
        <f t="shared" si="59"/>
        <v>0</v>
      </c>
      <c r="R108" s="33">
        <f t="shared" si="65"/>
        <v>0</v>
      </c>
      <c r="S108" s="33">
        <f t="shared" si="66"/>
        <v>0</v>
      </c>
      <c r="T108" s="33">
        <f t="shared" si="46"/>
        <v>0</v>
      </c>
      <c r="U108" s="33">
        <f t="shared" si="60"/>
        <v>0</v>
      </c>
      <c r="V108" s="33">
        <f t="shared" si="47"/>
        <v>0</v>
      </c>
      <c r="W108" s="33">
        <v>0</v>
      </c>
      <c r="X108" s="33">
        <f t="shared" si="48"/>
        <v>0</v>
      </c>
      <c r="Y108" s="38">
        <f t="shared" si="49"/>
        <v>0</v>
      </c>
      <c r="AA108" s="71">
        <v>103</v>
      </c>
      <c r="AB108" s="33">
        <f t="shared" si="50"/>
        <v>0</v>
      </c>
      <c r="AC108" s="305">
        <f t="shared" si="51"/>
        <v>0</v>
      </c>
      <c r="AD108" s="100">
        <f t="shared" si="52"/>
        <v>0</v>
      </c>
      <c r="AE108" s="100">
        <f t="shared" si="53"/>
        <v>0</v>
      </c>
      <c r="AF108" s="194">
        <f t="shared" si="70"/>
        <v>0</v>
      </c>
      <c r="AG108" s="194">
        <f t="shared" si="71"/>
        <v>0</v>
      </c>
      <c r="AH108" s="194">
        <f t="shared" si="72"/>
        <v>0</v>
      </c>
      <c r="AI108" s="199">
        <f t="shared" si="73"/>
        <v>0</v>
      </c>
      <c r="AK108" s="71">
        <v>103</v>
      </c>
      <c r="AL108" s="33">
        <f t="shared" si="54"/>
        <v>0</v>
      </c>
      <c r="AM108" s="33">
        <f t="shared" si="55"/>
        <v>0</v>
      </c>
      <c r="AN108" s="33">
        <f t="shared" si="56"/>
        <v>0</v>
      </c>
      <c r="AO108" s="33">
        <f t="shared" si="57"/>
        <v>0</v>
      </c>
      <c r="AP108" s="33">
        <f t="shared" si="58"/>
        <v>0</v>
      </c>
      <c r="AQ108" s="194">
        <f t="shared" si="74"/>
        <v>0</v>
      </c>
      <c r="AR108" s="194">
        <f t="shared" si="75"/>
        <v>0</v>
      </c>
      <c r="AS108" s="194">
        <f t="shared" si="76"/>
        <v>0</v>
      </c>
      <c r="AT108" s="194">
        <f t="shared" si="77"/>
        <v>0</v>
      </c>
      <c r="AU108" s="33"/>
      <c r="AV108" s="33"/>
      <c r="AW108" s="33"/>
      <c r="AX108" s="33"/>
      <c r="AY108" s="76"/>
    </row>
    <row r="109" spans="2:51" x14ac:dyDescent="0.3">
      <c r="I109" s="55">
        <v>104</v>
      </c>
      <c r="J109" s="33">
        <f t="shared" si="61"/>
        <v>0</v>
      </c>
      <c r="K109" s="33">
        <f t="shared" si="62"/>
        <v>0</v>
      </c>
      <c r="L109" s="33">
        <f t="shared" si="63"/>
        <v>0</v>
      </c>
      <c r="M109" s="33">
        <f t="shared" si="64"/>
        <v>0</v>
      </c>
      <c r="N109" s="33">
        <f t="shared" si="44"/>
        <v>0</v>
      </c>
      <c r="O109" s="34">
        <f t="shared" si="45"/>
        <v>0</v>
      </c>
      <c r="P109" s="55">
        <v>104</v>
      </c>
      <c r="Q109" s="33">
        <f t="shared" si="59"/>
        <v>0</v>
      </c>
      <c r="R109" s="33">
        <f t="shared" si="65"/>
        <v>0</v>
      </c>
      <c r="S109" s="33">
        <f t="shared" si="66"/>
        <v>0</v>
      </c>
      <c r="T109" s="33">
        <f t="shared" si="46"/>
        <v>0</v>
      </c>
      <c r="U109" s="33">
        <f t="shared" si="60"/>
        <v>0</v>
      </c>
      <c r="V109" s="33">
        <f t="shared" si="47"/>
        <v>0</v>
      </c>
      <c r="W109" s="33">
        <v>0</v>
      </c>
      <c r="X109" s="33">
        <f t="shared" si="48"/>
        <v>0</v>
      </c>
      <c r="Y109" s="38">
        <f t="shared" si="49"/>
        <v>0</v>
      </c>
      <c r="AA109" s="71">
        <v>104</v>
      </c>
      <c r="AB109" s="33">
        <f t="shared" si="50"/>
        <v>0</v>
      </c>
      <c r="AC109" s="305">
        <f t="shared" si="51"/>
        <v>0</v>
      </c>
      <c r="AD109" s="100">
        <f t="shared" si="52"/>
        <v>0</v>
      </c>
      <c r="AE109" s="100">
        <f t="shared" si="53"/>
        <v>0</v>
      </c>
      <c r="AF109" s="194">
        <f t="shared" si="70"/>
        <v>0</v>
      </c>
      <c r="AG109" s="194">
        <f t="shared" si="71"/>
        <v>0</v>
      </c>
      <c r="AH109" s="194">
        <f t="shared" si="72"/>
        <v>0</v>
      </c>
      <c r="AI109" s="199">
        <f t="shared" si="73"/>
        <v>0</v>
      </c>
      <c r="AK109" s="71">
        <v>104</v>
      </c>
      <c r="AL109" s="33">
        <f t="shared" si="54"/>
        <v>0</v>
      </c>
      <c r="AM109" s="33">
        <f t="shared" si="55"/>
        <v>0</v>
      </c>
      <c r="AN109" s="33">
        <f t="shared" si="56"/>
        <v>0</v>
      </c>
      <c r="AO109" s="33">
        <f t="shared" si="57"/>
        <v>0</v>
      </c>
      <c r="AP109" s="33">
        <f t="shared" si="58"/>
        <v>0</v>
      </c>
      <c r="AQ109" s="194">
        <f t="shared" si="74"/>
        <v>0</v>
      </c>
      <c r="AR109" s="194">
        <f t="shared" si="75"/>
        <v>0</v>
      </c>
      <c r="AS109" s="194">
        <f t="shared" si="76"/>
        <v>0</v>
      </c>
      <c r="AT109" s="194">
        <f t="shared" si="77"/>
        <v>0</v>
      </c>
      <c r="AU109" s="33"/>
      <c r="AV109" s="33"/>
      <c r="AW109" s="33"/>
      <c r="AX109" s="33"/>
      <c r="AY109" s="76"/>
    </row>
    <row r="110" spans="2:51" x14ac:dyDescent="0.3">
      <c r="I110" s="55">
        <v>105</v>
      </c>
      <c r="J110" s="33">
        <f t="shared" si="61"/>
        <v>0</v>
      </c>
      <c r="K110" s="33">
        <f t="shared" si="62"/>
        <v>0</v>
      </c>
      <c r="L110" s="33">
        <f t="shared" si="63"/>
        <v>0</v>
      </c>
      <c r="M110" s="33">
        <f t="shared" si="64"/>
        <v>0</v>
      </c>
      <c r="N110" s="33">
        <f t="shared" si="44"/>
        <v>0</v>
      </c>
      <c r="O110" s="34">
        <f t="shared" si="45"/>
        <v>0</v>
      </c>
      <c r="P110" s="55">
        <v>105</v>
      </c>
      <c r="Q110" s="33">
        <f t="shared" si="59"/>
        <v>0</v>
      </c>
      <c r="R110" s="33">
        <f t="shared" si="65"/>
        <v>0</v>
      </c>
      <c r="S110" s="33">
        <f t="shared" si="66"/>
        <v>0</v>
      </c>
      <c r="T110" s="33">
        <f t="shared" si="46"/>
        <v>0</v>
      </c>
      <c r="U110" s="33">
        <f t="shared" si="60"/>
        <v>0</v>
      </c>
      <c r="V110" s="33">
        <f t="shared" si="47"/>
        <v>0</v>
      </c>
      <c r="W110" s="33">
        <v>0</v>
      </c>
      <c r="X110" s="33">
        <f t="shared" si="48"/>
        <v>0</v>
      </c>
      <c r="Y110" s="38">
        <f t="shared" si="49"/>
        <v>0</v>
      </c>
      <c r="AA110" s="71">
        <v>105</v>
      </c>
      <c r="AB110" s="33">
        <f t="shared" si="50"/>
        <v>0</v>
      </c>
      <c r="AC110" s="305">
        <f t="shared" si="51"/>
        <v>0</v>
      </c>
      <c r="AD110" s="100">
        <f t="shared" si="52"/>
        <v>0</v>
      </c>
      <c r="AE110" s="100">
        <f t="shared" si="53"/>
        <v>0</v>
      </c>
      <c r="AF110" s="194">
        <f t="shared" si="70"/>
        <v>0</v>
      </c>
      <c r="AG110" s="194">
        <f t="shared" si="71"/>
        <v>0</v>
      </c>
      <c r="AH110" s="194">
        <f t="shared" si="72"/>
        <v>0</v>
      </c>
      <c r="AI110" s="199">
        <f t="shared" si="73"/>
        <v>0</v>
      </c>
      <c r="AK110" s="71">
        <v>105</v>
      </c>
      <c r="AL110" s="33">
        <f t="shared" si="54"/>
        <v>0</v>
      </c>
      <c r="AM110" s="33">
        <f t="shared" si="55"/>
        <v>0</v>
      </c>
      <c r="AN110" s="33">
        <f t="shared" si="56"/>
        <v>0</v>
      </c>
      <c r="AO110" s="33">
        <f t="shared" si="57"/>
        <v>0</v>
      </c>
      <c r="AP110" s="33">
        <f t="shared" si="58"/>
        <v>0</v>
      </c>
      <c r="AQ110" s="194">
        <f t="shared" si="74"/>
        <v>0</v>
      </c>
      <c r="AR110" s="194">
        <f t="shared" si="75"/>
        <v>0</v>
      </c>
      <c r="AS110" s="194">
        <f t="shared" si="76"/>
        <v>0</v>
      </c>
      <c r="AT110" s="194">
        <f t="shared" si="77"/>
        <v>0</v>
      </c>
      <c r="AU110" s="33"/>
      <c r="AV110" s="33"/>
      <c r="AW110" s="33"/>
      <c r="AX110" s="33"/>
      <c r="AY110" s="76"/>
    </row>
    <row r="111" spans="2:51" x14ac:dyDescent="0.3">
      <c r="C111" s="157" t="s">
        <v>169</v>
      </c>
      <c r="D111" s="157"/>
      <c r="E111" s="157"/>
      <c r="I111" s="55">
        <v>106</v>
      </c>
      <c r="J111" s="33">
        <f t="shared" si="61"/>
        <v>0</v>
      </c>
      <c r="K111" s="33">
        <f t="shared" si="62"/>
        <v>0</v>
      </c>
      <c r="L111" s="33">
        <f t="shared" si="63"/>
        <v>0</v>
      </c>
      <c r="M111" s="33">
        <f t="shared" si="64"/>
        <v>0</v>
      </c>
      <c r="N111" s="33">
        <f t="shared" si="44"/>
        <v>0</v>
      </c>
      <c r="O111" s="34">
        <f t="shared" si="45"/>
        <v>0</v>
      </c>
      <c r="P111" s="55">
        <v>106</v>
      </c>
      <c r="Q111" s="33">
        <f t="shared" si="59"/>
        <v>0</v>
      </c>
      <c r="R111" s="33">
        <f t="shared" si="65"/>
        <v>0</v>
      </c>
      <c r="S111" s="33">
        <f t="shared" si="66"/>
        <v>0</v>
      </c>
      <c r="T111" s="33">
        <f t="shared" si="46"/>
        <v>0</v>
      </c>
      <c r="U111" s="33">
        <f t="shared" si="60"/>
        <v>0</v>
      </c>
      <c r="V111" s="33">
        <f t="shared" si="47"/>
        <v>0</v>
      </c>
      <c r="W111" s="33">
        <v>0</v>
      </c>
      <c r="X111" s="33">
        <f t="shared" si="48"/>
        <v>0</v>
      </c>
      <c r="Y111" s="38">
        <f t="shared" si="49"/>
        <v>0</v>
      </c>
      <c r="AA111" s="71">
        <v>106</v>
      </c>
      <c r="AB111" s="33">
        <f t="shared" si="50"/>
        <v>0</v>
      </c>
      <c r="AC111" s="305">
        <f t="shared" si="51"/>
        <v>0</v>
      </c>
      <c r="AD111" s="100">
        <f t="shared" si="52"/>
        <v>0</v>
      </c>
      <c r="AE111" s="100">
        <f t="shared" si="53"/>
        <v>0</v>
      </c>
      <c r="AF111" s="194">
        <f t="shared" si="70"/>
        <v>0</v>
      </c>
      <c r="AG111" s="194">
        <f t="shared" si="71"/>
        <v>0</v>
      </c>
      <c r="AH111" s="194">
        <f t="shared" si="72"/>
        <v>0</v>
      </c>
      <c r="AI111" s="199">
        <f t="shared" si="73"/>
        <v>0</v>
      </c>
      <c r="AK111" s="71">
        <v>106</v>
      </c>
      <c r="AL111" s="33">
        <f t="shared" si="54"/>
        <v>0</v>
      </c>
      <c r="AM111" s="33">
        <f t="shared" si="55"/>
        <v>0</v>
      </c>
      <c r="AN111" s="33">
        <f t="shared" si="56"/>
        <v>0</v>
      </c>
      <c r="AO111" s="33">
        <f t="shared" si="57"/>
        <v>0</v>
      </c>
      <c r="AP111" s="33">
        <f t="shared" si="58"/>
        <v>0</v>
      </c>
      <c r="AQ111" s="194">
        <f t="shared" si="74"/>
        <v>0</v>
      </c>
      <c r="AR111" s="194">
        <f t="shared" si="75"/>
        <v>0</v>
      </c>
      <c r="AS111" s="194">
        <f t="shared" si="76"/>
        <v>0</v>
      </c>
      <c r="AT111" s="194">
        <f t="shared" si="77"/>
        <v>0</v>
      </c>
      <c r="AU111" s="33"/>
      <c r="AV111" s="33"/>
      <c r="AW111" s="33"/>
      <c r="AX111" s="33"/>
      <c r="AY111" s="76"/>
    </row>
    <row r="112" spans="2:51" x14ac:dyDescent="0.3">
      <c r="C112" s="74" t="s">
        <v>145</v>
      </c>
      <c r="D112" s="74" t="s">
        <v>72</v>
      </c>
      <c r="E112" s="74" t="s">
        <v>166</v>
      </c>
      <c r="I112" s="55">
        <v>107</v>
      </c>
      <c r="J112" s="33">
        <f t="shared" si="61"/>
        <v>0</v>
      </c>
      <c r="K112" s="33">
        <f t="shared" si="62"/>
        <v>0</v>
      </c>
      <c r="L112" s="33">
        <f t="shared" si="63"/>
        <v>0</v>
      </c>
      <c r="M112" s="33">
        <f t="shared" si="64"/>
        <v>0</v>
      </c>
      <c r="N112" s="33">
        <f t="shared" si="44"/>
        <v>0</v>
      </c>
      <c r="O112" s="34">
        <f t="shared" si="45"/>
        <v>0</v>
      </c>
      <c r="P112" s="55">
        <v>107</v>
      </c>
      <c r="Q112" s="33">
        <f t="shared" si="59"/>
        <v>0</v>
      </c>
      <c r="R112" s="33">
        <f t="shared" si="65"/>
        <v>0</v>
      </c>
      <c r="S112" s="33">
        <f t="shared" si="66"/>
        <v>0</v>
      </c>
      <c r="T112" s="33">
        <f t="shared" si="46"/>
        <v>0</v>
      </c>
      <c r="U112" s="33">
        <f t="shared" si="60"/>
        <v>0</v>
      </c>
      <c r="V112" s="33">
        <f t="shared" si="47"/>
        <v>0</v>
      </c>
      <c r="W112" s="33">
        <v>0</v>
      </c>
      <c r="X112" s="33">
        <f t="shared" si="48"/>
        <v>0</v>
      </c>
      <c r="Y112" s="38">
        <f t="shared" si="49"/>
        <v>0</v>
      </c>
      <c r="AA112" s="71">
        <v>107</v>
      </c>
      <c r="AB112" s="33">
        <f t="shared" si="50"/>
        <v>0</v>
      </c>
      <c r="AC112" s="305">
        <f t="shared" si="51"/>
        <v>0</v>
      </c>
      <c r="AD112" s="100">
        <f t="shared" si="52"/>
        <v>0</v>
      </c>
      <c r="AE112" s="100">
        <f t="shared" si="53"/>
        <v>0</v>
      </c>
      <c r="AF112" s="194">
        <f t="shared" si="70"/>
        <v>0</v>
      </c>
      <c r="AG112" s="194">
        <f t="shared" si="71"/>
        <v>0</v>
      </c>
      <c r="AH112" s="194">
        <f t="shared" si="72"/>
        <v>0</v>
      </c>
      <c r="AI112" s="199">
        <f t="shared" si="73"/>
        <v>0</v>
      </c>
      <c r="AK112" s="71">
        <v>107</v>
      </c>
      <c r="AL112" s="33">
        <f t="shared" si="54"/>
        <v>0</v>
      </c>
      <c r="AM112" s="33">
        <f t="shared" si="55"/>
        <v>0</v>
      </c>
      <c r="AN112" s="33">
        <f t="shared" si="56"/>
        <v>0</v>
      </c>
      <c r="AO112" s="33">
        <f t="shared" si="57"/>
        <v>0</v>
      </c>
      <c r="AP112" s="33">
        <f t="shared" si="58"/>
        <v>0</v>
      </c>
      <c r="AQ112" s="194">
        <f t="shared" si="74"/>
        <v>0</v>
      </c>
      <c r="AR112" s="194">
        <f t="shared" si="75"/>
        <v>0</v>
      </c>
      <c r="AS112" s="194">
        <f t="shared" si="76"/>
        <v>0</v>
      </c>
      <c r="AT112" s="194">
        <f t="shared" si="77"/>
        <v>0</v>
      </c>
      <c r="AU112" s="33"/>
      <c r="AV112" s="33"/>
      <c r="AW112" s="33"/>
      <c r="AX112" s="33"/>
      <c r="AY112" s="76"/>
    </row>
    <row r="113" spans="2:51" x14ac:dyDescent="0.3">
      <c r="B113" s="67" t="s">
        <v>167</v>
      </c>
      <c r="C113" s="79">
        <f>1/$F$18*SUM(X6:X205)</f>
        <v>580.63276264866772</v>
      </c>
      <c r="D113" s="79">
        <f>1/$F$10*SUM(O6:O205)</f>
        <v>332.19925582194043</v>
      </c>
      <c r="E113" s="78">
        <f>C113-D113</f>
        <v>248.4335068267273</v>
      </c>
      <c r="I113" s="55">
        <v>108</v>
      </c>
      <c r="J113" s="33">
        <f t="shared" si="61"/>
        <v>0</v>
      </c>
      <c r="K113" s="33">
        <f t="shared" si="62"/>
        <v>0</v>
      </c>
      <c r="L113" s="33">
        <f t="shared" si="63"/>
        <v>0</v>
      </c>
      <c r="M113" s="33">
        <f t="shared" si="64"/>
        <v>0</v>
      </c>
      <c r="N113" s="33">
        <f t="shared" si="44"/>
        <v>0</v>
      </c>
      <c r="O113" s="34">
        <f t="shared" si="45"/>
        <v>0</v>
      </c>
      <c r="P113" s="55">
        <v>108</v>
      </c>
      <c r="Q113" s="33">
        <f t="shared" si="59"/>
        <v>0</v>
      </c>
      <c r="R113" s="33">
        <f t="shared" si="65"/>
        <v>0</v>
      </c>
      <c r="S113" s="33">
        <f t="shared" si="66"/>
        <v>0</v>
      </c>
      <c r="T113" s="33">
        <f t="shared" si="46"/>
        <v>0</v>
      </c>
      <c r="U113" s="33">
        <f t="shared" si="60"/>
        <v>0</v>
      </c>
      <c r="V113" s="33">
        <f t="shared" si="47"/>
        <v>0</v>
      </c>
      <c r="W113" s="33">
        <v>0</v>
      </c>
      <c r="X113" s="33">
        <f t="shared" si="48"/>
        <v>0</v>
      </c>
      <c r="Y113" s="38">
        <f t="shared" si="49"/>
        <v>0</v>
      </c>
      <c r="AA113" s="71">
        <v>108</v>
      </c>
      <c r="AB113" s="33">
        <f t="shared" si="50"/>
        <v>0</v>
      </c>
      <c r="AC113" s="305">
        <f t="shared" si="51"/>
        <v>0</v>
      </c>
      <c r="AD113" s="100">
        <f t="shared" si="52"/>
        <v>0</v>
      </c>
      <c r="AE113" s="100">
        <f t="shared" si="53"/>
        <v>0</v>
      </c>
      <c r="AF113" s="194">
        <f t="shared" si="70"/>
        <v>0</v>
      </c>
      <c r="AG113" s="194">
        <f t="shared" si="71"/>
        <v>0</v>
      </c>
      <c r="AH113" s="194">
        <f t="shared" si="72"/>
        <v>0</v>
      </c>
      <c r="AI113" s="199">
        <f t="shared" si="73"/>
        <v>0</v>
      </c>
      <c r="AK113" s="71">
        <v>108</v>
      </c>
      <c r="AL113" s="33">
        <f t="shared" si="54"/>
        <v>0</v>
      </c>
      <c r="AM113" s="33">
        <f t="shared" si="55"/>
        <v>0</v>
      </c>
      <c r="AN113" s="33">
        <f t="shared" si="56"/>
        <v>0</v>
      </c>
      <c r="AO113" s="33">
        <f t="shared" si="57"/>
        <v>0</v>
      </c>
      <c r="AP113" s="33">
        <f t="shared" si="58"/>
        <v>0</v>
      </c>
      <c r="AQ113" s="194">
        <f t="shared" si="74"/>
        <v>0</v>
      </c>
      <c r="AR113" s="194">
        <f t="shared" si="75"/>
        <v>0</v>
      </c>
      <c r="AS113" s="194">
        <f t="shared" si="76"/>
        <v>0</v>
      </c>
      <c r="AT113" s="194">
        <f t="shared" si="77"/>
        <v>0</v>
      </c>
      <c r="AU113" s="33"/>
      <c r="AV113" s="33"/>
      <c r="AW113" s="33"/>
      <c r="AX113" s="33"/>
      <c r="AY113" s="76"/>
    </row>
    <row r="114" spans="2:51" x14ac:dyDescent="0.3">
      <c r="B114" s="67" t="s">
        <v>168</v>
      </c>
      <c r="C114" s="79">
        <f>X35</f>
        <v>548.93169830019815</v>
      </c>
      <c r="D114" s="79">
        <f>O35</f>
        <v>332.97845714169233</v>
      </c>
      <c r="E114" s="78">
        <f>VLOOKUP(30,I5:Y205,17,FALSE)</f>
        <v>215.95324115850582</v>
      </c>
      <c r="I114" s="55">
        <v>109</v>
      </c>
      <c r="J114" s="33">
        <f t="shared" si="61"/>
        <v>0</v>
      </c>
      <c r="K114" s="33">
        <f t="shared" si="62"/>
        <v>0</v>
      </c>
      <c r="L114" s="33">
        <f t="shared" si="63"/>
        <v>0</v>
      </c>
      <c r="M114" s="33">
        <f t="shared" si="64"/>
        <v>0</v>
      </c>
      <c r="N114" s="33">
        <f t="shared" si="44"/>
        <v>0</v>
      </c>
      <c r="O114" s="34">
        <f t="shared" si="45"/>
        <v>0</v>
      </c>
      <c r="P114" s="55">
        <v>109</v>
      </c>
      <c r="Q114" s="33">
        <f t="shared" si="59"/>
        <v>0</v>
      </c>
      <c r="R114" s="33">
        <f t="shared" si="65"/>
        <v>0</v>
      </c>
      <c r="S114" s="33">
        <f t="shared" si="66"/>
        <v>0</v>
      </c>
      <c r="T114" s="33">
        <f t="shared" si="46"/>
        <v>0</v>
      </c>
      <c r="U114" s="33">
        <f t="shared" si="60"/>
        <v>0</v>
      </c>
      <c r="V114" s="33">
        <f t="shared" si="47"/>
        <v>0</v>
      </c>
      <c r="W114" s="33">
        <v>0</v>
      </c>
      <c r="X114" s="33">
        <f t="shared" si="48"/>
        <v>0</v>
      </c>
      <c r="Y114" s="38">
        <f t="shared" si="49"/>
        <v>0</v>
      </c>
      <c r="AA114" s="71">
        <v>109</v>
      </c>
      <c r="AB114" s="33">
        <f t="shared" si="50"/>
        <v>0</v>
      </c>
      <c r="AC114" s="305">
        <f t="shared" si="51"/>
        <v>0</v>
      </c>
      <c r="AD114" s="100">
        <f t="shared" si="52"/>
        <v>0</v>
      </c>
      <c r="AE114" s="100">
        <f t="shared" si="53"/>
        <v>0</v>
      </c>
      <c r="AF114" s="194">
        <f t="shared" si="70"/>
        <v>0</v>
      </c>
      <c r="AG114" s="194">
        <f t="shared" si="71"/>
        <v>0</v>
      </c>
      <c r="AH114" s="194">
        <f t="shared" si="72"/>
        <v>0</v>
      </c>
      <c r="AI114" s="199">
        <f t="shared" si="73"/>
        <v>0</v>
      </c>
      <c r="AK114" s="71">
        <v>109</v>
      </c>
      <c r="AL114" s="33">
        <f t="shared" si="54"/>
        <v>0</v>
      </c>
      <c r="AM114" s="33">
        <f t="shared" si="55"/>
        <v>0</v>
      </c>
      <c r="AN114" s="33">
        <f t="shared" si="56"/>
        <v>0</v>
      </c>
      <c r="AO114" s="33">
        <f t="shared" si="57"/>
        <v>0</v>
      </c>
      <c r="AP114" s="33">
        <f t="shared" si="58"/>
        <v>0</v>
      </c>
      <c r="AQ114" s="194">
        <f t="shared" si="74"/>
        <v>0</v>
      </c>
      <c r="AR114" s="194">
        <f t="shared" si="75"/>
        <v>0</v>
      </c>
      <c r="AS114" s="194">
        <f t="shared" si="76"/>
        <v>0</v>
      </c>
      <c r="AT114" s="194">
        <f t="shared" si="77"/>
        <v>0</v>
      </c>
      <c r="AU114" s="33"/>
      <c r="AV114" s="33"/>
      <c r="AW114" s="33"/>
      <c r="AX114" s="33"/>
      <c r="AY114" s="76"/>
    </row>
    <row r="115" spans="2:51" x14ac:dyDescent="0.3">
      <c r="C115" s="80"/>
      <c r="D115" s="80"/>
      <c r="E115" s="80"/>
      <c r="I115" s="55">
        <v>110</v>
      </c>
      <c r="J115" s="33">
        <f t="shared" si="61"/>
        <v>0</v>
      </c>
      <c r="K115" s="33">
        <f t="shared" si="62"/>
        <v>0</v>
      </c>
      <c r="L115" s="33">
        <f t="shared" si="63"/>
        <v>0</v>
      </c>
      <c r="M115" s="33">
        <f t="shared" si="64"/>
        <v>0</v>
      </c>
      <c r="N115" s="33">
        <f t="shared" si="44"/>
        <v>0</v>
      </c>
      <c r="O115" s="34">
        <f t="shared" si="45"/>
        <v>0</v>
      </c>
      <c r="P115" s="55">
        <v>110</v>
      </c>
      <c r="Q115" s="33">
        <f t="shared" si="59"/>
        <v>0</v>
      </c>
      <c r="R115" s="33">
        <f t="shared" si="65"/>
        <v>0</v>
      </c>
      <c r="S115" s="33">
        <f t="shared" si="66"/>
        <v>0</v>
      </c>
      <c r="T115" s="33">
        <f t="shared" si="46"/>
        <v>0</v>
      </c>
      <c r="U115" s="33">
        <f t="shared" si="60"/>
        <v>0</v>
      </c>
      <c r="V115" s="33">
        <f t="shared" si="47"/>
        <v>0</v>
      </c>
      <c r="W115" s="33">
        <v>0</v>
      </c>
      <c r="X115" s="33">
        <f t="shared" si="48"/>
        <v>0</v>
      </c>
      <c r="Y115" s="38">
        <f t="shared" si="49"/>
        <v>0</v>
      </c>
      <c r="AA115" s="71">
        <v>110</v>
      </c>
      <c r="AB115" s="33">
        <f t="shared" si="50"/>
        <v>0</v>
      </c>
      <c r="AC115" s="305">
        <f t="shared" si="51"/>
        <v>0</v>
      </c>
      <c r="AD115" s="100">
        <f t="shared" si="52"/>
        <v>0</v>
      </c>
      <c r="AE115" s="100">
        <f t="shared" si="53"/>
        <v>0</v>
      </c>
      <c r="AF115" s="194">
        <f t="shared" si="70"/>
        <v>0</v>
      </c>
      <c r="AG115" s="194">
        <f t="shared" si="71"/>
        <v>0</v>
      </c>
      <c r="AH115" s="194">
        <f t="shared" si="72"/>
        <v>0</v>
      </c>
      <c r="AI115" s="199">
        <f t="shared" si="73"/>
        <v>0</v>
      </c>
      <c r="AK115" s="71">
        <v>110</v>
      </c>
      <c r="AL115" s="33">
        <f t="shared" si="54"/>
        <v>0</v>
      </c>
      <c r="AM115" s="33">
        <f t="shared" si="55"/>
        <v>0</v>
      </c>
      <c r="AN115" s="33">
        <f t="shared" si="56"/>
        <v>0</v>
      </c>
      <c r="AO115" s="33">
        <f t="shared" si="57"/>
        <v>0</v>
      </c>
      <c r="AP115" s="33">
        <f t="shared" si="58"/>
        <v>0</v>
      </c>
      <c r="AQ115" s="194">
        <f t="shared" si="74"/>
        <v>0</v>
      </c>
      <c r="AR115" s="194">
        <f t="shared" si="75"/>
        <v>0</v>
      </c>
      <c r="AS115" s="194">
        <f t="shared" si="76"/>
        <v>0</v>
      </c>
      <c r="AT115" s="194">
        <f t="shared" si="77"/>
        <v>0</v>
      </c>
      <c r="AU115" s="33"/>
      <c r="AV115" s="33"/>
      <c r="AW115" s="33"/>
      <c r="AX115" s="33"/>
      <c r="AY115" s="76"/>
    </row>
    <row r="116" spans="2:51" x14ac:dyDescent="0.3">
      <c r="C116" s="135" t="s">
        <v>125</v>
      </c>
      <c r="D116" s="135"/>
      <c r="E116" s="135"/>
      <c r="I116" s="55">
        <v>111</v>
      </c>
      <c r="J116" s="33">
        <f t="shared" si="61"/>
        <v>0</v>
      </c>
      <c r="K116" s="33">
        <f t="shared" si="62"/>
        <v>0</v>
      </c>
      <c r="L116" s="33">
        <f t="shared" si="63"/>
        <v>0</v>
      </c>
      <c r="M116" s="33">
        <f t="shared" si="64"/>
        <v>0</v>
      </c>
      <c r="N116" s="33">
        <f t="shared" si="44"/>
        <v>0</v>
      </c>
      <c r="O116" s="34">
        <f t="shared" si="45"/>
        <v>0</v>
      </c>
      <c r="P116" s="55">
        <v>111</v>
      </c>
      <c r="Q116" s="33">
        <f t="shared" si="59"/>
        <v>0</v>
      </c>
      <c r="R116" s="33">
        <f t="shared" si="65"/>
        <v>0</v>
      </c>
      <c r="S116" s="33">
        <f t="shared" si="66"/>
        <v>0</v>
      </c>
      <c r="T116" s="33">
        <f t="shared" si="46"/>
        <v>0</v>
      </c>
      <c r="U116" s="33">
        <f t="shared" si="60"/>
        <v>0</v>
      </c>
      <c r="V116" s="33">
        <f t="shared" si="47"/>
        <v>0</v>
      </c>
      <c r="W116" s="33">
        <v>0</v>
      </c>
      <c r="X116" s="33">
        <f t="shared" si="48"/>
        <v>0</v>
      </c>
      <c r="Y116" s="38">
        <f t="shared" si="49"/>
        <v>0</v>
      </c>
      <c r="AA116" s="71">
        <v>111</v>
      </c>
      <c r="AB116" s="33">
        <f t="shared" si="50"/>
        <v>0</v>
      </c>
      <c r="AC116" s="305">
        <f t="shared" si="51"/>
        <v>0</v>
      </c>
      <c r="AD116" s="100">
        <f t="shared" si="52"/>
        <v>0</v>
      </c>
      <c r="AE116" s="100">
        <f t="shared" si="53"/>
        <v>0</v>
      </c>
      <c r="AF116" s="194">
        <f t="shared" si="70"/>
        <v>0</v>
      </c>
      <c r="AG116" s="194">
        <f t="shared" si="71"/>
        <v>0</v>
      </c>
      <c r="AH116" s="194">
        <f t="shared" si="72"/>
        <v>0</v>
      </c>
      <c r="AI116" s="199">
        <f t="shared" si="73"/>
        <v>0</v>
      </c>
      <c r="AK116" s="71">
        <v>111</v>
      </c>
      <c r="AL116" s="33">
        <f t="shared" si="54"/>
        <v>0</v>
      </c>
      <c r="AM116" s="33">
        <f t="shared" si="55"/>
        <v>0</v>
      </c>
      <c r="AN116" s="33">
        <f t="shared" si="56"/>
        <v>0</v>
      </c>
      <c r="AO116" s="33">
        <f t="shared" si="57"/>
        <v>0</v>
      </c>
      <c r="AP116" s="33">
        <f t="shared" si="58"/>
        <v>0</v>
      </c>
      <c r="AQ116" s="194">
        <f t="shared" si="74"/>
        <v>0</v>
      </c>
      <c r="AR116" s="194">
        <f t="shared" si="75"/>
        <v>0</v>
      </c>
      <c r="AS116" s="194">
        <f t="shared" si="76"/>
        <v>0</v>
      </c>
      <c r="AT116" s="194">
        <f t="shared" si="77"/>
        <v>0</v>
      </c>
      <c r="AU116" s="33"/>
      <c r="AV116" s="33"/>
      <c r="AW116" s="33"/>
      <c r="AX116" s="33"/>
      <c r="AY116" s="76"/>
    </row>
    <row r="117" spans="2:51" x14ac:dyDescent="0.3">
      <c r="C117" s="135" t="s">
        <v>145</v>
      </c>
      <c r="D117" s="135" t="s">
        <v>72</v>
      </c>
      <c r="E117" s="81" t="s">
        <v>166</v>
      </c>
      <c r="I117" s="55">
        <v>112</v>
      </c>
      <c r="J117" s="33">
        <f t="shared" si="61"/>
        <v>0</v>
      </c>
      <c r="K117" s="33">
        <f t="shared" si="62"/>
        <v>0</v>
      </c>
      <c r="L117" s="33">
        <f t="shared" si="63"/>
        <v>0</v>
      </c>
      <c r="M117" s="33">
        <f t="shared" si="64"/>
        <v>0</v>
      </c>
      <c r="N117" s="33">
        <f t="shared" si="44"/>
        <v>0</v>
      </c>
      <c r="O117" s="34">
        <f t="shared" si="45"/>
        <v>0</v>
      </c>
      <c r="P117" s="55">
        <v>112</v>
      </c>
      <c r="Q117" s="33">
        <f t="shared" si="59"/>
        <v>0</v>
      </c>
      <c r="R117" s="33">
        <f t="shared" si="65"/>
        <v>0</v>
      </c>
      <c r="S117" s="33">
        <f t="shared" si="66"/>
        <v>0</v>
      </c>
      <c r="T117" s="33">
        <f t="shared" si="46"/>
        <v>0</v>
      </c>
      <c r="U117" s="33">
        <f t="shared" si="60"/>
        <v>0</v>
      </c>
      <c r="V117" s="33">
        <f t="shared" si="47"/>
        <v>0</v>
      </c>
      <c r="W117" s="33">
        <v>0</v>
      </c>
      <c r="X117" s="33">
        <f t="shared" si="48"/>
        <v>0</v>
      </c>
      <c r="Y117" s="38">
        <f t="shared" si="49"/>
        <v>0</v>
      </c>
      <c r="AA117" s="71">
        <v>112</v>
      </c>
      <c r="AB117" s="33">
        <f t="shared" si="50"/>
        <v>0</v>
      </c>
      <c r="AC117" s="305">
        <f t="shared" si="51"/>
        <v>0</v>
      </c>
      <c r="AD117" s="100">
        <f t="shared" si="52"/>
        <v>0</v>
      </c>
      <c r="AE117" s="100">
        <f t="shared" si="53"/>
        <v>0</v>
      </c>
      <c r="AF117" s="194">
        <f t="shared" si="70"/>
        <v>0</v>
      </c>
      <c r="AG117" s="194">
        <f t="shared" si="71"/>
        <v>0</v>
      </c>
      <c r="AH117" s="194">
        <f t="shared" si="72"/>
        <v>0</v>
      </c>
      <c r="AI117" s="199">
        <f t="shared" si="73"/>
        <v>0</v>
      </c>
      <c r="AK117" s="71">
        <v>112</v>
      </c>
      <c r="AL117" s="33">
        <f t="shared" si="54"/>
        <v>0</v>
      </c>
      <c r="AM117" s="33">
        <f t="shared" si="55"/>
        <v>0</v>
      </c>
      <c r="AN117" s="33">
        <f t="shared" si="56"/>
        <v>0</v>
      </c>
      <c r="AO117" s="33">
        <f t="shared" si="57"/>
        <v>0</v>
      </c>
      <c r="AP117" s="33">
        <f t="shared" si="58"/>
        <v>0</v>
      </c>
      <c r="AQ117" s="194">
        <f t="shared" si="74"/>
        <v>0</v>
      </c>
      <c r="AR117" s="194">
        <f t="shared" si="75"/>
        <v>0</v>
      </c>
      <c r="AS117" s="194">
        <f t="shared" si="76"/>
        <v>0</v>
      </c>
      <c r="AT117" s="194">
        <f t="shared" si="77"/>
        <v>0</v>
      </c>
      <c r="AU117" s="33"/>
      <c r="AV117" s="33"/>
      <c r="AW117" s="33"/>
      <c r="AX117" s="33"/>
      <c r="AY117" s="76"/>
    </row>
    <row r="118" spans="2:51" x14ac:dyDescent="0.3">
      <c r="B118" s="67" t="s">
        <v>261</v>
      </c>
      <c r="C118" s="303">
        <f>1/30*SUM(AI6:AI35)</f>
        <v>3.8868842634585605</v>
      </c>
      <c r="D118" s="79">
        <v>0</v>
      </c>
      <c r="E118" s="78">
        <f>C118-D118</f>
        <v>3.8868842634585605</v>
      </c>
      <c r="I118" s="55">
        <v>113</v>
      </c>
      <c r="J118" s="33">
        <f t="shared" si="61"/>
        <v>0</v>
      </c>
      <c r="K118" s="33">
        <f t="shared" si="62"/>
        <v>0</v>
      </c>
      <c r="L118" s="33">
        <f t="shared" si="63"/>
        <v>0</v>
      </c>
      <c r="M118" s="33">
        <f t="shared" si="64"/>
        <v>0</v>
      </c>
      <c r="N118" s="33">
        <f t="shared" si="44"/>
        <v>0</v>
      </c>
      <c r="O118" s="34">
        <f t="shared" si="45"/>
        <v>0</v>
      </c>
      <c r="P118" s="55">
        <v>113</v>
      </c>
      <c r="Q118" s="33">
        <f t="shared" si="59"/>
        <v>0</v>
      </c>
      <c r="R118" s="33">
        <f t="shared" si="65"/>
        <v>0</v>
      </c>
      <c r="S118" s="33">
        <f t="shared" si="66"/>
        <v>0</v>
      </c>
      <c r="T118" s="33">
        <f t="shared" si="46"/>
        <v>0</v>
      </c>
      <c r="U118" s="33">
        <f t="shared" si="60"/>
        <v>0</v>
      </c>
      <c r="V118" s="33">
        <f t="shared" si="47"/>
        <v>0</v>
      </c>
      <c r="W118" s="33">
        <v>0</v>
      </c>
      <c r="X118" s="33">
        <f t="shared" si="48"/>
        <v>0</v>
      </c>
      <c r="Y118" s="38">
        <f t="shared" si="49"/>
        <v>0</v>
      </c>
      <c r="AA118" s="71">
        <v>113</v>
      </c>
      <c r="AB118" s="33">
        <f t="shared" si="50"/>
        <v>0</v>
      </c>
      <c r="AC118" s="305">
        <f t="shared" si="51"/>
        <v>0</v>
      </c>
      <c r="AD118" s="100">
        <f t="shared" si="52"/>
        <v>0</v>
      </c>
      <c r="AE118" s="100">
        <f t="shared" si="53"/>
        <v>0</v>
      </c>
      <c r="AF118" s="194">
        <f t="shared" si="70"/>
        <v>0</v>
      </c>
      <c r="AG118" s="194">
        <f t="shared" si="71"/>
        <v>0</v>
      </c>
      <c r="AH118" s="194">
        <f t="shared" si="72"/>
        <v>0</v>
      </c>
      <c r="AI118" s="199">
        <f t="shared" si="73"/>
        <v>0</v>
      </c>
      <c r="AK118" s="71">
        <v>113</v>
      </c>
      <c r="AL118" s="33">
        <f t="shared" si="54"/>
        <v>0</v>
      </c>
      <c r="AM118" s="33">
        <f t="shared" si="55"/>
        <v>0</v>
      </c>
      <c r="AN118" s="33">
        <f t="shared" si="56"/>
        <v>0</v>
      </c>
      <c r="AO118" s="33">
        <f t="shared" si="57"/>
        <v>0</v>
      </c>
      <c r="AP118" s="33">
        <f t="shared" si="58"/>
        <v>0</v>
      </c>
      <c r="AQ118" s="194">
        <f t="shared" si="74"/>
        <v>0</v>
      </c>
      <c r="AR118" s="194">
        <f t="shared" si="75"/>
        <v>0</v>
      </c>
      <c r="AS118" s="194">
        <f t="shared" si="76"/>
        <v>0</v>
      </c>
      <c r="AT118" s="194">
        <f t="shared" si="77"/>
        <v>0</v>
      </c>
      <c r="AU118" s="33"/>
      <c r="AV118" s="33"/>
      <c r="AW118" s="33"/>
      <c r="AX118" s="33"/>
      <c r="AY118" s="76"/>
    </row>
    <row r="119" spans="2:51" x14ac:dyDescent="0.3">
      <c r="B119" s="67"/>
      <c r="C119" s="82"/>
      <c r="D119" s="79"/>
      <c r="E119" s="78"/>
      <c r="I119" s="55">
        <v>114</v>
      </c>
      <c r="J119" s="33">
        <f t="shared" si="61"/>
        <v>0</v>
      </c>
      <c r="K119" s="33">
        <f t="shared" si="62"/>
        <v>0</v>
      </c>
      <c r="L119" s="33">
        <f t="shared" si="63"/>
        <v>0</v>
      </c>
      <c r="M119" s="33">
        <f t="shared" si="64"/>
        <v>0</v>
      </c>
      <c r="N119" s="33">
        <f t="shared" si="44"/>
        <v>0</v>
      </c>
      <c r="O119" s="34">
        <f t="shared" si="45"/>
        <v>0</v>
      </c>
      <c r="P119" s="55">
        <v>114</v>
      </c>
      <c r="Q119" s="33">
        <f t="shared" si="59"/>
        <v>0</v>
      </c>
      <c r="R119" s="33">
        <f t="shared" si="65"/>
        <v>0</v>
      </c>
      <c r="S119" s="33">
        <f t="shared" si="66"/>
        <v>0</v>
      </c>
      <c r="T119" s="33">
        <f t="shared" si="46"/>
        <v>0</v>
      </c>
      <c r="U119" s="33">
        <f t="shared" si="60"/>
        <v>0</v>
      </c>
      <c r="V119" s="33">
        <f t="shared" si="47"/>
        <v>0</v>
      </c>
      <c r="W119" s="33">
        <v>0</v>
      </c>
      <c r="X119" s="33">
        <f t="shared" si="48"/>
        <v>0</v>
      </c>
      <c r="Y119" s="38">
        <f t="shared" si="49"/>
        <v>0</v>
      </c>
      <c r="AA119" s="71">
        <v>114</v>
      </c>
      <c r="AB119" s="33">
        <f t="shared" si="50"/>
        <v>0</v>
      </c>
      <c r="AC119" s="305">
        <f t="shared" si="51"/>
        <v>0</v>
      </c>
      <c r="AD119" s="100">
        <f t="shared" si="52"/>
        <v>0</v>
      </c>
      <c r="AE119" s="100">
        <f t="shared" si="53"/>
        <v>0</v>
      </c>
      <c r="AF119" s="194">
        <f t="shared" si="70"/>
        <v>0</v>
      </c>
      <c r="AG119" s="194">
        <f t="shared" si="71"/>
        <v>0</v>
      </c>
      <c r="AH119" s="194">
        <f t="shared" si="72"/>
        <v>0</v>
      </c>
      <c r="AI119" s="199">
        <f t="shared" si="73"/>
        <v>0</v>
      </c>
      <c r="AK119" s="71">
        <v>114</v>
      </c>
      <c r="AL119" s="33">
        <f t="shared" si="54"/>
        <v>0</v>
      </c>
      <c r="AM119" s="33">
        <f t="shared" si="55"/>
        <v>0</v>
      </c>
      <c r="AN119" s="33">
        <f t="shared" si="56"/>
        <v>0</v>
      </c>
      <c r="AO119" s="33">
        <f t="shared" si="57"/>
        <v>0</v>
      </c>
      <c r="AP119" s="33">
        <f t="shared" si="58"/>
        <v>0</v>
      </c>
      <c r="AQ119" s="194">
        <f t="shared" si="74"/>
        <v>0</v>
      </c>
      <c r="AR119" s="194">
        <f t="shared" si="75"/>
        <v>0</v>
      </c>
      <c r="AS119" s="194">
        <f t="shared" si="76"/>
        <v>0</v>
      </c>
      <c r="AT119" s="194">
        <f t="shared" si="77"/>
        <v>0</v>
      </c>
      <c r="AU119" s="33"/>
      <c r="AV119" s="33"/>
      <c r="AW119" s="33"/>
      <c r="AX119" s="33"/>
      <c r="AY119" s="76"/>
    </row>
    <row r="120" spans="2:51" x14ac:dyDescent="0.3">
      <c r="C120" s="80"/>
      <c r="D120" s="80"/>
      <c r="E120" s="83"/>
      <c r="I120" s="55">
        <v>115</v>
      </c>
      <c r="J120" s="33">
        <f t="shared" si="61"/>
        <v>0</v>
      </c>
      <c r="K120" s="33">
        <f t="shared" si="62"/>
        <v>0</v>
      </c>
      <c r="L120" s="33">
        <f t="shared" si="63"/>
        <v>0</v>
      </c>
      <c r="M120" s="33">
        <f t="shared" si="64"/>
        <v>0</v>
      </c>
      <c r="N120" s="33">
        <f t="shared" si="44"/>
        <v>0</v>
      </c>
      <c r="O120" s="34">
        <f t="shared" si="45"/>
        <v>0</v>
      </c>
      <c r="P120" s="55">
        <v>115</v>
      </c>
      <c r="Q120" s="33">
        <f t="shared" si="59"/>
        <v>0</v>
      </c>
      <c r="R120" s="33">
        <f t="shared" si="65"/>
        <v>0</v>
      </c>
      <c r="S120" s="33">
        <f t="shared" si="66"/>
        <v>0</v>
      </c>
      <c r="T120" s="33">
        <f t="shared" si="46"/>
        <v>0</v>
      </c>
      <c r="U120" s="33">
        <f t="shared" si="60"/>
        <v>0</v>
      </c>
      <c r="V120" s="33">
        <f t="shared" si="47"/>
        <v>0</v>
      </c>
      <c r="W120" s="33">
        <v>0</v>
      </c>
      <c r="X120" s="33">
        <f t="shared" si="48"/>
        <v>0</v>
      </c>
      <c r="Y120" s="38">
        <f t="shared" si="49"/>
        <v>0</v>
      </c>
      <c r="AA120" s="71">
        <v>115</v>
      </c>
      <c r="AB120" s="33">
        <f t="shared" si="50"/>
        <v>0</v>
      </c>
      <c r="AC120" s="305">
        <f t="shared" si="51"/>
        <v>0</v>
      </c>
      <c r="AD120" s="100">
        <f t="shared" si="52"/>
        <v>0</v>
      </c>
      <c r="AE120" s="100">
        <f t="shared" si="53"/>
        <v>0</v>
      </c>
      <c r="AF120" s="194">
        <f t="shared" si="70"/>
        <v>0</v>
      </c>
      <c r="AG120" s="194">
        <f t="shared" si="71"/>
        <v>0</v>
      </c>
      <c r="AH120" s="194">
        <f t="shared" si="72"/>
        <v>0</v>
      </c>
      <c r="AI120" s="199">
        <f t="shared" si="73"/>
        <v>0</v>
      </c>
      <c r="AK120" s="71">
        <v>115</v>
      </c>
      <c r="AL120" s="33">
        <f t="shared" si="54"/>
        <v>0</v>
      </c>
      <c r="AM120" s="33">
        <f t="shared" si="55"/>
        <v>0</v>
      </c>
      <c r="AN120" s="33">
        <f t="shared" si="56"/>
        <v>0</v>
      </c>
      <c r="AO120" s="33">
        <f t="shared" si="57"/>
        <v>0</v>
      </c>
      <c r="AP120" s="33">
        <f t="shared" si="58"/>
        <v>0</v>
      </c>
      <c r="AQ120" s="194">
        <f t="shared" si="74"/>
        <v>0</v>
      </c>
      <c r="AR120" s="194">
        <f t="shared" si="75"/>
        <v>0</v>
      </c>
      <c r="AS120" s="194">
        <f t="shared" si="76"/>
        <v>0</v>
      </c>
      <c r="AT120" s="194">
        <f t="shared" si="77"/>
        <v>0</v>
      </c>
      <c r="AU120" s="33"/>
      <c r="AV120" s="33"/>
      <c r="AW120" s="33"/>
      <c r="AX120" s="33"/>
      <c r="AY120" s="76"/>
    </row>
    <row r="121" spans="2:51" x14ac:dyDescent="0.3">
      <c r="C121" s="135" t="s">
        <v>160</v>
      </c>
      <c r="D121" s="135"/>
      <c r="E121" s="135"/>
      <c r="I121" s="55">
        <v>116</v>
      </c>
      <c r="J121" s="33">
        <f t="shared" si="61"/>
        <v>0</v>
      </c>
      <c r="K121" s="33">
        <f t="shared" si="62"/>
        <v>0</v>
      </c>
      <c r="L121" s="33">
        <f t="shared" si="63"/>
        <v>0</v>
      </c>
      <c r="M121" s="33">
        <f t="shared" si="64"/>
        <v>0</v>
      </c>
      <c r="N121" s="33">
        <f t="shared" si="44"/>
        <v>0</v>
      </c>
      <c r="O121" s="34">
        <f t="shared" si="45"/>
        <v>0</v>
      </c>
      <c r="P121" s="55">
        <v>116</v>
      </c>
      <c r="Q121" s="33">
        <f t="shared" si="59"/>
        <v>0</v>
      </c>
      <c r="R121" s="33">
        <f t="shared" si="65"/>
        <v>0</v>
      </c>
      <c r="S121" s="33">
        <f t="shared" si="66"/>
        <v>0</v>
      </c>
      <c r="T121" s="33">
        <f t="shared" si="46"/>
        <v>0</v>
      </c>
      <c r="U121" s="33">
        <f t="shared" si="60"/>
        <v>0</v>
      </c>
      <c r="V121" s="33">
        <f t="shared" si="47"/>
        <v>0</v>
      </c>
      <c r="W121" s="33">
        <v>0</v>
      </c>
      <c r="X121" s="33">
        <f t="shared" si="48"/>
        <v>0</v>
      </c>
      <c r="Y121" s="38">
        <f t="shared" si="49"/>
        <v>0</v>
      </c>
      <c r="AA121" s="71">
        <v>116</v>
      </c>
      <c r="AB121" s="33">
        <f t="shared" si="50"/>
        <v>0</v>
      </c>
      <c r="AC121" s="305">
        <f t="shared" si="51"/>
        <v>0</v>
      </c>
      <c r="AD121" s="100">
        <f t="shared" si="52"/>
        <v>0</v>
      </c>
      <c r="AE121" s="100">
        <f t="shared" si="53"/>
        <v>0</v>
      </c>
      <c r="AF121" s="194">
        <f t="shared" si="70"/>
        <v>0</v>
      </c>
      <c r="AG121" s="194">
        <f t="shared" si="71"/>
        <v>0</v>
      </c>
      <c r="AH121" s="194">
        <f t="shared" si="72"/>
        <v>0</v>
      </c>
      <c r="AI121" s="199">
        <f t="shared" si="73"/>
        <v>0</v>
      </c>
      <c r="AK121" s="71">
        <v>116</v>
      </c>
      <c r="AL121" s="33">
        <f t="shared" si="54"/>
        <v>0</v>
      </c>
      <c r="AM121" s="33">
        <f t="shared" si="55"/>
        <v>0</v>
      </c>
      <c r="AN121" s="33">
        <f t="shared" si="56"/>
        <v>0</v>
      </c>
      <c r="AO121" s="33">
        <f t="shared" si="57"/>
        <v>0</v>
      </c>
      <c r="AP121" s="33">
        <f t="shared" si="58"/>
        <v>0</v>
      </c>
      <c r="AQ121" s="194">
        <f t="shared" si="74"/>
        <v>0</v>
      </c>
      <c r="AR121" s="194">
        <f t="shared" si="75"/>
        <v>0</v>
      </c>
      <c r="AS121" s="194">
        <f t="shared" si="76"/>
        <v>0</v>
      </c>
      <c r="AT121" s="194">
        <f t="shared" si="77"/>
        <v>0</v>
      </c>
      <c r="AU121" s="33"/>
      <c r="AV121" s="33"/>
      <c r="AW121" s="33"/>
      <c r="AX121" s="33"/>
      <c r="AY121" s="76"/>
    </row>
    <row r="122" spans="2:51" x14ac:dyDescent="0.3">
      <c r="C122" s="135" t="s">
        <v>145</v>
      </c>
      <c r="D122" s="135" t="s">
        <v>72</v>
      </c>
      <c r="E122" s="81" t="s">
        <v>166</v>
      </c>
      <c r="I122" s="55">
        <v>117</v>
      </c>
      <c r="J122" s="33">
        <f t="shared" si="61"/>
        <v>0</v>
      </c>
      <c r="K122" s="33">
        <f t="shared" si="62"/>
        <v>0</v>
      </c>
      <c r="L122" s="33">
        <f t="shared" si="63"/>
        <v>0</v>
      </c>
      <c r="M122" s="33">
        <f t="shared" si="64"/>
        <v>0</v>
      </c>
      <c r="N122" s="33">
        <f t="shared" si="44"/>
        <v>0</v>
      </c>
      <c r="O122" s="34">
        <f t="shared" si="45"/>
        <v>0</v>
      </c>
      <c r="P122" s="55">
        <v>117</v>
      </c>
      <c r="Q122" s="33">
        <f t="shared" si="59"/>
        <v>0</v>
      </c>
      <c r="R122" s="33">
        <f t="shared" si="65"/>
        <v>0</v>
      </c>
      <c r="S122" s="33">
        <f t="shared" si="66"/>
        <v>0</v>
      </c>
      <c r="T122" s="33">
        <f t="shared" si="46"/>
        <v>0</v>
      </c>
      <c r="U122" s="33">
        <f t="shared" si="60"/>
        <v>0</v>
      </c>
      <c r="V122" s="33">
        <f t="shared" si="47"/>
        <v>0</v>
      </c>
      <c r="W122" s="33">
        <v>0</v>
      </c>
      <c r="X122" s="33">
        <f t="shared" si="48"/>
        <v>0</v>
      </c>
      <c r="Y122" s="38">
        <f t="shared" si="49"/>
        <v>0</v>
      </c>
      <c r="AA122" s="71">
        <v>117</v>
      </c>
      <c r="AB122" s="33">
        <f t="shared" si="50"/>
        <v>0</v>
      </c>
      <c r="AC122" s="305">
        <f t="shared" si="51"/>
        <v>0</v>
      </c>
      <c r="AD122" s="100">
        <f t="shared" si="52"/>
        <v>0</v>
      </c>
      <c r="AE122" s="100">
        <f t="shared" si="53"/>
        <v>0</v>
      </c>
      <c r="AF122" s="194">
        <f t="shared" si="70"/>
        <v>0</v>
      </c>
      <c r="AG122" s="194">
        <f t="shared" si="71"/>
        <v>0</v>
      </c>
      <c r="AH122" s="194">
        <f t="shared" si="72"/>
        <v>0</v>
      </c>
      <c r="AI122" s="199">
        <f t="shared" si="73"/>
        <v>0</v>
      </c>
      <c r="AK122" s="71">
        <v>117</v>
      </c>
      <c r="AL122" s="33">
        <f t="shared" si="54"/>
        <v>0</v>
      </c>
      <c r="AM122" s="33">
        <f t="shared" si="55"/>
        <v>0</v>
      </c>
      <c r="AN122" s="33">
        <f t="shared" si="56"/>
        <v>0</v>
      </c>
      <c r="AO122" s="33">
        <f t="shared" si="57"/>
        <v>0</v>
      </c>
      <c r="AP122" s="33">
        <f t="shared" si="58"/>
        <v>0</v>
      </c>
      <c r="AQ122" s="194">
        <f t="shared" si="74"/>
        <v>0</v>
      </c>
      <c r="AR122" s="194">
        <f t="shared" si="75"/>
        <v>0</v>
      </c>
      <c r="AS122" s="194">
        <f t="shared" si="76"/>
        <v>0</v>
      </c>
      <c r="AT122" s="194">
        <f t="shared" si="77"/>
        <v>0</v>
      </c>
      <c r="AU122" s="33"/>
      <c r="AV122" s="33"/>
      <c r="AW122" s="33"/>
      <c r="AX122" s="33"/>
      <c r="AY122" s="76"/>
    </row>
    <row r="123" spans="2:51" x14ac:dyDescent="0.3">
      <c r="B123" s="67" t="s">
        <v>168</v>
      </c>
      <c r="C123" s="82">
        <f>AY35</f>
        <v>14.19</v>
      </c>
      <c r="D123" s="304">
        <f>IF(AND(D8=B101,F12=C194),J34*50%*G107,0)</f>
        <v>0</v>
      </c>
      <c r="E123" s="78">
        <f>C123-D123</f>
        <v>14.19</v>
      </c>
      <c r="I123" s="55">
        <v>118</v>
      </c>
      <c r="J123" s="33">
        <f t="shared" si="61"/>
        <v>0</v>
      </c>
      <c r="K123" s="33">
        <f t="shared" si="62"/>
        <v>0</v>
      </c>
      <c r="L123" s="33">
        <f t="shared" si="63"/>
        <v>0</v>
      </c>
      <c r="M123" s="33">
        <f t="shared" si="64"/>
        <v>0</v>
      </c>
      <c r="N123" s="33">
        <f t="shared" si="44"/>
        <v>0</v>
      </c>
      <c r="O123" s="34">
        <f t="shared" si="45"/>
        <v>0</v>
      </c>
      <c r="P123" s="55">
        <v>118</v>
      </c>
      <c r="Q123" s="33">
        <f t="shared" si="59"/>
        <v>0</v>
      </c>
      <c r="R123" s="33">
        <f t="shared" si="65"/>
        <v>0</v>
      </c>
      <c r="S123" s="33">
        <f t="shared" si="66"/>
        <v>0</v>
      </c>
      <c r="T123" s="33">
        <f t="shared" si="46"/>
        <v>0</v>
      </c>
      <c r="U123" s="33">
        <f t="shared" si="60"/>
        <v>0</v>
      </c>
      <c r="V123" s="33">
        <f t="shared" si="47"/>
        <v>0</v>
      </c>
      <c r="W123" s="33">
        <v>0</v>
      </c>
      <c r="X123" s="33">
        <f t="shared" si="48"/>
        <v>0</v>
      </c>
      <c r="Y123" s="38">
        <f t="shared" si="49"/>
        <v>0</v>
      </c>
      <c r="AA123" s="71">
        <v>118</v>
      </c>
      <c r="AB123" s="33">
        <f t="shared" si="50"/>
        <v>0</v>
      </c>
      <c r="AC123" s="305">
        <f t="shared" si="51"/>
        <v>0</v>
      </c>
      <c r="AD123" s="100">
        <f t="shared" si="52"/>
        <v>0</v>
      </c>
      <c r="AE123" s="100">
        <f t="shared" si="53"/>
        <v>0</v>
      </c>
      <c r="AF123" s="194">
        <f t="shared" si="70"/>
        <v>0</v>
      </c>
      <c r="AG123" s="194">
        <f t="shared" si="71"/>
        <v>0</v>
      </c>
      <c r="AH123" s="194">
        <f t="shared" si="72"/>
        <v>0</v>
      </c>
      <c r="AI123" s="199">
        <f t="shared" si="73"/>
        <v>0</v>
      </c>
      <c r="AK123" s="71">
        <v>118</v>
      </c>
      <c r="AL123" s="33">
        <f t="shared" si="54"/>
        <v>0</v>
      </c>
      <c r="AM123" s="33">
        <f t="shared" si="55"/>
        <v>0</v>
      </c>
      <c r="AN123" s="33">
        <f t="shared" si="56"/>
        <v>0</v>
      </c>
      <c r="AO123" s="33">
        <f t="shared" si="57"/>
        <v>0</v>
      </c>
      <c r="AP123" s="33">
        <f t="shared" si="58"/>
        <v>0</v>
      </c>
      <c r="AQ123" s="194">
        <f t="shared" si="74"/>
        <v>0</v>
      </c>
      <c r="AR123" s="194">
        <f t="shared" si="75"/>
        <v>0</v>
      </c>
      <c r="AS123" s="194">
        <f t="shared" si="76"/>
        <v>0</v>
      </c>
      <c r="AT123" s="194">
        <f t="shared" si="77"/>
        <v>0</v>
      </c>
      <c r="AU123" s="33"/>
      <c r="AV123" s="33"/>
      <c r="AW123" s="33"/>
      <c r="AX123" s="33"/>
      <c r="AY123" s="76"/>
    </row>
    <row r="124" spans="2:51" x14ac:dyDescent="0.3">
      <c r="I124" s="55">
        <v>119</v>
      </c>
      <c r="J124" s="33">
        <f t="shared" si="61"/>
        <v>0</v>
      </c>
      <c r="K124" s="33">
        <f t="shared" si="62"/>
        <v>0</v>
      </c>
      <c r="L124" s="33">
        <f t="shared" si="63"/>
        <v>0</v>
      </c>
      <c r="M124" s="33">
        <f t="shared" si="64"/>
        <v>0</v>
      </c>
      <c r="N124" s="33">
        <f t="shared" si="44"/>
        <v>0</v>
      </c>
      <c r="O124" s="34">
        <f t="shared" si="45"/>
        <v>0</v>
      </c>
      <c r="P124" s="55">
        <v>119</v>
      </c>
      <c r="Q124" s="33">
        <f t="shared" si="59"/>
        <v>0</v>
      </c>
      <c r="R124" s="33">
        <f t="shared" si="65"/>
        <v>0</v>
      </c>
      <c r="S124" s="33">
        <f t="shared" si="66"/>
        <v>0</v>
      </c>
      <c r="T124" s="33">
        <f t="shared" si="46"/>
        <v>0</v>
      </c>
      <c r="U124" s="33">
        <f t="shared" si="60"/>
        <v>0</v>
      </c>
      <c r="V124" s="33">
        <f t="shared" si="47"/>
        <v>0</v>
      </c>
      <c r="W124" s="33">
        <v>0</v>
      </c>
      <c r="X124" s="33">
        <f t="shared" si="48"/>
        <v>0</v>
      </c>
      <c r="Y124" s="38">
        <f t="shared" si="49"/>
        <v>0</v>
      </c>
      <c r="AA124" s="71">
        <v>119</v>
      </c>
      <c r="AB124" s="33">
        <f t="shared" si="50"/>
        <v>0</v>
      </c>
      <c r="AC124" s="305">
        <f t="shared" si="51"/>
        <v>0</v>
      </c>
      <c r="AD124" s="100">
        <f t="shared" si="52"/>
        <v>0</v>
      </c>
      <c r="AE124" s="100">
        <f t="shared" si="53"/>
        <v>0</v>
      </c>
      <c r="AF124" s="194">
        <f t="shared" si="70"/>
        <v>0</v>
      </c>
      <c r="AG124" s="194">
        <f t="shared" si="71"/>
        <v>0</v>
      </c>
      <c r="AH124" s="194">
        <f t="shared" si="72"/>
        <v>0</v>
      </c>
      <c r="AI124" s="199">
        <f t="shared" si="73"/>
        <v>0</v>
      </c>
      <c r="AK124" s="71">
        <v>119</v>
      </c>
      <c r="AL124" s="33">
        <f t="shared" si="54"/>
        <v>0</v>
      </c>
      <c r="AM124" s="33">
        <f t="shared" si="55"/>
        <v>0</v>
      </c>
      <c r="AN124" s="33">
        <f t="shared" si="56"/>
        <v>0</v>
      </c>
      <c r="AO124" s="33">
        <f t="shared" si="57"/>
        <v>0</v>
      </c>
      <c r="AP124" s="33">
        <f t="shared" si="58"/>
        <v>0</v>
      </c>
      <c r="AQ124" s="194">
        <f t="shared" si="74"/>
        <v>0</v>
      </c>
      <c r="AR124" s="194">
        <f t="shared" si="75"/>
        <v>0</v>
      </c>
      <c r="AS124" s="194">
        <f t="shared" si="76"/>
        <v>0</v>
      </c>
      <c r="AT124" s="194">
        <f t="shared" si="77"/>
        <v>0</v>
      </c>
      <c r="AU124" s="33"/>
      <c r="AV124" s="33"/>
      <c r="AW124" s="33"/>
      <c r="AX124" s="33"/>
      <c r="AY124" s="76"/>
    </row>
    <row r="125" spans="2:51" x14ac:dyDescent="0.3">
      <c r="C125" s="80"/>
      <c r="D125" s="80"/>
      <c r="E125" s="83"/>
      <c r="I125" s="55">
        <v>120</v>
      </c>
      <c r="J125" s="33">
        <f t="shared" si="61"/>
        <v>0</v>
      </c>
      <c r="K125" s="33">
        <f t="shared" si="62"/>
        <v>0</v>
      </c>
      <c r="L125" s="33">
        <f t="shared" si="63"/>
        <v>0</v>
      </c>
      <c r="M125" s="33">
        <f t="shared" si="64"/>
        <v>0</v>
      </c>
      <c r="N125" s="33">
        <f t="shared" si="44"/>
        <v>0</v>
      </c>
      <c r="O125" s="34">
        <f t="shared" si="45"/>
        <v>0</v>
      </c>
      <c r="P125" s="55">
        <v>120</v>
      </c>
      <c r="Q125" s="33">
        <f t="shared" si="59"/>
        <v>0</v>
      </c>
      <c r="R125" s="33">
        <f t="shared" si="65"/>
        <v>0</v>
      </c>
      <c r="S125" s="33">
        <f t="shared" si="66"/>
        <v>0</v>
      </c>
      <c r="T125" s="33">
        <f t="shared" si="46"/>
        <v>0</v>
      </c>
      <c r="U125" s="33">
        <f t="shared" si="60"/>
        <v>0</v>
      </c>
      <c r="V125" s="33">
        <f t="shared" si="47"/>
        <v>0</v>
      </c>
      <c r="W125" s="33">
        <v>0</v>
      </c>
      <c r="X125" s="33">
        <f t="shared" si="48"/>
        <v>0</v>
      </c>
      <c r="Y125" s="38">
        <f t="shared" si="49"/>
        <v>0</v>
      </c>
      <c r="AA125" s="71">
        <v>120</v>
      </c>
      <c r="AB125" s="33">
        <f t="shared" si="50"/>
        <v>0</v>
      </c>
      <c r="AC125" s="305">
        <f t="shared" si="51"/>
        <v>0</v>
      </c>
      <c r="AD125" s="100">
        <f t="shared" si="52"/>
        <v>0</v>
      </c>
      <c r="AE125" s="100">
        <f t="shared" si="53"/>
        <v>0</v>
      </c>
      <c r="AF125" s="194">
        <f t="shared" si="70"/>
        <v>0</v>
      </c>
      <c r="AG125" s="194">
        <f t="shared" si="71"/>
        <v>0</v>
      </c>
      <c r="AH125" s="194">
        <f t="shared" si="72"/>
        <v>0</v>
      </c>
      <c r="AI125" s="199">
        <f t="shared" si="73"/>
        <v>0</v>
      </c>
      <c r="AK125" s="71">
        <v>120</v>
      </c>
      <c r="AL125" s="33">
        <f t="shared" si="54"/>
        <v>0</v>
      </c>
      <c r="AM125" s="33">
        <f t="shared" si="55"/>
        <v>0</v>
      </c>
      <c r="AN125" s="33">
        <f t="shared" si="56"/>
        <v>0</v>
      </c>
      <c r="AO125" s="33">
        <f t="shared" si="57"/>
        <v>0</v>
      </c>
      <c r="AP125" s="33">
        <f t="shared" si="58"/>
        <v>0</v>
      </c>
      <c r="AQ125" s="194">
        <f t="shared" si="74"/>
        <v>0</v>
      </c>
      <c r="AR125" s="194">
        <f t="shared" si="75"/>
        <v>0</v>
      </c>
      <c r="AS125" s="194">
        <f t="shared" si="76"/>
        <v>0</v>
      </c>
      <c r="AT125" s="194">
        <f t="shared" si="77"/>
        <v>0</v>
      </c>
      <c r="AU125" s="33"/>
      <c r="AV125" s="33"/>
      <c r="AW125" s="33"/>
      <c r="AX125" s="33"/>
      <c r="AY125" s="76"/>
    </row>
    <row r="126" spans="2:51" x14ac:dyDescent="0.3">
      <c r="C126" s="84" t="s">
        <v>129</v>
      </c>
      <c r="D126" s="84" t="s">
        <v>130</v>
      </c>
      <c r="E126" s="84" t="s">
        <v>160</v>
      </c>
      <c r="F126" s="157" t="s">
        <v>170</v>
      </c>
      <c r="I126" s="55">
        <v>121</v>
      </c>
      <c r="J126" s="33">
        <f t="shared" si="61"/>
        <v>0</v>
      </c>
      <c r="K126" s="33">
        <f t="shared" si="62"/>
        <v>0</v>
      </c>
      <c r="L126" s="33">
        <f t="shared" si="63"/>
        <v>0</v>
      </c>
      <c r="M126" s="33">
        <f t="shared" si="64"/>
        <v>0</v>
      </c>
      <c r="N126" s="33">
        <f t="shared" si="44"/>
        <v>0</v>
      </c>
      <c r="O126" s="34">
        <f t="shared" si="45"/>
        <v>0</v>
      </c>
      <c r="P126" s="55">
        <v>121</v>
      </c>
      <c r="Q126" s="33">
        <f t="shared" si="59"/>
        <v>0</v>
      </c>
      <c r="R126" s="33">
        <f t="shared" si="65"/>
        <v>0</v>
      </c>
      <c r="S126" s="33">
        <f t="shared" si="66"/>
        <v>0</v>
      </c>
      <c r="T126" s="33">
        <f t="shared" si="46"/>
        <v>0</v>
      </c>
      <c r="U126" s="33">
        <f t="shared" si="60"/>
        <v>0</v>
      </c>
      <c r="V126" s="33">
        <f t="shared" si="47"/>
        <v>0</v>
      </c>
      <c r="W126" s="33">
        <v>0</v>
      </c>
      <c r="X126" s="33">
        <f t="shared" si="48"/>
        <v>0</v>
      </c>
      <c r="Y126" s="38">
        <f t="shared" si="49"/>
        <v>0</v>
      </c>
      <c r="AA126" s="71">
        <v>121</v>
      </c>
      <c r="AB126" s="33">
        <f t="shared" si="50"/>
        <v>0</v>
      </c>
      <c r="AC126" s="305">
        <f t="shared" si="51"/>
        <v>0</v>
      </c>
      <c r="AD126" s="100">
        <f t="shared" si="52"/>
        <v>0</v>
      </c>
      <c r="AE126" s="100">
        <f t="shared" si="53"/>
        <v>0</v>
      </c>
      <c r="AF126" s="194">
        <f t="shared" si="70"/>
        <v>0</v>
      </c>
      <c r="AG126" s="194">
        <f t="shared" si="71"/>
        <v>0</v>
      </c>
      <c r="AH126" s="194">
        <f t="shared" si="72"/>
        <v>0</v>
      </c>
      <c r="AI126" s="199">
        <f t="shared" si="73"/>
        <v>0</v>
      </c>
      <c r="AK126" s="71">
        <v>121</v>
      </c>
      <c r="AL126" s="33">
        <f t="shared" si="54"/>
        <v>0</v>
      </c>
      <c r="AM126" s="33">
        <f t="shared" si="55"/>
        <v>0</v>
      </c>
      <c r="AN126" s="33">
        <f t="shared" si="56"/>
        <v>0</v>
      </c>
      <c r="AO126" s="33">
        <f t="shared" si="57"/>
        <v>0</v>
      </c>
      <c r="AP126" s="33">
        <f t="shared" si="58"/>
        <v>0</v>
      </c>
      <c r="AQ126" s="194">
        <f t="shared" si="74"/>
        <v>0</v>
      </c>
      <c r="AR126" s="194">
        <f t="shared" si="75"/>
        <v>0</v>
      </c>
      <c r="AS126" s="194">
        <f t="shared" si="76"/>
        <v>0</v>
      </c>
      <c r="AT126" s="194">
        <f t="shared" si="77"/>
        <v>0</v>
      </c>
      <c r="AU126" s="33"/>
      <c r="AV126" s="33"/>
      <c r="AW126" s="33"/>
      <c r="AX126" s="33"/>
      <c r="AY126" s="76"/>
    </row>
    <row r="127" spans="2:51" x14ac:dyDescent="0.3">
      <c r="C127" s="82">
        <f>IF(F18&gt;30,MIN(E113:E114),E113)</f>
        <v>215.95324115850582</v>
      </c>
      <c r="D127" s="82">
        <f>MIN(E118:E119)</f>
        <v>3.8868842634585605</v>
      </c>
      <c r="E127" s="85">
        <f>E123</f>
        <v>14.19</v>
      </c>
      <c r="F127" s="86">
        <f>SUM(C127:E127)</f>
        <v>234.03012542196439</v>
      </c>
      <c r="I127" s="55">
        <v>122</v>
      </c>
      <c r="J127" s="33">
        <f t="shared" si="61"/>
        <v>0</v>
      </c>
      <c r="K127" s="33">
        <f t="shared" si="62"/>
        <v>0</v>
      </c>
      <c r="L127" s="33">
        <f t="shared" si="63"/>
        <v>0</v>
      </c>
      <c r="M127" s="33">
        <f t="shared" si="64"/>
        <v>0</v>
      </c>
      <c r="N127" s="33">
        <f t="shared" si="44"/>
        <v>0</v>
      </c>
      <c r="O127" s="34">
        <f t="shared" si="45"/>
        <v>0</v>
      </c>
      <c r="P127" s="55">
        <v>122</v>
      </c>
      <c r="Q127" s="33">
        <f t="shared" si="59"/>
        <v>0</v>
      </c>
      <c r="R127" s="33">
        <f t="shared" si="65"/>
        <v>0</v>
      </c>
      <c r="S127" s="33">
        <f t="shared" si="66"/>
        <v>0</v>
      </c>
      <c r="T127" s="33">
        <f t="shared" si="46"/>
        <v>0</v>
      </c>
      <c r="U127" s="33">
        <f t="shared" si="60"/>
        <v>0</v>
      </c>
      <c r="V127" s="33">
        <f t="shared" si="47"/>
        <v>0</v>
      </c>
      <c r="W127" s="33">
        <v>0</v>
      </c>
      <c r="X127" s="33">
        <f t="shared" si="48"/>
        <v>0</v>
      </c>
      <c r="Y127" s="38">
        <f t="shared" si="49"/>
        <v>0</v>
      </c>
      <c r="AA127" s="71">
        <v>122</v>
      </c>
      <c r="AB127" s="33">
        <f t="shared" si="50"/>
        <v>0</v>
      </c>
      <c r="AC127" s="305">
        <f t="shared" si="51"/>
        <v>0</v>
      </c>
      <c r="AD127" s="100">
        <f t="shared" si="52"/>
        <v>0</v>
      </c>
      <c r="AE127" s="100">
        <f t="shared" si="53"/>
        <v>0</v>
      </c>
      <c r="AF127" s="194">
        <f t="shared" si="70"/>
        <v>0</v>
      </c>
      <c r="AG127" s="194">
        <f t="shared" si="71"/>
        <v>0</v>
      </c>
      <c r="AH127" s="194">
        <f t="shared" si="72"/>
        <v>0</v>
      </c>
      <c r="AI127" s="199">
        <f t="shared" si="73"/>
        <v>0</v>
      </c>
      <c r="AK127" s="71">
        <v>122</v>
      </c>
      <c r="AL127" s="33">
        <f t="shared" si="54"/>
        <v>0</v>
      </c>
      <c r="AM127" s="33">
        <f t="shared" si="55"/>
        <v>0</v>
      </c>
      <c r="AN127" s="33">
        <f t="shared" si="56"/>
        <v>0</v>
      </c>
      <c r="AO127" s="33">
        <f t="shared" si="57"/>
        <v>0</v>
      </c>
      <c r="AP127" s="33">
        <f t="shared" si="58"/>
        <v>0</v>
      </c>
      <c r="AQ127" s="194">
        <f t="shared" si="74"/>
        <v>0</v>
      </c>
      <c r="AR127" s="194">
        <f t="shared" si="75"/>
        <v>0</v>
      </c>
      <c r="AS127" s="194">
        <f t="shared" si="76"/>
        <v>0</v>
      </c>
      <c r="AT127" s="194">
        <f t="shared" si="77"/>
        <v>0</v>
      </c>
      <c r="AU127" s="33"/>
      <c r="AV127" s="33"/>
      <c r="AW127" s="33"/>
      <c r="AX127" s="33"/>
      <c r="AY127" s="76"/>
    </row>
    <row r="128" spans="2:51" x14ac:dyDescent="0.3">
      <c r="E128" s="24"/>
      <c r="I128" s="55">
        <v>123</v>
      </c>
      <c r="J128" s="33">
        <f t="shared" si="61"/>
        <v>0</v>
      </c>
      <c r="K128" s="33">
        <f t="shared" si="62"/>
        <v>0</v>
      </c>
      <c r="L128" s="33">
        <f t="shared" si="63"/>
        <v>0</v>
      </c>
      <c r="M128" s="33">
        <f t="shared" si="64"/>
        <v>0</v>
      </c>
      <c r="N128" s="33">
        <f t="shared" si="44"/>
        <v>0</v>
      </c>
      <c r="O128" s="34">
        <f t="shared" si="45"/>
        <v>0</v>
      </c>
      <c r="P128" s="55">
        <v>123</v>
      </c>
      <c r="Q128" s="33">
        <f t="shared" si="59"/>
        <v>0</v>
      </c>
      <c r="R128" s="33">
        <f t="shared" si="65"/>
        <v>0</v>
      </c>
      <c r="S128" s="33">
        <f t="shared" si="66"/>
        <v>0</v>
      </c>
      <c r="T128" s="33">
        <f t="shared" si="46"/>
        <v>0</v>
      </c>
      <c r="U128" s="33">
        <f t="shared" si="60"/>
        <v>0</v>
      </c>
      <c r="V128" s="33">
        <f t="shared" si="47"/>
        <v>0</v>
      </c>
      <c r="W128" s="33">
        <v>0</v>
      </c>
      <c r="X128" s="33">
        <f t="shared" si="48"/>
        <v>0</v>
      </c>
      <c r="Y128" s="38">
        <f t="shared" si="49"/>
        <v>0</v>
      </c>
      <c r="AA128" s="71">
        <v>123</v>
      </c>
      <c r="AB128" s="33">
        <f t="shared" si="50"/>
        <v>0</v>
      </c>
      <c r="AC128" s="305">
        <f t="shared" si="51"/>
        <v>0</v>
      </c>
      <c r="AD128" s="100">
        <f t="shared" si="52"/>
        <v>0</v>
      </c>
      <c r="AE128" s="100">
        <f t="shared" si="53"/>
        <v>0</v>
      </c>
      <c r="AF128" s="194">
        <f t="shared" si="70"/>
        <v>0</v>
      </c>
      <c r="AG128" s="194">
        <f t="shared" si="71"/>
        <v>0</v>
      </c>
      <c r="AH128" s="194">
        <f t="shared" si="72"/>
        <v>0</v>
      </c>
      <c r="AI128" s="199">
        <f t="shared" si="73"/>
        <v>0</v>
      </c>
      <c r="AK128" s="71">
        <v>123</v>
      </c>
      <c r="AL128" s="33">
        <f t="shared" si="54"/>
        <v>0</v>
      </c>
      <c r="AM128" s="33">
        <f t="shared" si="55"/>
        <v>0</v>
      </c>
      <c r="AN128" s="33">
        <f t="shared" si="56"/>
        <v>0</v>
      </c>
      <c r="AO128" s="33">
        <f t="shared" si="57"/>
        <v>0</v>
      </c>
      <c r="AP128" s="33">
        <f t="shared" si="58"/>
        <v>0</v>
      </c>
      <c r="AQ128" s="194">
        <f t="shared" si="74"/>
        <v>0</v>
      </c>
      <c r="AR128" s="194">
        <f t="shared" si="75"/>
        <v>0</v>
      </c>
      <c r="AS128" s="194">
        <f t="shared" si="76"/>
        <v>0</v>
      </c>
      <c r="AT128" s="194">
        <f t="shared" si="77"/>
        <v>0</v>
      </c>
      <c r="AU128" s="33"/>
      <c r="AV128" s="33"/>
      <c r="AW128" s="33"/>
      <c r="AX128" s="33"/>
      <c r="AY128" s="76"/>
    </row>
    <row r="129" spans="3:51" x14ac:dyDescent="0.3">
      <c r="E129" s="24"/>
      <c r="I129" s="55">
        <v>124</v>
      </c>
      <c r="J129" s="33">
        <f t="shared" si="61"/>
        <v>0</v>
      </c>
      <c r="K129" s="33">
        <f t="shared" si="62"/>
        <v>0</v>
      </c>
      <c r="L129" s="33">
        <f t="shared" si="63"/>
        <v>0</v>
      </c>
      <c r="M129" s="33">
        <f t="shared" si="64"/>
        <v>0</v>
      </c>
      <c r="N129" s="33">
        <f t="shared" si="44"/>
        <v>0</v>
      </c>
      <c r="O129" s="34">
        <f t="shared" si="45"/>
        <v>0</v>
      </c>
      <c r="P129" s="55">
        <v>124</v>
      </c>
      <c r="Q129" s="33">
        <f t="shared" si="59"/>
        <v>0</v>
      </c>
      <c r="R129" s="33">
        <f t="shared" si="65"/>
        <v>0</v>
      </c>
      <c r="S129" s="33">
        <f t="shared" si="66"/>
        <v>0</v>
      </c>
      <c r="T129" s="33">
        <f t="shared" si="46"/>
        <v>0</v>
      </c>
      <c r="U129" s="33">
        <f t="shared" si="60"/>
        <v>0</v>
      </c>
      <c r="V129" s="33">
        <f t="shared" si="47"/>
        <v>0</v>
      </c>
      <c r="W129" s="33">
        <v>0</v>
      </c>
      <c r="X129" s="33">
        <f t="shared" si="48"/>
        <v>0</v>
      </c>
      <c r="Y129" s="38">
        <f t="shared" si="49"/>
        <v>0</v>
      </c>
      <c r="AA129" s="71">
        <v>124</v>
      </c>
      <c r="AB129" s="33">
        <f t="shared" si="50"/>
        <v>0</v>
      </c>
      <c r="AC129" s="305">
        <f t="shared" si="51"/>
        <v>0</v>
      </c>
      <c r="AD129" s="100">
        <f t="shared" si="52"/>
        <v>0</v>
      </c>
      <c r="AE129" s="100">
        <f t="shared" si="53"/>
        <v>0</v>
      </c>
      <c r="AF129" s="194">
        <f t="shared" si="70"/>
        <v>0</v>
      </c>
      <c r="AG129" s="194">
        <f t="shared" si="71"/>
        <v>0</v>
      </c>
      <c r="AH129" s="194">
        <f t="shared" si="72"/>
        <v>0</v>
      </c>
      <c r="AI129" s="199">
        <f t="shared" si="73"/>
        <v>0</v>
      </c>
      <c r="AK129" s="71">
        <v>124</v>
      </c>
      <c r="AL129" s="33">
        <f t="shared" si="54"/>
        <v>0</v>
      </c>
      <c r="AM129" s="33">
        <f t="shared" si="55"/>
        <v>0</v>
      </c>
      <c r="AN129" s="33">
        <f t="shared" si="56"/>
        <v>0</v>
      </c>
      <c r="AO129" s="33">
        <f t="shared" si="57"/>
        <v>0</v>
      </c>
      <c r="AP129" s="33">
        <f t="shared" si="58"/>
        <v>0</v>
      </c>
      <c r="AQ129" s="194">
        <f t="shared" si="74"/>
        <v>0</v>
      </c>
      <c r="AR129" s="194">
        <f t="shared" si="75"/>
        <v>0</v>
      </c>
      <c r="AS129" s="194">
        <f t="shared" si="76"/>
        <v>0</v>
      </c>
      <c r="AT129" s="194">
        <f t="shared" si="77"/>
        <v>0</v>
      </c>
      <c r="AU129" s="33"/>
      <c r="AV129" s="33"/>
      <c r="AW129" s="33"/>
      <c r="AX129" s="33"/>
      <c r="AY129" s="76"/>
    </row>
    <row r="130" spans="3:51" ht="41.4" x14ac:dyDescent="0.3">
      <c r="C130" s="3" t="s">
        <v>5</v>
      </c>
      <c r="D130" s="3" t="s">
        <v>6</v>
      </c>
      <c r="E130" s="188" t="s">
        <v>227</v>
      </c>
      <c r="F130" s="343" t="s">
        <v>266</v>
      </c>
      <c r="I130" s="55">
        <v>125</v>
      </c>
      <c r="J130" s="33">
        <f t="shared" si="61"/>
        <v>0</v>
      </c>
      <c r="K130" s="33">
        <f t="shared" si="62"/>
        <v>0</v>
      </c>
      <c r="L130" s="33">
        <f t="shared" si="63"/>
        <v>0</v>
      </c>
      <c r="M130" s="33">
        <f t="shared" si="64"/>
        <v>0</v>
      </c>
      <c r="N130" s="33">
        <f t="shared" si="44"/>
        <v>0</v>
      </c>
      <c r="O130" s="34">
        <f t="shared" si="45"/>
        <v>0</v>
      </c>
      <c r="P130" s="55">
        <v>125</v>
      </c>
      <c r="Q130" s="33">
        <f t="shared" si="59"/>
        <v>0</v>
      </c>
      <c r="R130" s="33">
        <f t="shared" si="65"/>
        <v>0</v>
      </c>
      <c r="S130" s="33">
        <f t="shared" si="66"/>
        <v>0</v>
      </c>
      <c r="T130" s="33">
        <f t="shared" si="46"/>
        <v>0</v>
      </c>
      <c r="U130" s="33">
        <f t="shared" si="60"/>
        <v>0</v>
      </c>
      <c r="V130" s="33">
        <f t="shared" si="47"/>
        <v>0</v>
      </c>
      <c r="W130" s="33">
        <v>0</v>
      </c>
      <c r="X130" s="33">
        <f t="shared" si="48"/>
        <v>0</v>
      </c>
      <c r="Y130" s="38">
        <f t="shared" si="49"/>
        <v>0</v>
      </c>
      <c r="AA130" s="71">
        <v>125</v>
      </c>
      <c r="AB130" s="33">
        <f t="shared" si="50"/>
        <v>0</v>
      </c>
      <c r="AC130" s="305">
        <f t="shared" si="51"/>
        <v>0</v>
      </c>
      <c r="AD130" s="100">
        <f t="shared" si="52"/>
        <v>0</v>
      </c>
      <c r="AE130" s="100">
        <f t="shared" si="53"/>
        <v>0</v>
      </c>
      <c r="AF130" s="194">
        <f t="shared" si="70"/>
        <v>0</v>
      </c>
      <c r="AG130" s="194">
        <f t="shared" si="71"/>
        <v>0</v>
      </c>
      <c r="AH130" s="194">
        <f t="shared" si="72"/>
        <v>0</v>
      </c>
      <c r="AI130" s="199">
        <f t="shared" si="73"/>
        <v>0</v>
      </c>
      <c r="AK130" s="71">
        <v>125</v>
      </c>
      <c r="AL130" s="33">
        <f t="shared" si="54"/>
        <v>0</v>
      </c>
      <c r="AM130" s="33">
        <f t="shared" si="55"/>
        <v>0</v>
      </c>
      <c r="AN130" s="33">
        <f t="shared" si="56"/>
        <v>0</v>
      </c>
      <c r="AO130" s="33">
        <f t="shared" si="57"/>
        <v>0</v>
      </c>
      <c r="AP130" s="33">
        <f t="shared" si="58"/>
        <v>0</v>
      </c>
      <c r="AQ130" s="194">
        <f t="shared" si="74"/>
        <v>0</v>
      </c>
      <c r="AR130" s="194">
        <f t="shared" si="75"/>
        <v>0</v>
      </c>
      <c r="AS130" s="194">
        <f t="shared" si="76"/>
        <v>0</v>
      </c>
      <c r="AT130" s="194">
        <f t="shared" si="77"/>
        <v>0</v>
      </c>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61"/>
        <v>0</v>
      </c>
      <c r="K131" s="33">
        <f t="shared" si="62"/>
        <v>0</v>
      </c>
      <c r="L131" s="33">
        <f t="shared" si="63"/>
        <v>0</v>
      </c>
      <c r="M131" s="33">
        <f t="shared" si="64"/>
        <v>0</v>
      </c>
      <c r="N131" s="33">
        <f t="shared" si="44"/>
        <v>0</v>
      </c>
      <c r="O131" s="34">
        <f t="shared" si="45"/>
        <v>0</v>
      </c>
      <c r="P131" s="55">
        <v>126</v>
      </c>
      <c r="Q131" s="33">
        <f t="shared" si="59"/>
        <v>0</v>
      </c>
      <c r="R131" s="33">
        <f t="shared" si="65"/>
        <v>0</v>
      </c>
      <c r="S131" s="33">
        <f t="shared" si="66"/>
        <v>0</v>
      </c>
      <c r="T131" s="33">
        <f t="shared" si="46"/>
        <v>0</v>
      </c>
      <c r="U131" s="33">
        <f t="shared" si="60"/>
        <v>0</v>
      </c>
      <c r="V131" s="33">
        <f t="shared" si="47"/>
        <v>0</v>
      </c>
      <c r="W131" s="33">
        <v>0</v>
      </c>
      <c r="X131" s="33">
        <f t="shared" si="48"/>
        <v>0</v>
      </c>
      <c r="Y131" s="38">
        <f t="shared" si="49"/>
        <v>0</v>
      </c>
      <c r="AA131" s="71">
        <v>126</v>
      </c>
      <c r="AB131" s="33">
        <f t="shared" si="50"/>
        <v>0</v>
      </c>
      <c r="AC131" s="305">
        <f t="shared" si="51"/>
        <v>0</v>
      </c>
      <c r="AD131" s="100">
        <f t="shared" si="52"/>
        <v>0</v>
      </c>
      <c r="AE131" s="100">
        <f t="shared" si="53"/>
        <v>0</v>
      </c>
      <c r="AF131" s="194">
        <f t="shared" si="70"/>
        <v>0</v>
      </c>
      <c r="AG131" s="194">
        <f t="shared" si="71"/>
        <v>0</v>
      </c>
      <c r="AH131" s="194">
        <f t="shared" si="72"/>
        <v>0</v>
      </c>
      <c r="AI131" s="199">
        <f t="shared" si="73"/>
        <v>0</v>
      </c>
      <c r="AK131" s="71">
        <v>126</v>
      </c>
      <c r="AL131" s="33">
        <f t="shared" si="54"/>
        <v>0</v>
      </c>
      <c r="AM131" s="33">
        <f t="shared" si="55"/>
        <v>0</v>
      </c>
      <c r="AN131" s="33">
        <f t="shared" si="56"/>
        <v>0</v>
      </c>
      <c r="AO131" s="33">
        <f t="shared" si="57"/>
        <v>0</v>
      </c>
      <c r="AP131" s="33">
        <f t="shared" si="58"/>
        <v>0</v>
      </c>
      <c r="AQ131" s="194">
        <f t="shared" si="74"/>
        <v>0</v>
      </c>
      <c r="AR131" s="194">
        <f t="shared" si="75"/>
        <v>0</v>
      </c>
      <c r="AS131" s="194">
        <f t="shared" si="76"/>
        <v>0</v>
      </c>
      <c r="AT131" s="194">
        <f t="shared" si="77"/>
        <v>0</v>
      </c>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61"/>
        <v>0</v>
      </c>
      <c r="K132" s="33">
        <f t="shared" si="62"/>
        <v>0</v>
      </c>
      <c r="L132" s="33">
        <f t="shared" si="63"/>
        <v>0</v>
      </c>
      <c r="M132" s="33">
        <f t="shared" si="64"/>
        <v>0</v>
      </c>
      <c r="N132" s="33">
        <f t="shared" si="44"/>
        <v>0</v>
      </c>
      <c r="O132" s="34">
        <f t="shared" si="45"/>
        <v>0</v>
      </c>
      <c r="P132" s="55">
        <v>127</v>
      </c>
      <c r="Q132" s="33">
        <f t="shared" si="59"/>
        <v>0</v>
      </c>
      <c r="R132" s="33">
        <f t="shared" si="65"/>
        <v>0</v>
      </c>
      <c r="S132" s="33">
        <f t="shared" si="66"/>
        <v>0</v>
      </c>
      <c r="T132" s="33">
        <f t="shared" si="46"/>
        <v>0</v>
      </c>
      <c r="U132" s="33">
        <f t="shared" si="60"/>
        <v>0</v>
      </c>
      <c r="V132" s="33">
        <f t="shared" si="47"/>
        <v>0</v>
      </c>
      <c r="W132" s="33">
        <v>0</v>
      </c>
      <c r="X132" s="33">
        <f t="shared" si="48"/>
        <v>0</v>
      </c>
      <c r="Y132" s="38">
        <f t="shared" si="49"/>
        <v>0</v>
      </c>
      <c r="AA132" s="71">
        <v>127</v>
      </c>
      <c r="AB132" s="33">
        <f t="shared" si="50"/>
        <v>0</v>
      </c>
      <c r="AC132" s="305">
        <f t="shared" si="51"/>
        <v>0</v>
      </c>
      <c r="AD132" s="100">
        <f t="shared" si="52"/>
        <v>0</v>
      </c>
      <c r="AE132" s="100">
        <f t="shared" si="53"/>
        <v>0</v>
      </c>
      <c r="AF132" s="194">
        <f t="shared" si="70"/>
        <v>0</v>
      </c>
      <c r="AG132" s="194">
        <f t="shared" si="71"/>
        <v>0</v>
      </c>
      <c r="AH132" s="194">
        <f t="shared" si="72"/>
        <v>0</v>
      </c>
      <c r="AI132" s="199">
        <f t="shared" si="73"/>
        <v>0</v>
      </c>
      <c r="AK132" s="71">
        <v>127</v>
      </c>
      <c r="AL132" s="33">
        <f t="shared" si="54"/>
        <v>0</v>
      </c>
      <c r="AM132" s="33">
        <f t="shared" si="55"/>
        <v>0</v>
      </c>
      <c r="AN132" s="33">
        <f t="shared" si="56"/>
        <v>0</v>
      </c>
      <c r="AO132" s="33">
        <f t="shared" si="57"/>
        <v>0</v>
      </c>
      <c r="AP132" s="33">
        <f t="shared" si="58"/>
        <v>0</v>
      </c>
      <c r="AQ132" s="194">
        <f t="shared" si="74"/>
        <v>0</v>
      </c>
      <c r="AR132" s="194">
        <f t="shared" si="75"/>
        <v>0</v>
      </c>
      <c r="AS132" s="194">
        <f t="shared" si="76"/>
        <v>0</v>
      </c>
      <c r="AT132" s="194">
        <f t="shared" si="77"/>
        <v>0</v>
      </c>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61"/>
        <v>0</v>
      </c>
      <c r="K133" s="33">
        <f t="shared" si="62"/>
        <v>0</v>
      </c>
      <c r="L133" s="33">
        <f t="shared" si="63"/>
        <v>0</v>
      </c>
      <c r="M133" s="33">
        <f t="shared" si="64"/>
        <v>0</v>
      </c>
      <c r="N133" s="33">
        <f t="shared" ref="N133:N196" si="78">IF(P134&lt;=$F$18,0,)</f>
        <v>0</v>
      </c>
      <c r="O133" s="34">
        <f t="shared" ref="O133:O196" si="79">((J133+K133)*0.475+L133+M133+N133)*44/12</f>
        <v>0</v>
      </c>
      <c r="P133" s="55">
        <v>128</v>
      </c>
      <c r="Q133" s="33">
        <f t="shared" si="59"/>
        <v>0</v>
      </c>
      <c r="R133" s="33">
        <f t="shared" si="65"/>
        <v>0</v>
      </c>
      <c r="S133" s="33">
        <f t="shared" si="66"/>
        <v>0</v>
      </c>
      <c r="T133" s="33">
        <f t="shared" ref="T133:T196" si="80">IF(S133=0,0,EXP(-1.0587+0.8836*LN(S133)+0.284))</f>
        <v>0</v>
      </c>
      <c r="U133" s="33">
        <f t="shared" si="60"/>
        <v>0</v>
      </c>
      <c r="V133" s="33">
        <f t="shared" ref="V133:V196" si="81">IF(P133&lt;=$F$18,IF(P133&lt;=30,P133*($F$16-$F$6)/30,$F$16-$F$6),)</f>
        <v>0</v>
      </c>
      <c r="W133" s="33">
        <v>0</v>
      </c>
      <c r="X133" s="33">
        <f t="shared" ref="X133:X196" si="82">((S133+T133)*0.475+U133+V133+W133)*44/12</f>
        <v>0</v>
      </c>
      <c r="Y133" s="38">
        <f t="shared" ref="Y133:Y196" si="83">IF(P133&lt;=$F$18,X133-O133,)</f>
        <v>0</v>
      </c>
      <c r="AA133" s="71">
        <v>128</v>
      </c>
      <c r="AB133" s="33">
        <f t="shared" ref="AB133:AB196" si="84">IF(AA133&lt;=$F$18,IFERROR(VLOOKUP($AA133,$B$82:$G$95,2,FALSE),0),)</f>
        <v>0</v>
      </c>
      <c r="AC133" s="305">
        <f t="shared" ref="AC133:AC196" si="85">IF(AA133&lt;=$F$18,IFERROR(VLOOKUP($AA133,$B$82:$G$95,3,FALSE),0),)*50%</f>
        <v>0</v>
      </c>
      <c r="AD133" s="100">
        <f t="shared" ref="AD133:AD196" si="86">IF(AA133&lt;=$F$18,IFERROR(VLOOKUP($AA133,$B$82:$G$95,4,FALSE),0),)</f>
        <v>0</v>
      </c>
      <c r="AE133" s="100">
        <f t="shared" ref="AE133:AE196" si="87">IF(AA133&lt;=$F$18,IFERROR(VLOOKUP($AA133,$B$82:$G$95,5,FALSE),0),)</f>
        <v>0</v>
      </c>
      <c r="AF133" s="194">
        <f t="shared" si="70"/>
        <v>0</v>
      </c>
      <c r="AG133" s="194">
        <f t="shared" si="71"/>
        <v>0</v>
      </c>
      <c r="AH133" s="194">
        <f t="shared" si="72"/>
        <v>0</v>
      </c>
      <c r="AI133" s="199">
        <f t="shared" si="73"/>
        <v>0</v>
      </c>
      <c r="AK133" s="71">
        <v>128</v>
      </c>
      <c r="AL133" s="33">
        <f t="shared" ref="AL133:AL196" si="88">IF(AK133&lt;=$F$18,IFERROR(VLOOKUP($AA133,$B$82:$G$95,2,FALSE),0),)</f>
        <v>0</v>
      </c>
      <c r="AM133" s="33">
        <f t="shared" ref="AM133:AM196" si="89">IF(AK133&lt;=$F$18,IFERROR(VLOOKUP($AA133,$B$82:$G$95,3,FALSE),0),)</f>
        <v>0</v>
      </c>
      <c r="AN133" s="33">
        <f t="shared" ref="AN133:AN196" si="90">IF(AK133&lt;=$F$18,IFERROR(VLOOKUP($AA133,$B$82:$G$95,4,FALSE),0),)</f>
        <v>0</v>
      </c>
      <c r="AO133" s="33">
        <f t="shared" ref="AO133:AO196" si="91">IF(AK133&lt;=$F$18,IFERROR(VLOOKUP($AA133,$B$82:$G$95,5,FALSE),0),)</f>
        <v>0</v>
      </c>
      <c r="AP133" s="33">
        <f t="shared" ref="AP133:AP196" si="92">IF(AK133&lt;=$F$18,IFERROR(VLOOKUP($AA133,$B$82:$G$95,6,FALSE),0),)</f>
        <v>0</v>
      </c>
      <c r="AQ133" s="194">
        <f t="shared" si="74"/>
        <v>0</v>
      </c>
      <c r="AR133" s="194">
        <f t="shared" si="75"/>
        <v>0</v>
      </c>
      <c r="AS133" s="194">
        <f t="shared" si="76"/>
        <v>0</v>
      </c>
      <c r="AT133" s="194">
        <f t="shared" si="77"/>
        <v>0</v>
      </c>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61"/>
        <v>0</v>
      </c>
      <c r="K134" s="33">
        <f t="shared" si="62"/>
        <v>0</v>
      </c>
      <c r="L134" s="33">
        <f t="shared" si="63"/>
        <v>0</v>
      </c>
      <c r="M134" s="33">
        <f t="shared" si="64"/>
        <v>0</v>
      </c>
      <c r="N134" s="33">
        <f t="shared" si="78"/>
        <v>0</v>
      </c>
      <c r="O134" s="34">
        <f t="shared" si="79"/>
        <v>0</v>
      </c>
      <c r="P134" s="55">
        <v>129</v>
      </c>
      <c r="Q134" s="33">
        <f t="shared" ref="Q134:Q197" si="93">IF(P134&lt;=$F$18,LOOKUP(P134-1,$B$25:$B$78,$G$25:$G$78),)</f>
        <v>0</v>
      </c>
      <c r="R134" s="33">
        <f t="shared" si="65"/>
        <v>0</v>
      </c>
      <c r="S134" s="33">
        <f t="shared" si="66"/>
        <v>0</v>
      </c>
      <c r="T134" s="33">
        <f t="shared" si="80"/>
        <v>0</v>
      </c>
      <c r="U134" s="33">
        <f t="shared" ref="U134:U197" si="94">IF(P134&lt;=$F$18,$F$5+($F$15-$F$5)*(1-EXP(-0.0175*P134)),)</f>
        <v>0</v>
      </c>
      <c r="V134" s="33">
        <f t="shared" si="81"/>
        <v>0</v>
      </c>
      <c r="W134" s="33">
        <v>0</v>
      </c>
      <c r="X134" s="33">
        <f t="shared" si="82"/>
        <v>0</v>
      </c>
      <c r="Y134" s="38">
        <f t="shared" si="83"/>
        <v>0</v>
      </c>
      <c r="AA134" s="71">
        <v>129</v>
      </c>
      <c r="AB134" s="33">
        <f t="shared" si="84"/>
        <v>0</v>
      </c>
      <c r="AC134" s="305">
        <f t="shared" si="85"/>
        <v>0</v>
      </c>
      <c r="AD134" s="100">
        <f t="shared" si="86"/>
        <v>0</v>
      </c>
      <c r="AE134" s="100">
        <f t="shared" si="87"/>
        <v>0</v>
      </c>
      <c r="AF134" s="194">
        <f t="shared" si="70"/>
        <v>0</v>
      </c>
      <c r="AG134" s="194">
        <f t="shared" si="71"/>
        <v>0</v>
      </c>
      <c r="AH134" s="194">
        <f t="shared" si="72"/>
        <v>0</v>
      </c>
      <c r="AI134" s="199">
        <f t="shared" si="73"/>
        <v>0</v>
      </c>
      <c r="AK134" s="71">
        <v>129</v>
      </c>
      <c r="AL134" s="33">
        <f t="shared" si="88"/>
        <v>0</v>
      </c>
      <c r="AM134" s="33">
        <f t="shared" si="89"/>
        <v>0</v>
      </c>
      <c r="AN134" s="33">
        <f t="shared" si="90"/>
        <v>0</v>
      </c>
      <c r="AO134" s="33">
        <f t="shared" si="91"/>
        <v>0</v>
      </c>
      <c r="AP134" s="33">
        <f t="shared" si="92"/>
        <v>0</v>
      </c>
      <c r="AQ134" s="194">
        <f t="shared" si="74"/>
        <v>0</v>
      </c>
      <c r="AR134" s="194">
        <f t="shared" si="75"/>
        <v>0</v>
      </c>
      <c r="AS134" s="194">
        <f t="shared" si="76"/>
        <v>0</v>
      </c>
      <c r="AT134" s="194">
        <f t="shared" si="77"/>
        <v>0</v>
      </c>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95">IF($I135&lt;=$F$10,$F$11*$F$13+J134,)</f>
        <v>0</v>
      </c>
      <c r="K135" s="33">
        <f t="shared" ref="K135:K198" si="96">IF(J135=0,0,EXP(-1.0587+0.8836*LN(J135)+0.284))</f>
        <v>0</v>
      </c>
      <c r="L135" s="33">
        <f t="shared" ref="L135:L198" si="97">IF(I135&lt;=$F$10,$F$5+($F$8-$F$5)*(1-EXP(-0.0175*I135)),)</f>
        <v>0</v>
      </c>
      <c r="M135" s="33">
        <f t="shared" ref="M135:M198" si="98">IF(I135&lt;=$F$10,IF(I135&lt;=30,I135*($F$9-$F$6)/30,$F$9-$F$6),)</f>
        <v>0</v>
      </c>
      <c r="N135" s="33">
        <f t="shared" si="78"/>
        <v>0</v>
      </c>
      <c r="O135" s="34">
        <f t="shared" si="79"/>
        <v>0</v>
      </c>
      <c r="P135" s="55">
        <v>130</v>
      </c>
      <c r="Q135" s="33">
        <f t="shared" si="93"/>
        <v>0</v>
      </c>
      <c r="R135" s="33">
        <f t="shared" ref="R135:R198" si="99">IF(P135&lt;=$F$18,Q135+R134,)</f>
        <v>0</v>
      </c>
      <c r="S135" s="33">
        <f t="shared" ref="S135:S198" si="100">$F$19*R135</f>
        <v>0</v>
      </c>
      <c r="T135" s="33">
        <f t="shared" si="80"/>
        <v>0</v>
      </c>
      <c r="U135" s="33">
        <f t="shared" si="94"/>
        <v>0</v>
      </c>
      <c r="V135" s="33">
        <f t="shared" si="81"/>
        <v>0</v>
      </c>
      <c r="W135" s="33">
        <v>0</v>
      </c>
      <c r="X135" s="33">
        <f t="shared" si="82"/>
        <v>0</v>
      </c>
      <c r="Y135" s="38">
        <f t="shared" si="83"/>
        <v>0</v>
      </c>
      <c r="AA135" s="71">
        <v>130</v>
      </c>
      <c r="AB135" s="33">
        <f t="shared" si="84"/>
        <v>0</v>
      </c>
      <c r="AC135" s="305">
        <f t="shared" si="85"/>
        <v>0</v>
      </c>
      <c r="AD135" s="100">
        <f t="shared" si="86"/>
        <v>0</v>
      </c>
      <c r="AE135" s="100">
        <f t="shared" si="87"/>
        <v>0</v>
      </c>
      <c r="AF135" s="194">
        <f t="shared" si="70"/>
        <v>0</v>
      </c>
      <c r="AG135" s="194">
        <f t="shared" si="71"/>
        <v>0</v>
      </c>
      <c r="AH135" s="194">
        <f t="shared" si="72"/>
        <v>0</v>
      </c>
      <c r="AI135" s="199">
        <f t="shared" si="73"/>
        <v>0</v>
      </c>
      <c r="AK135" s="71">
        <v>130</v>
      </c>
      <c r="AL135" s="33">
        <f t="shared" si="88"/>
        <v>0</v>
      </c>
      <c r="AM135" s="33">
        <f t="shared" si="89"/>
        <v>0</v>
      </c>
      <c r="AN135" s="33">
        <f t="shared" si="90"/>
        <v>0</v>
      </c>
      <c r="AO135" s="33">
        <f t="shared" si="91"/>
        <v>0</v>
      </c>
      <c r="AP135" s="33">
        <f t="shared" si="92"/>
        <v>0</v>
      </c>
      <c r="AQ135" s="194">
        <f t="shared" si="74"/>
        <v>0</v>
      </c>
      <c r="AR135" s="194">
        <f t="shared" si="75"/>
        <v>0</v>
      </c>
      <c r="AS135" s="194">
        <f t="shared" si="76"/>
        <v>0</v>
      </c>
      <c r="AT135" s="194">
        <f t="shared" si="77"/>
        <v>0</v>
      </c>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95"/>
        <v>0</v>
      </c>
      <c r="K136" s="33">
        <f t="shared" si="96"/>
        <v>0</v>
      </c>
      <c r="L136" s="33">
        <f t="shared" si="97"/>
        <v>0</v>
      </c>
      <c r="M136" s="33">
        <f t="shared" si="98"/>
        <v>0</v>
      </c>
      <c r="N136" s="33">
        <f t="shared" si="78"/>
        <v>0</v>
      </c>
      <c r="O136" s="34">
        <f t="shared" si="79"/>
        <v>0</v>
      </c>
      <c r="P136" s="55">
        <v>131</v>
      </c>
      <c r="Q136" s="33">
        <f t="shared" si="93"/>
        <v>0</v>
      </c>
      <c r="R136" s="33">
        <f t="shared" si="99"/>
        <v>0</v>
      </c>
      <c r="S136" s="33">
        <f t="shared" si="100"/>
        <v>0</v>
      </c>
      <c r="T136" s="33">
        <f t="shared" si="80"/>
        <v>0</v>
      </c>
      <c r="U136" s="33">
        <f t="shared" si="94"/>
        <v>0</v>
      </c>
      <c r="V136" s="33">
        <f t="shared" si="81"/>
        <v>0</v>
      </c>
      <c r="W136" s="33">
        <v>0</v>
      </c>
      <c r="X136" s="33">
        <f t="shared" si="82"/>
        <v>0</v>
      </c>
      <c r="Y136" s="38">
        <f t="shared" si="83"/>
        <v>0</v>
      </c>
      <c r="AA136" s="71">
        <v>131</v>
      </c>
      <c r="AB136" s="33">
        <f t="shared" si="84"/>
        <v>0</v>
      </c>
      <c r="AC136" s="305">
        <f t="shared" si="85"/>
        <v>0</v>
      </c>
      <c r="AD136" s="100">
        <f t="shared" si="86"/>
        <v>0</v>
      </c>
      <c r="AE136" s="100">
        <f t="shared" si="87"/>
        <v>0</v>
      </c>
      <c r="AF136" s="194">
        <f t="shared" si="70"/>
        <v>0</v>
      </c>
      <c r="AG136" s="194">
        <f t="shared" si="71"/>
        <v>0</v>
      </c>
      <c r="AH136" s="194">
        <f t="shared" si="72"/>
        <v>0</v>
      </c>
      <c r="AI136" s="199">
        <f t="shared" si="73"/>
        <v>0</v>
      </c>
      <c r="AK136" s="71">
        <v>131</v>
      </c>
      <c r="AL136" s="33">
        <f t="shared" si="88"/>
        <v>0</v>
      </c>
      <c r="AM136" s="33">
        <f t="shared" si="89"/>
        <v>0</v>
      </c>
      <c r="AN136" s="33">
        <f t="shared" si="90"/>
        <v>0</v>
      </c>
      <c r="AO136" s="33">
        <f t="shared" si="91"/>
        <v>0</v>
      </c>
      <c r="AP136" s="33">
        <f t="shared" si="92"/>
        <v>0</v>
      </c>
      <c r="AQ136" s="194">
        <f t="shared" si="74"/>
        <v>0</v>
      </c>
      <c r="AR136" s="194">
        <f t="shared" si="75"/>
        <v>0</v>
      </c>
      <c r="AS136" s="194">
        <f t="shared" si="76"/>
        <v>0</v>
      </c>
      <c r="AT136" s="194">
        <f t="shared" si="77"/>
        <v>0</v>
      </c>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95"/>
        <v>0</v>
      </c>
      <c r="K137" s="33">
        <f t="shared" si="96"/>
        <v>0</v>
      </c>
      <c r="L137" s="33">
        <f t="shared" si="97"/>
        <v>0</v>
      </c>
      <c r="M137" s="33">
        <f t="shared" si="98"/>
        <v>0</v>
      </c>
      <c r="N137" s="33">
        <f t="shared" si="78"/>
        <v>0</v>
      </c>
      <c r="O137" s="34">
        <f t="shared" si="79"/>
        <v>0</v>
      </c>
      <c r="P137" s="55">
        <v>132</v>
      </c>
      <c r="Q137" s="33">
        <f t="shared" si="93"/>
        <v>0</v>
      </c>
      <c r="R137" s="33">
        <f t="shared" si="99"/>
        <v>0</v>
      </c>
      <c r="S137" s="33">
        <f t="shared" si="100"/>
        <v>0</v>
      </c>
      <c r="T137" s="33">
        <f t="shared" si="80"/>
        <v>0</v>
      </c>
      <c r="U137" s="33">
        <f t="shared" si="94"/>
        <v>0</v>
      </c>
      <c r="V137" s="33">
        <f t="shared" si="81"/>
        <v>0</v>
      </c>
      <c r="W137" s="33">
        <v>0</v>
      </c>
      <c r="X137" s="33">
        <f t="shared" si="82"/>
        <v>0</v>
      </c>
      <c r="Y137" s="38">
        <f t="shared" si="83"/>
        <v>0</v>
      </c>
      <c r="AA137" s="71">
        <v>132</v>
      </c>
      <c r="AB137" s="33">
        <f t="shared" si="84"/>
        <v>0</v>
      </c>
      <c r="AC137" s="305">
        <f t="shared" si="85"/>
        <v>0</v>
      </c>
      <c r="AD137" s="100">
        <f t="shared" si="86"/>
        <v>0</v>
      </c>
      <c r="AE137" s="100">
        <f t="shared" si="87"/>
        <v>0</v>
      </c>
      <c r="AF137" s="194">
        <f t="shared" si="70"/>
        <v>0</v>
      </c>
      <c r="AG137" s="194">
        <f t="shared" si="71"/>
        <v>0</v>
      </c>
      <c r="AH137" s="194">
        <f t="shared" si="72"/>
        <v>0</v>
      </c>
      <c r="AI137" s="199">
        <f t="shared" si="73"/>
        <v>0</v>
      </c>
      <c r="AK137" s="71">
        <v>132</v>
      </c>
      <c r="AL137" s="33">
        <f t="shared" si="88"/>
        <v>0</v>
      </c>
      <c r="AM137" s="33">
        <f t="shared" si="89"/>
        <v>0</v>
      </c>
      <c r="AN137" s="33">
        <f t="shared" si="90"/>
        <v>0</v>
      </c>
      <c r="AO137" s="33">
        <f t="shared" si="91"/>
        <v>0</v>
      </c>
      <c r="AP137" s="33">
        <f t="shared" si="92"/>
        <v>0</v>
      </c>
      <c r="AQ137" s="194">
        <f t="shared" si="74"/>
        <v>0</v>
      </c>
      <c r="AR137" s="194">
        <f t="shared" si="75"/>
        <v>0</v>
      </c>
      <c r="AS137" s="194">
        <f t="shared" si="76"/>
        <v>0</v>
      </c>
      <c r="AT137" s="194">
        <f t="shared" si="77"/>
        <v>0</v>
      </c>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95"/>
        <v>0</v>
      </c>
      <c r="K138" s="33">
        <f t="shared" si="96"/>
        <v>0</v>
      </c>
      <c r="L138" s="33">
        <f t="shared" si="97"/>
        <v>0</v>
      </c>
      <c r="M138" s="33">
        <f t="shared" si="98"/>
        <v>0</v>
      </c>
      <c r="N138" s="33">
        <f t="shared" si="78"/>
        <v>0</v>
      </c>
      <c r="O138" s="34">
        <f t="shared" si="79"/>
        <v>0</v>
      </c>
      <c r="P138" s="55">
        <v>133</v>
      </c>
      <c r="Q138" s="33">
        <f t="shared" si="93"/>
        <v>0</v>
      </c>
      <c r="R138" s="33">
        <f t="shared" si="99"/>
        <v>0</v>
      </c>
      <c r="S138" s="33">
        <f t="shared" si="100"/>
        <v>0</v>
      </c>
      <c r="T138" s="33">
        <f t="shared" si="80"/>
        <v>0</v>
      </c>
      <c r="U138" s="33">
        <f t="shared" si="94"/>
        <v>0</v>
      </c>
      <c r="V138" s="33">
        <f t="shared" si="81"/>
        <v>0</v>
      </c>
      <c r="W138" s="33">
        <v>0</v>
      </c>
      <c r="X138" s="33">
        <f t="shared" si="82"/>
        <v>0</v>
      </c>
      <c r="Y138" s="38">
        <f t="shared" si="83"/>
        <v>0</v>
      </c>
      <c r="AA138" s="71">
        <v>133</v>
      </c>
      <c r="AB138" s="33">
        <f t="shared" si="84"/>
        <v>0</v>
      </c>
      <c r="AC138" s="305">
        <f t="shared" si="85"/>
        <v>0</v>
      </c>
      <c r="AD138" s="100">
        <f t="shared" si="86"/>
        <v>0</v>
      </c>
      <c r="AE138" s="100">
        <f t="shared" si="87"/>
        <v>0</v>
      </c>
      <c r="AF138" s="194">
        <f t="shared" si="70"/>
        <v>0</v>
      </c>
      <c r="AG138" s="194">
        <f t="shared" si="71"/>
        <v>0</v>
      </c>
      <c r="AH138" s="194">
        <f t="shared" si="72"/>
        <v>0</v>
      </c>
      <c r="AI138" s="199">
        <f t="shared" si="73"/>
        <v>0</v>
      </c>
      <c r="AK138" s="71">
        <v>133</v>
      </c>
      <c r="AL138" s="33">
        <f t="shared" si="88"/>
        <v>0</v>
      </c>
      <c r="AM138" s="33">
        <f t="shared" si="89"/>
        <v>0</v>
      </c>
      <c r="AN138" s="33">
        <f t="shared" si="90"/>
        <v>0</v>
      </c>
      <c r="AO138" s="33">
        <f t="shared" si="91"/>
        <v>0</v>
      </c>
      <c r="AP138" s="33">
        <f t="shared" si="92"/>
        <v>0</v>
      </c>
      <c r="AQ138" s="194">
        <f t="shared" si="74"/>
        <v>0</v>
      </c>
      <c r="AR138" s="194">
        <f t="shared" si="75"/>
        <v>0</v>
      </c>
      <c r="AS138" s="194">
        <f t="shared" si="76"/>
        <v>0</v>
      </c>
      <c r="AT138" s="194">
        <f t="shared" si="77"/>
        <v>0</v>
      </c>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95"/>
        <v>0</v>
      </c>
      <c r="K139" s="33">
        <f t="shared" si="96"/>
        <v>0</v>
      </c>
      <c r="L139" s="33">
        <f t="shared" si="97"/>
        <v>0</v>
      </c>
      <c r="M139" s="33">
        <f t="shared" si="98"/>
        <v>0</v>
      </c>
      <c r="N139" s="33">
        <f t="shared" si="78"/>
        <v>0</v>
      </c>
      <c r="O139" s="34">
        <f t="shared" si="79"/>
        <v>0</v>
      </c>
      <c r="P139" s="55">
        <v>134</v>
      </c>
      <c r="Q139" s="33">
        <f t="shared" si="93"/>
        <v>0</v>
      </c>
      <c r="R139" s="33">
        <f t="shared" si="99"/>
        <v>0</v>
      </c>
      <c r="S139" s="33">
        <f t="shared" si="100"/>
        <v>0</v>
      </c>
      <c r="T139" s="33">
        <f t="shared" si="80"/>
        <v>0</v>
      </c>
      <c r="U139" s="33">
        <f t="shared" si="94"/>
        <v>0</v>
      </c>
      <c r="V139" s="33">
        <f t="shared" si="81"/>
        <v>0</v>
      </c>
      <c r="W139" s="33">
        <v>0</v>
      </c>
      <c r="X139" s="33">
        <f t="shared" si="82"/>
        <v>0</v>
      </c>
      <c r="Y139" s="38">
        <f t="shared" si="83"/>
        <v>0</v>
      </c>
      <c r="AA139" s="71">
        <v>134</v>
      </c>
      <c r="AB139" s="33">
        <f t="shared" si="84"/>
        <v>0</v>
      </c>
      <c r="AC139" s="305">
        <f t="shared" si="85"/>
        <v>0</v>
      </c>
      <c r="AD139" s="100">
        <f t="shared" si="86"/>
        <v>0</v>
      </c>
      <c r="AE139" s="100">
        <f t="shared" si="87"/>
        <v>0</v>
      </c>
      <c r="AF139" s="194">
        <f t="shared" si="70"/>
        <v>0</v>
      </c>
      <c r="AG139" s="194">
        <f t="shared" si="71"/>
        <v>0</v>
      </c>
      <c r="AH139" s="194">
        <f t="shared" si="72"/>
        <v>0</v>
      </c>
      <c r="AI139" s="199">
        <f t="shared" si="73"/>
        <v>0</v>
      </c>
      <c r="AK139" s="71">
        <v>134</v>
      </c>
      <c r="AL139" s="33">
        <f t="shared" si="88"/>
        <v>0</v>
      </c>
      <c r="AM139" s="33">
        <f t="shared" si="89"/>
        <v>0</v>
      </c>
      <c r="AN139" s="33">
        <f t="shared" si="90"/>
        <v>0</v>
      </c>
      <c r="AO139" s="33">
        <f t="shared" si="91"/>
        <v>0</v>
      </c>
      <c r="AP139" s="33">
        <f t="shared" si="92"/>
        <v>0</v>
      </c>
      <c r="AQ139" s="194">
        <f t="shared" si="74"/>
        <v>0</v>
      </c>
      <c r="AR139" s="194">
        <f t="shared" si="75"/>
        <v>0</v>
      </c>
      <c r="AS139" s="194">
        <f t="shared" si="76"/>
        <v>0</v>
      </c>
      <c r="AT139" s="194">
        <f t="shared" si="77"/>
        <v>0</v>
      </c>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95"/>
        <v>0</v>
      </c>
      <c r="K140" s="33">
        <f t="shared" si="96"/>
        <v>0</v>
      </c>
      <c r="L140" s="33">
        <f t="shared" si="97"/>
        <v>0</v>
      </c>
      <c r="M140" s="33">
        <f t="shared" si="98"/>
        <v>0</v>
      </c>
      <c r="N140" s="33">
        <f t="shared" si="78"/>
        <v>0</v>
      </c>
      <c r="O140" s="34">
        <f t="shared" si="79"/>
        <v>0</v>
      </c>
      <c r="P140" s="55">
        <v>135</v>
      </c>
      <c r="Q140" s="33">
        <f t="shared" si="93"/>
        <v>0</v>
      </c>
      <c r="R140" s="33">
        <f t="shared" si="99"/>
        <v>0</v>
      </c>
      <c r="S140" s="33">
        <f t="shared" si="100"/>
        <v>0</v>
      </c>
      <c r="T140" s="33">
        <f t="shared" si="80"/>
        <v>0</v>
      </c>
      <c r="U140" s="33">
        <f t="shared" si="94"/>
        <v>0</v>
      </c>
      <c r="V140" s="33">
        <f t="shared" si="81"/>
        <v>0</v>
      </c>
      <c r="W140" s="33">
        <v>0</v>
      </c>
      <c r="X140" s="33">
        <f t="shared" si="82"/>
        <v>0</v>
      </c>
      <c r="Y140" s="38">
        <f t="shared" si="83"/>
        <v>0</v>
      </c>
      <c r="AA140" s="71">
        <v>135</v>
      </c>
      <c r="AB140" s="33">
        <f t="shared" si="84"/>
        <v>0</v>
      </c>
      <c r="AC140" s="305">
        <f t="shared" si="85"/>
        <v>0</v>
      </c>
      <c r="AD140" s="100">
        <f t="shared" si="86"/>
        <v>0</v>
      </c>
      <c r="AE140" s="100">
        <f t="shared" si="87"/>
        <v>0</v>
      </c>
      <c r="AF140" s="194">
        <f t="shared" si="70"/>
        <v>0</v>
      </c>
      <c r="AG140" s="194">
        <f t="shared" si="71"/>
        <v>0</v>
      </c>
      <c r="AH140" s="194">
        <f t="shared" si="72"/>
        <v>0</v>
      </c>
      <c r="AI140" s="199">
        <f t="shared" si="73"/>
        <v>0</v>
      </c>
      <c r="AK140" s="71">
        <v>135</v>
      </c>
      <c r="AL140" s="33">
        <f t="shared" si="88"/>
        <v>0</v>
      </c>
      <c r="AM140" s="33">
        <f t="shared" si="89"/>
        <v>0</v>
      </c>
      <c r="AN140" s="33">
        <f t="shared" si="90"/>
        <v>0</v>
      </c>
      <c r="AO140" s="33">
        <f t="shared" si="91"/>
        <v>0</v>
      </c>
      <c r="AP140" s="33">
        <f t="shared" si="92"/>
        <v>0</v>
      </c>
      <c r="AQ140" s="194">
        <f t="shared" si="74"/>
        <v>0</v>
      </c>
      <c r="AR140" s="194">
        <f t="shared" si="75"/>
        <v>0</v>
      </c>
      <c r="AS140" s="194">
        <f t="shared" si="76"/>
        <v>0</v>
      </c>
      <c r="AT140" s="194">
        <f t="shared" si="77"/>
        <v>0</v>
      </c>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95"/>
        <v>0</v>
      </c>
      <c r="K141" s="33">
        <f t="shared" si="96"/>
        <v>0</v>
      </c>
      <c r="L141" s="33">
        <f t="shared" si="97"/>
        <v>0</v>
      </c>
      <c r="M141" s="33">
        <f t="shared" si="98"/>
        <v>0</v>
      </c>
      <c r="N141" s="33">
        <f t="shared" si="78"/>
        <v>0</v>
      </c>
      <c r="O141" s="34">
        <f t="shared" si="79"/>
        <v>0</v>
      </c>
      <c r="P141" s="55">
        <v>136</v>
      </c>
      <c r="Q141" s="33">
        <f t="shared" si="93"/>
        <v>0</v>
      </c>
      <c r="R141" s="33">
        <f t="shared" si="99"/>
        <v>0</v>
      </c>
      <c r="S141" s="33">
        <f t="shared" si="100"/>
        <v>0</v>
      </c>
      <c r="T141" s="33">
        <f t="shared" si="80"/>
        <v>0</v>
      </c>
      <c r="U141" s="33">
        <f t="shared" si="94"/>
        <v>0</v>
      </c>
      <c r="V141" s="33">
        <f t="shared" si="81"/>
        <v>0</v>
      </c>
      <c r="W141" s="33">
        <v>0</v>
      </c>
      <c r="X141" s="33">
        <f t="shared" si="82"/>
        <v>0</v>
      </c>
      <c r="Y141" s="38">
        <f t="shared" si="83"/>
        <v>0</v>
      </c>
      <c r="AA141" s="71">
        <v>136</v>
      </c>
      <c r="AB141" s="33">
        <f t="shared" si="84"/>
        <v>0</v>
      </c>
      <c r="AC141" s="305">
        <f t="shared" si="85"/>
        <v>0</v>
      </c>
      <c r="AD141" s="100">
        <f t="shared" si="86"/>
        <v>0</v>
      </c>
      <c r="AE141" s="100">
        <f t="shared" si="87"/>
        <v>0</v>
      </c>
      <c r="AF141" s="194">
        <f t="shared" si="70"/>
        <v>0</v>
      </c>
      <c r="AG141" s="194">
        <f t="shared" si="71"/>
        <v>0</v>
      </c>
      <c r="AH141" s="194">
        <f t="shared" si="72"/>
        <v>0</v>
      </c>
      <c r="AI141" s="199">
        <f t="shared" si="73"/>
        <v>0</v>
      </c>
      <c r="AK141" s="71">
        <v>136</v>
      </c>
      <c r="AL141" s="33">
        <f t="shared" si="88"/>
        <v>0</v>
      </c>
      <c r="AM141" s="33">
        <f t="shared" si="89"/>
        <v>0</v>
      </c>
      <c r="AN141" s="33">
        <f t="shared" si="90"/>
        <v>0</v>
      </c>
      <c r="AO141" s="33">
        <f t="shared" si="91"/>
        <v>0</v>
      </c>
      <c r="AP141" s="33">
        <f t="shared" si="92"/>
        <v>0</v>
      </c>
      <c r="AQ141" s="194">
        <f t="shared" si="74"/>
        <v>0</v>
      </c>
      <c r="AR141" s="194">
        <f t="shared" si="75"/>
        <v>0</v>
      </c>
      <c r="AS141" s="194">
        <f t="shared" si="76"/>
        <v>0</v>
      </c>
      <c r="AT141" s="194">
        <f t="shared" si="77"/>
        <v>0</v>
      </c>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95"/>
        <v>0</v>
      </c>
      <c r="K142" s="33">
        <f t="shared" si="96"/>
        <v>0</v>
      </c>
      <c r="L142" s="33">
        <f t="shared" si="97"/>
        <v>0</v>
      </c>
      <c r="M142" s="33">
        <f t="shared" si="98"/>
        <v>0</v>
      </c>
      <c r="N142" s="33">
        <f t="shared" si="78"/>
        <v>0</v>
      </c>
      <c r="O142" s="34">
        <f t="shared" si="79"/>
        <v>0</v>
      </c>
      <c r="P142" s="55">
        <v>137</v>
      </c>
      <c r="Q142" s="33">
        <f t="shared" si="93"/>
        <v>0</v>
      </c>
      <c r="R142" s="33">
        <f t="shared" si="99"/>
        <v>0</v>
      </c>
      <c r="S142" s="33">
        <f t="shared" si="100"/>
        <v>0</v>
      </c>
      <c r="T142" s="33">
        <f t="shared" si="80"/>
        <v>0</v>
      </c>
      <c r="U142" s="33">
        <f t="shared" si="94"/>
        <v>0</v>
      </c>
      <c r="V142" s="33">
        <f t="shared" si="81"/>
        <v>0</v>
      </c>
      <c r="W142" s="33">
        <v>0</v>
      </c>
      <c r="X142" s="33">
        <f t="shared" si="82"/>
        <v>0</v>
      </c>
      <c r="Y142" s="38">
        <f t="shared" si="83"/>
        <v>0</v>
      </c>
      <c r="AA142" s="71">
        <v>137</v>
      </c>
      <c r="AB142" s="33">
        <f t="shared" si="84"/>
        <v>0</v>
      </c>
      <c r="AC142" s="305">
        <f t="shared" si="85"/>
        <v>0</v>
      </c>
      <c r="AD142" s="100">
        <f t="shared" si="86"/>
        <v>0</v>
      </c>
      <c r="AE142" s="100">
        <f t="shared" si="87"/>
        <v>0</v>
      </c>
      <c r="AF142" s="194">
        <f t="shared" si="70"/>
        <v>0</v>
      </c>
      <c r="AG142" s="194">
        <f t="shared" si="71"/>
        <v>0</v>
      </c>
      <c r="AH142" s="194">
        <f t="shared" si="72"/>
        <v>0</v>
      </c>
      <c r="AI142" s="199">
        <f t="shared" si="73"/>
        <v>0</v>
      </c>
      <c r="AK142" s="71">
        <v>137</v>
      </c>
      <c r="AL142" s="33">
        <f t="shared" si="88"/>
        <v>0</v>
      </c>
      <c r="AM142" s="33">
        <f t="shared" si="89"/>
        <v>0</v>
      </c>
      <c r="AN142" s="33">
        <f t="shared" si="90"/>
        <v>0</v>
      </c>
      <c r="AO142" s="33">
        <f t="shared" si="91"/>
        <v>0</v>
      </c>
      <c r="AP142" s="33">
        <f t="shared" si="92"/>
        <v>0</v>
      </c>
      <c r="AQ142" s="194">
        <f t="shared" si="74"/>
        <v>0</v>
      </c>
      <c r="AR142" s="194">
        <f t="shared" si="75"/>
        <v>0</v>
      </c>
      <c r="AS142" s="194">
        <f t="shared" si="76"/>
        <v>0</v>
      </c>
      <c r="AT142" s="194">
        <f t="shared" si="77"/>
        <v>0</v>
      </c>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95"/>
        <v>0</v>
      </c>
      <c r="K143" s="33">
        <f t="shared" si="96"/>
        <v>0</v>
      </c>
      <c r="L143" s="33">
        <f t="shared" si="97"/>
        <v>0</v>
      </c>
      <c r="M143" s="33">
        <f t="shared" si="98"/>
        <v>0</v>
      </c>
      <c r="N143" s="33">
        <f t="shared" si="78"/>
        <v>0</v>
      </c>
      <c r="O143" s="34">
        <f t="shared" si="79"/>
        <v>0</v>
      </c>
      <c r="P143" s="55">
        <v>138</v>
      </c>
      <c r="Q143" s="33">
        <f t="shared" si="93"/>
        <v>0</v>
      </c>
      <c r="R143" s="33">
        <f t="shared" si="99"/>
        <v>0</v>
      </c>
      <c r="S143" s="33">
        <f t="shared" si="100"/>
        <v>0</v>
      </c>
      <c r="T143" s="33">
        <f t="shared" si="80"/>
        <v>0</v>
      </c>
      <c r="U143" s="33">
        <f t="shared" si="94"/>
        <v>0</v>
      </c>
      <c r="V143" s="33">
        <f t="shared" si="81"/>
        <v>0</v>
      </c>
      <c r="W143" s="33">
        <v>0</v>
      </c>
      <c r="X143" s="33">
        <f t="shared" si="82"/>
        <v>0</v>
      </c>
      <c r="Y143" s="38">
        <f t="shared" si="83"/>
        <v>0</v>
      </c>
      <c r="AA143" s="71">
        <v>138</v>
      </c>
      <c r="AB143" s="33">
        <f t="shared" si="84"/>
        <v>0</v>
      </c>
      <c r="AC143" s="305">
        <f t="shared" si="85"/>
        <v>0</v>
      </c>
      <c r="AD143" s="100">
        <f t="shared" si="86"/>
        <v>0</v>
      </c>
      <c r="AE143" s="100">
        <f t="shared" si="87"/>
        <v>0</v>
      </c>
      <c r="AF143" s="194">
        <f t="shared" si="70"/>
        <v>0</v>
      </c>
      <c r="AG143" s="194">
        <f t="shared" si="71"/>
        <v>0</v>
      </c>
      <c r="AH143" s="194">
        <f t="shared" si="72"/>
        <v>0</v>
      </c>
      <c r="AI143" s="199">
        <f t="shared" si="73"/>
        <v>0</v>
      </c>
      <c r="AK143" s="71">
        <v>138</v>
      </c>
      <c r="AL143" s="33">
        <f t="shared" si="88"/>
        <v>0</v>
      </c>
      <c r="AM143" s="33">
        <f t="shared" si="89"/>
        <v>0</v>
      </c>
      <c r="AN143" s="33">
        <f t="shared" si="90"/>
        <v>0</v>
      </c>
      <c r="AO143" s="33">
        <f t="shared" si="91"/>
        <v>0</v>
      </c>
      <c r="AP143" s="33">
        <f t="shared" si="92"/>
        <v>0</v>
      </c>
      <c r="AQ143" s="194">
        <f t="shared" si="74"/>
        <v>0</v>
      </c>
      <c r="AR143" s="194">
        <f t="shared" si="75"/>
        <v>0</v>
      </c>
      <c r="AS143" s="194">
        <f t="shared" si="76"/>
        <v>0</v>
      </c>
      <c r="AT143" s="194">
        <f t="shared" si="77"/>
        <v>0</v>
      </c>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95"/>
        <v>0</v>
      </c>
      <c r="K144" s="33">
        <f t="shared" si="96"/>
        <v>0</v>
      </c>
      <c r="L144" s="33">
        <f t="shared" si="97"/>
        <v>0</v>
      </c>
      <c r="M144" s="33">
        <f t="shared" si="98"/>
        <v>0</v>
      </c>
      <c r="N144" s="33">
        <f t="shared" si="78"/>
        <v>0</v>
      </c>
      <c r="O144" s="34">
        <f t="shared" si="79"/>
        <v>0</v>
      </c>
      <c r="P144" s="55">
        <v>139</v>
      </c>
      <c r="Q144" s="33">
        <f t="shared" si="93"/>
        <v>0</v>
      </c>
      <c r="R144" s="33">
        <f t="shared" si="99"/>
        <v>0</v>
      </c>
      <c r="S144" s="33">
        <f t="shared" si="100"/>
        <v>0</v>
      </c>
      <c r="T144" s="33">
        <f t="shared" si="80"/>
        <v>0</v>
      </c>
      <c r="U144" s="33">
        <f t="shared" si="94"/>
        <v>0</v>
      </c>
      <c r="V144" s="33">
        <f t="shared" si="81"/>
        <v>0</v>
      </c>
      <c r="W144" s="33">
        <v>0</v>
      </c>
      <c r="X144" s="33">
        <f t="shared" si="82"/>
        <v>0</v>
      </c>
      <c r="Y144" s="38">
        <f t="shared" si="83"/>
        <v>0</v>
      </c>
      <c r="AA144" s="71">
        <v>139</v>
      </c>
      <c r="AB144" s="33">
        <f t="shared" si="84"/>
        <v>0</v>
      </c>
      <c r="AC144" s="305">
        <f t="shared" si="85"/>
        <v>0</v>
      </c>
      <c r="AD144" s="100">
        <f t="shared" si="86"/>
        <v>0</v>
      </c>
      <c r="AE144" s="100">
        <f t="shared" si="87"/>
        <v>0</v>
      </c>
      <c r="AF144" s="194">
        <f t="shared" si="70"/>
        <v>0</v>
      </c>
      <c r="AG144" s="194">
        <f t="shared" si="71"/>
        <v>0</v>
      </c>
      <c r="AH144" s="194">
        <f t="shared" si="72"/>
        <v>0</v>
      </c>
      <c r="AI144" s="199">
        <f t="shared" si="73"/>
        <v>0</v>
      </c>
      <c r="AK144" s="71">
        <v>139</v>
      </c>
      <c r="AL144" s="33">
        <f t="shared" si="88"/>
        <v>0</v>
      </c>
      <c r="AM144" s="33">
        <f t="shared" si="89"/>
        <v>0</v>
      </c>
      <c r="AN144" s="33">
        <f t="shared" si="90"/>
        <v>0</v>
      </c>
      <c r="AO144" s="33">
        <f t="shared" si="91"/>
        <v>0</v>
      </c>
      <c r="AP144" s="33">
        <f t="shared" si="92"/>
        <v>0</v>
      </c>
      <c r="AQ144" s="194">
        <f t="shared" si="74"/>
        <v>0</v>
      </c>
      <c r="AR144" s="194">
        <f t="shared" si="75"/>
        <v>0</v>
      </c>
      <c r="AS144" s="194">
        <f t="shared" si="76"/>
        <v>0</v>
      </c>
      <c r="AT144" s="194">
        <f t="shared" si="77"/>
        <v>0</v>
      </c>
      <c r="AU144" s="33"/>
      <c r="AV144" s="33"/>
      <c r="AW144" s="33"/>
      <c r="AX144" s="33"/>
      <c r="AY144" s="76"/>
    </row>
    <row r="145" spans="3:51" x14ac:dyDescent="0.3">
      <c r="C145" s="166" t="s">
        <v>20</v>
      </c>
      <c r="D145" s="340">
        <v>0.57899999999999996</v>
      </c>
      <c r="E145" s="188" t="s">
        <v>228</v>
      </c>
      <c r="F145" s="343">
        <f>IF(OR(Tableau145[[#This Row],[Type]]="Feuillus",Tableau145[[#This Row],[Type]]="Peupliers"),1.56,1.3)</f>
        <v>1.56</v>
      </c>
      <c r="I145" s="55">
        <v>140</v>
      </c>
      <c r="J145" s="33">
        <f t="shared" si="95"/>
        <v>0</v>
      </c>
      <c r="K145" s="33">
        <f t="shared" si="96"/>
        <v>0</v>
      </c>
      <c r="L145" s="33">
        <f t="shared" si="97"/>
        <v>0</v>
      </c>
      <c r="M145" s="33">
        <f t="shared" si="98"/>
        <v>0</v>
      </c>
      <c r="N145" s="33">
        <f t="shared" si="78"/>
        <v>0</v>
      </c>
      <c r="O145" s="34">
        <f t="shared" si="79"/>
        <v>0</v>
      </c>
      <c r="P145" s="55">
        <v>140</v>
      </c>
      <c r="Q145" s="33">
        <f t="shared" si="93"/>
        <v>0</v>
      </c>
      <c r="R145" s="33">
        <f t="shared" si="99"/>
        <v>0</v>
      </c>
      <c r="S145" s="33">
        <f t="shared" si="100"/>
        <v>0</v>
      </c>
      <c r="T145" s="33">
        <f t="shared" si="80"/>
        <v>0</v>
      </c>
      <c r="U145" s="33">
        <f t="shared" si="94"/>
        <v>0</v>
      </c>
      <c r="V145" s="33">
        <f t="shared" si="81"/>
        <v>0</v>
      </c>
      <c r="W145" s="33">
        <v>0</v>
      </c>
      <c r="X145" s="33">
        <f t="shared" si="82"/>
        <v>0</v>
      </c>
      <c r="Y145" s="38">
        <f t="shared" si="83"/>
        <v>0</v>
      </c>
      <c r="AA145" s="71">
        <v>140</v>
      </c>
      <c r="AB145" s="33">
        <f t="shared" si="84"/>
        <v>0</v>
      </c>
      <c r="AC145" s="305">
        <f t="shared" si="85"/>
        <v>0</v>
      </c>
      <c r="AD145" s="100">
        <f t="shared" si="86"/>
        <v>0</v>
      </c>
      <c r="AE145" s="100">
        <f t="shared" si="87"/>
        <v>0</v>
      </c>
      <c r="AF145" s="194">
        <f t="shared" si="70"/>
        <v>0</v>
      </c>
      <c r="AG145" s="194">
        <f t="shared" si="71"/>
        <v>0</v>
      </c>
      <c r="AH145" s="194">
        <f t="shared" si="72"/>
        <v>0</v>
      </c>
      <c r="AI145" s="199">
        <f t="shared" si="73"/>
        <v>0</v>
      </c>
      <c r="AK145" s="71">
        <v>140</v>
      </c>
      <c r="AL145" s="33">
        <f t="shared" si="88"/>
        <v>0</v>
      </c>
      <c r="AM145" s="33">
        <f t="shared" si="89"/>
        <v>0</v>
      </c>
      <c r="AN145" s="33">
        <f t="shared" si="90"/>
        <v>0</v>
      </c>
      <c r="AO145" s="33">
        <f t="shared" si="91"/>
        <v>0</v>
      </c>
      <c r="AP145" s="33">
        <f t="shared" si="92"/>
        <v>0</v>
      </c>
      <c r="AQ145" s="194">
        <f t="shared" si="74"/>
        <v>0</v>
      </c>
      <c r="AR145" s="194">
        <f t="shared" si="75"/>
        <v>0</v>
      </c>
      <c r="AS145" s="194">
        <f t="shared" si="76"/>
        <v>0</v>
      </c>
      <c r="AT145" s="194">
        <f t="shared" si="77"/>
        <v>0</v>
      </c>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95"/>
        <v>0</v>
      </c>
      <c r="K146" s="33">
        <f t="shared" si="96"/>
        <v>0</v>
      </c>
      <c r="L146" s="33">
        <f t="shared" si="97"/>
        <v>0</v>
      </c>
      <c r="M146" s="33">
        <f t="shared" si="98"/>
        <v>0</v>
      </c>
      <c r="N146" s="33">
        <f t="shared" si="78"/>
        <v>0</v>
      </c>
      <c r="O146" s="34">
        <f t="shared" si="79"/>
        <v>0</v>
      </c>
      <c r="P146" s="55">
        <v>141</v>
      </c>
      <c r="Q146" s="33">
        <f t="shared" si="93"/>
        <v>0</v>
      </c>
      <c r="R146" s="33">
        <f t="shared" si="99"/>
        <v>0</v>
      </c>
      <c r="S146" s="33">
        <f t="shared" si="100"/>
        <v>0</v>
      </c>
      <c r="T146" s="33">
        <f t="shared" si="80"/>
        <v>0</v>
      </c>
      <c r="U146" s="33">
        <f t="shared" si="94"/>
        <v>0</v>
      </c>
      <c r="V146" s="33">
        <f t="shared" si="81"/>
        <v>0</v>
      </c>
      <c r="W146" s="33">
        <v>0</v>
      </c>
      <c r="X146" s="33">
        <f t="shared" si="82"/>
        <v>0</v>
      </c>
      <c r="Y146" s="38">
        <f t="shared" si="83"/>
        <v>0</v>
      </c>
      <c r="AA146" s="71">
        <v>141</v>
      </c>
      <c r="AB146" s="33">
        <f t="shared" si="84"/>
        <v>0</v>
      </c>
      <c r="AC146" s="305">
        <f t="shared" si="85"/>
        <v>0</v>
      </c>
      <c r="AD146" s="100">
        <f t="shared" si="86"/>
        <v>0</v>
      </c>
      <c r="AE146" s="100">
        <f t="shared" si="87"/>
        <v>0</v>
      </c>
      <c r="AF146" s="194">
        <f t="shared" si="70"/>
        <v>0</v>
      </c>
      <c r="AG146" s="194">
        <f t="shared" si="71"/>
        <v>0</v>
      </c>
      <c r="AH146" s="194">
        <f t="shared" si="72"/>
        <v>0</v>
      </c>
      <c r="AI146" s="199">
        <f t="shared" si="73"/>
        <v>0</v>
      </c>
      <c r="AK146" s="71">
        <v>141</v>
      </c>
      <c r="AL146" s="33">
        <f t="shared" si="88"/>
        <v>0</v>
      </c>
      <c r="AM146" s="33">
        <f t="shared" si="89"/>
        <v>0</v>
      </c>
      <c r="AN146" s="33">
        <f t="shared" si="90"/>
        <v>0</v>
      </c>
      <c r="AO146" s="33">
        <f t="shared" si="91"/>
        <v>0</v>
      </c>
      <c r="AP146" s="33">
        <f t="shared" si="92"/>
        <v>0</v>
      </c>
      <c r="AQ146" s="194">
        <f t="shared" si="74"/>
        <v>0</v>
      </c>
      <c r="AR146" s="194">
        <f t="shared" si="75"/>
        <v>0</v>
      </c>
      <c r="AS146" s="194">
        <f t="shared" si="76"/>
        <v>0</v>
      </c>
      <c r="AT146" s="194">
        <f t="shared" si="77"/>
        <v>0</v>
      </c>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95"/>
        <v>0</v>
      </c>
      <c r="K147" s="33">
        <f t="shared" si="96"/>
        <v>0</v>
      </c>
      <c r="L147" s="33">
        <f t="shared" si="97"/>
        <v>0</v>
      </c>
      <c r="M147" s="33">
        <f t="shared" si="98"/>
        <v>0</v>
      </c>
      <c r="N147" s="33">
        <f t="shared" si="78"/>
        <v>0</v>
      </c>
      <c r="O147" s="34">
        <f t="shared" si="79"/>
        <v>0</v>
      </c>
      <c r="P147" s="55">
        <v>142</v>
      </c>
      <c r="Q147" s="33">
        <f t="shared" si="93"/>
        <v>0</v>
      </c>
      <c r="R147" s="33">
        <f t="shared" si="99"/>
        <v>0</v>
      </c>
      <c r="S147" s="33">
        <f t="shared" si="100"/>
        <v>0</v>
      </c>
      <c r="T147" s="33">
        <f t="shared" si="80"/>
        <v>0</v>
      </c>
      <c r="U147" s="33">
        <f t="shared" si="94"/>
        <v>0</v>
      </c>
      <c r="V147" s="33">
        <f t="shared" si="81"/>
        <v>0</v>
      </c>
      <c r="W147" s="33">
        <v>0</v>
      </c>
      <c r="X147" s="33">
        <f t="shared" si="82"/>
        <v>0</v>
      </c>
      <c r="Y147" s="38">
        <f t="shared" si="83"/>
        <v>0</v>
      </c>
      <c r="AA147" s="71">
        <v>142</v>
      </c>
      <c r="AB147" s="33">
        <f t="shared" si="84"/>
        <v>0</v>
      </c>
      <c r="AC147" s="305">
        <f t="shared" si="85"/>
        <v>0</v>
      </c>
      <c r="AD147" s="100">
        <f t="shared" si="86"/>
        <v>0</v>
      </c>
      <c r="AE147" s="100">
        <f t="shared" si="87"/>
        <v>0</v>
      </c>
      <c r="AF147" s="194">
        <f t="shared" si="70"/>
        <v>0</v>
      </c>
      <c r="AG147" s="194">
        <f t="shared" si="71"/>
        <v>0</v>
      </c>
      <c r="AH147" s="194">
        <f t="shared" si="72"/>
        <v>0</v>
      </c>
      <c r="AI147" s="199">
        <f t="shared" si="73"/>
        <v>0</v>
      </c>
      <c r="AK147" s="71">
        <v>142</v>
      </c>
      <c r="AL147" s="33">
        <f t="shared" si="88"/>
        <v>0</v>
      </c>
      <c r="AM147" s="33">
        <f t="shared" si="89"/>
        <v>0</v>
      </c>
      <c r="AN147" s="33">
        <f t="shared" si="90"/>
        <v>0</v>
      </c>
      <c r="AO147" s="33">
        <f t="shared" si="91"/>
        <v>0</v>
      </c>
      <c r="AP147" s="33">
        <f t="shared" si="92"/>
        <v>0</v>
      </c>
      <c r="AQ147" s="194">
        <f t="shared" si="74"/>
        <v>0</v>
      </c>
      <c r="AR147" s="194">
        <f t="shared" si="75"/>
        <v>0</v>
      </c>
      <c r="AS147" s="194">
        <f t="shared" si="76"/>
        <v>0</v>
      </c>
      <c r="AT147" s="194">
        <f t="shared" si="77"/>
        <v>0</v>
      </c>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95"/>
        <v>0</v>
      </c>
      <c r="K148" s="33">
        <f t="shared" si="96"/>
        <v>0</v>
      </c>
      <c r="L148" s="33">
        <f t="shared" si="97"/>
        <v>0</v>
      </c>
      <c r="M148" s="33">
        <f t="shared" si="98"/>
        <v>0</v>
      </c>
      <c r="N148" s="33">
        <f t="shared" si="78"/>
        <v>0</v>
      </c>
      <c r="O148" s="34">
        <f t="shared" si="79"/>
        <v>0</v>
      </c>
      <c r="P148" s="55">
        <v>143</v>
      </c>
      <c r="Q148" s="33">
        <f t="shared" si="93"/>
        <v>0</v>
      </c>
      <c r="R148" s="33">
        <f t="shared" si="99"/>
        <v>0</v>
      </c>
      <c r="S148" s="33">
        <f t="shared" si="100"/>
        <v>0</v>
      </c>
      <c r="T148" s="33">
        <f t="shared" si="80"/>
        <v>0</v>
      </c>
      <c r="U148" s="33">
        <f t="shared" si="94"/>
        <v>0</v>
      </c>
      <c r="V148" s="33">
        <f t="shared" si="81"/>
        <v>0</v>
      </c>
      <c r="W148" s="33">
        <v>0</v>
      </c>
      <c r="X148" s="33">
        <f t="shared" si="82"/>
        <v>0</v>
      </c>
      <c r="Y148" s="38">
        <f t="shared" si="83"/>
        <v>0</v>
      </c>
      <c r="AA148" s="71">
        <v>143</v>
      </c>
      <c r="AB148" s="33">
        <f t="shared" si="84"/>
        <v>0</v>
      </c>
      <c r="AC148" s="305">
        <f t="shared" si="85"/>
        <v>0</v>
      </c>
      <c r="AD148" s="100">
        <f t="shared" si="86"/>
        <v>0</v>
      </c>
      <c r="AE148" s="100">
        <f t="shared" si="87"/>
        <v>0</v>
      </c>
      <c r="AF148" s="194">
        <f t="shared" si="70"/>
        <v>0</v>
      </c>
      <c r="AG148" s="194">
        <f t="shared" si="71"/>
        <v>0</v>
      </c>
      <c r="AH148" s="194">
        <f t="shared" si="72"/>
        <v>0</v>
      </c>
      <c r="AI148" s="199">
        <f t="shared" si="73"/>
        <v>0</v>
      </c>
      <c r="AK148" s="71">
        <v>143</v>
      </c>
      <c r="AL148" s="33">
        <f t="shared" si="88"/>
        <v>0</v>
      </c>
      <c r="AM148" s="33">
        <f t="shared" si="89"/>
        <v>0</v>
      </c>
      <c r="AN148" s="33">
        <f t="shared" si="90"/>
        <v>0</v>
      </c>
      <c r="AO148" s="33">
        <f t="shared" si="91"/>
        <v>0</v>
      </c>
      <c r="AP148" s="33">
        <f t="shared" si="92"/>
        <v>0</v>
      </c>
      <c r="AQ148" s="194">
        <f t="shared" si="74"/>
        <v>0</v>
      </c>
      <c r="AR148" s="194">
        <f t="shared" si="75"/>
        <v>0</v>
      </c>
      <c r="AS148" s="194">
        <f t="shared" si="76"/>
        <v>0</v>
      </c>
      <c r="AT148" s="194">
        <f t="shared" si="77"/>
        <v>0</v>
      </c>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95"/>
        <v>0</v>
      </c>
      <c r="K149" s="33">
        <f t="shared" si="96"/>
        <v>0</v>
      </c>
      <c r="L149" s="33">
        <f t="shared" si="97"/>
        <v>0</v>
      </c>
      <c r="M149" s="33">
        <f t="shared" si="98"/>
        <v>0</v>
      </c>
      <c r="N149" s="33">
        <f t="shared" si="78"/>
        <v>0</v>
      </c>
      <c r="O149" s="34">
        <f t="shared" si="79"/>
        <v>0</v>
      </c>
      <c r="P149" s="55">
        <v>144</v>
      </c>
      <c r="Q149" s="33">
        <f t="shared" si="93"/>
        <v>0</v>
      </c>
      <c r="R149" s="33">
        <f t="shared" si="99"/>
        <v>0</v>
      </c>
      <c r="S149" s="33">
        <f t="shared" si="100"/>
        <v>0</v>
      </c>
      <c r="T149" s="33">
        <f t="shared" si="80"/>
        <v>0</v>
      </c>
      <c r="U149" s="33">
        <f t="shared" si="94"/>
        <v>0</v>
      </c>
      <c r="V149" s="33">
        <f t="shared" si="81"/>
        <v>0</v>
      </c>
      <c r="W149" s="33">
        <v>0</v>
      </c>
      <c r="X149" s="33">
        <f t="shared" si="82"/>
        <v>0</v>
      </c>
      <c r="Y149" s="38">
        <f t="shared" si="83"/>
        <v>0</v>
      </c>
      <c r="AA149" s="71">
        <v>144</v>
      </c>
      <c r="AB149" s="33">
        <f t="shared" si="84"/>
        <v>0</v>
      </c>
      <c r="AC149" s="305">
        <f t="shared" si="85"/>
        <v>0</v>
      </c>
      <c r="AD149" s="100">
        <f t="shared" si="86"/>
        <v>0</v>
      </c>
      <c r="AE149" s="100">
        <f t="shared" si="87"/>
        <v>0</v>
      </c>
      <c r="AF149" s="194">
        <f t="shared" si="70"/>
        <v>0</v>
      </c>
      <c r="AG149" s="194">
        <f t="shared" si="71"/>
        <v>0</v>
      </c>
      <c r="AH149" s="194">
        <f t="shared" si="72"/>
        <v>0</v>
      </c>
      <c r="AI149" s="199">
        <f t="shared" si="73"/>
        <v>0</v>
      </c>
      <c r="AK149" s="71">
        <v>144</v>
      </c>
      <c r="AL149" s="33">
        <f t="shared" si="88"/>
        <v>0</v>
      </c>
      <c r="AM149" s="33">
        <f t="shared" si="89"/>
        <v>0</v>
      </c>
      <c r="AN149" s="33">
        <f t="shared" si="90"/>
        <v>0</v>
      </c>
      <c r="AO149" s="33">
        <f t="shared" si="91"/>
        <v>0</v>
      </c>
      <c r="AP149" s="33">
        <f t="shared" si="92"/>
        <v>0</v>
      </c>
      <c r="AQ149" s="194">
        <f t="shared" si="74"/>
        <v>0</v>
      </c>
      <c r="AR149" s="194">
        <f t="shared" si="75"/>
        <v>0</v>
      </c>
      <c r="AS149" s="194">
        <f t="shared" si="76"/>
        <v>0</v>
      </c>
      <c r="AT149" s="194">
        <f t="shared" si="77"/>
        <v>0</v>
      </c>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95"/>
        <v>0</v>
      </c>
      <c r="K150" s="33">
        <f t="shared" si="96"/>
        <v>0</v>
      </c>
      <c r="L150" s="33">
        <f t="shared" si="97"/>
        <v>0</v>
      </c>
      <c r="M150" s="33">
        <f t="shared" si="98"/>
        <v>0</v>
      </c>
      <c r="N150" s="33">
        <f t="shared" si="78"/>
        <v>0</v>
      </c>
      <c r="O150" s="34">
        <f t="shared" si="79"/>
        <v>0</v>
      </c>
      <c r="P150" s="55">
        <v>145</v>
      </c>
      <c r="Q150" s="33">
        <f t="shared" si="93"/>
        <v>0</v>
      </c>
      <c r="R150" s="33">
        <f t="shared" si="99"/>
        <v>0</v>
      </c>
      <c r="S150" s="33">
        <f t="shared" si="100"/>
        <v>0</v>
      </c>
      <c r="T150" s="33">
        <f t="shared" si="80"/>
        <v>0</v>
      </c>
      <c r="U150" s="33">
        <f t="shared" si="94"/>
        <v>0</v>
      </c>
      <c r="V150" s="33">
        <f t="shared" si="81"/>
        <v>0</v>
      </c>
      <c r="W150" s="33">
        <v>0</v>
      </c>
      <c r="X150" s="33">
        <f t="shared" si="82"/>
        <v>0</v>
      </c>
      <c r="Y150" s="38">
        <f t="shared" si="83"/>
        <v>0</v>
      </c>
      <c r="AA150" s="71">
        <v>145</v>
      </c>
      <c r="AB150" s="33">
        <f t="shared" si="84"/>
        <v>0</v>
      </c>
      <c r="AC150" s="305">
        <f t="shared" si="85"/>
        <v>0</v>
      </c>
      <c r="AD150" s="100">
        <f t="shared" si="86"/>
        <v>0</v>
      </c>
      <c r="AE150" s="100">
        <f t="shared" si="87"/>
        <v>0</v>
      </c>
      <c r="AF150" s="194">
        <f t="shared" si="70"/>
        <v>0</v>
      </c>
      <c r="AG150" s="194">
        <f t="shared" si="71"/>
        <v>0</v>
      </c>
      <c r="AH150" s="194">
        <f t="shared" si="72"/>
        <v>0</v>
      </c>
      <c r="AI150" s="199">
        <f t="shared" si="73"/>
        <v>0</v>
      </c>
      <c r="AK150" s="71">
        <v>145</v>
      </c>
      <c r="AL150" s="33">
        <f t="shared" si="88"/>
        <v>0</v>
      </c>
      <c r="AM150" s="33">
        <f t="shared" si="89"/>
        <v>0</v>
      </c>
      <c r="AN150" s="33">
        <f t="shared" si="90"/>
        <v>0</v>
      </c>
      <c r="AO150" s="33">
        <f t="shared" si="91"/>
        <v>0</v>
      </c>
      <c r="AP150" s="33">
        <f t="shared" si="92"/>
        <v>0</v>
      </c>
      <c r="AQ150" s="194">
        <f t="shared" si="74"/>
        <v>0</v>
      </c>
      <c r="AR150" s="194">
        <f t="shared" si="75"/>
        <v>0</v>
      </c>
      <c r="AS150" s="194">
        <f t="shared" si="76"/>
        <v>0</v>
      </c>
      <c r="AT150" s="194">
        <f t="shared" si="77"/>
        <v>0</v>
      </c>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95"/>
        <v>0</v>
      </c>
      <c r="K151" s="33">
        <f t="shared" si="96"/>
        <v>0</v>
      </c>
      <c r="L151" s="33">
        <f t="shared" si="97"/>
        <v>0</v>
      </c>
      <c r="M151" s="33">
        <f t="shared" si="98"/>
        <v>0</v>
      </c>
      <c r="N151" s="33">
        <f t="shared" si="78"/>
        <v>0</v>
      </c>
      <c r="O151" s="34">
        <f t="shared" si="79"/>
        <v>0</v>
      </c>
      <c r="P151" s="55">
        <v>146</v>
      </c>
      <c r="Q151" s="33">
        <f t="shared" si="93"/>
        <v>0</v>
      </c>
      <c r="R151" s="33">
        <f t="shared" si="99"/>
        <v>0</v>
      </c>
      <c r="S151" s="33">
        <f t="shared" si="100"/>
        <v>0</v>
      </c>
      <c r="T151" s="33">
        <f t="shared" si="80"/>
        <v>0</v>
      </c>
      <c r="U151" s="33">
        <f t="shared" si="94"/>
        <v>0</v>
      </c>
      <c r="V151" s="33">
        <f t="shared" si="81"/>
        <v>0</v>
      </c>
      <c r="W151" s="33">
        <v>0</v>
      </c>
      <c r="X151" s="33">
        <f t="shared" si="82"/>
        <v>0</v>
      </c>
      <c r="Y151" s="38">
        <f t="shared" si="83"/>
        <v>0</v>
      </c>
      <c r="AA151" s="71">
        <v>146</v>
      </c>
      <c r="AB151" s="33">
        <f t="shared" si="84"/>
        <v>0</v>
      </c>
      <c r="AC151" s="305">
        <f t="shared" si="85"/>
        <v>0</v>
      </c>
      <c r="AD151" s="100">
        <f t="shared" si="86"/>
        <v>0</v>
      </c>
      <c r="AE151" s="100">
        <f t="shared" si="87"/>
        <v>0</v>
      </c>
      <c r="AF151" s="194">
        <f t="shared" si="70"/>
        <v>0</v>
      </c>
      <c r="AG151" s="194">
        <f t="shared" si="71"/>
        <v>0</v>
      </c>
      <c r="AH151" s="194">
        <f t="shared" si="72"/>
        <v>0</v>
      </c>
      <c r="AI151" s="199">
        <f t="shared" si="73"/>
        <v>0</v>
      </c>
      <c r="AK151" s="71">
        <v>146</v>
      </c>
      <c r="AL151" s="33">
        <f t="shared" si="88"/>
        <v>0</v>
      </c>
      <c r="AM151" s="33">
        <f t="shared" si="89"/>
        <v>0</v>
      </c>
      <c r="AN151" s="33">
        <f t="shared" si="90"/>
        <v>0</v>
      </c>
      <c r="AO151" s="33">
        <f t="shared" si="91"/>
        <v>0</v>
      </c>
      <c r="AP151" s="33">
        <f t="shared" si="92"/>
        <v>0</v>
      </c>
      <c r="AQ151" s="194">
        <f t="shared" si="74"/>
        <v>0</v>
      </c>
      <c r="AR151" s="194">
        <f t="shared" si="75"/>
        <v>0</v>
      </c>
      <c r="AS151" s="194">
        <f t="shared" si="76"/>
        <v>0</v>
      </c>
      <c r="AT151" s="194">
        <f t="shared" si="77"/>
        <v>0</v>
      </c>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95"/>
        <v>0</v>
      </c>
      <c r="K152" s="33">
        <f t="shared" si="96"/>
        <v>0</v>
      </c>
      <c r="L152" s="33">
        <f t="shared" si="97"/>
        <v>0</v>
      </c>
      <c r="M152" s="33">
        <f t="shared" si="98"/>
        <v>0</v>
      </c>
      <c r="N152" s="33">
        <f t="shared" si="78"/>
        <v>0</v>
      </c>
      <c r="O152" s="34">
        <f t="shared" si="79"/>
        <v>0</v>
      </c>
      <c r="P152" s="55">
        <v>147</v>
      </c>
      <c r="Q152" s="33">
        <f t="shared" si="93"/>
        <v>0</v>
      </c>
      <c r="R152" s="33">
        <f t="shared" si="99"/>
        <v>0</v>
      </c>
      <c r="S152" s="33">
        <f t="shared" si="100"/>
        <v>0</v>
      </c>
      <c r="T152" s="33">
        <f t="shared" si="80"/>
        <v>0</v>
      </c>
      <c r="U152" s="33">
        <f t="shared" si="94"/>
        <v>0</v>
      </c>
      <c r="V152" s="33">
        <f t="shared" si="81"/>
        <v>0</v>
      </c>
      <c r="W152" s="33">
        <v>0</v>
      </c>
      <c r="X152" s="33">
        <f t="shared" si="82"/>
        <v>0</v>
      </c>
      <c r="Y152" s="38">
        <f t="shared" si="83"/>
        <v>0</v>
      </c>
      <c r="AA152" s="71">
        <v>147</v>
      </c>
      <c r="AB152" s="33">
        <f t="shared" si="84"/>
        <v>0</v>
      </c>
      <c r="AC152" s="305">
        <f t="shared" si="85"/>
        <v>0</v>
      </c>
      <c r="AD152" s="100">
        <f t="shared" si="86"/>
        <v>0</v>
      </c>
      <c r="AE152" s="100">
        <f t="shared" si="87"/>
        <v>0</v>
      </c>
      <c r="AF152" s="194">
        <f t="shared" si="70"/>
        <v>0</v>
      </c>
      <c r="AG152" s="194">
        <f t="shared" si="71"/>
        <v>0</v>
      </c>
      <c r="AH152" s="194">
        <f t="shared" si="72"/>
        <v>0</v>
      </c>
      <c r="AI152" s="199">
        <f t="shared" si="73"/>
        <v>0</v>
      </c>
      <c r="AK152" s="71">
        <v>147</v>
      </c>
      <c r="AL152" s="33">
        <f t="shared" si="88"/>
        <v>0</v>
      </c>
      <c r="AM152" s="33">
        <f t="shared" si="89"/>
        <v>0</v>
      </c>
      <c r="AN152" s="33">
        <f t="shared" si="90"/>
        <v>0</v>
      </c>
      <c r="AO152" s="33">
        <f t="shared" si="91"/>
        <v>0</v>
      </c>
      <c r="AP152" s="33">
        <f t="shared" si="92"/>
        <v>0</v>
      </c>
      <c r="AQ152" s="194">
        <f t="shared" si="74"/>
        <v>0</v>
      </c>
      <c r="AR152" s="194">
        <f t="shared" si="75"/>
        <v>0</v>
      </c>
      <c r="AS152" s="194">
        <f t="shared" si="76"/>
        <v>0</v>
      </c>
      <c r="AT152" s="194">
        <f t="shared" si="77"/>
        <v>0</v>
      </c>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95"/>
        <v>0</v>
      </c>
      <c r="K153" s="33">
        <f t="shared" si="96"/>
        <v>0</v>
      </c>
      <c r="L153" s="33">
        <f t="shared" si="97"/>
        <v>0</v>
      </c>
      <c r="M153" s="33">
        <f t="shared" si="98"/>
        <v>0</v>
      </c>
      <c r="N153" s="33">
        <f t="shared" si="78"/>
        <v>0</v>
      </c>
      <c r="O153" s="34">
        <f t="shared" si="79"/>
        <v>0</v>
      </c>
      <c r="P153" s="55">
        <v>148</v>
      </c>
      <c r="Q153" s="33">
        <f t="shared" si="93"/>
        <v>0</v>
      </c>
      <c r="R153" s="33">
        <f t="shared" si="99"/>
        <v>0</v>
      </c>
      <c r="S153" s="33">
        <f t="shared" si="100"/>
        <v>0</v>
      </c>
      <c r="T153" s="33">
        <f t="shared" si="80"/>
        <v>0</v>
      </c>
      <c r="U153" s="33">
        <f t="shared" si="94"/>
        <v>0</v>
      </c>
      <c r="V153" s="33">
        <f t="shared" si="81"/>
        <v>0</v>
      </c>
      <c r="W153" s="33">
        <v>0</v>
      </c>
      <c r="X153" s="33">
        <f t="shared" si="82"/>
        <v>0</v>
      </c>
      <c r="Y153" s="38">
        <f t="shared" si="83"/>
        <v>0</v>
      </c>
      <c r="AA153" s="71">
        <v>148</v>
      </c>
      <c r="AB153" s="33">
        <f t="shared" si="84"/>
        <v>0</v>
      </c>
      <c r="AC153" s="305">
        <f t="shared" si="85"/>
        <v>0</v>
      </c>
      <c r="AD153" s="100">
        <f t="shared" si="86"/>
        <v>0</v>
      </c>
      <c r="AE153" s="100">
        <f t="shared" si="87"/>
        <v>0</v>
      </c>
      <c r="AF153" s="194">
        <f t="shared" si="70"/>
        <v>0</v>
      </c>
      <c r="AG153" s="194">
        <f t="shared" si="71"/>
        <v>0</v>
      </c>
      <c r="AH153" s="194">
        <f t="shared" si="72"/>
        <v>0</v>
      </c>
      <c r="AI153" s="199">
        <f t="shared" si="73"/>
        <v>0</v>
      </c>
      <c r="AK153" s="71">
        <v>148</v>
      </c>
      <c r="AL153" s="33">
        <f t="shared" si="88"/>
        <v>0</v>
      </c>
      <c r="AM153" s="33">
        <f t="shared" si="89"/>
        <v>0</v>
      </c>
      <c r="AN153" s="33">
        <f t="shared" si="90"/>
        <v>0</v>
      </c>
      <c r="AO153" s="33">
        <f t="shared" si="91"/>
        <v>0</v>
      </c>
      <c r="AP153" s="33">
        <f t="shared" si="92"/>
        <v>0</v>
      </c>
      <c r="AQ153" s="194">
        <f t="shared" si="74"/>
        <v>0</v>
      </c>
      <c r="AR153" s="194">
        <f t="shared" si="75"/>
        <v>0</v>
      </c>
      <c r="AS153" s="194">
        <f t="shared" si="76"/>
        <v>0</v>
      </c>
      <c r="AT153" s="194">
        <f t="shared" si="77"/>
        <v>0</v>
      </c>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95"/>
        <v>0</v>
      </c>
      <c r="K154" s="33">
        <f t="shared" si="96"/>
        <v>0</v>
      </c>
      <c r="L154" s="33">
        <f t="shared" si="97"/>
        <v>0</v>
      </c>
      <c r="M154" s="33">
        <f t="shared" si="98"/>
        <v>0</v>
      </c>
      <c r="N154" s="33">
        <f t="shared" si="78"/>
        <v>0</v>
      </c>
      <c r="O154" s="34">
        <f t="shared" si="79"/>
        <v>0</v>
      </c>
      <c r="P154" s="55">
        <v>149</v>
      </c>
      <c r="Q154" s="33">
        <f t="shared" si="93"/>
        <v>0</v>
      </c>
      <c r="R154" s="33">
        <f t="shared" si="99"/>
        <v>0</v>
      </c>
      <c r="S154" s="33">
        <f t="shared" si="100"/>
        <v>0</v>
      </c>
      <c r="T154" s="33">
        <f t="shared" si="80"/>
        <v>0</v>
      </c>
      <c r="U154" s="33">
        <f t="shared" si="94"/>
        <v>0</v>
      </c>
      <c r="V154" s="33">
        <f t="shared" si="81"/>
        <v>0</v>
      </c>
      <c r="W154" s="33">
        <v>0</v>
      </c>
      <c r="X154" s="33">
        <f t="shared" si="82"/>
        <v>0</v>
      </c>
      <c r="Y154" s="38">
        <f t="shared" si="83"/>
        <v>0</v>
      </c>
      <c r="AA154" s="71">
        <v>149</v>
      </c>
      <c r="AB154" s="33">
        <f t="shared" si="84"/>
        <v>0</v>
      </c>
      <c r="AC154" s="305">
        <f t="shared" si="85"/>
        <v>0</v>
      </c>
      <c r="AD154" s="100">
        <f t="shared" si="86"/>
        <v>0</v>
      </c>
      <c r="AE154" s="100">
        <f t="shared" si="87"/>
        <v>0</v>
      </c>
      <c r="AF154" s="194">
        <f t="shared" si="70"/>
        <v>0</v>
      </c>
      <c r="AG154" s="194">
        <f t="shared" si="71"/>
        <v>0</v>
      </c>
      <c r="AH154" s="194">
        <f t="shared" si="72"/>
        <v>0</v>
      </c>
      <c r="AI154" s="199">
        <f t="shared" si="73"/>
        <v>0</v>
      </c>
      <c r="AK154" s="71">
        <v>149</v>
      </c>
      <c r="AL154" s="33">
        <f t="shared" si="88"/>
        <v>0</v>
      </c>
      <c r="AM154" s="33">
        <f t="shared" si="89"/>
        <v>0</v>
      </c>
      <c r="AN154" s="33">
        <f t="shared" si="90"/>
        <v>0</v>
      </c>
      <c r="AO154" s="33">
        <f t="shared" si="91"/>
        <v>0</v>
      </c>
      <c r="AP154" s="33">
        <f t="shared" si="92"/>
        <v>0</v>
      </c>
      <c r="AQ154" s="194">
        <f t="shared" si="74"/>
        <v>0</v>
      </c>
      <c r="AR154" s="194">
        <f t="shared" si="75"/>
        <v>0</v>
      </c>
      <c r="AS154" s="194">
        <f t="shared" si="76"/>
        <v>0</v>
      </c>
      <c r="AT154" s="194">
        <f t="shared" si="77"/>
        <v>0</v>
      </c>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95"/>
        <v>0</v>
      </c>
      <c r="K155" s="33">
        <f t="shared" si="96"/>
        <v>0</v>
      </c>
      <c r="L155" s="33">
        <f t="shared" si="97"/>
        <v>0</v>
      </c>
      <c r="M155" s="33">
        <f t="shared" si="98"/>
        <v>0</v>
      </c>
      <c r="N155" s="33">
        <f t="shared" si="78"/>
        <v>0</v>
      </c>
      <c r="O155" s="34">
        <f t="shared" si="79"/>
        <v>0</v>
      </c>
      <c r="P155" s="55">
        <v>150</v>
      </c>
      <c r="Q155" s="33">
        <f t="shared" si="93"/>
        <v>0</v>
      </c>
      <c r="R155" s="33">
        <f t="shared" si="99"/>
        <v>0</v>
      </c>
      <c r="S155" s="33">
        <f t="shared" si="100"/>
        <v>0</v>
      </c>
      <c r="T155" s="33">
        <f t="shared" si="80"/>
        <v>0</v>
      </c>
      <c r="U155" s="33">
        <f t="shared" si="94"/>
        <v>0</v>
      </c>
      <c r="V155" s="33">
        <f t="shared" si="81"/>
        <v>0</v>
      </c>
      <c r="W155" s="33">
        <v>0</v>
      </c>
      <c r="X155" s="33">
        <f t="shared" si="82"/>
        <v>0</v>
      </c>
      <c r="Y155" s="38">
        <f t="shared" si="83"/>
        <v>0</v>
      </c>
      <c r="AA155" s="71">
        <v>150</v>
      </c>
      <c r="AB155" s="33">
        <f t="shared" si="84"/>
        <v>0</v>
      </c>
      <c r="AC155" s="305">
        <f t="shared" si="85"/>
        <v>0</v>
      </c>
      <c r="AD155" s="100">
        <f t="shared" si="86"/>
        <v>0</v>
      </c>
      <c r="AE155" s="100">
        <f t="shared" si="87"/>
        <v>0</v>
      </c>
      <c r="AF155" s="194">
        <f t="shared" ref="AF155:AF205" si="101">IF(OR(AA155&lt;=$F$18,AA155&lt;=30),EXP(-LN(2)/$D$104)*AF154+((1-EXP(-LN(2)/$D$104))/(LN(2)/$D$104))*$AB155*AC155*0.475*$F$19*44/12,)</f>
        <v>0</v>
      </c>
      <c r="AG155" s="194">
        <f t="shared" ref="AG155:AG205" si="102">IF(OR(AA155&lt;=$F$18,AA155&lt;=30),EXP(-LN(2)/$D$106)*AG154+((1-EXP(-LN(2)/$D$106))/(LN(2)/$D$106))*$AB155*AD155*0.475*$F$19*44/12,)</f>
        <v>0</v>
      </c>
      <c r="AH155" s="194">
        <f t="shared" ref="AH155:AH205" si="103">IF(OR(AA155&lt;=$F$18,AA155&lt;=30),EXP(-LN(2)/$D$105)*AH154+((1-EXP(-LN(2)/$D$105))/(LN(2)/$D$105))*$AB155*AE155*0.475*$F$19*44/12,)</f>
        <v>0</v>
      </c>
      <c r="AI155" s="199">
        <f t="shared" ref="AI155:AI205" si="104">IF(OR(AA155&lt;=$F$18,AA155&lt;=30),SUM(AF155:AH155),)</f>
        <v>0</v>
      </c>
      <c r="AK155" s="71">
        <v>150</v>
      </c>
      <c r="AL155" s="33">
        <f t="shared" si="88"/>
        <v>0</v>
      </c>
      <c r="AM155" s="33">
        <f t="shared" si="89"/>
        <v>0</v>
      </c>
      <c r="AN155" s="33">
        <f t="shared" si="90"/>
        <v>0</v>
      </c>
      <c r="AO155" s="33">
        <f t="shared" si="91"/>
        <v>0</v>
      </c>
      <c r="AP155" s="33">
        <f t="shared" si="92"/>
        <v>0</v>
      </c>
      <c r="AQ155" s="194">
        <f t="shared" si="74"/>
        <v>0</v>
      </c>
      <c r="AR155" s="194">
        <f t="shared" si="75"/>
        <v>0</v>
      </c>
      <c r="AS155" s="194">
        <f t="shared" si="76"/>
        <v>0</v>
      </c>
      <c r="AT155" s="194">
        <f t="shared" si="77"/>
        <v>0</v>
      </c>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95"/>
        <v>0</v>
      </c>
      <c r="K156" s="33">
        <f t="shared" si="96"/>
        <v>0</v>
      </c>
      <c r="L156" s="33">
        <f t="shared" si="97"/>
        <v>0</v>
      </c>
      <c r="M156" s="33">
        <f t="shared" si="98"/>
        <v>0</v>
      </c>
      <c r="N156" s="33">
        <f t="shared" si="78"/>
        <v>0</v>
      </c>
      <c r="O156" s="34">
        <f t="shared" si="79"/>
        <v>0</v>
      </c>
      <c r="P156" s="55">
        <v>151</v>
      </c>
      <c r="Q156" s="33">
        <f t="shared" si="93"/>
        <v>0</v>
      </c>
      <c r="R156" s="33">
        <f t="shared" si="99"/>
        <v>0</v>
      </c>
      <c r="S156" s="33">
        <f t="shared" si="100"/>
        <v>0</v>
      </c>
      <c r="T156" s="33">
        <f t="shared" si="80"/>
        <v>0</v>
      </c>
      <c r="U156" s="33">
        <f t="shared" si="94"/>
        <v>0</v>
      </c>
      <c r="V156" s="33">
        <f t="shared" si="81"/>
        <v>0</v>
      </c>
      <c r="W156" s="33">
        <v>0</v>
      </c>
      <c r="X156" s="33">
        <f t="shared" si="82"/>
        <v>0</v>
      </c>
      <c r="Y156" s="38">
        <f t="shared" si="83"/>
        <v>0</v>
      </c>
      <c r="AA156" s="71">
        <v>151</v>
      </c>
      <c r="AB156" s="33">
        <f t="shared" si="84"/>
        <v>0</v>
      </c>
      <c r="AC156" s="305">
        <f t="shared" si="85"/>
        <v>0</v>
      </c>
      <c r="AD156" s="100">
        <f t="shared" si="86"/>
        <v>0</v>
      </c>
      <c r="AE156" s="100">
        <f t="shared" si="87"/>
        <v>0</v>
      </c>
      <c r="AF156" s="194">
        <f t="shared" si="101"/>
        <v>0</v>
      </c>
      <c r="AG156" s="194">
        <f t="shared" si="102"/>
        <v>0</v>
      </c>
      <c r="AH156" s="194">
        <f t="shared" si="103"/>
        <v>0</v>
      </c>
      <c r="AI156" s="199">
        <f t="shared" si="104"/>
        <v>0</v>
      </c>
      <c r="AK156" s="71">
        <v>151</v>
      </c>
      <c r="AL156" s="33">
        <f t="shared" si="88"/>
        <v>0</v>
      </c>
      <c r="AM156" s="33">
        <f t="shared" si="89"/>
        <v>0</v>
      </c>
      <c r="AN156" s="33">
        <f t="shared" si="90"/>
        <v>0</v>
      </c>
      <c r="AO156" s="33">
        <f t="shared" si="91"/>
        <v>0</v>
      </c>
      <c r="AP156" s="33">
        <f t="shared" si="92"/>
        <v>0</v>
      </c>
      <c r="AQ156" s="194">
        <f t="shared" si="74"/>
        <v>0</v>
      </c>
      <c r="AR156" s="194">
        <f t="shared" si="75"/>
        <v>0</v>
      </c>
      <c r="AS156" s="194">
        <f t="shared" si="76"/>
        <v>0</v>
      </c>
      <c r="AT156" s="194">
        <f t="shared" si="77"/>
        <v>0</v>
      </c>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95"/>
        <v>0</v>
      </c>
      <c r="K157" s="33">
        <f t="shared" si="96"/>
        <v>0</v>
      </c>
      <c r="L157" s="33">
        <f t="shared" si="97"/>
        <v>0</v>
      </c>
      <c r="M157" s="33">
        <f t="shared" si="98"/>
        <v>0</v>
      </c>
      <c r="N157" s="33">
        <f t="shared" si="78"/>
        <v>0</v>
      </c>
      <c r="O157" s="34">
        <f t="shared" si="79"/>
        <v>0</v>
      </c>
      <c r="P157" s="55">
        <v>152</v>
      </c>
      <c r="Q157" s="33">
        <f t="shared" si="93"/>
        <v>0</v>
      </c>
      <c r="R157" s="33">
        <f t="shared" si="99"/>
        <v>0</v>
      </c>
      <c r="S157" s="33">
        <f t="shared" si="100"/>
        <v>0</v>
      </c>
      <c r="T157" s="33">
        <f t="shared" si="80"/>
        <v>0</v>
      </c>
      <c r="U157" s="33">
        <f t="shared" si="94"/>
        <v>0</v>
      </c>
      <c r="V157" s="33">
        <f t="shared" si="81"/>
        <v>0</v>
      </c>
      <c r="W157" s="33">
        <v>0</v>
      </c>
      <c r="X157" s="33">
        <f t="shared" si="82"/>
        <v>0</v>
      </c>
      <c r="Y157" s="38">
        <f t="shared" si="83"/>
        <v>0</v>
      </c>
      <c r="AA157" s="71">
        <v>152</v>
      </c>
      <c r="AB157" s="33">
        <f t="shared" si="84"/>
        <v>0</v>
      </c>
      <c r="AC157" s="305">
        <f t="shared" si="85"/>
        <v>0</v>
      </c>
      <c r="AD157" s="100">
        <f t="shared" si="86"/>
        <v>0</v>
      </c>
      <c r="AE157" s="100">
        <f t="shared" si="87"/>
        <v>0</v>
      </c>
      <c r="AF157" s="194">
        <f t="shared" si="101"/>
        <v>0</v>
      </c>
      <c r="AG157" s="194">
        <f t="shared" si="102"/>
        <v>0</v>
      </c>
      <c r="AH157" s="194">
        <f t="shared" si="103"/>
        <v>0</v>
      </c>
      <c r="AI157" s="199">
        <f t="shared" si="104"/>
        <v>0</v>
      </c>
      <c r="AK157" s="71">
        <v>152</v>
      </c>
      <c r="AL157" s="33">
        <f t="shared" si="88"/>
        <v>0</v>
      </c>
      <c r="AM157" s="33">
        <f t="shared" si="89"/>
        <v>0</v>
      </c>
      <c r="AN157" s="33">
        <f t="shared" si="90"/>
        <v>0</v>
      </c>
      <c r="AO157" s="33">
        <f t="shared" si="91"/>
        <v>0</v>
      </c>
      <c r="AP157" s="33">
        <f t="shared" si="92"/>
        <v>0</v>
      </c>
      <c r="AQ157" s="194">
        <f t="shared" si="74"/>
        <v>0</v>
      </c>
      <c r="AR157" s="194">
        <f t="shared" si="75"/>
        <v>0</v>
      </c>
      <c r="AS157" s="194">
        <f t="shared" si="76"/>
        <v>0</v>
      </c>
      <c r="AT157" s="194">
        <f t="shared" si="77"/>
        <v>0</v>
      </c>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95"/>
        <v>0</v>
      </c>
      <c r="K158" s="33">
        <f t="shared" si="96"/>
        <v>0</v>
      </c>
      <c r="L158" s="33">
        <f t="shared" si="97"/>
        <v>0</v>
      </c>
      <c r="M158" s="33">
        <f t="shared" si="98"/>
        <v>0</v>
      </c>
      <c r="N158" s="33">
        <f t="shared" si="78"/>
        <v>0</v>
      </c>
      <c r="O158" s="34">
        <f t="shared" si="79"/>
        <v>0</v>
      </c>
      <c r="P158" s="55">
        <v>153</v>
      </c>
      <c r="Q158" s="33">
        <f t="shared" si="93"/>
        <v>0</v>
      </c>
      <c r="R158" s="33">
        <f t="shared" si="99"/>
        <v>0</v>
      </c>
      <c r="S158" s="33">
        <f t="shared" si="100"/>
        <v>0</v>
      </c>
      <c r="T158" s="33">
        <f t="shared" si="80"/>
        <v>0</v>
      </c>
      <c r="U158" s="33">
        <f t="shared" si="94"/>
        <v>0</v>
      </c>
      <c r="V158" s="33">
        <f t="shared" si="81"/>
        <v>0</v>
      </c>
      <c r="W158" s="33">
        <v>0</v>
      </c>
      <c r="X158" s="33">
        <f t="shared" si="82"/>
        <v>0</v>
      </c>
      <c r="Y158" s="38">
        <f t="shared" si="83"/>
        <v>0</v>
      </c>
      <c r="AA158" s="71">
        <v>153</v>
      </c>
      <c r="AB158" s="33">
        <f t="shared" si="84"/>
        <v>0</v>
      </c>
      <c r="AC158" s="305">
        <f t="shared" si="85"/>
        <v>0</v>
      </c>
      <c r="AD158" s="100">
        <f t="shared" si="86"/>
        <v>0</v>
      </c>
      <c r="AE158" s="100">
        <f t="shared" si="87"/>
        <v>0</v>
      </c>
      <c r="AF158" s="194">
        <f t="shared" si="101"/>
        <v>0</v>
      </c>
      <c r="AG158" s="194">
        <f t="shared" si="102"/>
        <v>0</v>
      </c>
      <c r="AH158" s="194">
        <f t="shared" si="103"/>
        <v>0</v>
      </c>
      <c r="AI158" s="199">
        <f t="shared" si="104"/>
        <v>0</v>
      </c>
      <c r="AK158" s="71">
        <v>153</v>
      </c>
      <c r="AL158" s="33">
        <f t="shared" si="88"/>
        <v>0</v>
      </c>
      <c r="AM158" s="33">
        <f t="shared" si="89"/>
        <v>0</v>
      </c>
      <c r="AN158" s="33">
        <f t="shared" si="90"/>
        <v>0</v>
      </c>
      <c r="AO158" s="33">
        <f t="shared" si="91"/>
        <v>0</v>
      </c>
      <c r="AP158" s="33">
        <f t="shared" si="92"/>
        <v>0</v>
      </c>
      <c r="AQ158" s="194">
        <f t="shared" si="74"/>
        <v>0</v>
      </c>
      <c r="AR158" s="194">
        <f t="shared" si="75"/>
        <v>0</v>
      </c>
      <c r="AS158" s="194">
        <f t="shared" si="76"/>
        <v>0</v>
      </c>
      <c r="AT158" s="194">
        <f t="shared" si="77"/>
        <v>0</v>
      </c>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95"/>
        <v>0</v>
      </c>
      <c r="K159" s="33">
        <f t="shared" si="96"/>
        <v>0</v>
      </c>
      <c r="L159" s="33">
        <f t="shared" si="97"/>
        <v>0</v>
      </c>
      <c r="M159" s="33">
        <f t="shared" si="98"/>
        <v>0</v>
      </c>
      <c r="N159" s="33">
        <f t="shared" si="78"/>
        <v>0</v>
      </c>
      <c r="O159" s="34">
        <f t="shared" si="79"/>
        <v>0</v>
      </c>
      <c r="P159" s="55">
        <v>154</v>
      </c>
      <c r="Q159" s="33">
        <f t="shared" si="93"/>
        <v>0</v>
      </c>
      <c r="R159" s="33">
        <f t="shared" si="99"/>
        <v>0</v>
      </c>
      <c r="S159" s="33">
        <f t="shared" si="100"/>
        <v>0</v>
      </c>
      <c r="T159" s="33">
        <f t="shared" si="80"/>
        <v>0</v>
      </c>
      <c r="U159" s="33">
        <f t="shared" si="94"/>
        <v>0</v>
      </c>
      <c r="V159" s="33">
        <f t="shared" si="81"/>
        <v>0</v>
      </c>
      <c r="W159" s="33">
        <v>0</v>
      </c>
      <c r="X159" s="33">
        <f t="shared" si="82"/>
        <v>0</v>
      </c>
      <c r="Y159" s="38">
        <f t="shared" si="83"/>
        <v>0</v>
      </c>
      <c r="AA159" s="71">
        <v>154</v>
      </c>
      <c r="AB159" s="33">
        <f t="shared" si="84"/>
        <v>0</v>
      </c>
      <c r="AC159" s="305">
        <f t="shared" si="85"/>
        <v>0</v>
      </c>
      <c r="AD159" s="100">
        <f t="shared" si="86"/>
        <v>0</v>
      </c>
      <c r="AE159" s="100">
        <f t="shared" si="87"/>
        <v>0</v>
      </c>
      <c r="AF159" s="194">
        <f t="shared" si="101"/>
        <v>0</v>
      </c>
      <c r="AG159" s="194">
        <f t="shared" si="102"/>
        <v>0</v>
      </c>
      <c r="AH159" s="194">
        <f t="shared" si="103"/>
        <v>0</v>
      </c>
      <c r="AI159" s="199">
        <f t="shared" si="104"/>
        <v>0</v>
      </c>
      <c r="AK159" s="71">
        <v>154</v>
      </c>
      <c r="AL159" s="33">
        <f t="shared" si="88"/>
        <v>0</v>
      </c>
      <c r="AM159" s="33">
        <f t="shared" si="89"/>
        <v>0</v>
      </c>
      <c r="AN159" s="33">
        <f t="shared" si="90"/>
        <v>0</v>
      </c>
      <c r="AO159" s="33">
        <f t="shared" si="91"/>
        <v>0</v>
      </c>
      <c r="AP159" s="33">
        <f t="shared" si="92"/>
        <v>0</v>
      </c>
      <c r="AQ159" s="194">
        <f t="shared" si="74"/>
        <v>0</v>
      </c>
      <c r="AR159" s="194">
        <f t="shared" si="75"/>
        <v>0</v>
      </c>
      <c r="AS159" s="194">
        <f t="shared" si="76"/>
        <v>0</v>
      </c>
      <c r="AT159" s="194">
        <f t="shared" si="77"/>
        <v>0</v>
      </c>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95"/>
        <v>0</v>
      </c>
      <c r="K160" s="33">
        <f t="shared" si="96"/>
        <v>0</v>
      </c>
      <c r="L160" s="33">
        <f t="shared" si="97"/>
        <v>0</v>
      </c>
      <c r="M160" s="33">
        <f t="shared" si="98"/>
        <v>0</v>
      </c>
      <c r="N160" s="33">
        <f t="shared" si="78"/>
        <v>0</v>
      </c>
      <c r="O160" s="34">
        <f t="shared" si="79"/>
        <v>0</v>
      </c>
      <c r="P160" s="55">
        <v>155</v>
      </c>
      <c r="Q160" s="33">
        <f t="shared" si="93"/>
        <v>0</v>
      </c>
      <c r="R160" s="33">
        <f t="shared" si="99"/>
        <v>0</v>
      </c>
      <c r="S160" s="33">
        <f t="shared" si="100"/>
        <v>0</v>
      </c>
      <c r="T160" s="33">
        <f t="shared" si="80"/>
        <v>0</v>
      </c>
      <c r="U160" s="33">
        <f t="shared" si="94"/>
        <v>0</v>
      </c>
      <c r="V160" s="33">
        <f t="shared" si="81"/>
        <v>0</v>
      </c>
      <c r="W160" s="33">
        <v>0</v>
      </c>
      <c r="X160" s="33">
        <f t="shared" si="82"/>
        <v>0</v>
      </c>
      <c r="Y160" s="38">
        <f t="shared" si="83"/>
        <v>0</v>
      </c>
      <c r="AA160" s="71">
        <v>155</v>
      </c>
      <c r="AB160" s="33">
        <f t="shared" si="84"/>
        <v>0</v>
      </c>
      <c r="AC160" s="305">
        <f t="shared" si="85"/>
        <v>0</v>
      </c>
      <c r="AD160" s="100">
        <f t="shared" si="86"/>
        <v>0</v>
      </c>
      <c r="AE160" s="100">
        <f t="shared" si="87"/>
        <v>0</v>
      </c>
      <c r="AF160" s="194">
        <f t="shared" si="101"/>
        <v>0</v>
      </c>
      <c r="AG160" s="194">
        <f t="shared" si="102"/>
        <v>0</v>
      </c>
      <c r="AH160" s="194">
        <f t="shared" si="103"/>
        <v>0</v>
      </c>
      <c r="AI160" s="199">
        <f t="shared" si="104"/>
        <v>0</v>
      </c>
      <c r="AK160" s="71">
        <v>155</v>
      </c>
      <c r="AL160" s="33">
        <f t="shared" si="88"/>
        <v>0</v>
      </c>
      <c r="AM160" s="33">
        <f t="shared" si="89"/>
        <v>0</v>
      </c>
      <c r="AN160" s="33">
        <f t="shared" si="90"/>
        <v>0</v>
      </c>
      <c r="AO160" s="33">
        <f t="shared" si="91"/>
        <v>0</v>
      </c>
      <c r="AP160" s="33">
        <f t="shared" si="92"/>
        <v>0</v>
      </c>
      <c r="AQ160" s="194">
        <f t="shared" si="74"/>
        <v>0</v>
      </c>
      <c r="AR160" s="194">
        <f t="shared" si="75"/>
        <v>0</v>
      </c>
      <c r="AS160" s="194">
        <f t="shared" si="76"/>
        <v>0</v>
      </c>
      <c r="AT160" s="194">
        <f t="shared" si="77"/>
        <v>0</v>
      </c>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95"/>
        <v>0</v>
      </c>
      <c r="K161" s="33">
        <f t="shared" si="96"/>
        <v>0</v>
      </c>
      <c r="L161" s="33">
        <f t="shared" si="97"/>
        <v>0</v>
      </c>
      <c r="M161" s="33">
        <f t="shared" si="98"/>
        <v>0</v>
      </c>
      <c r="N161" s="33">
        <f t="shared" si="78"/>
        <v>0</v>
      </c>
      <c r="O161" s="34">
        <f t="shared" si="79"/>
        <v>0</v>
      </c>
      <c r="P161" s="55">
        <v>156</v>
      </c>
      <c r="Q161" s="33">
        <f t="shared" si="93"/>
        <v>0</v>
      </c>
      <c r="R161" s="33">
        <f t="shared" si="99"/>
        <v>0</v>
      </c>
      <c r="S161" s="33">
        <f t="shared" si="100"/>
        <v>0</v>
      </c>
      <c r="T161" s="33">
        <f t="shared" si="80"/>
        <v>0</v>
      </c>
      <c r="U161" s="33">
        <f t="shared" si="94"/>
        <v>0</v>
      </c>
      <c r="V161" s="33">
        <f t="shared" si="81"/>
        <v>0</v>
      </c>
      <c r="W161" s="33">
        <v>0</v>
      </c>
      <c r="X161" s="33">
        <f t="shared" si="82"/>
        <v>0</v>
      </c>
      <c r="Y161" s="38">
        <f t="shared" si="83"/>
        <v>0</v>
      </c>
      <c r="AA161" s="71">
        <v>156</v>
      </c>
      <c r="AB161" s="33">
        <f t="shared" si="84"/>
        <v>0</v>
      </c>
      <c r="AC161" s="305">
        <f t="shared" si="85"/>
        <v>0</v>
      </c>
      <c r="AD161" s="100">
        <f t="shared" si="86"/>
        <v>0</v>
      </c>
      <c r="AE161" s="100">
        <f t="shared" si="87"/>
        <v>0</v>
      </c>
      <c r="AF161" s="194">
        <f t="shared" si="101"/>
        <v>0</v>
      </c>
      <c r="AG161" s="194">
        <f t="shared" si="102"/>
        <v>0</v>
      </c>
      <c r="AH161" s="194">
        <f t="shared" si="103"/>
        <v>0</v>
      </c>
      <c r="AI161" s="199">
        <f t="shared" si="104"/>
        <v>0</v>
      </c>
      <c r="AK161" s="71">
        <v>156</v>
      </c>
      <c r="AL161" s="33">
        <f t="shared" si="88"/>
        <v>0</v>
      </c>
      <c r="AM161" s="33">
        <f t="shared" si="89"/>
        <v>0</v>
      </c>
      <c r="AN161" s="33">
        <f t="shared" si="90"/>
        <v>0</v>
      </c>
      <c r="AO161" s="33">
        <f t="shared" si="91"/>
        <v>0</v>
      </c>
      <c r="AP161" s="33">
        <f t="shared" si="92"/>
        <v>0</v>
      </c>
      <c r="AQ161" s="194">
        <f t="shared" si="74"/>
        <v>0</v>
      </c>
      <c r="AR161" s="194">
        <f t="shared" si="75"/>
        <v>0</v>
      </c>
      <c r="AS161" s="194">
        <f t="shared" si="76"/>
        <v>0</v>
      </c>
      <c r="AT161" s="194">
        <f t="shared" si="77"/>
        <v>0</v>
      </c>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95"/>
        <v>0</v>
      </c>
      <c r="K162" s="33">
        <f t="shared" si="96"/>
        <v>0</v>
      </c>
      <c r="L162" s="33">
        <f t="shared" si="97"/>
        <v>0</v>
      </c>
      <c r="M162" s="33">
        <f t="shared" si="98"/>
        <v>0</v>
      </c>
      <c r="N162" s="33">
        <f t="shared" si="78"/>
        <v>0</v>
      </c>
      <c r="O162" s="34">
        <f t="shared" si="79"/>
        <v>0</v>
      </c>
      <c r="P162" s="55">
        <v>157</v>
      </c>
      <c r="Q162" s="33">
        <f t="shared" si="93"/>
        <v>0</v>
      </c>
      <c r="R162" s="33">
        <f t="shared" si="99"/>
        <v>0</v>
      </c>
      <c r="S162" s="33">
        <f t="shared" si="100"/>
        <v>0</v>
      </c>
      <c r="T162" s="33">
        <f t="shared" si="80"/>
        <v>0</v>
      </c>
      <c r="U162" s="33">
        <f t="shared" si="94"/>
        <v>0</v>
      </c>
      <c r="V162" s="33">
        <f t="shared" si="81"/>
        <v>0</v>
      </c>
      <c r="W162" s="33">
        <v>0</v>
      </c>
      <c r="X162" s="33">
        <f t="shared" si="82"/>
        <v>0</v>
      </c>
      <c r="Y162" s="38">
        <f t="shared" si="83"/>
        <v>0</v>
      </c>
      <c r="AA162" s="71">
        <v>157</v>
      </c>
      <c r="AB162" s="33">
        <f t="shared" si="84"/>
        <v>0</v>
      </c>
      <c r="AC162" s="305">
        <f t="shared" si="85"/>
        <v>0</v>
      </c>
      <c r="AD162" s="100">
        <f t="shared" si="86"/>
        <v>0</v>
      </c>
      <c r="AE162" s="100">
        <f t="shared" si="87"/>
        <v>0</v>
      </c>
      <c r="AF162" s="194">
        <f t="shared" si="101"/>
        <v>0</v>
      </c>
      <c r="AG162" s="194">
        <f t="shared" si="102"/>
        <v>0</v>
      </c>
      <c r="AH162" s="194">
        <f t="shared" si="103"/>
        <v>0</v>
      </c>
      <c r="AI162" s="199">
        <f t="shared" si="104"/>
        <v>0</v>
      </c>
      <c r="AK162" s="71">
        <v>157</v>
      </c>
      <c r="AL162" s="33">
        <f t="shared" si="88"/>
        <v>0</v>
      </c>
      <c r="AM162" s="33">
        <f t="shared" si="89"/>
        <v>0</v>
      </c>
      <c r="AN162" s="33">
        <f t="shared" si="90"/>
        <v>0</v>
      </c>
      <c r="AO162" s="33">
        <f t="shared" si="91"/>
        <v>0</v>
      </c>
      <c r="AP162" s="33">
        <f t="shared" si="92"/>
        <v>0</v>
      </c>
      <c r="AQ162" s="194">
        <f t="shared" si="74"/>
        <v>0</v>
      </c>
      <c r="AR162" s="194">
        <f t="shared" si="75"/>
        <v>0</v>
      </c>
      <c r="AS162" s="194">
        <f t="shared" si="76"/>
        <v>0</v>
      </c>
      <c r="AT162" s="194">
        <f t="shared" si="77"/>
        <v>0</v>
      </c>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95"/>
        <v>0</v>
      </c>
      <c r="K163" s="33">
        <f t="shared" si="96"/>
        <v>0</v>
      </c>
      <c r="L163" s="33">
        <f t="shared" si="97"/>
        <v>0</v>
      </c>
      <c r="M163" s="33">
        <f t="shared" si="98"/>
        <v>0</v>
      </c>
      <c r="N163" s="33">
        <f t="shared" si="78"/>
        <v>0</v>
      </c>
      <c r="O163" s="34">
        <f t="shared" si="79"/>
        <v>0</v>
      </c>
      <c r="P163" s="55">
        <v>158</v>
      </c>
      <c r="Q163" s="33">
        <f t="shared" si="93"/>
        <v>0</v>
      </c>
      <c r="R163" s="33">
        <f t="shared" si="99"/>
        <v>0</v>
      </c>
      <c r="S163" s="33">
        <f t="shared" si="100"/>
        <v>0</v>
      </c>
      <c r="T163" s="33">
        <f t="shared" si="80"/>
        <v>0</v>
      </c>
      <c r="U163" s="33">
        <f t="shared" si="94"/>
        <v>0</v>
      </c>
      <c r="V163" s="33">
        <f t="shared" si="81"/>
        <v>0</v>
      </c>
      <c r="W163" s="33">
        <v>0</v>
      </c>
      <c r="X163" s="33">
        <f t="shared" si="82"/>
        <v>0</v>
      </c>
      <c r="Y163" s="38">
        <f t="shared" si="83"/>
        <v>0</v>
      </c>
      <c r="AA163" s="71">
        <v>158</v>
      </c>
      <c r="AB163" s="33">
        <f t="shared" si="84"/>
        <v>0</v>
      </c>
      <c r="AC163" s="305">
        <f t="shared" si="85"/>
        <v>0</v>
      </c>
      <c r="AD163" s="100">
        <f t="shared" si="86"/>
        <v>0</v>
      </c>
      <c r="AE163" s="100">
        <f t="shared" si="87"/>
        <v>0</v>
      </c>
      <c r="AF163" s="194">
        <f t="shared" si="101"/>
        <v>0</v>
      </c>
      <c r="AG163" s="194">
        <f t="shared" si="102"/>
        <v>0</v>
      </c>
      <c r="AH163" s="194">
        <f t="shared" si="103"/>
        <v>0</v>
      </c>
      <c r="AI163" s="199">
        <f t="shared" si="104"/>
        <v>0</v>
      </c>
      <c r="AK163" s="71">
        <v>158</v>
      </c>
      <c r="AL163" s="33">
        <f t="shared" si="88"/>
        <v>0</v>
      </c>
      <c r="AM163" s="33">
        <f t="shared" si="89"/>
        <v>0</v>
      </c>
      <c r="AN163" s="33">
        <f t="shared" si="90"/>
        <v>0</v>
      </c>
      <c r="AO163" s="33">
        <f t="shared" si="91"/>
        <v>0</v>
      </c>
      <c r="AP163" s="33">
        <f t="shared" si="92"/>
        <v>0</v>
      </c>
      <c r="AQ163" s="194">
        <f t="shared" si="74"/>
        <v>0</v>
      </c>
      <c r="AR163" s="194">
        <f t="shared" si="75"/>
        <v>0</v>
      </c>
      <c r="AS163" s="194">
        <f t="shared" si="76"/>
        <v>0</v>
      </c>
      <c r="AT163" s="194">
        <f t="shared" si="77"/>
        <v>0</v>
      </c>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95"/>
        <v>0</v>
      </c>
      <c r="K164" s="33">
        <f t="shared" si="96"/>
        <v>0</v>
      </c>
      <c r="L164" s="33">
        <f t="shared" si="97"/>
        <v>0</v>
      </c>
      <c r="M164" s="33">
        <f t="shared" si="98"/>
        <v>0</v>
      </c>
      <c r="N164" s="33">
        <f t="shared" si="78"/>
        <v>0</v>
      </c>
      <c r="O164" s="34">
        <f t="shared" si="79"/>
        <v>0</v>
      </c>
      <c r="P164" s="55">
        <v>159</v>
      </c>
      <c r="Q164" s="33">
        <f t="shared" si="93"/>
        <v>0</v>
      </c>
      <c r="R164" s="33">
        <f t="shared" si="99"/>
        <v>0</v>
      </c>
      <c r="S164" s="33">
        <f t="shared" si="100"/>
        <v>0</v>
      </c>
      <c r="T164" s="33">
        <f t="shared" si="80"/>
        <v>0</v>
      </c>
      <c r="U164" s="33">
        <f t="shared" si="94"/>
        <v>0</v>
      </c>
      <c r="V164" s="33">
        <f t="shared" si="81"/>
        <v>0</v>
      </c>
      <c r="W164" s="33">
        <v>0</v>
      </c>
      <c r="X164" s="33">
        <f t="shared" si="82"/>
        <v>0</v>
      </c>
      <c r="Y164" s="38">
        <f t="shared" si="83"/>
        <v>0</v>
      </c>
      <c r="AA164" s="71">
        <v>159</v>
      </c>
      <c r="AB164" s="33">
        <f t="shared" si="84"/>
        <v>0</v>
      </c>
      <c r="AC164" s="305">
        <f t="shared" si="85"/>
        <v>0</v>
      </c>
      <c r="AD164" s="100">
        <f t="shared" si="86"/>
        <v>0</v>
      </c>
      <c r="AE164" s="100">
        <f t="shared" si="87"/>
        <v>0</v>
      </c>
      <c r="AF164" s="194">
        <f t="shared" si="101"/>
        <v>0</v>
      </c>
      <c r="AG164" s="194">
        <f t="shared" si="102"/>
        <v>0</v>
      </c>
      <c r="AH164" s="194">
        <f t="shared" si="103"/>
        <v>0</v>
      </c>
      <c r="AI164" s="199">
        <f t="shared" si="104"/>
        <v>0</v>
      </c>
      <c r="AK164" s="71">
        <v>159</v>
      </c>
      <c r="AL164" s="33">
        <f t="shared" si="88"/>
        <v>0</v>
      </c>
      <c r="AM164" s="33">
        <f t="shared" si="89"/>
        <v>0</v>
      </c>
      <c r="AN164" s="33">
        <f t="shared" si="90"/>
        <v>0</v>
      </c>
      <c r="AO164" s="33">
        <f t="shared" si="91"/>
        <v>0</v>
      </c>
      <c r="AP164" s="33">
        <f t="shared" si="92"/>
        <v>0</v>
      </c>
      <c r="AQ164" s="194">
        <f t="shared" ref="AQ164:AQ205" si="105">IF($AK164&lt;=$F$18,$AL164*AM164,)</f>
        <v>0</v>
      </c>
      <c r="AR164" s="194">
        <f t="shared" ref="AR164:AR205" si="106">IF($AK164&lt;=$F$18,$AL164*AN164,)</f>
        <v>0</v>
      </c>
      <c r="AS164" s="194">
        <f t="shared" ref="AS164:AS205" si="107">IF($AK164&lt;=$F$18,$AL164*AO164,)</f>
        <v>0</v>
      </c>
      <c r="AT164" s="194">
        <f t="shared" ref="AT164:AT205" si="108">IF($AK164&lt;=$F$18,$AL164*AP164,)</f>
        <v>0</v>
      </c>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95"/>
        <v>0</v>
      </c>
      <c r="K165" s="33">
        <f t="shared" si="96"/>
        <v>0</v>
      </c>
      <c r="L165" s="33">
        <f t="shared" si="97"/>
        <v>0</v>
      </c>
      <c r="M165" s="33">
        <f t="shared" si="98"/>
        <v>0</v>
      </c>
      <c r="N165" s="33">
        <f t="shared" si="78"/>
        <v>0</v>
      </c>
      <c r="O165" s="34">
        <f t="shared" si="79"/>
        <v>0</v>
      </c>
      <c r="P165" s="55">
        <v>160</v>
      </c>
      <c r="Q165" s="33">
        <f t="shared" si="93"/>
        <v>0</v>
      </c>
      <c r="R165" s="33">
        <f t="shared" si="99"/>
        <v>0</v>
      </c>
      <c r="S165" s="33">
        <f t="shared" si="100"/>
        <v>0</v>
      </c>
      <c r="T165" s="33">
        <f t="shared" si="80"/>
        <v>0</v>
      </c>
      <c r="U165" s="33">
        <f t="shared" si="94"/>
        <v>0</v>
      </c>
      <c r="V165" s="33">
        <f t="shared" si="81"/>
        <v>0</v>
      </c>
      <c r="W165" s="33">
        <v>0</v>
      </c>
      <c r="X165" s="33">
        <f t="shared" si="82"/>
        <v>0</v>
      </c>
      <c r="Y165" s="38">
        <f t="shared" si="83"/>
        <v>0</v>
      </c>
      <c r="AA165" s="71">
        <v>160</v>
      </c>
      <c r="AB165" s="33">
        <f t="shared" si="84"/>
        <v>0</v>
      </c>
      <c r="AC165" s="305">
        <f t="shared" si="85"/>
        <v>0</v>
      </c>
      <c r="AD165" s="100">
        <f t="shared" si="86"/>
        <v>0</v>
      </c>
      <c r="AE165" s="100">
        <f t="shared" si="87"/>
        <v>0</v>
      </c>
      <c r="AF165" s="194">
        <f t="shared" si="101"/>
        <v>0</v>
      </c>
      <c r="AG165" s="194">
        <f t="shared" si="102"/>
        <v>0</v>
      </c>
      <c r="AH165" s="194">
        <f t="shared" si="103"/>
        <v>0</v>
      </c>
      <c r="AI165" s="199">
        <f t="shared" si="104"/>
        <v>0</v>
      </c>
      <c r="AK165" s="71">
        <v>160</v>
      </c>
      <c r="AL165" s="33">
        <f t="shared" si="88"/>
        <v>0</v>
      </c>
      <c r="AM165" s="33">
        <f t="shared" si="89"/>
        <v>0</v>
      </c>
      <c r="AN165" s="33">
        <f t="shared" si="90"/>
        <v>0</v>
      </c>
      <c r="AO165" s="33">
        <f t="shared" si="91"/>
        <v>0</v>
      </c>
      <c r="AP165" s="33">
        <f t="shared" si="92"/>
        <v>0</v>
      </c>
      <c r="AQ165" s="194">
        <f t="shared" si="105"/>
        <v>0</v>
      </c>
      <c r="AR165" s="194">
        <f t="shared" si="106"/>
        <v>0</v>
      </c>
      <c r="AS165" s="194">
        <f t="shared" si="107"/>
        <v>0</v>
      </c>
      <c r="AT165" s="194">
        <f t="shared" si="108"/>
        <v>0</v>
      </c>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95"/>
        <v>0</v>
      </c>
      <c r="K166" s="33">
        <f t="shared" si="96"/>
        <v>0</v>
      </c>
      <c r="L166" s="33">
        <f t="shared" si="97"/>
        <v>0</v>
      </c>
      <c r="M166" s="33">
        <f t="shared" si="98"/>
        <v>0</v>
      </c>
      <c r="N166" s="33">
        <f t="shared" si="78"/>
        <v>0</v>
      </c>
      <c r="O166" s="34">
        <f t="shared" si="79"/>
        <v>0</v>
      </c>
      <c r="P166" s="55">
        <v>161</v>
      </c>
      <c r="Q166" s="33">
        <f t="shared" si="93"/>
        <v>0</v>
      </c>
      <c r="R166" s="33">
        <f t="shared" si="99"/>
        <v>0</v>
      </c>
      <c r="S166" s="33">
        <f t="shared" si="100"/>
        <v>0</v>
      </c>
      <c r="T166" s="33">
        <f t="shared" si="80"/>
        <v>0</v>
      </c>
      <c r="U166" s="33">
        <f t="shared" si="94"/>
        <v>0</v>
      </c>
      <c r="V166" s="33">
        <f t="shared" si="81"/>
        <v>0</v>
      </c>
      <c r="W166" s="33">
        <v>0</v>
      </c>
      <c r="X166" s="33">
        <f t="shared" si="82"/>
        <v>0</v>
      </c>
      <c r="Y166" s="38">
        <f t="shared" si="83"/>
        <v>0</v>
      </c>
      <c r="AA166" s="71">
        <v>161</v>
      </c>
      <c r="AB166" s="33">
        <f t="shared" si="84"/>
        <v>0</v>
      </c>
      <c r="AC166" s="305">
        <f t="shared" si="85"/>
        <v>0</v>
      </c>
      <c r="AD166" s="100">
        <f t="shared" si="86"/>
        <v>0</v>
      </c>
      <c r="AE166" s="100">
        <f t="shared" si="87"/>
        <v>0</v>
      </c>
      <c r="AF166" s="194">
        <f t="shared" si="101"/>
        <v>0</v>
      </c>
      <c r="AG166" s="194">
        <f t="shared" si="102"/>
        <v>0</v>
      </c>
      <c r="AH166" s="194">
        <f t="shared" si="103"/>
        <v>0</v>
      </c>
      <c r="AI166" s="199">
        <f t="shared" si="104"/>
        <v>0</v>
      </c>
      <c r="AK166" s="71">
        <v>161</v>
      </c>
      <c r="AL166" s="33">
        <f t="shared" si="88"/>
        <v>0</v>
      </c>
      <c r="AM166" s="33">
        <f t="shared" si="89"/>
        <v>0</v>
      </c>
      <c r="AN166" s="33">
        <f t="shared" si="90"/>
        <v>0</v>
      </c>
      <c r="AO166" s="33">
        <f t="shared" si="91"/>
        <v>0</v>
      </c>
      <c r="AP166" s="33">
        <f t="shared" si="92"/>
        <v>0</v>
      </c>
      <c r="AQ166" s="194">
        <f t="shared" si="105"/>
        <v>0</v>
      </c>
      <c r="AR166" s="194">
        <f t="shared" si="106"/>
        <v>0</v>
      </c>
      <c r="AS166" s="194">
        <f t="shared" si="107"/>
        <v>0</v>
      </c>
      <c r="AT166" s="194">
        <f t="shared" si="108"/>
        <v>0</v>
      </c>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95"/>
        <v>0</v>
      </c>
      <c r="K167" s="33">
        <f t="shared" si="96"/>
        <v>0</v>
      </c>
      <c r="L167" s="33">
        <f t="shared" si="97"/>
        <v>0</v>
      </c>
      <c r="M167" s="33">
        <f t="shared" si="98"/>
        <v>0</v>
      </c>
      <c r="N167" s="33">
        <f t="shared" si="78"/>
        <v>0</v>
      </c>
      <c r="O167" s="34">
        <f t="shared" si="79"/>
        <v>0</v>
      </c>
      <c r="P167" s="55">
        <v>162</v>
      </c>
      <c r="Q167" s="33">
        <f t="shared" si="93"/>
        <v>0</v>
      </c>
      <c r="R167" s="33">
        <f t="shared" si="99"/>
        <v>0</v>
      </c>
      <c r="S167" s="33">
        <f t="shared" si="100"/>
        <v>0</v>
      </c>
      <c r="T167" s="33">
        <f t="shared" si="80"/>
        <v>0</v>
      </c>
      <c r="U167" s="33">
        <f t="shared" si="94"/>
        <v>0</v>
      </c>
      <c r="V167" s="33">
        <f t="shared" si="81"/>
        <v>0</v>
      </c>
      <c r="W167" s="33">
        <v>0</v>
      </c>
      <c r="X167" s="33">
        <f t="shared" si="82"/>
        <v>0</v>
      </c>
      <c r="Y167" s="38">
        <f t="shared" si="83"/>
        <v>0</v>
      </c>
      <c r="AA167" s="71">
        <v>162</v>
      </c>
      <c r="AB167" s="33">
        <f t="shared" si="84"/>
        <v>0</v>
      </c>
      <c r="AC167" s="305">
        <f t="shared" si="85"/>
        <v>0</v>
      </c>
      <c r="AD167" s="100">
        <f t="shared" si="86"/>
        <v>0</v>
      </c>
      <c r="AE167" s="100">
        <f t="shared" si="87"/>
        <v>0</v>
      </c>
      <c r="AF167" s="194">
        <f t="shared" si="101"/>
        <v>0</v>
      </c>
      <c r="AG167" s="194">
        <f t="shared" si="102"/>
        <v>0</v>
      </c>
      <c r="AH167" s="194">
        <f t="shared" si="103"/>
        <v>0</v>
      </c>
      <c r="AI167" s="199">
        <f t="shared" si="104"/>
        <v>0</v>
      </c>
      <c r="AK167" s="71">
        <v>162</v>
      </c>
      <c r="AL167" s="33">
        <f t="shared" si="88"/>
        <v>0</v>
      </c>
      <c r="AM167" s="33">
        <f t="shared" si="89"/>
        <v>0</v>
      </c>
      <c r="AN167" s="33">
        <f t="shared" si="90"/>
        <v>0</v>
      </c>
      <c r="AO167" s="33">
        <f t="shared" si="91"/>
        <v>0</v>
      </c>
      <c r="AP167" s="33">
        <f t="shared" si="92"/>
        <v>0</v>
      </c>
      <c r="AQ167" s="194">
        <f t="shared" si="105"/>
        <v>0</v>
      </c>
      <c r="AR167" s="194">
        <f t="shared" si="106"/>
        <v>0</v>
      </c>
      <c r="AS167" s="194">
        <f t="shared" si="107"/>
        <v>0</v>
      </c>
      <c r="AT167" s="194">
        <f t="shared" si="108"/>
        <v>0</v>
      </c>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95"/>
        <v>0</v>
      </c>
      <c r="K168" s="33">
        <f t="shared" si="96"/>
        <v>0</v>
      </c>
      <c r="L168" s="33">
        <f t="shared" si="97"/>
        <v>0</v>
      </c>
      <c r="M168" s="33">
        <f t="shared" si="98"/>
        <v>0</v>
      </c>
      <c r="N168" s="33">
        <f t="shared" si="78"/>
        <v>0</v>
      </c>
      <c r="O168" s="34">
        <f t="shared" si="79"/>
        <v>0</v>
      </c>
      <c r="P168" s="55">
        <v>163</v>
      </c>
      <c r="Q168" s="33">
        <f t="shared" si="93"/>
        <v>0</v>
      </c>
      <c r="R168" s="33">
        <f t="shared" si="99"/>
        <v>0</v>
      </c>
      <c r="S168" s="33">
        <f t="shared" si="100"/>
        <v>0</v>
      </c>
      <c r="T168" s="33">
        <f t="shared" si="80"/>
        <v>0</v>
      </c>
      <c r="U168" s="33">
        <f t="shared" si="94"/>
        <v>0</v>
      </c>
      <c r="V168" s="33">
        <f t="shared" si="81"/>
        <v>0</v>
      </c>
      <c r="W168" s="33">
        <v>0</v>
      </c>
      <c r="X168" s="33">
        <f t="shared" si="82"/>
        <v>0</v>
      </c>
      <c r="Y168" s="38">
        <f t="shared" si="83"/>
        <v>0</v>
      </c>
      <c r="AA168" s="71">
        <v>163</v>
      </c>
      <c r="AB168" s="33">
        <f t="shared" si="84"/>
        <v>0</v>
      </c>
      <c r="AC168" s="305">
        <f t="shared" si="85"/>
        <v>0</v>
      </c>
      <c r="AD168" s="100">
        <f t="shared" si="86"/>
        <v>0</v>
      </c>
      <c r="AE168" s="100">
        <f t="shared" si="87"/>
        <v>0</v>
      </c>
      <c r="AF168" s="194">
        <f t="shared" si="101"/>
        <v>0</v>
      </c>
      <c r="AG168" s="194">
        <f t="shared" si="102"/>
        <v>0</v>
      </c>
      <c r="AH168" s="194">
        <f t="shared" si="103"/>
        <v>0</v>
      </c>
      <c r="AI168" s="199">
        <f t="shared" si="104"/>
        <v>0</v>
      </c>
      <c r="AK168" s="71">
        <v>163</v>
      </c>
      <c r="AL168" s="33">
        <f t="shared" si="88"/>
        <v>0</v>
      </c>
      <c r="AM168" s="33">
        <f t="shared" si="89"/>
        <v>0</v>
      </c>
      <c r="AN168" s="33">
        <f t="shared" si="90"/>
        <v>0</v>
      </c>
      <c r="AO168" s="33">
        <f t="shared" si="91"/>
        <v>0</v>
      </c>
      <c r="AP168" s="33">
        <f t="shared" si="92"/>
        <v>0</v>
      </c>
      <c r="AQ168" s="194">
        <f t="shared" si="105"/>
        <v>0</v>
      </c>
      <c r="AR168" s="194">
        <f t="shared" si="106"/>
        <v>0</v>
      </c>
      <c r="AS168" s="194">
        <f t="shared" si="107"/>
        <v>0</v>
      </c>
      <c r="AT168" s="194">
        <f t="shared" si="108"/>
        <v>0</v>
      </c>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95"/>
        <v>0</v>
      </c>
      <c r="K169" s="33">
        <f t="shared" si="96"/>
        <v>0</v>
      </c>
      <c r="L169" s="33">
        <f t="shared" si="97"/>
        <v>0</v>
      </c>
      <c r="M169" s="33">
        <f t="shared" si="98"/>
        <v>0</v>
      </c>
      <c r="N169" s="33">
        <f t="shared" si="78"/>
        <v>0</v>
      </c>
      <c r="O169" s="34">
        <f t="shared" si="79"/>
        <v>0</v>
      </c>
      <c r="P169" s="55">
        <v>164</v>
      </c>
      <c r="Q169" s="33">
        <f t="shared" si="93"/>
        <v>0</v>
      </c>
      <c r="R169" s="33">
        <f t="shared" si="99"/>
        <v>0</v>
      </c>
      <c r="S169" s="33">
        <f t="shared" si="100"/>
        <v>0</v>
      </c>
      <c r="T169" s="33">
        <f t="shared" si="80"/>
        <v>0</v>
      </c>
      <c r="U169" s="33">
        <f t="shared" si="94"/>
        <v>0</v>
      </c>
      <c r="V169" s="33">
        <f t="shared" si="81"/>
        <v>0</v>
      </c>
      <c r="W169" s="33">
        <v>0</v>
      </c>
      <c r="X169" s="33">
        <f t="shared" si="82"/>
        <v>0</v>
      </c>
      <c r="Y169" s="38">
        <f t="shared" si="83"/>
        <v>0</v>
      </c>
      <c r="AA169" s="71">
        <v>164</v>
      </c>
      <c r="AB169" s="33">
        <f t="shared" si="84"/>
        <v>0</v>
      </c>
      <c r="AC169" s="305">
        <f t="shared" si="85"/>
        <v>0</v>
      </c>
      <c r="AD169" s="100">
        <f t="shared" si="86"/>
        <v>0</v>
      </c>
      <c r="AE169" s="100">
        <f t="shared" si="87"/>
        <v>0</v>
      </c>
      <c r="AF169" s="194">
        <f t="shared" si="101"/>
        <v>0</v>
      </c>
      <c r="AG169" s="194">
        <f t="shared" si="102"/>
        <v>0</v>
      </c>
      <c r="AH169" s="194">
        <f t="shared" si="103"/>
        <v>0</v>
      </c>
      <c r="AI169" s="199">
        <f t="shared" si="104"/>
        <v>0</v>
      </c>
      <c r="AK169" s="71">
        <v>164</v>
      </c>
      <c r="AL169" s="33">
        <f t="shared" si="88"/>
        <v>0</v>
      </c>
      <c r="AM169" s="33">
        <f t="shared" si="89"/>
        <v>0</v>
      </c>
      <c r="AN169" s="33">
        <f t="shared" si="90"/>
        <v>0</v>
      </c>
      <c r="AO169" s="33">
        <f t="shared" si="91"/>
        <v>0</v>
      </c>
      <c r="AP169" s="33">
        <f t="shared" si="92"/>
        <v>0</v>
      </c>
      <c r="AQ169" s="194">
        <f t="shared" si="105"/>
        <v>0</v>
      </c>
      <c r="AR169" s="194">
        <f t="shared" si="106"/>
        <v>0</v>
      </c>
      <c r="AS169" s="194">
        <f t="shared" si="107"/>
        <v>0</v>
      </c>
      <c r="AT169" s="194">
        <f t="shared" si="108"/>
        <v>0</v>
      </c>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95"/>
        <v>0</v>
      </c>
      <c r="K170" s="33">
        <f t="shared" si="96"/>
        <v>0</v>
      </c>
      <c r="L170" s="33">
        <f t="shared" si="97"/>
        <v>0</v>
      </c>
      <c r="M170" s="33">
        <f t="shared" si="98"/>
        <v>0</v>
      </c>
      <c r="N170" s="33">
        <f t="shared" si="78"/>
        <v>0</v>
      </c>
      <c r="O170" s="34">
        <f t="shared" si="79"/>
        <v>0</v>
      </c>
      <c r="P170" s="55">
        <v>165</v>
      </c>
      <c r="Q170" s="33">
        <f t="shared" si="93"/>
        <v>0</v>
      </c>
      <c r="R170" s="33">
        <f t="shared" si="99"/>
        <v>0</v>
      </c>
      <c r="S170" s="33">
        <f t="shared" si="100"/>
        <v>0</v>
      </c>
      <c r="T170" s="33">
        <f t="shared" si="80"/>
        <v>0</v>
      </c>
      <c r="U170" s="33">
        <f t="shared" si="94"/>
        <v>0</v>
      </c>
      <c r="V170" s="33">
        <f t="shared" si="81"/>
        <v>0</v>
      </c>
      <c r="W170" s="33">
        <v>0</v>
      </c>
      <c r="X170" s="33">
        <f t="shared" si="82"/>
        <v>0</v>
      </c>
      <c r="Y170" s="38">
        <f t="shared" si="83"/>
        <v>0</v>
      </c>
      <c r="AA170" s="71">
        <v>165</v>
      </c>
      <c r="AB170" s="33">
        <f t="shared" si="84"/>
        <v>0</v>
      </c>
      <c r="AC170" s="305">
        <f t="shared" si="85"/>
        <v>0</v>
      </c>
      <c r="AD170" s="100">
        <f t="shared" si="86"/>
        <v>0</v>
      </c>
      <c r="AE170" s="100">
        <f t="shared" si="87"/>
        <v>0</v>
      </c>
      <c r="AF170" s="194">
        <f t="shared" si="101"/>
        <v>0</v>
      </c>
      <c r="AG170" s="194">
        <f t="shared" si="102"/>
        <v>0</v>
      </c>
      <c r="AH170" s="194">
        <f t="shared" si="103"/>
        <v>0</v>
      </c>
      <c r="AI170" s="199">
        <f t="shared" si="104"/>
        <v>0</v>
      </c>
      <c r="AK170" s="71">
        <v>165</v>
      </c>
      <c r="AL170" s="33">
        <f t="shared" si="88"/>
        <v>0</v>
      </c>
      <c r="AM170" s="33">
        <f t="shared" si="89"/>
        <v>0</v>
      </c>
      <c r="AN170" s="33">
        <f t="shared" si="90"/>
        <v>0</v>
      </c>
      <c r="AO170" s="33">
        <f t="shared" si="91"/>
        <v>0</v>
      </c>
      <c r="AP170" s="33">
        <f t="shared" si="92"/>
        <v>0</v>
      </c>
      <c r="AQ170" s="194">
        <f t="shared" si="105"/>
        <v>0</v>
      </c>
      <c r="AR170" s="194">
        <f t="shared" si="106"/>
        <v>0</v>
      </c>
      <c r="AS170" s="194">
        <f t="shared" si="107"/>
        <v>0</v>
      </c>
      <c r="AT170" s="194">
        <f t="shared" si="108"/>
        <v>0</v>
      </c>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95"/>
        <v>0</v>
      </c>
      <c r="K171" s="33">
        <f t="shared" si="96"/>
        <v>0</v>
      </c>
      <c r="L171" s="33">
        <f t="shared" si="97"/>
        <v>0</v>
      </c>
      <c r="M171" s="33">
        <f t="shared" si="98"/>
        <v>0</v>
      </c>
      <c r="N171" s="33">
        <f t="shared" si="78"/>
        <v>0</v>
      </c>
      <c r="O171" s="34">
        <f t="shared" si="79"/>
        <v>0</v>
      </c>
      <c r="P171" s="55">
        <v>166</v>
      </c>
      <c r="Q171" s="33">
        <f t="shared" si="93"/>
        <v>0</v>
      </c>
      <c r="R171" s="33">
        <f t="shared" si="99"/>
        <v>0</v>
      </c>
      <c r="S171" s="33">
        <f t="shared" si="100"/>
        <v>0</v>
      </c>
      <c r="T171" s="33">
        <f t="shared" si="80"/>
        <v>0</v>
      </c>
      <c r="U171" s="33">
        <f t="shared" si="94"/>
        <v>0</v>
      </c>
      <c r="V171" s="33">
        <f t="shared" si="81"/>
        <v>0</v>
      </c>
      <c r="W171" s="33">
        <v>0</v>
      </c>
      <c r="X171" s="33">
        <f t="shared" si="82"/>
        <v>0</v>
      </c>
      <c r="Y171" s="38">
        <f t="shared" si="83"/>
        <v>0</v>
      </c>
      <c r="AA171" s="71">
        <v>166</v>
      </c>
      <c r="AB171" s="33">
        <f t="shared" si="84"/>
        <v>0</v>
      </c>
      <c r="AC171" s="305">
        <f t="shared" si="85"/>
        <v>0</v>
      </c>
      <c r="AD171" s="100">
        <f t="shared" si="86"/>
        <v>0</v>
      </c>
      <c r="AE171" s="100">
        <f t="shared" si="87"/>
        <v>0</v>
      </c>
      <c r="AF171" s="194">
        <f t="shared" si="101"/>
        <v>0</v>
      </c>
      <c r="AG171" s="194">
        <f t="shared" si="102"/>
        <v>0</v>
      </c>
      <c r="AH171" s="194">
        <f t="shared" si="103"/>
        <v>0</v>
      </c>
      <c r="AI171" s="199">
        <f t="shared" si="104"/>
        <v>0</v>
      </c>
      <c r="AK171" s="71">
        <v>166</v>
      </c>
      <c r="AL171" s="33">
        <f t="shared" si="88"/>
        <v>0</v>
      </c>
      <c r="AM171" s="33">
        <f t="shared" si="89"/>
        <v>0</v>
      </c>
      <c r="AN171" s="33">
        <f t="shared" si="90"/>
        <v>0</v>
      </c>
      <c r="AO171" s="33">
        <f t="shared" si="91"/>
        <v>0</v>
      </c>
      <c r="AP171" s="33">
        <f t="shared" si="92"/>
        <v>0</v>
      </c>
      <c r="AQ171" s="194">
        <f t="shared" si="105"/>
        <v>0</v>
      </c>
      <c r="AR171" s="194">
        <f t="shared" si="106"/>
        <v>0</v>
      </c>
      <c r="AS171" s="194">
        <f t="shared" si="107"/>
        <v>0</v>
      </c>
      <c r="AT171" s="194">
        <f t="shared" si="108"/>
        <v>0</v>
      </c>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95"/>
        <v>0</v>
      </c>
      <c r="K172" s="33">
        <f t="shared" si="96"/>
        <v>0</v>
      </c>
      <c r="L172" s="33">
        <f t="shared" si="97"/>
        <v>0</v>
      </c>
      <c r="M172" s="33">
        <f t="shared" si="98"/>
        <v>0</v>
      </c>
      <c r="N172" s="33">
        <f t="shared" si="78"/>
        <v>0</v>
      </c>
      <c r="O172" s="34">
        <f t="shared" si="79"/>
        <v>0</v>
      </c>
      <c r="P172" s="55">
        <v>167</v>
      </c>
      <c r="Q172" s="33">
        <f t="shared" si="93"/>
        <v>0</v>
      </c>
      <c r="R172" s="33">
        <f t="shared" si="99"/>
        <v>0</v>
      </c>
      <c r="S172" s="33">
        <f t="shared" si="100"/>
        <v>0</v>
      </c>
      <c r="T172" s="33">
        <f t="shared" si="80"/>
        <v>0</v>
      </c>
      <c r="U172" s="33">
        <f t="shared" si="94"/>
        <v>0</v>
      </c>
      <c r="V172" s="33">
        <f t="shared" si="81"/>
        <v>0</v>
      </c>
      <c r="W172" s="33">
        <v>0</v>
      </c>
      <c r="X172" s="33">
        <f t="shared" si="82"/>
        <v>0</v>
      </c>
      <c r="Y172" s="38">
        <f t="shared" si="83"/>
        <v>0</v>
      </c>
      <c r="AA172" s="71">
        <v>167</v>
      </c>
      <c r="AB172" s="33">
        <f t="shared" si="84"/>
        <v>0</v>
      </c>
      <c r="AC172" s="305">
        <f t="shared" si="85"/>
        <v>0</v>
      </c>
      <c r="AD172" s="100">
        <f t="shared" si="86"/>
        <v>0</v>
      </c>
      <c r="AE172" s="100">
        <f t="shared" si="87"/>
        <v>0</v>
      </c>
      <c r="AF172" s="194">
        <f t="shared" si="101"/>
        <v>0</v>
      </c>
      <c r="AG172" s="194">
        <f t="shared" si="102"/>
        <v>0</v>
      </c>
      <c r="AH172" s="194">
        <f t="shared" si="103"/>
        <v>0</v>
      </c>
      <c r="AI172" s="199">
        <f t="shared" si="104"/>
        <v>0</v>
      </c>
      <c r="AK172" s="71">
        <v>167</v>
      </c>
      <c r="AL172" s="33">
        <f t="shared" si="88"/>
        <v>0</v>
      </c>
      <c r="AM172" s="33">
        <f t="shared" si="89"/>
        <v>0</v>
      </c>
      <c r="AN172" s="33">
        <f t="shared" si="90"/>
        <v>0</v>
      </c>
      <c r="AO172" s="33">
        <f t="shared" si="91"/>
        <v>0</v>
      </c>
      <c r="AP172" s="33">
        <f t="shared" si="92"/>
        <v>0</v>
      </c>
      <c r="AQ172" s="194">
        <f t="shared" si="105"/>
        <v>0</v>
      </c>
      <c r="AR172" s="194">
        <f t="shared" si="106"/>
        <v>0</v>
      </c>
      <c r="AS172" s="194">
        <f t="shared" si="107"/>
        <v>0</v>
      </c>
      <c r="AT172" s="194">
        <f t="shared" si="108"/>
        <v>0</v>
      </c>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95"/>
        <v>0</v>
      </c>
      <c r="K173" s="33">
        <f t="shared" si="96"/>
        <v>0</v>
      </c>
      <c r="L173" s="33">
        <f t="shared" si="97"/>
        <v>0</v>
      </c>
      <c r="M173" s="33">
        <f t="shared" si="98"/>
        <v>0</v>
      </c>
      <c r="N173" s="33">
        <f t="shared" si="78"/>
        <v>0</v>
      </c>
      <c r="O173" s="34">
        <f t="shared" si="79"/>
        <v>0</v>
      </c>
      <c r="P173" s="55">
        <v>168</v>
      </c>
      <c r="Q173" s="33">
        <f t="shared" si="93"/>
        <v>0</v>
      </c>
      <c r="R173" s="33">
        <f t="shared" si="99"/>
        <v>0</v>
      </c>
      <c r="S173" s="33">
        <f t="shared" si="100"/>
        <v>0</v>
      </c>
      <c r="T173" s="33">
        <f t="shared" si="80"/>
        <v>0</v>
      </c>
      <c r="U173" s="33">
        <f t="shared" si="94"/>
        <v>0</v>
      </c>
      <c r="V173" s="33">
        <f t="shared" si="81"/>
        <v>0</v>
      </c>
      <c r="W173" s="33">
        <v>0</v>
      </c>
      <c r="X173" s="33">
        <f t="shared" si="82"/>
        <v>0</v>
      </c>
      <c r="Y173" s="38">
        <f t="shared" si="83"/>
        <v>0</v>
      </c>
      <c r="AA173" s="71">
        <v>168</v>
      </c>
      <c r="AB173" s="33">
        <f t="shared" si="84"/>
        <v>0</v>
      </c>
      <c r="AC173" s="305">
        <f t="shared" si="85"/>
        <v>0</v>
      </c>
      <c r="AD173" s="100">
        <f t="shared" si="86"/>
        <v>0</v>
      </c>
      <c r="AE173" s="100">
        <f t="shared" si="87"/>
        <v>0</v>
      </c>
      <c r="AF173" s="194">
        <f t="shared" si="101"/>
        <v>0</v>
      </c>
      <c r="AG173" s="194">
        <f t="shared" si="102"/>
        <v>0</v>
      </c>
      <c r="AH173" s="194">
        <f t="shared" si="103"/>
        <v>0</v>
      </c>
      <c r="AI173" s="199">
        <f t="shared" si="104"/>
        <v>0</v>
      </c>
      <c r="AK173" s="71">
        <v>168</v>
      </c>
      <c r="AL173" s="33">
        <f t="shared" si="88"/>
        <v>0</v>
      </c>
      <c r="AM173" s="33">
        <f t="shared" si="89"/>
        <v>0</v>
      </c>
      <c r="AN173" s="33">
        <f t="shared" si="90"/>
        <v>0</v>
      </c>
      <c r="AO173" s="33">
        <f t="shared" si="91"/>
        <v>0</v>
      </c>
      <c r="AP173" s="33">
        <f t="shared" si="92"/>
        <v>0</v>
      </c>
      <c r="AQ173" s="194">
        <f t="shared" si="105"/>
        <v>0</v>
      </c>
      <c r="AR173" s="194">
        <f t="shared" si="106"/>
        <v>0</v>
      </c>
      <c r="AS173" s="194">
        <f t="shared" si="107"/>
        <v>0</v>
      </c>
      <c r="AT173" s="194">
        <f t="shared" si="108"/>
        <v>0</v>
      </c>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95"/>
        <v>0</v>
      </c>
      <c r="K174" s="33">
        <f t="shared" si="96"/>
        <v>0</v>
      </c>
      <c r="L174" s="33">
        <f t="shared" si="97"/>
        <v>0</v>
      </c>
      <c r="M174" s="33">
        <f t="shared" si="98"/>
        <v>0</v>
      </c>
      <c r="N174" s="33">
        <f t="shared" si="78"/>
        <v>0</v>
      </c>
      <c r="O174" s="34">
        <f t="shared" si="79"/>
        <v>0</v>
      </c>
      <c r="P174" s="55">
        <v>169</v>
      </c>
      <c r="Q174" s="33">
        <f t="shared" si="93"/>
        <v>0</v>
      </c>
      <c r="R174" s="33">
        <f t="shared" si="99"/>
        <v>0</v>
      </c>
      <c r="S174" s="33">
        <f t="shared" si="100"/>
        <v>0</v>
      </c>
      <c r="T174" s="33">
        <f t="shared" si="80"/>
        <v>0</v>
      </c>
      <c r="U174" s="33">
        <f t="shared" si="94"/>
        <v>0</v>
      </c>
      <c r="V174" s="33">
        <f t="shared" si="81"/>
        <v>0</v>
      </c>
      <c r="W174" s="33">
        <v>0</v>
      </c>
      <c r="X174" s="33">
        <f t="shared" si="82"/>
        <v>0</v>
      </c>
      <c r="Y174" s="38">
        <f t="shared" si="83"/>
        <v>0</v>
      </c>
      <c r="AA174" s="71">
        <v>169</v>
      </c>
      <c r="AB174" s="33">
        <f t="shared" si="84"/>
        <v>0</v>
      </c>
      <c r="AC174" s="305">
        <f t="shared" si="85"/>
        <v>0</v>
      </c>
      <c r="AD174" s="100">
        <f t="shared" si="86"/>
        <v>0</v>
      </c>
      <c r="AE174" s="100">
        <f t="shared" si="87"/>
        <v>0</v>
      </c>
      <c r="AF174" s="194">
        <f t="shared" si="101"/>
        <v>0</v>
      </c>
      <c r="AG174" s="194">
        <f t="shared" si="102"/>
        <v>0</v>
      </c>
      <c r="AH174" s="194">
        <f t="shared" si="103"/>
        <v>0</v>
      </c>
      <c r="AI174" s="199">
        <f t="shared" si="104"/>
        <v>0</v>
      </c>
      <c r="AK174" s="71">
        <v>169</v>
      </c>
      <c r="AL174" s="33">
        <f t="shared" si="88"/>
        <v>0</v>
      </c>
      <c r="AM174" s="33">
        <f t="shared" si="89"/>
        <v>0</v>
      </c>
      <c r="AN174" s="33">
        <f t="shared" si="90"/>
        <v>0</v>
      </c>
      <c r="AO174" s="33">
        <f t="shared" si="91"/>
        <v>0</v>
      </c>
      <c r="AP174" s="33">
        <f t="shared" si="92"/>
        <v>0</v>
      </c>
      <c r="AQ174" s="194">
        <f t="shared" si="105"/>
        <v>0</v>
      </c>
      <c r="AR174" s="194">
        <f t="shared" si="106"/>
        <v>0</v>
      </c>
      <c r="AS174" s="194">
        <f t="shared" si="107"/>
        <v>0</v>
      </c>
      <c r="AT174" s="194">
        <f t="shared" si="108"/>
        <v>0</v>
      </c>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95"/>
        <v>0</v>
      </c>
      <c r="K175" s="33">
        <f t="shared" si="96"/>
        <v>0</v>
      </c>
      <c r="L175" s="33">
        <f t="shared" si="97"/>
        <v>0</v>
      </c>
      <c r="M175" s="33">
        <f t="shared" si="98"/>
        <v>0</v>
      </c>
      <c r="N175" s="33">
        <f t="shared" si="78"/>
        <v>0</v>
      </c>
      <c r="O175" s="34">
        <f t="shared" si="79"/>
        <v>0</v>
      </c>
      <c r="P175" s="55">
        <v>170</v>
      </c>
      <c r="Q175" s="33">
        <f t="shared" si="93"/>
        <v>0</v>
      </c>
      <c r="R175" s="33">
        <f t="shared" si="99"/>
        <v>0</v>
      </c>
      <c r="S175" s="33">
        <f t="shared" si="100"/>
        <v>0</v>
      </c>
      <c r="T175" s="33">
        <f t="shared" si="80"/>
        <v>0</v>
      </c>
      <c r="U175" s="33">
        <f t="shared" si="94"/>
        <v>0</v>
      </c>
      <c r="V175" s="33">
        <f t="shared" si="81"/>
        <v>0</v>
      </c>
      <c r="W175" s="33">
        <v>0</v>
      </c>
      <c r="X175" s="33">
        <f t="shared" si="82"/>
        <v>0</v>
      </c>
      <c r="Y175" s="38">
        <f t="shared" si="83"/>
        <v>0</v>
      </c>
      <c r="AA175" s="71">
        <v>170</v>
      </c>
      <c r="AB175" s="33">
        <f t="shared" si="84"/>
        <v>0</v>
      </c>
      <c r="AC175" s="305">
        <f t="shared" si="85"/>
        <v>0</v>
      </c>
      <c r="AD175" s="100">
        <f t="shared" si="86"/>
        <v>0</v>
      </c>
      <c r="AE175" s="100">
        <f t="shared" si="87"/>
        <v>0</v>
      </c>
      <c r="AF175" s="194">
        <f t="shared" si="101"/>
        <v>0</v>
      </c>
      <c r="AG175" s="194">
        <f t="shared" si="102"/>
        <v>0</v>
      </c>
      <c r="AH175" s="194">
        <f t="shared" si="103"/>
        <v>0</v>
      </c>
      <c r="AI175" s="199">
        <f t="shared" si="104"/>
        <v>0</v>
      </c>
      <c r="AK175" s="71">
        <v>170</v>
      </c>
      <c r="AL175" s="33">
        <f t="shared" si="88"/>
        <v>0</v>
      </c>
      <c r="AM175" s="33">
        <f t="shared" si="89"/>
        <v>0</v>
      </c>
      <c r="AN175" s="33">
        <f t="shared" si="90"/>
        <v>0</v>
      </c>
      <c r="AO175" s="33">
        <f t="shared" si="91"/>
        <v>0</v>
      </c>
      <c r="AP175" s="33">
        <f t="shared" si="92"/>
        <v>0</v>
      </c>
      <c r="AQ175" s="194">
        <f t="shared" si="105"/>
        <v>0</v>
      </c>
      <c r="AR175" s="194">
        <f t="shared" si="106"/>
        <v>0</v>
      </c>
      <c r="AS175" s="194">
        <f t="shared" si="107"/>
        <v>0</v>
      </c>
      <c r="AT175" s="194">
        <f t="shared" si="108"/>
        <v>0</v>
      </c>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95"/>
        <v>0</v>
      </c>
      <c r="K176" s="33">
        <f t="shared" si="96"/>
        <v>0</v>
      </c>
      <c r="L176" s="33">
        <f t="shared" si="97"/>
        <v>0</v>
      </c>
      <c r="M176" s="33">
        <f t="shared" si="98"/>
        <v>0</v>
      </c>
      <c r="N176" s="33">
        <f t="shared" si="78"/>
        <v>0</v>
      </c>
      <c r="O176" s="34">
        <f t="shared" si="79"/>
        <v>0</v>
      </c>
      <c r="P176" s="55">
        <v>171</v>
      </c>
      <c r="Q176" s="33">
        <f t="shared" si="93"/>
        <v>0</v>
      </c>
      <c r="R176" s="33">
        <f t="shared" si="99"/>
        <v>0</v>
      </c>
      <c r="S176" s="33">
        <f t="shared" si="100"/>
        <v>0</v>
      </c>
      <c r="T176" s="33">
        <f t="shared" si="80"/>
        <v>0</v>
      </c>
      <c r="U176" s="33">
        <f t="shared" si="94"/>
        <v>0</v>
      </c>
      <c r="V176" s="33">
        <f t="shared" si="81"/>
        <v>0</v>
      </c>
      <c r="W176" s="33">
        <v>0</v>
      </c>
      <c r="X176" s="33">
        <f t="shared" si="82"/>
        <v>0</v>
      </c>
      <c r="Y176" s="38">
        <f t="shared" si="83"/>
        <v>0</v>
      </c>
      <c r="AA176" s="71">
        <v>171</v>
      </c>
      <c r="AB176" s="33">
        <f t="shared" si="84"/>
        <v>0</v>
      </c>
      <c r="AC176" s="305">
        <f t="shared" si="85"/>
        <v>0</v>
      </c>
      <c r="AD176" s="100">
        <f t="shared" si="86"/>
        <v>0</v>
      </c>
      <c r="AE176" s="100">
        <f t="shared" si="87"/>
        <v>0</v>
      </c>
      <c r="AF176" s="194">
        <f t="shared" si="101"/>
        <v>0</v>
      </c>
      <c r="AG176" s="194">
        <f t="shared" si="102"/>
        <v>0</v>
      </c>
      <c r="AH176" s="194">
        <f t="shared" si="103"/>
        <v>0</v>
      </c>
      <c r="AI176" s="199">
        <f t="shared" si="104"/>
        <v>0</v>
      </c>
      <c r="AK176" s="71">
        <v>171</v>
      </c>
      <c r="AL176" s="33">
        <f t="shared" si="88"/>
        <v>0</v>
      </c>
      <c r="AM176" s="33">
        <f t="shared" si="89"/>
        <v>0</v>
      </c>
      <c r="AN176" s="33">
        <f t="shared" si="90"/>
        <v>0</v>
      </c>
      <c r="AO176" s="33">
        <f t="shared" si="91"/>
        <v>0</v>
      </c>
      <c r="AP176" s="33">
        <f t="shared" si="92"/>
        <v>0</v>
      </c>
      <c r="AQ176" s="194">
        <f t="shared" si="105"/>
        <v>0</v>
      </c>
      <c r="AR176" s="194">
        <f t="shared" si="106"/>
        <v>0</v>
      </c>
      <c r="AS176" s="194">
        <f t="shared" si="107"/>
        <v>0</v>
      </c>
      <c r="AT176" s="194">
        <f t="shared" si="108"/>
        <v>0</v>
      </c>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95"/>
        <v>0</v>
      </c>
      <c r="K177" s="33">
        <f t="shared" si="96"/>
        <v>0</v>
      </c>
      <c r="L177" s="33">
        <f t="shared" si="97"/>
        <v>0</v>
      </c>
      <c r="M177" s="33">
        <f t="shared" si="98"/>
        <v>0</v>
      </c>
      <c r="N177" s="33">
        <f t="shared" si="78"/>
        <v>0</v>
      </c>
      <c r="O177" s="34">
        <f t="shared" si="79"/>
        <v>0</v>
      </c>
      <c r="P177" s="55">
        <v>172</v>
      </c>
      <c r="Q177" s="33">
        <f t="shared" si="93"/>
        <v>0</v>
      </c>
      <c r="R177" s="33">
        <f t="shared" si="99"/>
        <v>0</v>
      </c>
      <c r="S177" s="33">
        <f t="shared" si="100"/>
        <v>0</v>
      </c>
      <c r="T177" s="33">
        <f t="shared" si="80"/>
        <v>0</v>
      </c>
      <c r="U177" s="33">
        <f t="shared" si="94"/>
        <v>0</v>
      </c>
      <c r="V177" s="33">
        <f t="shared" si="81"/>
        <v>0</v>
      </c>
      <c r="W177" s="33">
        <v>0</v>
      </c>
      <c r="X177" s="33">
        <f t="shared" si="82"/>
        <v>0</v>
      </c>
      <c r="Y177" s="38">
        <f t="shared" si="83"/>
        <v>0</v>
      </c>
      <c r="AA177" s="71">
        <v>172</v>
      </c>
      <c r="AB177" s="33">
        <f t="shared" si="84"/>
        <v>0</v>
      </c>
      <c r="AC177" s="305">
        <f t="shared" si="85"/>
        <v>0</v>
      </c>
      <c r="AD177" s="100">
        <f t="shared" si="86"/>
        <v>0</v>
      </c>
      <c r="AE177" s="100">
        <f t="shared" si="87"/>
        <v>0</v>
      </c>
      <c r="AF177" s="194">
        <f t="shared" si="101"/>
        <v>0</v>
      </c>
      <c r="AG177" s="194">
        <f t="shared" si="102"/>
        <v>0</v>
      </c>
      <c r="AH177" s="194">
        <f t="shared" si="103"/>
        <v>0</v>
      </c>
      <c r="AI177" s="199">
        <f t="shared" si="104"/>
        <v>0</v>
      </c>
      <c r="AK177" s="71">
        <v>172</v>
      </c>
      <c r="AL177" s="33">
        <f t="shared" si="88"/>
        <v>0</v>
      </c>
      <c r="AM177" s="33">
        <f t="shared" si="89"/>
        <v>0</v>
      </c>
      <c r="AN177" s="33">
        <f t="shared" si="90"/>
        <v>0</v>
      </c>
      <c r="AO177" s="33">
        <f t="shared" si="91"/>
        <v>0</v>
      </c>
      <c r="AP177" s="33">
        <f t="shared" si="92"/>
        <v>0</v>
      </c>
      <c r="AQ177" s="194">
        <f t="shared" si="105"/>
        <v>0</v>
      </c>
      <c r="AR177" s="194">
        <f t="shared" si="106"/>
        <v>0</v>
      </c>
      <c r="AS177" s="194">
        <f t="shared" si="107"/>
        <v>0</v>
      </c>
      <c r="AT177" s="194">
        <f t="shared" si="108"/>
        <v>0</v>
      </c>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95"/>
        <v>0</v>
      </c>
      <c r="K178" s="33">
        <f t="shared" si="96"/>
        <v>0</v>
      </c>
      <c r="L178" s="33">
        <f t="shared" si="97"/>
        <v>0</v>
      </c>
      <c r="M178" s="33">
        <f t="shared" si="98"/>
        <v>0</v>
      </c>
      <c r="N178" s="33">
        <f t="shared" si="78"/>
        <v>0</v>
      </c>
      <c r="O178" s="34">
        <f t="shared" si="79"/>
        <v>0</v>
      </c>
      <c r="P178" s="55">
        <v>173</v>
      </c>
      <c r="Q178" s="33">
        <f t="shared" si="93"/>
        <v>0</v>
      </c>
      <c r="R178" s="33">
        <f t="shared" si="99"/>
        <v>0</v>
      </c>
      <c r="S178" s="33">
        <f t="shared" si="100"/>
        <v>0</v>
      </c>
      <c r="T178" s="33">
        <f t="shared" si="80"/>
        <v>0</v>
      </c>
      <c r="U178" s="33">
        <f t="shared" si="94"/>
        <v>0</v>
      </c>
      <c r="V178" s="33">
        <f t="shared" si="81"/>
        <v>0</v>
      </c>
      <c r="W178" s="33">
        <v>0</v>
      </c>
      <c r="X178" s="33">
        <f t="shared" si="82"/>
        <v>0</v>
      </c>
      <c r="Y178" s="38">
        <f t="shared" si="83"/>
        <v>0</v>
      </c>
      <c r="AA178" s="71">
        <v>173</v>
      </c>
      <c r="AB178" s="33">
        <f t="shared" si="84"/>
        <v>0</v>
      </c>
      <c r="AC178" s="305">
        <f t="shared" si="85"/>
        <v>0</v>
      </c>
      <c r="AD178" s="100">
        <f t="shared" si="86"/>
        <v>0</v>
      </c>
      <c r="AE178" s="100">
        <f t="shared" si="87"/>
        <v>0</v>
      </c>
      <c r="AF178" s="194">
        <f t="shared" si="101"/>
        <v>0</v>
      </c>
      <c r="AG178" s="194">
        <f t="shared" si="102"/>
        <v>0</v>
      </c>
      <c r="AH178" s="194">
        <f t="shared" si="103"/>
        <v>0</v>
      </c>
      <c r="AI178" s="199">
        <f t="shared" si="104"/>
        <v>0</v>
      </c>
      <c r="AK178" s="71">
        <v>173</v>
      </c>
      <c r="AL178" s="33">
        <f t="shared" si="88"/>
        <v>0</v>
      </c>
      <c r="AM178" s="33">
        <f t="shared" si="89"/>
        <v>0</v>
      </c>
      <c r="AN178" s="33">
        <f t="shared" si="90"/>
        <v>0</v>
      </c>
      <c r="AO178" s="33">
        <f t="shared" si="91"/>
        <v>0</v>
      </c>
      <c r="AP178" s="33">
        <f t="shared" si="92"/>
        <v>0</v>
      </c>
      <c r="AQ178" s="194">
        <f t="shared" si="105"/>
        <v>0</v>
      </c>
      <c r="AR178" s="194">
        <f t="shared" si="106"/>
        <v>0</v>
      </c>
      <c r="AS178" s="194">
        <f t="shared" si="107"/>
        <v>0</v>
      </c>
      <c r="AT178" s="194">
        <f t="shared" si="108"/>
        <v>0</v>
      </c>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95"/>
        <v>0</v>
      </c>
      <c r="K179" s="33">
        <f t="shared" si="96"/>
        <v>0</v>
      </c>
      <c r="L179" s="33">
        <f t="shared" si="97"/>
        <v>0</v>
      </c>
      <c r="M179" s="33">
        <f t="shared" si="98"/>
        <v>0</v>
      </c>
      <c r="N179" s="33">
        <f t="shared" si="78"/>
        <v>0</v>
      </c>
      <c r="O179" s="34">
        <f t="shared" si="79"/>
        <v>0</v>
      </c>
      <c r="P179" s="55">
        <v>174</v>
      </c>
      <c r="Q179" s="33">
        <f t="shared" si="93"/>
        <v>0</v>
      </c>
      <c r="R179" s="33">
        <f t="shared" si="99"/>
        <v>0</v>
      </c>
      <c r="S179" s="33">
        <f t="shared" si="100"/>
        <v>0</v>
      </c>
      <c r="T179" s="33">
        <f t="shared" si="80"/>
        <v>0</v>
      </c>
      <c r="U179" s="33">
        <f t="shared" si="94"/>
        <v>0</v>
      </c>
      <c r="V179" s="33">
        <f t="shared" si="81"/>
        <v>0</v>
      </c>
      <c r="W179" s="33">
        <v>0</v>
      </c>
      <c r="X179" s="33">
        <f t="shared" si="82"/>
        <v>0</v>
      </c>
      <c r="Y179" s="38">
        <f t="shared" si="83"/>
        <v>0</v>
      </c>
      <c r="AA179" s="71">
        <v>174</v>
      </c>
      <c r="AB179" s="33">
        <f t="shared" si="84"/>
        <v>0</v>
      </c>
      <c r="AC179" s="305">
        <f t="shared" si="85"/>
        <v>0</v>
      </c>
      <c r="AD179" s="100">
        <f t="shared" si="86"/>
        <v>0</v>
      </c>
      <c r="AE179" s="100">
        <f t="shared" si="87"/>
        <v>0</v>
      </c>
      <c r="AF179" s="194">
        <f t="shared" si="101"/>
        <v>0</v>
      </c>
      <c r="AG179" s="194">
        <f t="shared" si="102"/>
        <v>0</v>
      </c>
      <c r="AH179" s="194">
        <f t="shared" si="103"/>
        <v>0</v>
      </c>
      <c r="AI179" s="199">
        <f t="shared" si="104"/>
        <v>0</v>
      </c>
      <c r="AK179" s="71">
        <v>174</v>
      </c>
      <c r="AL179" s="33">
        <f t="shared" si="88"/>
        <v>0</v>
      </c>
      <c r="AM179" s="33">
        <f t="shared" si="89"/>
        <v>0</v>
      </c>
      <c r="AN179" s="33">
        <f t="shared" si="90"/>
        <v>0</v>
      </c>
      <c r="AO179" s="33">
        <f t="shared" si="91"/>
        <v>0</v>
      </c>
      <c r="AP179" s="33">
        <f t="shared" si="92"/>
        <v>0</v>
      </c>
      <c r="AQ179" s="194">
        <f t="shared" si="105"/>
        <v>0</v>
      </c>
      <c r="AR179" s="194">
        <f t="shared" si="106"/>
        <v>0</v>
      </c>
      <c r="AS179" s="194">
        <f t="shared" si="107"/>
        <v>0</v>
      </c>
      <c r="AT179" s="194">
        <f t="shared" si="108"/>
        <v>0</v>
      </c>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95"/>
        <v>0</v>
      </c>
      <c r="K180" s="33">
        <f t="shared" si="96"/>
        <v>0</v>
      </c>
      <c r="L180" s="33">
        <f t="shared" si="97"/>
        <v>0</v>
      </c>
      <c r="M180" s="33">
        <f t="shared" si="98"/>
        <v>0</v>
      </c>
      <c r="N180" s="33">
        <f t="shared" si="78"/>
        <v>0</v>
      </c>
      <c r="O180" s="34">
        <f t="shared" si="79"/>
        <v>0</v>
      </c>
      <c r="P180" s="55">
        <v>175</v>
      </c>
      <c r="Q180" s="33">
        <f t="shared" si="93"/>
        <v>0</v>
      </c>
      <c r="R180" s="33">
        <f t="shared" si="99"/>
        <v>0</v>
      </c>
      <c r="S180" s="33">
        <f t="shared" si="100"/>
        <v>0</v>
      </c>
      <c r="T180" s="33">
        <f t="shared" si="80"/>
        <v>0</v>
      </c>
      <c r="U180" s="33">
        <f t="shared" si="94"/>
        <v>0</v>
      </c>
      <c r="V180" s="33">
        <f t="shared" si="81"/>
        <v>0</v>
      </c>
      <c r="W180" s="33">
        <v>0</v>
      </c>
      <c r="X180" s="33">
        <f t="shared" si="82"/>
        <v>0</v>
      </c>
      <c r="Y180" s="38">
        <f t="shared" si="83"/>
        <v>0</v>
      </c>
      <c r="AA180" s="71">
        <v>175</v>
      </c>
      <c r="AB180" s="33">
        <f t="shared" si="84"/>
        <v>0</v>
      </c>
      <c r="AC180" s="305">
        <f t="shared" si="85"/>
        <v>0</v>
      </c>
      <c r="AD180" s="100">
        <f t="shared" si="86"/>
        <v>0</v>
      </c>
      <c r="AE180" s="100">
        <f t="shared" si="87"/>
        <v>0</v>
      </c>
      <c r="AF180" s="194">
        <f t="shared" si="101"/>
        <v>0</v>
      </c>
      <c r="AG180" s="194">
        <f t="shared" si="102"/>
        <v>0</v>
      </c>
      <c r="AH180" s="194">
        <f t="shared" si="103"/>
        <v>0</v>
      </c>
      <c r="AI180" s="199">
        <f t="shared" si="104"/>
        <v>0</v>
      </c>
      <c r="AK180" s="71">
        <v>175</v>
      </c>
      <c r="AL180" s="33">
        <f t="shared" si="88"/>
        <v>0</v>
      </c>
      <c r="AM180" s="33">
        <f t="shared" si="89"/>
        <v>0</v>
      </c>
      <c r="AN180" s="33">
        <f t="shared" si="90"/>
        <v>0</v>
      </c>
      <c r="AO180" s="33">
        <f t="shared" si="91"/>
        <v>0</v>
      </c>
      <c r="AP180" s="33">
        <f t="shared" si="92"/>
        <v>0</v>
      </c>
      <c r="AQ180" s="194">
        <f t="shared" si="105"/>
        <v>0</v>
      </c>
      <c r="AR180" s="194">
        <f t="shared" si="106"/>
        <v>0</v>
      </c>
      <c r="AS180" s="194">
        <f t="shared" si="107"/>
        <v>0</v>
      </c>
      <c r="AT180" s="194">
        <f t="shared" si="108"/>
        <v>0</v>
      </c>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95"/>
        <v>0</v>
      </c>
      <c r="K181" s="33">
        <f t="shared" si="96"/>
        <v>0</v>
      </c>
      <c r="L181" s="33">
        <f t="shared" si="97"/>
        <v>0</v>
      </c>
      <c r="M181" s="33">
        <f t="shared" si="98"/>
        <v>0</v>
      </c>
      <c r="N181" s="33">
        <f t="shared" si="78"/>
        <v>0</v>
      </c>
      <c r="O181" s="34">
        <f t="shared" si="79"/>
        <v>0</v>
      </c>
      <c r="P181" s="55">
        <v>176</v>
      </c>
      <c r="Q181" s="33">
        <f t="shared" si="93"/>
        <v>0</v>
      </c>
      <c r="R181" s="33">
        <f t="shared" si="99"/>
        <v>0</v>
      </c>
      <c r="S181" s="33">
        <f t="shared" si="100"/>
        <v>0</v>
      </c>
      <c r="T181" s="33">
        <f t="shared" si="80"/>
        <v>0</v>
      </c>
      <c r="U181" s="33">
        <f t="shared" si="94"/>
        <v>0</v>
      </c>
      <c r="V181" s="33">
        <f t="shared" si="81"/>
        <v>0</v>
      </c>
      <c r="W181" s="33">
        <v>0</v>
      </c>
      <c r="X181" s="33">
        <f t="shared" si="82"/>
        <v>0</v>
      </c>
      <c r="Y181" s="38">
        <f t="shared" si="83"/>
        <v>0</v>
      </c>
      <c r="AA181" s="71">
        <v>176</v>
      </c>
      <c r="AB181" s="33">
        <f t="shared" si="84"/>
        <v>0</v>
      </c>
      <c r="AC181" s="305">
        <f t="shared" si="85"/>
        <v>0</v>
      </c>
      <c r="AD181" s="100">
        <f t="shared" si="86"/>
        <v>0</v>
      </c>
      <c r="AE181" s="100">
        <f t="shared" si="87"/>
        <v>0</v>
      </c>
      <c r="AF181" s="194">
        <f t="shared" si="101"/>
        <v>0</v>
      </c>
      <c r="AG181" s="194">
        <f t="shared" si="102"/>
        <v>0</v>
      </c>
      <c r="AH181" s="194">
        <f t="shared" si="103"/>
        <v>0</v>
      </c>
      <c r="AI181" s="199">
        <f t="shared" si="104"/>
        <v>0</v>
      </c>
      <c r="AK181" s="71">
        <v>176</v>
      </c>
      <c r="AL181" s="33">
        <f t="shared" si="88"/>
        <v>0</v>
      </c>
      <c r="AM181" s="33">
        <f t="shared" si="89"/>
        <v>0</v>
      </c>
      <c r="AN181" s="33">
        <f t="shared" si="90"/>
        <v>0</v>
      </c>
      <c r="AO181" s="33">
        <f t="shared" si="91"/>
        <v>0</v>
      </c>
      <c r="AP181" s="33">
        <f t="shared" si="92"/>
        <v>0</v>
      </c>
      <c r="AQ181" s="194">
        <f t="shared" si="105"/>
        <v>0</v>
      </c>
      <c r="AR181" s="194">
        <f t="shared" si="106"/>
        <v>0</v>
      </c>
      <c r="AS181" s="194">
        <f t="shared" si="107"/>
        <v>0</v>
      </c>
      <c r="AT181" s="194">
        <f t="shared" si="108"/>
        <v>0</v>
      </c>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95"/>
        <v>0</v>
      </c>
      <c r="K182" s="33">
        <f t="shared" si="96"/>
        <v>0</v>
      </c>
      <c r="L182" s="33">
        <f t="shared" si="97"/>
        <v>0</v>
      </c>
      <c r="M182" s="33">
        <f t="shared" si="98"/>
        <v>0</v>
      </c>
      <c r="N182" s="33">
        <f t="shared" si="78"/>
        <v>0</v>
      </c>
      <c r="O182" s="34">
        <f t="shared" si="79"/>
        <v>0</v>
      </c>
      <c r="P182" s="55">
        <v>177</v>
      </c>
      <c r="Q182" s="33">
        <f t="shared" si="93"/>
        <v>0</v>
      </c>
      <c r="R182" s="33">
        <f t="shared" si="99"/>
        <v>0</v>
      </c>
      <c r="S182" s="33">
        <f t="shared" si="100"/>
        <v>0</v>
      </c>
      <c r="T182" s="33">
        <f t="shared" si="80"/>
        <v>0</v>
      </c>
      <c r="U182" s="33">
        <f t="shared" si="94"/>
        <v>0</v>
      </c>
      <c r="V182" s="33">
        <f t="shared" si="81"/>
        <v>0</v>
      </c>
      <c r="W182" s="33">
        <v>0</v>
      </c>
      <c r="X182" s="33">
        <f t="shared" si="82"/>
        <v>0</v>
      </c>
      <c r="Y182" s="38">
        <f t="shared" si="83"/>
        <v>0</v>
      </c>
      <c r="AA182" s="71">
        <v>177</v>
      </c>
      <c r="AB182" s="33">
        <f t="shared" si="84"/>
        <v>0</v>
      </c>
      <c r="AC182" s="305">
        <f t="shared" si="85"/>
        <v>0</v>
      </c>
      <c r="AD182" s="100">
        <f t="shared" si="86"/>
        <v>0</v>
      </c>
      <c r="AE182" s="100">
        <f t="shared" si="87"/>
        <v>0</v>
      </c>
      <c r="AF182" s="194">
        <f t="shared" si="101"/>
        <v>0</v>
      </c>
      <c r="AG182" s="194">
        <f t="shared" si="102"/>
        <v>0</v>
      </c>
      <c r="AH182" s="194">
        <f t="shared" si="103"/>
        <v>0</v>
      </c>
      <c r="AI182" s="199">
        <f t="shared" si="104"/>
        <v>0</v>
      </c>
      <c r="AK182" s="71">
        <v>177</v>
      </c>
      <c r="AL182" s="33">
        <f t="shared" si="88"/>
        <v>0</v>
      </c>
      <c r="AM182" s="33">
        <f t="shared" si="89"/>
        <v>0</v>
      </c>
      <c r="AN182" s="33">
        <f t="shared" si="90"/>
        <v>0</v>
      </c>
      <c r="AO182" s="33">
        <f t="shared" si="91"/>
        <v>0</v>
      </c>
      <c r="AP182" s="33">
        <f t="shared" si="92"/>
        <v>0</v>
      </c>
      <c r="AQ182" s="194">
        <f t="shared" si="105"/>
        <v>0</v>
      </c>
      <c r="AR182" s="194">
        <f t="shared" si="106"/>
        <v>0</v>
      </c>
      <c r="AS182" s="194">
        <f t="shared" si="107"/>
        <v>0</v>
      </c>
      <c r="AT182" s="194">
        <f t="shared" si="108"/>
        <v>0</v>
      </c>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95"/>
        <v>0</v>
      </c>
      <c r="K183" s="33">
        <f t="shared" si="96"/>
        <v>0</v>
      </c>
      <c r="L183" s="33">
        <f t="shared" si="97"/>
        <v>0</v>
      </c>
      <c r="M183" s="33">
        <f t="shared" si="98"/>
        <v>0</v>
      </c>
      <c r="N183" s="33">
        <f t="shared" si="78"/>
        <v>0</v>
      </c>
      <c r="O183" s="34">
        <f t="shared" si="79"/>
        <v>0</v>
      </c>
      <c r="P183" s="55">
        <v>178</v>
      </c>
      <c r="Q183" s="33">
        <f t="shared" si="93"/>
        <v>0</v>
      </c>
      <c r="R183" s="33">
        <f t="shared" si="99"/>
        <v>0</v>
      </c>
      <c r="S183" s="33">
        <f t="shared" si="100"/>
        <v>0</v>
      </c>
      <c r="T183" s="33">
        <f t="shared" si="80"/>
        <v>0</v>
      </c>
      <c r="U183" s="33">
        <f t="shared" si="94"/>
        <v>0</v>
      </c>
      <c r="V183" s="33">
        <f t="shared" si="81"/>
        <v>0</v>
      </c>
      <c r="W183" s="33">
        <v>0</v>
      </c>
      <c r="X183" s="33">
        <f t="shared" si="82"/>
        <v>0</v>
      </c>
      <c r="Y183" s="38">
        <f t="shared" si="83"/>
        <v>0</v>
      </c>
      <c r="AA183" s="71">
        <v>178</v>
      </c>
      <c r="AB183" s="33">
        <f t="shared" si="84"/>
        <v>0</v>
      </c>
      <c r="AC183" s="305">
        <f t="shared" si="85"/>
        <v>0</v>
      </c>
      <c r="AD183" s="100">
        <f t="shared" si="86"/>
        <v>0</v>
      </c>
      <c r="AE183" s="100">
        <f t="shared" si="87"/>
        <v>0</v>
      </c>
      <c r="AF183" s="194">
        <f t="shared" si="101"/>
        <v>0</v>
      </c>
      <c r="AG183" s="194">
        <f t="shared" si="102"/>
        <v>0</v>
      </c>
      <c r="AH183" s="194">
        <f t="shared" si="103"/>
        <v>0</v>
      </c>
      <c r="AI183" s="199">
        <f t="shared" si="104"/>
        <v>0</v>
      </c>
      <c r="AK183" s="71">
        <v>178</v>
      </c>
      <c r="AL183" s="33">
        <f t="shared" si="88"/>
        <v>0</v>
      </c>
      <c r="AM183" s="33">
        <f t="shared" si="89"/>
        <v>0</v>
      </c>
      <c r="AN183" s="33">
        <f t="shared" si="90"/>
        <v>0</v>
      </c>
      <c r="AO183" s="33">
        <f t="shared" si="91"/>
        <v>0</v>
      </c>
      <c r="AP183" s="33">
        <f t="shared" si="92"/>
        <v>0</v>
      </c>
      <c r="AQ183" s="194">
        <f t="shared" si="105"/>
        <v>0</v>
      </c>
      <c r="AR183" s="194">
        <f t="shared" si="106"/>
        <v>0</v>
      </c>
      <c r="AS183" s="194">
        <f t="shared" si="107"/>
        <v>0</v>
      </c>
      <c r="AT183" s="194">
        <f t="shared" si="108"/>
        <v>0</v>
      </c>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95"/>
        <v>0</v>
      </c>
      <c r="K184" s="33">
        <f t="shared" si="96"/>
        <v>0</v>
      </c>
      <c r="L184" s="33">
        <f t="shared" si="97"/>
        <v>0</v>
      </c>
      <c r="M184" s="33">
        <f t="shared" si="98"/>
        <v>0</v>
      </c>
      <c r="N184" s="33">
        <f t="shared" si="78"/>
        <v>0</v>
      </c>
      <c r="O184" s="34">
        <f t="shared" si="79"/>
        <v>0</v>
      </c>
      <c r="P184" s="55">
        <v>179</v>
      </c>
      <c r="Q184" s="33">
        <f t="shared" si="93"/>
        <v>0</v>
      </c>
      <c r="R184" s="33">
        <f t="shared" si="99"/>
        <v>0</v>
      </c>
      <c r="S184" s="33">
        <f t="shared" si="100"/>
        <v>0</v>
      </c>
      <c r="T184" s="33">
        <f t="shared" si="80"/>
        <v>0</v>
      </c>
      <c r="U184" s="33">
        <f t="shared" si="94"/>
        <v>0</v>
      </c>
      <c r="V184" s="33">
        <f t="shared" si="81"/>
        <v>0</v>
      </c>
      <c r="W184" s="33">
        <v>0</v>
      </c>
      <c r="X184" s="33">
        <f t="shared" si="82"/>
        <v>0</v>
      </c>
      <c r="Y184" s="38">
        <f t="shared" si="83"/>
        <v>0</v>
      </c>
      <c r="AA184" s="71">
        <v>179</v>
      </c>
      <c r="AB184" s="33">
        <f t="shared" si="84"/>
        <v>0</v>
      </c>
      <c r="AC184" s="305">
        <f t="shared" si="85"/>
        <v>0</v>
      </c>
      <c r="AD184" s="100">
        <f t="shared" si="86"/>
        <v>0</v>
      </c>
      <c r="AE184" s="100">
        <f t="shared" si="87"/>
        <v>0</v>
      </c>
      <c r="AF184" s="194">
        <f t="shared" si="101"/>
        <v>0</v>
      </c>
      <c r="AG184" s="194">
        <f t="shared" si="102"/>
        <v>0</v>
      </c>
      <c r="AH184" s="194">
        <f t="shared" si="103"/>
        <v>0</v>
      </c>
      <c r="AI184" s="199">
        <f t="shared" si="104"/>
        <v>0</v>
      </c>
      <c r="AK184" s="71">
        <v>179</v>
      </c>
      <c r="AL184" s="33">
        <f t="shared" si="88"/>
        <v>0</v>
      </c>
      <c r="AM184" s="33">
        <f t="shared" si="89"/>
        <v>0</v>
      </c>
      <c r="AN184" s="33">
        <f t="shared" si="90"/>
        <v>0</v>
      </c>
      <c r="AO184" s="33">
        <f t="shared" si="91"/>
        <v>0</v>
      </c>
      <c r="AP184" s="33">
        <f t="shared" si="92"/>
        <v>0</v>
      </c>
      <c r="AQ184" s="194">
        <f t="shared" si="105"/>
        <v>0</v>
      </c>
      <c r="AR184" s="194">
        <f t="shared" si="106"/>
        <v>0</v>
      </c>
      <c r="AS184" s="194">
        <f t="shared" si="107"/>
        <v>0</v>
      </c>
      <c r="AT184" s="194">
        <f t="shared" si="108"/>
        <v>0</v>
      </c>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95"/>
        <v>0</v>
      </c>
      <c r="K185" s="33">
        <f t="shared" si="96"/>
        <v>0</v>
      </c>
      <c r="L185" s="33">
        <f t="shared" si="97"/>
        <v>0</v>
      </c>
      <c r="M185" s="33">
        <f t="shared" si="98"/>
        <v>0</v>
      </c>
      <c r="N185" s="33">
        <f t="shared" si="78"/>
        <v>0</v>
      </c>
      <c r="O185" s="34">
        <f t="shared" si="79"/>
        <v>0</v>
      </c>
      <c r="P185" s="55">
        <v>180</v>
      </c>
      <c r="Q185" s="33">
        <f t="shared" si="93"/>
        <v>0</v>
      </c>
      <c r="R185" s="33">
        <f t="shared" si="99"/>
        <v>0</v>
      </c>
      <c r="S185" s="33">
        <f t="shared" si="100"/>
        <v>0</v>
      </c>
      <c r="T185" s="33">
        <f t="shared" si="80"/>
        <v>0</v>
      </c>
      <c r="U185" s="33">
        <f t="shared" si="94"/>
        <v>0</v>
      </c>
      <c r="V185" s="33">
        <f t="shared" si="81"/>
        <v>0</v>
      </c>
      <c r="W185" s="33">
        <v>0</v>
      </c>
      <c r="X185" s="33">
        <f t="shared" si="82"/>
        <v>0</v>
      </c>
      <c r="Y185" s="38">
        <f t="shared" si="83"/>
        <v>0</v>
      </c>
      <c r="AA185" s="71">
        <v>180</v>
      </c>
      <c r="AB185" s="33">
        <f t="shared" si="84"/>
        <v>0</v>
      </c>
      <c r="AC185" s="305">
        <f t="shared" si="85"/>
        <v>0</v>
      </c>
      <c r="AD185" s="100">
        <f t="shared" si="86"/>
        <v>0</v>
      </c>
      <c r="AE185" s="100">
        <f t="shared" si="87"/>
        <v>0</v>
      </c>
      <c r="AF185" s="194">
        <f t="shared" si="101"/>
        <v>0</v>
      </c>
      <c r="AG185" s="194">
        <f t="shared" si="102"/>
        <v>0</v>
      </c>
      <c r="AH185" s="194">
        <f t="shared" si="103"/>
        <v>0</v>
      </c>
      <c r="AI185" s="199">
        <f t="shared" si="104"/>
        <v>0</v>
      </c>
      <c r="AK185" s="71">
        <v>180</v>
      </c>
      <c r="AL185" s="33">
        <f t="shared" si="88"/>
        <v>0</v>
      </c>
      <c r="AM185" s="33">
        <f t="shared" si="89"/>
        <v>0</v>
      </c>
      <c r="AN185" s="33">
        <f t="shared" si="90"/>
        <v>0</v>
      </c>
      <c r="AO185" s="33">
        <f t="shared" si="91"/>
        <v>0</v>
      </c>
      <c r="AP185" s="33">
        <f t="shared" si="92"/>
        <v>0</v>
      </c>
      <c r="AQ185" s="194">
        <f t="shared" si="105"/>
        <v>0</v>
      </c>
      <c r="AR185" s="194">
        <f t="shared" si="106"/>
        <v>0</v>
      </c>
      <c r="AS185" s="194">
        <f t="shared" si="107"/>
        <v>0</v>
      </c>
      <c r="AT185" s="194">
        <f t="shared" si="108"/>
        <v>0</v>
      </c>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95"/>
        <v>0</v>
      </c>
      <c r="K186" s="33">
        <f t="shared" si="96"/>
        <v>0</v>
      </c>
      <c r="L186" s="33">
        <f t="shared" si="97"/>
        <v>0</v>
      </c>
      <c r="M186" s="33">
        <f t="shared" si="98"/>
        <v>0</v>
      </c>
      <c r="N186" s="33">
        <f t="shared" si="78"/>
        <v>0</v>
      </c>
      <c r="O186" s="34">
        <f t="shared" si="79"/>
        <v>0</v>
      </c>
      <c r="P186" s="55">
        <v>181</v>
      </c>
      <c r="Q186" s="33">
        <f t="shared" si="93"/>
        <v>0</v>
      </c>
      <c r="R186" s="33">
        <f t="shared" si="99"/>
        <v>0</v>
      </c>
      <c r="S186" s="33">
        <f t="shared" si="100"/>
        <v>0</v>
      </c>
      <c r="T186" s="33">
        <f t="shared" si="80"/>
        <v>0</v>
      </c>
      <c r="U186" s="33">
        <f t="shared" si="94"/>
        <v>0</v>
      </c>
      <c r="V186" s="33">
        <f t="shared" si="81"/>
        <v>0</v>
      </c>
      <c r="W186" s="33">
        <v>0</v>
      </c>
      <c r="X186" s="33">
        <f t="shared" si="82"/>
        <v>0</v>
      </c>
      <c r="Y186" s="38">
        <f t="shared" si="83"/>
        <v>0</v>
      </c>
      <c r="AA186" s="71">
        <v>181</v>
      </c>
      <c r="AB186" s="33">
        <f t="shared" si="84"/>
        <v>0</v>
      </c>
      <c r="AC186" s="305">
        <f t="shared" si="85"/>
        <v>0</v>
      </c>
      <c r="AD186" s="100">
        <f t="shared" si="86"/>
        <v>0</v>
      </c>
      <c r="AE186" s="100">
        <f t="shared" si="87"/>
        <v>0</v>
      </c>
      <c r="AF186" s="194">
        <f t="shared" si="101"/>
        <v>0</v>
      </c>
      <c r="AG186" s="194">
        <f t="shared" si="102"/>
        <v>0</v>
      </c>
      <c r="AH186" s="194">
        <f t="shared" si="103"/>
        <v>0</v>
      </c>
      <c r="AI186" s="199">
        <f t="shared" si="104"/>
        <v>0</v>
      </c>
      <c r="AK186" s="71">
        <v>181</v>
      </c>
      <c r="AL186" s="33">
        <f t="shared" si="88"/>
        <v>0</v>
      </c>
      <c r="AM186" s="33">
        <f t="shared" si="89"/>
        <v>0</v>
      </c>
      <c r="AN186" s="33">
        <f t="shared" si="90"/>
        <v>0</v>
      </c>
      <c r="AO186" s="33">
        <f t="shared" si="91"/>
        <v>0</v>
      </c>
      <c r="AP186" s="33">
        <f t="shared" si="92"/>
        <v>0</v>
      </c>
      <c r="AQ186" s="194">
        <f t="shared" si="105"/>
        <v>0</v>
      </c>
      <c r="AR186" s="194">
        <f t="shared" si="106"/>
        <v>0</v>
      </c>
      <c r="AS186" s="194">
        <f t="shared" si="107"/>
        <v>0</v>
      </c>
      <c r="AT186" s="194">
        <f t="shared" si="108"/>
        <v>0</v>
      </c>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95"/>
        <v>0</v>
      </c>
      <c r="K187" s="33">
        <f t="shared" si="96"/>
        <v>0</v>
      </c>
      <c r="L187" s="33">
        <f t="shared" si="97"/>
        <v>0</v>
      </c>
      <c r="M187" s="33">
        <f t="shared" si="98"/>
        <v>0</v>
      </c>
      <c r="N187" s="33">
        <f t="shared" si="78"/>
        <v>0</v>
      </c>
      <c r="O187" s="34">
        <f t="shared" si="79"/>
        <v>0</v>
      </c>
      <c r="P187" s="55">
        <v>182</v>
      </c>
      <c r="Q187" s="33">
        <f t="shared" si="93"/>
        <v>0</v>
      </c>
      <c r="R187" s="33">
        <f t="shared" si="99"/>
        <v>0</v>
      </c>
      <c r="S187" s="33">
        <f t="shared" si="100"/>
        <v>0</v>
      </c>
      <c r="T187" s="33">
        <f t="shared" si="80"/>
        <v>0</v>
      </c>
      <c r="U187" s="33">
        <f t="shared" si="94"/>
        <v>0</v>
      </c>
      <c r="V187" s="33">
        <f t="shared" si="81"/>
        <v>0</v>
      </c>
      <c r="W187" s="33">
        <v>0</v>
      </c>
      <c r="X187" s="33">
        <f t="shared" si="82"/>
        <v>0</v>
      </c>
      <c r="Y187" s="38">
        <f t="shared" si="83"/>
        <v>0</v>
      </c>
      <c r="AA187" s="71">
        <v>182</v>
      </c>
      <c r="AB187" s="33">
        <f t="shared" si="84"/>
        <v>0</v>
      </c>
      <c r="AC187" s="305">
        <f t="shared" si="85"/>
        <v>0</v>
      </c>
      <c r="AD187" s="100">
        <f t="shared" si="86"/>
        <v>0</v>
      </c>
      <c r="AE187" s="100">
        <f t="shared" si="87"/>
        <v>0</v>
      </c>
      <c r="AF187" s="194">
        <f t="shared" si="101"/>
        <v>0</v>
      </c>
      <c r="AG187" s="194">
        <f t="shared" si="102"/>
        <v>0</v>
      </c>
      <c r="AH187" s="194">
        <f t="shared" si="103"/>
        <v>0</v>
      </c>
      <c r="AI187" s="199">
        <f t="shared" si="104"/>
        <v>0</v>
      </c>
      <c r="AK187" s="71">
        <v>182</v>
      </c>
      <c r="AL187" s="33">
        <f t="shared" si="88"/>
        <v>0</v>
      </c>
      <c r="AM187" s="33">
        <f t="shared" si="89"/>
        <v>0</v>
      </c>
      <c r="AN187" s="33">
        <f t="shared" si="90"/>
        <v>0</v>
      </c>
      <c r="AO187" s="33">
        <f t="shared" si="91"/>
        <v>0</v>
      </c>
      <c r="AP187" s="33">
        <f t="shared" si="92"/>
        <v>0</v>
      </c>
      <c r="AQ187" s="194">
        <f t="shared" si="105"/>
        <v>0</v>
      </c>
      <c r="AR187" s="194">
        <f t="shared" si="106"/>
        <v>0</v>
      </c>
      <c r="AS187" s="194">
        <f t="shared" si="107"/>
        <v>0</v>
      </c>
      <c r="AT187" s="194">
        <f t="shared" si="108"/>
        <v>0</v>
      </c>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95"/>
        <v>0</v>
      </c>
      <c r="K188" s="33">
        <f t="shared" si="96"/>
        <v>0</v>
      </c>
      <c r="L188" s="33">
        <f t="shared" si="97"/>
        <v>0</v>
      </c>
      <c r="M188" s="33">
        <f t="shared" si="98"/>
        <v>0</v>
      </c>
      <c r="N188" s="33">
        <f t="shared" si="78"/>
        <v>0</v>
      </c>
      <c r="O188" s="34">
        <f t="shared" si="79"/>
        <v>0</v>
      </c>
      <c r="P188" s="55">
        <v>183</v>
      </c>
      <c r="Q188" s="33">
        <f t="shared" si="93"/>
        <v>0</v>
      </c>
      <c r="R188" s="33">
        <f t="shared" si="99"/>
        <v>0</v>
      </c>
      <c r="S188" s="33">
        <f t="shared" si="100"/>
        <v>0</v>
      </c>
      <c r="T188" s="33">
        <f t="shared" si="80"/>
        <v>0</v>
      </c>
      <c r="U188" s="33">
        <f t="shared" si="94"/>
        <v>0</v>
      </c>
      <c r="V188" s="33">
        <f t="shared" si="81"/>
        <v>0</v>
      </c>
      <c r="W188" s="33">
        <v>0</v>
      </c>
      <c r="X188" s="33">
        <f t="shared" si="82"/>
        <v>0</v>
      </c>
      <c r="Y188" s="38">
        <f t="shared" si="83"/>
        <v>0</v>
      </c>
      <c r="AA188" s="71">
        <v>183</v>
      </c>
      <c r="AB188" s="33">
        <f t="shared" si="84"/>
        <v>0</v>
      </c>
      <c r="AC188" s="305">
        <f t="shared" si="85"/>
        <v>0</v>
      </c>
      <c r="AD188" s="100">
        <f t="shared" si="86"/>
        <v>0</v>
      </c>
      <c r="AE188" s="100">
        <f t="shared" si="87"/>
        <v>0</v>
      </c>
      <c r="AF188" s="194">
        <f t="shared" si="101"/>
        <v>0</v>
      </c>
      <c r="AG188" s="194">
        <f t="shared" si="102"/>
        <v>0</v>
      </c>
      <c r="AH188" s="194">
        <f t="shared" si="103"/>
        <v>0</v>
      </c>
      <c r="AI188" s="199">
        <f t="shared" si="104"/>
        <v>0</v>
      </c>
      <c r="AK188" s="71">
        <v>183</v>
      </c>
      <c r="AL188" s="33">
        <f t="shared" si="88"/>
        <v>0</v>
      </c>
      <c r="AM188" s="33">
        <f t="shared" si="89"/>
        <v>0</v>
      </c>
      <c r="AN188" s="33">
        <f t="shared" si="90"/>
        <v>0</v>
      </c>
      <c r="AO188" s="33">
        <f t="shared" si="91"/>
        <v>0</v>
      </c>
      <c r="AP188" s="33">
        <f t="shared" si="92"/>
        <v>0</v>
      </c>
      <c r="AQ188" s="194">
        <f t="shared" si="105"/>
        <v>0</v>
      </c>
      <c r="AR188" s="194">
        <f t="shared" si="106"/>
        <v>0</v>
      </c>
      <c r="AS188" s="194">
        <f t="shared" si="107"/>
        <v>0</v>
      </c>
      <c r="AT188" s="194">
        <f t="shared" si="108"/>
        <v>0</v>
      </c>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95"/>
        <v>0</v>
      </c>
      <c r="K189" s="33">
        <f t="shared" si="96"/>
        <v>0</v>
      </c>
      <c r="L189" s="33">
        <f t="shared" si="97"/>
        <v>0</v>
      </c>
      <c r="M189" s="33">
        <f t="shared" si="98"/>
        <v>0</v>
      </c>
      <c r="N189" s="33">
        <f t="shared" si="78"/>
        <v>0</v>
      </c>
      <c r="O189" s="34">
        <f t="shared" si="79"/>
        <v>0</v>
      </c>
      <c r="P189" s="55">
        <v>184</v>
      </c>
      <c r="Q189" s="33">
        <f t="shared" si="93"/>
        <v>0</v>
      </c>
      <c r="R189" s="33">
        <f t="shared" si="99"/>
        <v>0</v>
      </c>
      <c r="S189" s="33">
        <f t="shared" si="100"/>
        <v>0</v>
      </c>
      <c r="T189" s="33">
        <f t="shared" si="80"/>
        <v>0</v>
      </c>
      <c r="U189" s="33">
        <f t="shared" si="94"/>
        <v>0</v>
      </c>
      <c r="V189" s="33">
        <f t="shared" si="81"/>
        <v>0</v>
      </c>
      <c r="W189" s="33">
        <v>0</v>
      </c>
      <c r="X189" s="33">
        <f t="shared" si="82"/>
        <v>0</v>
      </c>
      <c r="Y189" s="38">
        <f t="shared" si="83"/>
        <v>0</v>
      </c>
      <c r="AA189" s="71">
        <v>184</v>
      </c>
      <c r="AB189" s="33">
        <f t="shared" si="84"/>
        <v>0</v>
      </c>
      <c r="AC189" s="305">
        <f t="shared" si="85"/>
        <v>0</v>
      </c>
      <c r="AD189" s="100">
        <f t="shared" si="86"/>
        <v>0</v>
      </c>
      <c r="AE189" s="100">
        <f t="shared" si="87"/>
        <v>0</v>
      </c>
      <c r="AF189" s="194">
        <f t="shared" si="101"/>
        <v>0</v>
      </c>
      <c r="AG189" s="194">
        <f t="shared" si="102"/>
        <v>0</v>
      </c>
      <c r="AH189" s="194">
        <f t="shared" si="103"/>
        <v>0</v>
      </c>
      <c r="AI189" s="199">
        <f t="shared" si="104"/>
        <v>0</v>
      </c>
      <c r="AK189" s="71">
        <v>184</v>
      </c>
      <c r="AL189" s="33">
        <f t="shared" si="88"/>
        <v>0</v>
      </c>
      <c r="AM189" s="33">
        <f t="shared" si="89"/>
        <v>0</v>
      </c>
      <c r="AN189" s="33">
        <f t="shared" si="90"/>
        <v>0</v>
      </c>
      <c r="AO189" s="33">
        <f t="shared" si="91"/>
        <v>0</v>
      </c>
      <c r="AP189" s="33">
        <f t="shared" si="92"/>
        <v>0</v>
      </c>
      <c r="AQ189" s="194">
        <f t="shared" si="105"/>
        <v>0</v>
      </c>
      <c r="AR189" s="194">
        <f t="shared" si="106"/>
        <v>0</v>
      </c>
      <c r="AS189" s="194">
        <f t="shared" si="107"/>
        <v>0</v>
      </c>
      <c r="AT189" s="194">
        <f t="shared" si="108"/>
        <v>0</v>
      </c>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95"/>
        <v>0</v>
      </c>
      <c r="K190" s="33">
        <f t="shared" si="96"/>
        <v>0</v>
      </c>
      <c r="L190" s="33">
        <f t="shared" si="97"/>
        <v>0</v>
      </c>
      <c r="M190" s="33">
        <f t="shared" si="98"/>
        <v>0</v>
      </c>
      <c r="N190" s="33">
        <f t="shared" si="78"/>
        <v>0</v>
      </c>
      <c r="O190" s="34">
        <f t="shared" si="79"/>
        <v>0</v>
      </c>
      <c r="P190" s="55">
        <v>185</v>
      </c>
      <c r="Q190" s="33">
        <f t="shared" si="93"/>
        <v>0</v>
      </c>
      <c r="R190" s="33">
        <f t="shared" si="99"/>
        <v>0</v>
      </c>
      <c r="S190" s="33">
        <f t="shared" si="100"/>
        <v>0</v>
      </c>
      <c r="T190" s="33">
        <f t="shared" si="80"/>
        <v>0</v>
      </c>
      <c r="U190" s="33">
        <f t="shared" si="94"/>
        <v>0</v>
      </c>
      <c r="V190" s="33">
        <f t="shared" si="81"/>
        <v>0</v>
      </c>
      <c r="W190" s="33">
        <v>0</v>
      </c>
      <c r="X190" s="33">
        <f t="shared" si="82"/>
        <v>0</v>
      </c>
      <c r="Y190" s="38">
        <f t="shared" si="83"/>
        <v>0</v>
      </c>
      <c r="AA190" s="71">
        <v>185</v>
      </c>
      <c r="AB190" s="33">
        <f t="shared" si="84"/>
        <v>0</v>
      </c>
      <c r="AC190" s="305">
        <f t="shared" si="85"/>
        <v>0</v>
      </c>
      <c r="AD190" s="100">
        <f t="shared" si="86"/>
        <v>0</v>
      </c>
      <c r="AE190" s="100">
        <f t="shared" si="87"/>
        <v>0</v>
      </c>
      <c r="AF190" s="194">
        <f t="shared" si="101"/>
        <v>0</v>
      </c>
      <c r="AG190" s="194">
        <f t="shared" si="102"/>
        <v>0</v>
      </c>
      <c r="AH190" s="194">
        <f t="shared" si="103"/>
        <v>0</v>
      </c>
      <c r="AI190" s="199">
        <f t="shared" si="104"/>
        <v>0</v>
      </c>
      <c r="AK190" s="71">
        <v>185</v>
      </c>
      <c r="AL190" s="33">
        <f t="shared" si="88"/>
        <v>0</v>
      </c>
      <c r="AM190" s="33">
        <f t="shared" si="89"/>
        <v>0</v>
      </c>
      <c r="AN190" s="33">
        <f t="shared" si="90"/>
        <v>0</v>
      </c>
      <c r="AO190" s="33">
        <f t="shared" si="91"/>
        <v>0</v>
      </c>
      <c r="AP190" s="33">
        <f t="shared" si="92"/>
        <v>0</v>
      </c>
      <c r="AQ190" s="194">
        <f t="shared" si="105"/>
        <v>0</v>
      </c>
      <c r="AR190" s="194">
        <f t="shared" si="106"/>
        <v>0</v>
      </c>
      <c r="AS190" s="194">
        <f t="shared" si="107"/>
        <v>0</v>
      </c>
      <c r="AT190" s="194">
        <f t="shared" si="108"/>
        <v>0</v>
      </c>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95"/>
        <v>0</v>
      </c>
      <c r="K191" s="33">
        <f t="shared" si="96"/>
        <v>0</v>
      </c>
      <c r="L191" s="33">
        <f t="shared" si="97"/>
        <v>0</v>
      </c>
      <c r="M191" s="33">
        <f t="shared" si="98"/>
        <v>0</v>
      </c>
      <c r="N191" s="33">
        <f t="shared" si="78"/>
        <v>0</v>
      </c>
      <c r="O191" s="34">
        <f t="shared" si="79"/>
        <v>0</v>
      </c>
      <c r="P191" s="55">
        <v>186</v>
      </c>
      <c r="Q191" s="33">
        <f t="shared" si="93"/>
        <v>0</v>
      </c>
      <c r="R191" s="33">
        <f t="shared" si="99"/>
        <v>0</v>
      </c>
      <c r="S191" s="33">
        <f t="shared" si="100"/>
        <v>0</v>
      </c>
      <c r="T191" s="33">
        <f t="shared" si="80"/>
        <v>0</v>
      </c>
      <c r="U191" s="33">
        <f t="shared" si="94"/>
        <v>0</v>
      </c>
      <c r="V191" s="33">
        <f t="shared" si="81"/>
        <v>0</v>
      </c>
      <c r="W191" s="33">
        <v>0</v>
      </c>
      <c r="X191" s="33">
        <f t="shared" si="82"/>
        <v>0</v>
      </c>
      <c r="Y191" s="38">
        <f t="shared" si="83"/>
        <v>0</v>
      </c>
      <c r="AA191" s="71">
        <v>186</v>
      </c>
      <c r="AB191" s="33">
        <f t="shared" si="84"/>
        <v>0</v>
      </c>
      <c r="AC191" s="305">
        <f t="shared" si="85"/>
        <v>0</v>
      </c>
      <c r="AD191" s="100">
        <f t="shared" si="86"/>
        <v>0</v>
      </c>
      <c r="AE191" s="100">
        <f t="shared" si="87"/>
        <v>0</v>
      </c>
      <c r="AF191" s="194">
        <f t="shared" si="101"/>
        <v>0</v>
      </c>
      <c r="AG191" s="194">
        <f t="shared" si="102"/>
        <v>0</v>
      </c>
      <c r="AH191" s="194">
        <f t="shared" si="103"/>
        <v>0</v>
      </c>
      <c r="AI191" s="199">
        <f t="shared" si="104"/>
        <v>0</v>
      </c>
      <c r="AK191" s="71">
        <v>186</v>
      </c>
      <c r="AL191" s="33">
        <f t="shared" si="88"/>
        <v>0</v>
      </c>
      <c r="AM191" s="33">
        <f t="shared" si="89"/>
        <v>0</v>
      </c>
      <c r="AN191" s="33">
        <f t="shared" si="90"/>
        <v>0</v>
      </c>
      <c r="AO191" s="33">
        <f t="shared" si="91"/>
        <v>0</v>
      </c>
      <c r="AP191" s="33">
        <f t="shared" si="92"/>
        <v>0</v>
      </c>
      <c r="AQ191" s="194">
        <f t="shared" si="105"/>
        <v>0</v>
      </c>
      <c r="AR191" s="194">
        <f t="shared" si="106"/>
        <v>0</v>
      </c>
      <c r="AS191" s="194">
        <f t="shared" si="107"/>
        <v>0</v>
      </c>
      <c r="AT191" s="194">
        <f t="shared" si="108"/>
        <v>0</v>
      </c>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95"/>
        <v>0</v>
      </c>
      <c r="K192" s="33">
        <f t="shared" si="96"/>
        <v>0</v>
      </c>
      <c r="L192" s="33">
        <f t="shared" si="97"/>
        <v>0</v>
      </c>
      <c r="M192" s="33">
        <f t="shared" si="98"/>
        <v>0</v>
      </c>
      <c r="N192" s="33">
        <f t="shared" si="78"/>
        <v>0</v>
      </c>
      <c r="O192" s="34">
        <f t="shared" si="79"/>
        <v>0</v>
      </c>
      <c r="P192" s="55">
        <v>187</v>
      </c>
      <c r="Q192" s="33">
        <f t="shared" si="93"/>
        <v>0</v>
      </c>
      <c r="R192" s="33">
        <f t="shared" si="99"/>
        <v>0</v>
      </c>
      <c r="S192" s="33">
        <f t="shared" si="100"/>
        <v>0</v>
      </c>
      <c r="T192" s="33">
        <f t="shared" si="80"/>
        <v>0</v>
      </c>
      <c r="U192" s="33">
        <f t="shared" si="94"/>
        <v>0</v>
      </c>
      <c r="V192" s="33">
        <f t="shared" si="81"/>
        <v>0</v>
      </c>
      <c r="W192" s="33">
        <v>0</v>
      </c>
      <c r="X192" s="33">
        <f t="shared" si="82"/>
        <v>0</v>
      </c>
      <c r="Y192" s="38">
        <f t="shared" si="83"/>
        <v>0</v>
      </c>
      <c r="AA192" s="71">
        <v>187</v>
      </c>
      <c r="AB192" s="33">
        <f t="shared" si="84"/>
        <v>0</v>
      </c>
      <c r="AC192" s="305">
        <f t="shared" si="85"/>
        <v>0</v>
      </c>
      <c r="AD192" s="100">
        <f t="shared" si="86"/>
        <v>0</v>
      </c>
      <c r="AE192" s="100">
        <f t="shared" si="87"/>
        <v>0</v>
      </c>
      <c r="AF192" s="194">
        <f t="shared" si="101"/>
        <v>0</v>
      </c>
      <c r="AG192" s="194">
        <f t="shared" si="102"/>
        <v>0</v>
      </c>
      <c r="AH192" s="194">
        <f t="shared" si="103"/>
        <v>0</v>
      </c>
      <c r="AI192" s="199">
        <f t="shared" si="104"/>
        <v>0</v>
      </c>
      <c r="AK192" s="71">
        <v>187</v>
      </c>
      <c r="AL192" s="33">
        <f t="shared" si="88"/>
        <v>0</v>
      </c>
      <c r="AM192" s="33">
        <f t="shared" si="89"/>
        <v>0</v>
      </c>
      <c r="AN192" s="33">
        <f t="shared" si="90"/>
        <v>0</v>
      </c>
      <c r="AO192" s="33">
        <f t="shared" si="91"/>
        <v>0</v>
      </c>
      <c r="AP192" s="33">
        <f t="shared" si="92"/>
        <v>0</v>
      </c>
      <c r="AQ192" s="194">
        <f t="shared" si="105"/>
        <v>0</v>
      </c>
      <c r="AR192" s="194">
        <f t="shared" si="106"/>
        <v>0</v>
      </c>
      <c r="AS192" s="194">
        <f t="shared" si="107"/>
        <v>0</v>
      </c>
      <c r="AT192" s="194">
        <f t="shared" si="108"/>
        <v>0</v>
      </c>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95"/>
        <v>0</v>
      </c>
      <c r="K193" s="33">
        <f t="shared" si="96"/>
        <v>0</v>
      </c>
      <c r="L193" s="33">
        <f t="shared" si="97"/>
        <v>0</v>
      </c>
      <c r="M193" s="33">
        <f t="shared" si="98"/>
        <v>0</v>
      </c>
      <c r="N193" s="33">
        <f t="shared" si="78"/>
        <v>0</v>
      </c>
      <c r="O193" s="34">
        <f t="shared" si="79"/>
        <v>0</v>
      </c>
      <c r="P193" s="55">
        <v>188</v>
      </c>
      <c r="Q193" s="33">
        <f t="shared" si="93"/>
        <v>0</v>
      </c>
      <c r="R193" s="33">
        <f t="shared" si="99"/>
        <v>0</v>
      </c>
      <c r="S193" s="33">
        <f t="shared" si="100"/>
        <v>0</v>
      </c>
      <c r="T193" s="33">
        <f t="shared" si="80"/>
        <v>0</v>
      </c>
      <c r="U193" s="33">
        <f t="shared" si="94"/>
        <v>0</v>
      </c>
      <c r="V193" s="33">
        <f t="shared" si="81"/>
        <v>0</v>
      </c>
      <c r="W193" s="33">
        <v>0</v>
      </c>
      <c r="X193" s="33">
        <f t="shared" si="82"/>
        <v>0</v>
      </c>
      <c r="Y193" s="38">
        <f t="shared" si="83"/>
        <v>0</v>
      </c>
      <c r="AA193" s="71">
        <v>188</v>
      </c>
      <c r="AB193" s="33">
        <f t="shared" si="84"/>
        <v>0</v>
      </c>
      <c r="AC193" s="305">
        <f t="shared" si="85"/>
        <v>0</v>
      </c>
      <c r="AD193" s="100">
        <f t="shared" si="86"/>
        <v>0</v>
      </c>
      <c r="AE193" s="100">
        <f t="shared" si="87"/>
        <v>0</v>
      </c>
      <c r="AF193" s="194">
        <f t="shared" si="101"/>
        <v>0</v>
      </c>
      <c r="AG193" s="194">
        <f t="shared" si="102"/>
        <v>0</v>
      </c>
      <c r="AH193" s="194">
        <f t="shared" si="103"/>
        <v>0</v>
      </c>
      <c r="AI193" s="199">
        <f t="shared" si="104"/>
        <v>0</v>
      </c>
      <c r="AK193" s="71">
        <v>188</v>
      </c>
      <c r="AL193" s="33">
        <f t="shared" si="88"/>
        <v>0</v>
      </c>
      <c r="AM193" s="33">
        <f t="shared" si="89"/>
        <v>0</v>
      </c>
      <c r="AN193" s="33">
        <f t="shared" si="90"/>
        <v>0</v>
      </c>
      <c r="AO193" s="33">
        <f t="shared" si="91"/>
        <v>0</v>
      </c>
      <c r="AP193" s="33">
        <f t="shared" si="92"/>
        <v>0</v>
      </c>
      <c r="AQ193" s="194">
        <f t="shared" si="105"/>
        <v>0</v>
      </c>
      <c r="AR193" s="194">
        <f t="shared" si="106"/>
        <v>0</v>
      </c>
      <c r="AS193" s="194">
        <f t="shared" si="107"/>
        <v>0</v>
      </c>
      <c r="AT193" s="194">
        <f t="shared" si="108"/>
        <v>0</v>
      </c>
      <c r="AU193" s="33"/>
      <c r="AV193" s="33"/>
      <c r="AW193" s="33"/>
      <c r="AX193" s="33"/>
      <c r="AY193" s="76"/>
    </row>
    <row r="194" spans="3:51" x14ac:dyDescent="0.3">
      <c r="C194" s="168" t="s">
        <v>69</v>
      </c>
      <c r="D194" s="3">
        <v>0.42</v>
      </c>
      <c r="E194" s="188" t="s">
        <v>229</v>
      </c>
      <c r="F194" s="343">
        <f>IF(OR(Tableau145[[#This Row],[Type]]="Feuillus",Tableau145[[#This Row],[Type]]="Peupliers"),1.56,1.3)</f>
        <v>1.3</v>
      </c>
      <c r="I194" s="55">
        <v>189</v>
      </c>
      <c r="J194" s="33">
        <f t="shared" si="95"/>
        <v>0</v>
      </c>
      <c r="K194" s="33">
        <f t="shared" si="96"/>
        <v>0</v>
      </c>
      <c r="L194" s="33">
        <f t="shared" si="97"/>
        <v>0</v>
      </c>
      <c r="M194" s="33">
        <f t="shared" si="98"/>
        <v>0</v>
      </c>
      <c r="N194" s="33">
        <f t="shared" si="78"/>
        <v>0</v>
      </c>
      <c r="O194" s="34">
        <f t="shared" si="79"/>
        <v>0</v>
      </c>
      <c r="P194" s="55">
        <v>189</v>
      </c>
      <c r="Q194" s="33">
        <f t="shared" si="93"/>
        <v>0</v>
      </c>
      <c r="R194" s="33">
        <f t="shared" si="99"/>
        <v>0</v>
      </c>
      <c r="S194" s="33">
        <f t="shared" si="100"/>
        <v>0</v>
      </c>
      <c r="T194" s="33">
        <f t="shared" si="80"/>
        <v>0</v>
      </c>
      <c r="U194" s="33">
        <f t="shared" si="94"/>
        <v>0</v>
      </c>
      <c r="V194" s="33">
        <f t="shared" si="81"/>
        <v>0</v>
      </c>
      <c r="W194" s="33">
        <v>0</v>
      </c>
      <c r="X194" s="33">
        <f t="shared" si="82"/>
        <v>0</v>
      </c>
      <c r="Y194" s="38">
        <f t="shared" si="83"/>
        <v>0</v>
      </c>
      <c r="AA194" s="71">
        <v>189</v>
      </c>
      <c r="AB194" s="33">
        <f t="shared" si="84"/>
        <v>0</v>
      </c>
      <c r="AC194" s="305">
        <f t="shared" si="85"/>
        <v>0</v>
      </c>
      <c r="AD194" s="100">
        <f t="shared" si="86"/>
        <v>0</v>
      </c>
      <c r="AE194" s="100">
        <f t="shared" si="87"/>
        <v>0</v>
      </c>
      <c r="AF194" s="194">
        <f t="shared" si="101"/>
        <v>0</v>
      </c>
      <c r="AG194" s="194">
        <f t="shared" si="102"/>
        <v>0</v>
      </c>
      <c r="AH194" s="194">
        <f t="shared" si="103"/>
        <v>0</v>
      </c>
      <c r="AI194" s="199">
        <f t="shared" si="104"/>
        <v>0</v>
      </c>
      <c r="AK194" s="71">
        <v>189</v>
      </c>
      <c r="AL194" s="33">
        <f t="shared" si="88"/>
        <v>0</v>
      </c>
      <c r="AM194" s="33">
        <f t="shared" si="89"/>
        <v>0</v>
      </c>
      <c r="AN194" s="33">
        <f t="shared" si="90"/>
        <v>0</v>
      </c>
      <c r="AO194" s="33">
        <f t="shared" si="91"/>
        <v>0</v>
      </c>
      <c r="AP194" s="33">
        <f t="shared" si="92"/>
        <v>0</v>
      </c>
      <c r="AQ194" s="194">
        <f t="shared" si="105"/>
        <v>0</v>
      </c>
      <c r="AR194" s="194">
        <f t="shared" si="106"/>
        <v>0</v>
      </c>
      <c r="AS194" s="194">
        <f t="shared" si="107"/>
        <v>0</v>
      </c>
      <c r="AT194" s="194">
        <f t="shared" si="108"/>
        <v>0</v>
      </c>
      <c r="AU194" s="33"/>
      <c r="AV194" s="33"/>
      <c r="AW194" s="33"/>
      <c r="AX194" s="33"/>
      <c r="AY194" s="76"/>
    </row>
    <row r="195" spans="3:51" x14ac:dyDescent="0.3">
      <c r="C195" s="168" t="s">
        <v>70</v>
      </c>
      <c r="D195" s="3">
        <v>0.56999999999999995</v>
      </c>
      <c r="E195" s="188" t="s">
        <v>228</v>
      </c>
      <c r="F195" s="343">
        <f>IF(OR(Tableau145[[#This Row],[Type]]="Feuillus",Tableau145[[#This Row],[Type]]="Peupliers"),1.56,1.3)</f>
        <v>1.56</v>
      </c>
      <c r="I195" s="55">
        <v>190</v>
      </c>
      <c r="J195" s="33">
        <f t="shared" si="95"/>
        <v>0</v>
      </c>
      <c r="K195" s="33">
        <f t="shared" si="96"/>
        <v>0</v>
      </c>
      <c r="L195" s="33">
        <f t="shared" si="97"/>
        <v>0</v>
      </c>
      <c r="M195" s="33">
        <f t="shared" si="98"/>
        <v>0</v>
      </c>
      <c r="N195" s="33">
        <f t="shared" si="78"/>
        <v>0</v>
      </c>
      <c r="O195" s="34">
        <f t="shared" si="79"/>
        <v>0</v>
      </c>
      <c r="P195" s="55">
        <v>190</v>
      </c>
      <c r="Q195" s="33">
        <f t="shared" si="93"/>
        <v>0</v>
      </c>
      <c r="R195" s="33">
        <f t="shared" si="99"/>
        <v>0</v>
      </c>
      <c r="S195" s="33">
        <f t="shared" si="100"/>
        <v>0</v>
      </c>
      <c r="T195" s="33">
        <f t="shared" si="80"/>
        <v>0</v>
      </c>
      <c r="U195" s="33">
        <f t="shared" si="94"/>
        <v>0</v>
      </c>
      <c r="V195" s="33">
        <f t="shared" si="81"/>
        <v>0</v>
      </c>
      <c r="W195" s="33">
        <v>0</v>
      </c>
      <c r="X195" s="33">
        <f t="shared" si="82"/>
        <v>0</v>
      </c>
      <c r="Y195" s="38">
        <f t="shared" si="83"/>
        <v>0</v>
      </c>
      <c r="AA195" s="71">
        <v>190</v>
      </c>
      <c r="AB195" s="33">
        <f t="shared" si="84"/>
        <v>0</v>
      </c>
      <c r="AC195" s="305">
        <f t="shared" si="85"/>
        <v>0</v>
      </c>
      <c r="AD195" s="100">
        <f t="shared" si="86"/>
        <v>0</v>
      </c>
      <c r="AE195" s="100">
        <f t="shared" si="87"/>
        <v>0</v>
      </c>
      <c r="AF195" s="194">
        <f t="shared" si="101"/>
        <v>0</v>
      </c>
      <c r="AG195" s="194">
        <f t="shared" si="102"/>
        <v>0</v>
      </c>
      <c r="AH195" s="194">
        <f t="shared" si="103"/>
        <v>0</v>
      </c>
      <c r="AI195" s="199">
        <f t="shared" si="104"/>
        <v>0</v>
      </c>
      <c r="AK195" s="71">
        <v>190</v>
      </c>
      <c r="AL195" s="33">
        <f t="shared" si="88"/>
        <v>0</v>
      </c>
      <c r="AM195" s="33">
        <f t="shared" si="89"/>
        <v>0</v>
      </c>
      <c r="AN195" s="33">
        <f t="shared" si="90"/>
        <v>0</v>
      </c>
      <c r="AO195" s="33">
        <f t="shared" si="91"/>
        <v>0</v>
      </c>
      <c r="AP195" s="33">
        <f t="shared" si="92"/>
        <v>0</v>
      </c>
      <c r="AQ195" s="194">
        <f t="shared" si="105"/>
        <v>0</v>
      </c>
      <c r="AR195" s="194">
        <f t="shared" si="106"/>
        <v>0</v>
      </c>
      <c r="AS195" s="194">
        <f t="shared" si="107"/>
        <v>0</v>
      </c>
      <c r="AT195" s="194">
        <f t="shared" si="108"/>
        <v>0</v>
      </c>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95"/>
        <v>0</v>
      </c>
      <c r="K196" s="33">
        <f t="shared" si="96"/>
        <v>0</v>
      </c>
      <c r="L196" s="33">
        <f t="shared" si="97"/>
        <v>0</v>
      </c>
      <c r="M196" s="33">
        <f t="shared" si="98"/>
        <v>0</v>
      </c>
      <c r="N196" s="33">
        <f t="shared" si="78"/>
        <v>0</v>
      </c>
      <c r="O196" s="34">
        <f t="shared" si="79"/>
        <v>0</v>
      </c>
      <c r="P196" s="55">
        <v>191</v>
      </c>
      <c r="Q196" s="33">
        <f t="shared" si="93"/>
        <v>0</v>
      </c>
      <c r="R196" s="33">
        <f t="shared" si="99"/>
        <v>0</v>
      </c>
      <c r="S196" s="33">
        <f t="shared" si="100"/>
        <v>0</v>
      </c>
      <c r="T196" s="33">
        <f t="shared" si="80"/>
        <v>0</v>
      </c>
      <c r="U196" s="33">
        <f t="shared" si="94"/>
        <v>0</v>
      </c>
      <c r="V196" s="33">
        <f t="shared" si="81"/>
        <v>0</v>
      </c>
      <c r="W196" s="33">
        <v>0</v>
      </c>
      <c r="X196" s="33">
        <f t="shared" si="82"/>
        <v>0</v>
      </c>
      <c r="Y196" s="38">
        <f t="shared" si="83"/>
        <v>0</v>
      </c>
      <c r="AA196" s="71">
        <v>191</v>
      </c>
      <c r="AB196" s="33">
        <f t="shared" si="84"/>
        <v>0</v>
      </c>
      <c r="AC196" s="305">
        <f t="shared" si="85"/>
        <v>0</v>
      </c>
      <c r="AD196" s="100">
        <f t="shared" si="86"/>
        <v>0</v>
      </c>
      <c r="AE196" s="100">
        <f t="shared" si="87"/>
        <v>0</v>
      </c>
      <c r="AF196" s="194">
        <f t="shared" si="101"/>
        <v>0</v>
      </c>
      <c r="AG196" s="194">
        <f t="shared" si="102"/>
        <v>0</v>
      </c>
      <c r="AH196" s="194">
        <f t="shared" si="103"/>
        <v>0</v>
      </c>
      <c r="AI196" s="199">
        <f t="shared" si="104"/>
        <v>0</v>
      </c>
      <c r="AK196" s="71">
        <v>191</v>
      </c>
      <c r="AL196" s="33">
        <f t="shared" si="88"/>
        <v>0</v>
      </c>
      <c r="AM196" s="33">
        <f t="shared" si="89"/>
        <v>0</v>
      </c>
      <c r="AN196" s="33">
        <f t="shared" si="90"/>
        <v>0</v>
      </c>
      <c r="AO196" s="33">
        <f t="shared" si="91"/>
        <v>0</v>
      </c>
      <c r="AP196" s="33">
        <f t="shared" si="92"/>
        <v>0</v>
      </c>
      <c r="AQ196" s="194">
        <f t="shared" si="105"/>
        <v>0</v>
      </c>
      <c r="AR196" s="194">
        <f t="shared" si="106"/>
        <v>0</v>
      </c>
      <c r="AS196" s="194">
        <f t="shared" si="107"/>
        <v>0</v>
      </c>
      <c r="AT196" s="194">
        <f t="shared" si="108"/>
        <v>0</v>
      </c>
      <c r="AU196" s="33"/>
      <c r="AV196" s="33"/>
      <c r="AW196" s="33"/>
      <c r="AX196" s="33"/>
      <c r="AY196" s="76"/>
    </row>
    <row r="197" spans="3:51" x14ac:dyDescent="0.3">
      <c r="E197" s="24"/>
      <c r="I197" s="55">
        <v>192</v>
      </c>
      <c r="J197" s="33">
        <f t="shared" si="95"/>
        <v>0</v>
      </c>
      <c r="K197" s="33">
        <f t="shared" si="96"/>
        <v>0</v>
      </c>
      <c r="L197" s="33">
        <f t="shared" si="97"/>
        <v>0</v>
      </c>
      <c r="M197" s="33">
        <f t="shared" si="98"/>
        <v>0</v>
      </c>
      <c r="N197" s="33">
        <f t="shared" ref="N197:N204" si="109">IF(P198&lt;=$F$18,0,)</f>
        <v>0</v>
      </c>
      <c r="O197" s="34">
        <f t="shared" ref="O197:O205" si="110">((J197+K197)*0.475+L197+M197+N197)*44/12</f>
        <v>0</v>
      </c>
      <c r="P197" s="55">
        <v>192</v>
      </c>
      <c r="Q197" s="33">
        <f t="shared" si="93"/>
        <v>0</v>
      </c>
      <c r="R197" s="33">
        <f t="shared" si="99"/>
        <v>0</v>
      </c>
      <c r="S197" s="33">
        <f t="shared" si="100"/>
        <v>0</v>
      </c>
      <c r="T197" s="33">
        <f t="shared" ref="T197:T205" si="111">IF(S197=0,0,EXP(-1.0587+0.8836*LN(S197)+0.284))</f>
        <v>0</v>
      </c>
      <c r="U197" s="33">
        <f t="shared" si="94"/>
        <v>0</v>
      </c>
      <c r="V197" s="33">
        <f t="shared" ref="V197:V205" si="112">IF(P197&lt;=$F$18,IF(P197&lt;=30,P197*($F$16-$F$6)/30,$F$16-$F$6),)</f>
        <v>0</v>
      </c>
      <c r="W197" s="33">
        <v>0</v>
      </c>
      <c r="X197" s="33">
        <f t="shared" ref="X197:X205" si="113">((S197+T197)*0.475+U197+V197+W197)*44/12</f>
        <v>0</v>
      </c>
      <c r="Y197" s="38">
        <f t="shared" ref="Y197:Y205" si="114">IF(P197&lt;=$F$18,X197-O197,)</f>
        <v>0</v>
      </c>
      <c r="AA197" s="71">
        <v>192</v>
      </c>
      <c r="AB197" s="33">
        <f t="shared" ref="AB197:AB205" si="115">IF(AA197&lt;=$F$18,IFERROR(VLOOKUP($AA197,$B$82:$G$95,2,FALSE),0),)</f>
        <v>0</v>
      </c>
      <c r="AC197" s="305">
        <f t="shared" ref="AC197:AC205" si="116">IF(AA197&lt;=$F$18,IFERROR(VLOOKUP($AA197,$B$82:$G$95,3,FALSE),0),)*50%</f>
        <v>0</v>
      </c>
      <c r="AD197" s="100">
        <f t="shared" ref="AD197:AD205" si="117">IF(AA197&lt;=$F$18,IFERROR(VLOOKUP($AA197,$B$82:$G$95,4,FALSE),0),)</f>
        <v>0</v>
      </c>
      <c r="AE197" s="100">
        <f t="shared" ref="AE197:AE205" si="118">IF(AA197&lt;=$F$18,IFERROR(VLOOKUP($AA197,$B$82:$G$95,5,FALSE),0),)</f>
        <v>0</v>
      </c>
      <c r="AF197" s="194">
        <f t="shared" si="101"/>
        <v>0</v>
      </c>
      <c r="AG197" s="194">
        <f t="shared" si="102"/>
        <v>0</v>
      </c>
      <c r="AH197" s="194">
        <f t="shared" si="103"/>
        <v>0</v>
      </c>
      <c r="AI197" s="199">
        <f t="shared" si="104"/>
        <v>0</v>
      </c>
      <c r="AK197" s="71">
        <v>192</v>
      </c>
      <c r="AL197" s="33">
        <f t="shared" ref="AL197:AL205" si="119">IF(AK197&lt;=$F$18,IFERROR(VLOOKUP($AA197,$B$82:$G$95,2,FALSE),0),)</f>
        <v>0</v>
      </c>
      <c r="AM197" s="33">
        <f t="shared" ref="AM197:AM205" si="120">IF(AK197&lt;=$F$18,IFERROR(VLOOKUP($AA197,$B$82:$G$95,3,FALSE),0),)</f>
        <v>0</v>
      </c>
      <c r="AN197" s="33">
        <f t="shared" ref="AN197:AN205" si="121">IF(AK197&lt;=$F$18,IFERROR(VLOOKUP($AA197,$B$82:$G$95,4,FALSE),0),)</f>
        <v>0</v>
      </c>
      <c r="AO197" s="33">
        <f t="shared" ref="AO197:AO205" si="122">IF(AK197&lt;=$F$18,IFERROR(VLOOKUP($AA197,$B$82:$G$95,5,FALSE),0),)</f>
        <v>0</v>
      </c>
      <c r="AP197" s="33">
        <f t="shared" ref="AP197:AP205" si="123">IF(AK197&lt;=$F$18,IFERROR(VLOOKUP($AA197,$B$82:$G$95,6,FALSE),0),)</f>
        <v>0</v>
      </c>
      <c r="AQ197" s="194">
        <f t="shared" si="105"/>
        <v>0</v>
      </c>
      <c r="AR197" s="194">
        <f t="shared" si="106"/>
        <v>0</v>
      </c>
      <c r="AS197" s="194">
        <f t="shared" si="107"/>
        <v>0</v>
      </c>
      <c r="AT197" s="194">
        <f t="shared" si="108"/>
        <v>0</v>
      </c>
      <c r="AU197" s="33"/>
      <c r="AV197" s="33"/>
      <c r="AW197" s="33"/>
      <c r="AX197" s="33"/>
      <c r="AY197" s="76"/>
    </row>
    <row r="198" spans="3:51" x14ac:dyDescent="0.3">
      <c r="E198" s="24"/>
      <c r="I198" s="55">
        <v>193</v>
      </c>
      <c r="J198" s="33">
        <f t="shared" si="95"/>
        <v>0</v>
      </c>
      <c r="K198" s="33">
        <f t="shared" si="96"/>
        <v>0</v>
      </c>
      <c r="L198" s="33">
        <f t="shared" si="97"/>
        <v>0</v>
      </c>
      <c r="M198" s="33">
        <f t="shared" si="98"/>
        <v>0</v>
      </c>
      <c r="N198" s="33">
        <f t="shared" si="109"/>
        <v>0</v>
      </c>
      <c r="O198" s="34">
        <f t="shared" si="110"/>
        <v>0</v>
      </c>
      <c r="P198" s="55">
        <v>193</v>
      </c>
      <c r="Q198" s="33">
        <f t="shared" ref="Q198:Q205" si="124">IF(P198&lt;=$F$18,LOOKUP(P198-1,$B$25:$B$78,$G$25:$G$78),)</f>
        <v>0</v>
      </c>
      <c r="R198" s="33">
        <f t="shared" si="99"/>
        <v>0</v>
      </c>
      <c r="S198" s="33">
        <f t="shared" si="100"/>
        <v>0</v>
      </c>
      <c r="T198" s="33">
        <f t="shared" si="111"/>
        <v>0</v>
      </c>
      <c r="U198" s="33">
        <f t="shared" ref="U198:U205" si="125">IF(P198&lt;=$F$18,$F$5+($F$15-$F$5)*(1-EXP(-0.0175*P198)),)</f>
        <v>0</v>
      </c>
      <c r="V198" s="33">
        <f t="shared" si="112"/>
        <v>0</v>
      </c>
      <c r="W198" s="33">
        <v>0</v>
      </c>
      <c r="X198" s="33">
        <f t="shared" si="113"/>
        <v>0</v>
      </c>
      <c r="Y198" s="38">
        <f t="shared" si="114"/>
        <v>0</v>
      </c>
      <c r="AA198" s="71">
        <v>193</v>
      </c>
      <c r="AB198" s="33">
        <f t="shared" si="115"/>
        <v>0</v>
      </c>
      <c r="AC198" s="305">
        <f t="shared" si="116"/>
        <v>0</v>
      </c>
      <c r="AD198" s="100">
        <f t="shared" si="117"/>
        <v>0</v>
      </c>
      <c r="AE198" s="100">
        <f t="shared" si="118"/>
        <v>0</v>
      </c>
      <c r="AF198" s="194">
        <f t="shared" si="101"/>
        <v>0</v>
      </c>
      <c r="AG198" s="194">
        <f t="shared" si="102"/>
        <v>0</v>
      </c>
      <c r="AH198" s="194">
        <f t="shared" si="103"/>
        <v>0</v>
      </c>
      <c r="AI198" s="199">
        <f t="shared" si="104"/>
        <v>0</v>
      </c>
      <c r="AK198" s="71">
        <v>193</v>
      </c>
      <c r="AL198" s="33">
        <f t="shared" si="119"/>
        <v>0</v>
      </c>
      <c r="AM198" s="33">
        <f t="shared" si="120"/>
        <v>0</v>
      </c>
      <c r="AN198" s="33">
        <f t="shared" si="121"/>
        <v>0</v>
      </c>
      <c r="AO198" s="33">
        <f t="shared" si="122"/>
        <v>0</v>
      </c>
      <c r="AP198" s="33">
        <f t="shared" si="123"/>
        <v>0</v>
      </c>
      <c r="AQ198" s="194">
        <f t="shared" si="105"/>
        <v>0</v>
      </c>
      <c r="AR198" s="194">
        <f t="shared" si="106"/>
        <v>0</v>
      </c>
      <c r="AS198" s="194">
        <f t="shared" si="107"/>
        <v>0</v>
      </c>
      <c r="AT198" s="194">
        <f t="shared" si="108"/>
        <v>0</v>
      </c>
      <c r="AU198" s="33"/>
      <c r="AV198" s="33"/>
      <c r="AW198" s="33"/>
      <c r="AX198" s="33"/>
      <c r="AY198" s="76"/>
    </row>
    <row r="199" spans="3:51" x14ac:dyDescent="0.3">
      <c r="E199" s="24"/>
      <c r="I199" s="55">
        <v>194</v>
      </c>
      <c r="J199" s="33">
        <f t="shared" ref="J199:J205" si="126">IF($I199&lt;=$F$10,$F$11*$F$13+J198,)</f>
        <v>0</v>
      </c>
      <c r="K199" s="33">
        <f t="shared" ref="K199:K205" si="127">IF(J199=0,0,EXP(-1.0587+0.8836*LN(J199)+0.284))</f>
        <v>0</v>
      </c>
      <c r="L199" s="33">
        <f t="shared" ref="L199:L205" si="128">IF(I199&lt;=$F$10,$F$5+($F$8-$F$5)*(1-EXP(-0.0175*I199)),)</f>
        <v>0</v>
      </c>
      <c r="M199" s="33">
        <f t="shared" ref="M199:M205" si="129">IF(I199&lt;=$F$10,IF(I199&lt;=30,I199*($F$9-$F$6)/30,$F$9-$F$6),)</f>
        <v>0</v>
      </c>
      <c r="N199" s="33">
        <f t="shared" si="109"/>
        <v>0</v>
      </c>
      <c r="O199" s="34">
        <f t="shared" si="110"/>
        <v>0</v>
      </c>
      <c r="P199" s="55">
        <v>194</v>
      </c>
      <c r="Q199" s="33">
        <f t="shared" si="124"/>
        <v>0</v>
      </c>
      <c r="R199" s="33">
        <f t="shared" ref="R199:R205" si="130">IF(P199&lt;=$F$18,Q199+R198,)</f>
        <v>0</v>
      </c>
      <c r="S199" s="33">
        <f t="shared" ref="S199:S205" si="131">$F$19*R199</f>
        <v>0</v>
      </c>
      <c r="T199" s="33">
        <f t="shared" si="111"/>
        <v>0</v>
      </c>
      <c r="U199" s="33">
        <f t="shared" si="125"/>
        <v>0</v>
      </c>
      <c r="V199" s="33">
        <f t="shared" si="112"/>
        <v>0</v>
      </c>
      <c r="W199" s="33">
        <v>0</v>
      </c>
      <c r="X199" s="33">
        <f t="shared" si="113"/>
        <v>0</v>
      </c>
      <c r="Y199" s="38">
        <f t="shared" si="114"/>
        <v>0</v>
      </c>
      <c r="AA199" s="71">
        <v>194</v>
      </c>
      <c r="AB199" s="33">
        <f t="shared" si="115"/>
        <v>0</v>
      </c>
      <c r="AC199" s="305">
        <f t="shared" si="116"/>
        <v>0</v>
      </c>
      <c r="AD199" s="100">
        <f t="shared" si="117"/>
        <v>0</v>
      </c>
      <c r="AE199" s="100">
        <f t="shared" si="118"/>
        <v>0</v>
      </c>
      <c r="AF199" s="194">
        <f t="shared" si="101"/>
        <v>0</v>
      </c>
      <c r="AG199" s="194">
        <f t="shared" si="102"/>
        <v>0</v>
      </c>
      <c r="AH199" s="194">
        <f t="shared" si="103"/>
        <v>0</v>
      </c>
      <c r="AI199" s="199">
        <f t="shared" si="104"/>
        <v>0</v>
      </c>
      <c r="AK199" s="71">
        <v>194</v>
      </c>
      <c r="AL199" s="33">
        <f t="shared" si="119"/>
        <v>0</v>
      </c>
      <c r="AM199" s="33">
        <f t="shared" si="120"/>
        <v>0</v>
      </c>
      <c r="AN199" s="33">
        <f t="shared" si="121"/>
        <v>0</v>
      </c>
      <c r="AO199" s="33">
        <f t="shared" si="122"/>
        <v>0</v>
      </c>
      <c r="AP199" s="33">
        <f t="shared" si="123"/>
        <v>0</v>
      </c>
      <c r="AQ199" s="194">
        <f t="shared" si="105"/>
        <v>0</v>
      </c>
      <c r="AR199" s="194">
        <f t="shared" si="106"/>
        <v>0</v>
      </c>
      <c r="AS199" s="194">
        <f t="shared" si="107"/>
        <v>0</v>
      </c>
      <c r="AT199" s="194">
        <f t="shared" si="108"/>
        <v>0</v>
      </c>
      <c r="AU199" s="33"/>
      <c r="AV199" s="33"/>
      <c r="AW199" s="33"/>
      <c r="AX199" s="33"/>
      <c r="AY199" s="76"/>
    </row>
    <row r="200" spans="3:51" x14ac:dyDescent="0.3">
      <c r="E200" s="24"/>
      <c r="I200" s="55">
        <v>195</v>
      </c>
      <c r="J200" s="33">
        <f t="shared" si="126"/>
        <v>0</v>
      </c>
      <c r="K200" s="33">
        <f t="shared" si="127"/>
        <v>0</v>
      </c>
      <c r="L200" s="33">
        <f t="shared" si="128"/>
        <v>0</v>
      </c>
      <c r="M200" s="33">
        <f t="shared" si="129"/>
        <v>0</v>
      </c>
      <c r="N200" s="33">
        <f t="shared" si="109"/>
        <v>0</v>
      </c>
      <c r="O200" s="34">
        <f t="shared" si="110"/>
        <v>0</v>
      </c>
      <c r="P200" s="55">
        <v>195</v>
      </c>
      <c r="Q200" s="33">
        <f t="shared" si="124"/>
        <v>0</v>
      </c>
      <c r="R200" s="33">
        <f t="shared" si="130"/>
        <v>0</v>
      </c>
      <c r="S200" s="33">
        <f t="shared" si="131"/>
        <v>0</v>
      </c>
      <c r="T200" s="33">
        <f t="shared" si="111"/>
        <v>0</v>
      </c>
      <c r="U200" s="33">
        <f t="shared" si="125"/>
        <v>0</v>
      </c>
      <c r="V200" s="33">
        <f t="shared" si="112"/>
        <v>0</v>
      </c>
      <c r="W200" s="33">
        <v>0</v>
      </c>
      <c r="X200" s="33">
        <f t="shared" si="113"/>
        <v>0</v>
      </c>
      <c r="Y200" s="38">
        <f t="shared" si="114"/>
        <v>0</v>
      </c>
      <c r="AA200" s="71">
        <v>195</v>
      </c>
      <c r="AB200" s="33">
        <f t="shared" si="115"/>
        <v>0</v>
      </c>
      <c r="AC200" s="305">
        <f t="shared" si="116"/>
        <v>0</v>
      </c>
      <c r="AD200" s="100">
        <f t="shared" si="117"/>
        <v>0</v>
      </c>
      <c r="AE200" s="100">
        <f t="shared" si="118"/>
        <v>0</v>
      </c>
      <c r="AF200" s="194">
        <f t="shared" si="101"/>
        <v>0</v>
      </c>
      <c r="AG200" s="194">
        <f t="shared" si="102"/>
        <v>0</v>
      </c>
      <c r="AH200" s="194">
        <f t="shared" si="103"/>
        <v>0</v>
      </c>
      <c r="AI200" s="199">
        <f t="shared" si="104"/>
        <v>0</v>
      </c>
      <c r="AK200" s="71">
        <v>195</v>
      </c>
      <c r="AL200" s="33">
        <f t="shared" si="119"/>
        <v>0</v>
      </c>
      <c r="AM200" s="33">
        <f t="shared" si="120"/>
        <v>0</v>
      </c>
      <c r="AN200" s="33">
        <f t="shared" si="121"/>
        <v>0</v>
      </c>
      <c r="AO200" s="33">
        <f t="shared" si="122"/>
        <v>0</v>
      </c>
      <c r="AP200" s="33">
        <f t="shared" si="123"/>
        <v>0</v>
      </c>
      <c r="AQ200" s="194">
        <f t="shared" si="105"/>
        <v>0</v>
      </c>
      <c r="AR200" s="194">
        <f t="shared" si="106"/>
        <v>0</v>
      </c>
      <c r="AS200" s="194">
        <f t="shared" si="107"/>
        <v>0</v>
      </c>
      <c r="AT200" s="194">
        <f t="shared" si="108"/>
        <v>0</v>
      </c>
      <c r="AU200" s="33"/>
      <c r="AV200" s="33"/>
      <c r="AW200" s="33"/>
      <c r="AX200" s="33"/>
      <c r="AY200" s="76"/>
    </row>
    <row r="201" spans="3:51" x14ac:dyDescent="0.3">
      <c r="E201" s="24"/>
      <c r="I201" s="55">
        <v>196</v>
      </c>
      <c r="J201" s="33">
        <f t="shared" si="126"/>
        <v>0</v>
      </c>
      <c r="K201" s="33">
        <f t="shared" si="127"/>
        <v>0</v>
      </c>
      <c r="L201" s="33">
        <f t="shared" si="128"/>
        <v>0</v>
      </c>
      <c r="M201" s="33">
        <f t="shared" si="129"/>
        <v>0</v>
      </c>
      <c r="N201" s="33">
        <f t="shared" si="109"/>
        <v>0</v>
      </c>
      <c r="O201" s="34">
        <f t="shared" si="110"/>
        <v>0</v>
      </c>
      <c r="P201" s="55">
        <v>196</v>
      </c>
      <c r="Q201" s="33">
        <f t="shared" si="124"/>
        <v>0</v>
      </c>
      <c r="R201" s="33">
        <f t="shared" si="130"/>
        <v>0</v>
      </c>
      <c r="S201" s="33">
        <f t="shared" si="131"/>
        <v>0</v>
      </c>
      <c r="T201" s="33">
        <f t="shared" si="111"/>
        <v>0</v>
      </c>
      <c r="U201" s="33">
        <f t="shared" si="125"/>
        <v>0</v>
      </c>
      <c r="V201" s="33">
        <f t="shared" si="112"/>
        <v>0</v>
      </c>
      <c r="W201" s="33">
        <v>0</v>
      </c>
      <c r="X201" s="33">
        <f t="shared" si="113"/>
        <v>0</v>
      </c>
      <c r="Y201" s="38">
        <f t="shared" si="114"/>
        <v>0</v>
      </c>
      <c r="AA201" s="71">
        <v>196</v>
      </c>
      <c r="AB201" s="33">
        <f t="shared" si="115"/>
        <v>0</v>
      </c>
      <c r="AC201" s="305">
        <f t="shared" si="116"/>
        <v>0</v>
      </c>
      <c r="AD201" s="100">
        <f t="shared" si="117"/>
        <v>0</v>
      </c>
      <c r="AE201" s="100">
        <f t="shared" si="118"/>
        <v>0</v>
      </c>
      <c r="AF201" s="194">
        <f t="shared" si="101"/>
        <v>0</v>
      </c>
      <c r="AG201" s="194">
        <f t="shared" si="102"/>
        <v>0</v>
      </c>
      <c r="AH201" s="194">
        <f t="shared" si="103"/>
        <v>0</v>
      </c>
      <c r="AI201" s="199">
        <f t="shared" si="104"/>
        <v>0</v>
      </c>
      <c r="AK201" s="71">
        <v>196</v>
      </c>
      <c r="AL201" s="33">
        <f t="shared" si="119"/>
        <v>0</v>
      </c>
      <c r="AM201" s="33">
        <f t="shared" si="120"/>
        <v>0</v>
      </c>
      <c r="AN201" s="33">
        <f t="shared" si="121"/>
        <v>0</v>
      </c>
      <c r="AO201" s="33">
        <f t="shared" si="122"/>
        <v>0</v>
      </c>
      <c r="AP201" s="33">
        <f t="shared" si="123"/>
        <v>0</v>
      </c>
      <c r="AQ201" s="194">
        <f t="shared" si="105"/>
        <v>0</v>
      </c>
      <c r="AR201" s="194">
        <f t="shared" si="106"/>
        <v>0</v>
      </c>
      <c r="AS201" s="194">
        <f t="shared" si="107"/>
        <v>0</v>
      </c>
      <c r="AT201" s="194">
        <f t="shared" si="108"/>
        <v>0</v>
      </c>
      <c r="AU201" s="33"/>
      <c r="AV201" s="33"/>
      <c r="AW201" s="33"/>
      <c r="AX201" s="33"/>
      <c r="AY201" s="76"/>
    </row>
    <row r="202" spans="3:51" x14ac:dyDescent="0.3">
      <c r="E202" s="24"/>
      <c r="I202" s="55">
        <v>197</v>
      </c>
      <c r="J202" s="33">
        <f t="shared" si="126"/>
        <v>0</v>
      </c>
      <c r="K202" s="33">
        <f t="shared" si="127"/>
        <v>0</v>
      </c>
      <c r="L202" s="33">
        <f t="shared" si="128"/>
        <v>0</v>
      </c>
      <c r="M202" s="33">
        <f t="shared" si="129"/>
        <v>0</v>
      </c>
      <c r="N202" s="33">
        <f t="shared" si="109"/>
        <v>0</v>
      </c>
      <c r="O202" s="34">
        <f t="shared" si="110"/>
        <v>0</v>
      </c>
      <c r="P202" s="55">
        <v>197</v>
      </c>
      <c r="Q202" s="33">
        <f t="shared" si="124"/>
        <v>0</v>
      </c>
      <c r="R202" s="33">
        <f t="shared" si="130"/>
        <v>0</v>
      </c>
      <c r="S202" s="33">
        <f t="shared" si="131"/>
        <v>0</v>
      </c>
      <c r="T202" s="33">
        <f t="shared" si="111"/>
        <v>0</v>
      </c>
      <c r="U202" s="33">
        <f t="shared" si="125"/>
        <v>0</v>
      </c>
      <c r="V202" s="33">
        <f t="shared" si="112"/>
        <v>0</v>
      </c>
      <c r="W202" s="33">
        <v>0</v>
      </c>
      <c r="X202" s="33">
        <f t="shared" si="113"/>
        <v>0</v>
      </c>
      <c r="Y202" s="38">
        <f t="shared" si="114"/>
        <v>0</v>
      </c>
      <c r="AA202" s="71">
        <v>197</v>
      </c>
      <c r="AB202" s="33">
        <f t="shared" si="115"/>
        <v>0</v>
      </c>
      <c r="AC202" s="305">
        <f t="shared" si="116"/>
        <v>0</v>
      </c>
      <c r="AD202" s="100">
        <f t="shared" si="117"/>
        <v>0</v>
      </c>
      <c r="AE202" s="100">
        <f t="shared" si="118"/>
        <v>0</v>
      </c>
      <c r="AF202" s="194">
        <f t="shared" si="101"/>
        <v>0</v>
      </c>
      <c r="AG202" s="194">
        <f t="shared" si="102"/>
        <v>0</v>
      </c>
      <c r="AH202" s="194">
        <f t="shared" si="103"/>
        <v>0</v>
      </c>
      <c r="AI202" s="199">
        <f t="shared" si="104"/>
        <v>0</v>
      </c>
      <c r="AK202" s="71">
        <v>197</v>
      </c>
      <c r="AL202" s="33">
        <f t="shared" si="119"/>
        <v>0</v>
      </c>
      <c r="AM202" s="33">
        <f t="shared" si="120"/>
        <v>0</v>
      </c>
      <c r="AN202" s="33">
        <f t="shared" si="121"/>
        <v>0</v>
      </c>
      <c r="AO202" s="33">
        <f t="shared" si="122"/>
        <v>0</v>
      </c>
      <c r="AP202" s="33">
        <f t="shared" si="123"/>
        <v>0</v>
      </c>
      <c r="AQ202" s="194">
        <f t="shared" si="105"/>
        <v>0</v>
      </c>
      <c r="AR202" s="194">
        <f t="shared" si="106"/>
        <v>0</v>
      </c>
      <c r="AS202" s="194">
        <f t="shared" si="107"/>
        <v>0</v>
      </c>
      <c r="AT202" s="194">
        <f t="shared" si="108"/>
        <v>0</v>
      </c>
      <c r="AU202" s="33"/>
      <c r="AV202" s="33"/>
      <c r="AW202" s="33"/>
      <c r="AX202" s="33"/>
      <c r="AY202" s="76"/>
    </row>
    <row r="203" spans="3:51" x14ac:dyDescent="0.3">
      <c r="E203" s="24"/>
      <c r="I203" s="55">
        <v>198</v>
      </c>
      <c r="J203" s="33">
        <f t="shared" si="126"/>
        <v>0</v>
      </c>
      <c r="K203" s="33">
        <f t="shared" si="127"/>
        <v>0</v>
      </c>
      <c r="L203" s="33">
        <f t="shared" si="128"/>
        <v>0</v>
      </c>
      <c r="M203" s="33">
        <f t="shared" si="129"/>
        <v>0</v>
      </c>
      <c r="N203" s="33">
        <f t="shared" si="109"/>
        <v>0</v>
      </c>
      <c r="O203" s="34">
        <f t="shared" si="110"/>
        <v>0</v>
      </c>
      <c r="P203" s="55">
        <v>198</v>
      </c>
      <c r="Q203" s="33">
        <f t="shared" si="124"/>
        <v>0</v>
      </c>
      <c r="R203" s="33">
        <f t="shared" si="130"/>
        <v>0</v>
      </c>
      <c r="S203" s="33">
        <f t="shared" si="131"/>
        <v>0</v>
      </c>
      <c r="T203" s="33">
        <f t="shared" si="111"/>
        <v>0</v>
      </c>
      <c r="U203" s="33">
        <f t="shared" si="125"/>
        <v>0</v>
      </c>
      <c r="V203" s="33">
        <f t="shared" si="112"/>
        <v>0</v>
      </c>
      <c r="W203" s="33">
        <v>0</v>
      </c>
      <c r="X203" s="33">
        <f t="shared" si="113"/>
        <v>0</v>
      </c>
      <c r="Y203" s="38">
        <f t="shared" si="114"/>
        <v>0</v>
      </c>
      <c r="AA203" s="71">
        <v>198</v>
      </c>
      <c r="AB203" s="33">
        <f t="shared" si="115"/>
        <v>0</v>
      </c>
      <c r="AC203" s="305">
        <f t="shared" si="116"/>
        <v>0</v>
      </c>
      <c r="AD203" s="100">
        <f t="shared" si="117"/>
        <v>0</v>
      </c>
      <c r="AE203" s="100">
        <f t="shared" si="118"/>
        <v>0</v>
      </c>
      <c r="AF203" s="194">
        <f t="shared" si="101"/>
        <v>0</v>
      </c>
      <c r="AG203" s="194">
        <f t="shared" si="102"/>
        <v>0</v>
      </c>
      <c r="AH203" s="194">
        <f t="shared" si="103"/>
        <v>0</v>
      </c>
      <c r="AI203" s="199">
        <f t="shared" si="104"/>
        <v>0</v>
      </c>
      <c r="AK203" s="71">
        <v>198</v>
      </c>
      <c r="AL203" s="33">
        <f t="shared" si="119"/>
        <v>0</v>
      </c>
      <c r="AM203" s="33">
        <f t="shared" si="120"/>
        <v>0</v>
      </c>
      <c r="AN203" s="33">
        <f t="shared" si="121"/>
        <v>0</v>
      </c>
      <c r="AO203" s="33">
        <f t="shared" si="122"/>
        <v>0</v>
      </c>
      <c r="AP203" s="33">
        <f t="shared" si="123"/>
        <v>0</v>
      </c>
      <c r="AQ203" s="194">
        <f t="shared" si="105"/>
        <v>0</v>
      </c>
      <c r="AR203" s="194">
        <f t="shared" si="106"/>
        <v>0</v>
      </c>
      <c r="AS203" s="194">
        <f t="shared" si="107"/>
        <v>0</v>
      </c>
      <c r="AT203" s="194">
        <f t="shared" si="108"/>
        <v>0</v>
      </c>
      <c r="AU203" s="33"/>
      <c r="AV203" s="33"/>
      <c r="AW203" s="33"/>
      <c r="AX203" s="33"/>
      <c r="AY203" s="76"/>
    </row>
    <row r="204" spans="3:51" x14ac:dyDescent="0.3">
      <c r="E204" s="24"/>
      <c r="I204" s="55">
        <v>199</v>
      </c>
      <c r="J204" s="33">
        <f t="shared" si="126"/>
        <v>0</v>
      </c>
      <c r="K204" s="33">
        <f t="shared" si="127"/>
        <v>0</v>
      </c>
      <c r="L204" s="33">
        <f t="shared" si="128"/>
        <v>0</v>
      </c>
      <c r="M204" s="33">
        <f t="shared" si="129"/>
        <v>0</v>
      </c>
      <c r="N204" s="33">
        <f t="shared" si="109"/>
        <v>0</v>
      </c>
      <c r="O204" s="34">
        <f t="shared" si="110"/>
        <v>0</v>
      </c>
      <c r="P204" s="55">
        <v>199</v>
      </c>
      <c r="Q204" s="33">
        <f t="shared" si="124"/>
        <v>0</v>
      </c>
      <c r="R204" s="33">
        <f t="shared" si="130"/>
        <v>0</v>
      </c>
      <c r="S204" s="33">
        <f t="shared" si="131"/>
        <v>0</v>
      </c>
      <c r="T204" s="33">
        <f t="shared" si="111"/>
        <v>0</v>
      </c>
      <c r="U204" s="33">
        <f t="shared" si="125"/>
        <v>0</v>
      </c>
      <c r="V204" s="33">
        <f t="shared" si="112"/>
        <v>0</v>
      </c>
      <c r="W204" s="33">
        <v>0</v>
      </c>
      <c r="X204" s="33">
        <f t="shared" si="113"/>
        <v>0</v>
      </c>
      <c r="Y204" s="38">
        <f t="shared" si="114"/>
        <v>0</v>
      </c>
      <c r="AA204" s="71">
        <v>199</v>
      </c>
      <c r="AB204" s="33">
        <f t="shared" si="115"/>
        <v>0</v>
      </c>
      <c r="AC204" s="305">
        <f t="shared" si="116"/>
        <v>0</v>
      </c>
      <c r="AD204" s="100">
        <f t="shared" si="117"/>
        <v>0</v>
      </c>
      <c r="AE204" s="100">
        <f t="shared" si="118"/>
        <v>0</v>
      </c>
      <c r="AF204" s="194">
        <f t="shared" si="101"/>
        <v>0</v>
      </c>
      <c r="AG204" s="194">
        <f t="shared" si="102"/>
        <v>0</v>
      </c>
      <c r="AH204" s="194">
        <f t="shared" si="103"/>
        <v>0</v>
      </c>
      <c r="AI204" s="199">
        <f t="shared" si="104"/>
        <v>0</v>
      </c>
      <c r="AK204" s="71">
        <v>199</v>
      </c>
      <c r="AL204" s="33">
        <f t="shared" si="119"/>
        <v>0</v>
      </c>
      <c r="AM204" s="33">
        <f t="shared" si="120"/>
        <v>0</v>
      </c>
      <c r="AN204" s="33">
        <f t="shared" si="121"/>
        <v>0</v>
      </c>
      <c r="AO204" s="33">
        <f t="shared" si="122"/>
        <v>0</v>
      </c>
      <c r="AP204" s="33">
        <f t="shared" si="123"/>
        <v>0</v>
      </c>
      <c r="AQ204" s="194">
        <f t="shared" si="105"/>
        <v>0</v>
      </c>
      <c r="AR204" s="194">
        <f t="shared" si="106"/>
        <v>0</v>
      </c>
      <c r="AS204" s="194">
        <f t="shared" si="107"/>
        <v>0</v>
      </c>
      <c r="AT204" s="194">
        <f t="shared" si="108"/>
        <v>0</v>
      </c>
      <c r="AU204" s="33"/>
      <c r="AV204" s="33"/>
      <c r="AW204" s="33"/>
      <c r="AX204" s="33"/>
      <c r="AY204" s="76"/>
    </row>
    <row r="205" spans="3:51" x14ac:dyDescent="0.3">
      <c r="E205" s="24"/>
      <c r="I205" s="56">
        <v>200</v>
      </c>
      <c r="J205" s="33">
        <f t="shared" si="126"/>
        <v>0</v>
      </c>
      <c r="K205" s="33">
        <f t="shared" si="127"/>
        <v>0</v>
      </c>
      <c r="L205" s="33">
        <f t="shared" si="128"/>
        <v>0</v>
      </c>
      <c r="M205" s="33">
        <f t="shared" si="129"/>
        <v>0</v>
      </c>
      <c r="N205" s="35">
        <f>IF(F208&lt;=$F$18,0,)</f>
        <v>0</v>
      </c>
      <c r="O205" s="34">
        <f t="shared" si="110"/>
        <v>0</v>
      </c>
      <c r="P205" s="56">
        <v>200</v>
      </c>
      <c r="Q205" s="35">
        <f t="shared" si="124"/>
        <v>0</v>
      </c>
      <c r="R205" s="35">
        <f t="shared" si="130"/>
        <v>0</v>
      </c>
      <c r="S205" s="35">
        <f t="shared" si="131"/>
        <v>0</v>
      </c>
      <c r="T205" s="35">
        <f t="shared" si="111"/>
        <v>0</v>
      </c>
      <c r="U205" s="35">
        <f t="shared" si="125"/>
        <v>0</v>
      </c>
      <c r="V205" s="35">
        <f t="shared" si="112"/>
        <v>0</v>
      </c>
      <c r="W205" s="35">
        <v>0</v>
      </c>
      <c r="X205" s="155">
        <f t="shared" si="113"/>
        <v>0</v>
      </c>
      <c r="Y205" s="39">
        <f t="shared" si="114"/>
        <v>0</v>
      </c>
      <c r="AA205" s="72">
        <v>200</v>
      </c>
      <c r="AB205" s="143">
        <f t="shared" si="115"/>
        <v>0</v>
      </c>
      <c r="AC205" s="305">
        <f t="shared" si="116"/>
        <v>0</v>
      </c>
      <c r="AD205" s="101">
        <f t="shared" si="117"/>
        <v>0</v>
      </c>
      <c r="AE205" s="101">
        <f t="shared" si="118"/>
        <v>0</v>
      </c>
      <c r="AF205" s="196">
        <f t="shared" si="101"/>
        <v>0</v>
      </c>
      <c r="AG205" s="196">
        <f t="shared" si="102"/>
        <v>0</v>
      </c>
      <c r="AH205" s="196">
        <f t="shared" si="103"/>
        <v>0</v>
      </c>
      <c r="AI205" s="203">
        <f t="shared" si="104"/>
        <v>0</v>
      </c>
      <c r="AK205" s="72">
        <v>200</v>
      </c>
      <c r="AL205" s="143">
        <f t="shared" si="119"/>
        <v>0</v>
      </c>
      <c r="AM205" s="35">
        <f t="shared" si="120"/>
        <v>0</v>
      </c>
      <c r="AN205" s="35">
        <f t="shared" si="121"/>
        <v>0</v>
      </c>
      <c r="AO205" s="35">
        <f t="shared" si="122"/>
        <v>0</v>
      </c>
      <c r="AP205" s="35">
        <f t="shared" si="123"/>
        <v>0</v>
      </c>
      <c r="AQ205" s="196">
        <f t="shared" si="105"/>
        <v>0</v>
      </c>
      <c r="AR205" s="196">
        <f t="shared" si="106"/>
        <v>0</v>
      </c>
      <c r="AS205" s="196">
        <f t="shared" si="107"/>
        <v>0</v>
      </c>
      <c r="AT205" s="196">
        <f t="shared" si="108"/>
        <v>0</v>
      </c>
      <c r="AU205" s="35"/>
      <c r="AV205" s="35"/>
      <c r="AW205" s="35"/>
      <c r="AX205" s="35"/>
      <c r="AY205" s="77"/>
    </row>
    <row r="206" spans="3:51" x14ac:dyDescent="0.3">
      <c r="E206" s="24"/>
    </row>
    <row r="207" spans="3:51" x14ac:dyDescent="0.3">
      <c r="E207" s="24"/>
    </row>
  </sheetData>
  <mergeCells count="29">
    <mergeCell ref="AA3:AI3"/>
    <mergeCell ref="B14:B21"/>
    <mergeCell ref="C17:C21"/>
    <mergeCell ref="AK3:AY3"/>
    <mergeCell ref="B7:B13"/>
    <mergeCell ref="B4:F4"/>
    <mergeCell ref="D19:E19"/>
    <mergeCell ref="D20:E20"/>
    <mergeCell ref="D21:E21"/>
    <mergeCell ref="D8:E8"/>
    <mergeCell ref="D5:E5"/>
    <mergeCell ref="C7:F7"/>
    <mergeCell ref="D6:E6"/>
    <mergeCell ref="D9:E9"/>
    <mergeCell ref="I3:O3"/>
    <mergeCell ref="P3:X3"/>
    <mergeCell ref="B23:G23"/>
    <mergeCell ref="B80:G80"/>
    <mergeCell ref="C14:F14"/>
    <mergeCell ref="D18:E18"/>
    <mergeCell ref="B5:B6"/>
    <mergeCell ref="D10:E10"/>
    <mergeCell ref="D11:E11"/>
    <mergeCell ref="D12:E12"/>
    <mergeCell ref="D13:E13"/>
    <mergeCell ref="C10:C13"/>
    <mergeCell ref="D15:E15"/>
    <mergeCell ref="D16:E16"/>
    <mergeCell ref="D17:E17"/>
  </mergeCells>
  <dataValidations count="4">
    <dataValidation type="list" allowBlank="1" showInputMessage="1" showErrorMessage="1" sqref="D81:G81">
      <formula1>$B$104:$B$108</formula1>
    </dataValidation>
    <dataValidation type="list" allowBlank="1" showInputMessage="1" showErrorMessage="1" sqref="F12">
      <formula1>$C$194:$C$195</formula1>
    </dataValidation>
    <dataValidation type="list" allowBlank="1" showInputMessage="1" showErrorMessage="1" sqref="F17">
      <formula1>$C$130:$C$195</formula1>
    </dataValidation>
    <dataValidation type="list" allowBlank="1" showInputMessage="1" showErrorMessage="1" sqref="D8:E8 D15 D5:E5">
      <formula1>$B$98:$B$101</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B3:AY207"/>
  <sheetViews>
    <sheetView zoomScale="85" zoomScaleNormal="85" workbookViewId="0">
      <selection activeCell="G21" sqref="G21"/>
    </sheetView>
  </sheetViews>
  <sheetFormatPr baseColWidth="10" defaultRowHeight="14.4" x14ac:dyDescent="0.3"/>
  <cols>
    <col min="3" max="5" width="13.6640625" customWidth="1"/>
    <col min="6" max="6" width="16.5546875" style="26" customWidth="1"/>
    <col min="7" max="7" width="14.44140625" style="24" customWidth="1"/>
    <col min="8" max="8" width="11.4414062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4" max="54" width="19.33203125" customWidth="1"/>
  </cols>
  <sheetData>
    <row r="3" spans="2:51"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1" ht="45" customHeight="1" x14ac:dyDescent="0.3">
      <c r="B4" s="374" t="s">
        <v>173</v>
      </c>
      <c r="C4" s="374"/>
      <c r="D4" s="374"/>
      <c r="E4" s="374"/>
      <c r="F4" s="374"/>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row>
    <row r="5" spans="2:51" x14ac:dyDescent="0.3">
      <c r="B5" s="363" t="s">
        <v>133</v>
      </c>
      <c r="C5" s="91" t="s">
        <v>73</v>
      </c>
      <c r="D5" s="375" t="s">
        <v>135</v>
      </c>
      <c r="E5" s="37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5">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68" si="10">IF(AK5&lt;=$F$18,IFERROR(VLOOKUP($AA5,$B$82:$G$94,2,FALSE),0),)</f>
        <v>0</v>
      </c>
      <c r="AM5" s="33">
        <f t="shared" ref="AM5:AM68" si="11">IF(AK5&lt;=$F$18,IFERROR(VLOOKUP($AA5,$B$82:$G$94,3,FALSE),0),)</f>
        <v>0</v>
      </c>
      <c r="AN5" s="33">
        <f t="shared" ref="AN5:AN68" si="12">IF(AK5&lt;=$F$18,IFERROR(VLOOKUP($AA5,$B$82:$G$94,4,FALSE),0),)</f>
        <v>0</v>
      </c>
      <c r="AO5" s="33">
        <f t="shared" ref="AO5:AO68" si="13">IF(AK5&lt;=$F$18,IFERROR(VLOOKUP($AA5,$B$82:$G$94,5,FALSE),0),)</f>
        <v>0</v>
      </c>
      <c r="AP5" s="33">
        <f t="shared" ref="AP5:AP68" si="14">IF(AK5&lt;=$F$18,IFERROR(VLOOKUP($AA5,$B$82:$G$94,6,FALSE),0),)</f>
        <v>0</v>
      </c>
      <c r="AQ5" s="194">
        <f t="shared" ref="AQ5:AQ68" si="15">IF($AK5&lt;=$F$18,$AL5*AM5,)</f>
        <v>0</v>
      </c>
      <c r="AR5" s="194">
        <f t="shared" ref="AR5:AR68" si="16">IF($AK5&lt;=$F$18,$AL5*AN5,)</f>
        <v>0</v>
      </c>
      <c r="AS5" s="194">
        <f t="shared" ref="AS5:AS68" si="17">IF($AK5&lt;=$F$18,$AL5*AO5,)</f>
        <v>0</v>
      </c>
      <c r="AT5" s="194">
        <f t="shared" ref="AT5:AT68" si="18">IF($AK5&lt;=$F$18,$AL5*AP5,)</f>
        <v>0</v>
      </c>
      <c r="AU5" s="33"/>
      <c r="AV5" s="33"/>
      <c r="AW5" s="33"/>
      <c r="AX5" s="33"/>
      <c r="AY5" s="164">
        <v>0</v>
      </c>
    </row>
    <row r="6" spans="2:51" x14ac:dyDescent="0.3">
      <c r="B6" s="364"/>
      <c r="C6" s="98" t="s">
        <v>74</v>
      </c>
      <c r="D6" s="366" t="s">
        <v>260</v>
      </c>
      <c r="E6" s="366"/>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9.0613665543896911</v>
      </c>
      <c r="R6" s="33">
        <f>IF(P6&lt;=$F$18,Q6+R5,)</f>
        <v>9.0613665543896911</v>
      </c>
      <c r="S6" s="33">
        <f>$F$19*R6</f>
        <v>4.1682286150192578</v>
      </c>
      <c r="T6" s="33">
        <f t="shared" si="2"/>
        <v>1.6268264971102313</v>
      </c>
      <c r="U6" s="33">
        <f t="shared" ref="U6:U69" si="20">IF(P6&lt;=$F$18,$F$5+($F$15-$F$5)*(1-EXP(-0.0175*P6)),)</f>
        <v>70</v>
      </c>
      <c r="V6" s="33">
        <f t="shared" si="3"/>
        <v>0.33333333333333331</v>
      </c>
      <c r="W6" s="33">
        <v>0</v>
      </c>
      <c r="X6" s="33">
        <f t="shared" si="4"/>
        <v>267.98194320918105</v>
      </c>
      <c r="Y6" s="38">
        <f t="shared" si="5"/>
        <v>8.6118678013332328</v>
      </c>
      <c r="AA6" s="71">
        <v>1</v>
      </c>
      <c r="AB6" s="33">
        <f t="shared" si="6"/>
        <v>0</v>
      </c>
      <c r="AC6" s="305">
        <f t="shared" si="7"/>
        <v>0.4</v>
      </c>
      <c r="AD6" s="100">
        <f t="shared" si="8"/>
        <v>0.11199999999999999</v>
      </c>
      <c r="AE6" s="100">
        <f t="shared" si="9"/>
        <v>8.7999999999999981E-2</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0.8</v>
      </c>
      <c r="AN6" s="33">
        <f t="shared" si="12"/>
        <v>0.11199999999999999</v>
      </c>
      <c r="AO6" s="33">
        <f t="shared" si="13"/>
        <v>8.7999999999999981E-2</v>
      </c>
      <c r="AP6" s="33">
        <f t="shared" si="14"/>
        <v>0</v>
      </c>
      <c r="AQ6" s="194">
        <f t="shared" si="15"/>
        <v>0</v>
      </c>
      <c r="AR6" s="194">
        <f t="shared" si="16"/>
        <v>0</v>
      </c>
      <c r="AS6" s="194">
        <f t="shared" si="17"/>
        <v>0</v>
      </c>
      <c r="AT6" s="194">
        <f t="shared" si="18"/>
        <v>0</v>
      </c>
      <c r="AU6" s="33"/>
      <c r="AV6" s="33"/>
      <c r="AW6" s="33"/>
      <c r="AX6" s="33"/>
      <c r="AY6" s="164">
        <f>IF(AK6&lt;=$F$18,AL6*$G$108+AY5,)</f>
        <v>0</v>
      </c>
    </row>
    <row r="7" spans="2:51" x14ac:dyDescent="0.3">
      <c r="B7" s="363" t="s">
        <v>134</v>
      </c>
      <c r="C7" s="376"/>
      <c r="D7" s="377"/>
      <c r="E7" s="377"/>
      <c r="F7" s="378"/>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9.0613665543896911</v>
      </c>
      <c r="R7" s="33">
        <f t="shared" ref="R7:R70" si="25">IF(P7&lt;=$F$18,Q7+R6,)</f>
        <v>18.122733108779382</v>
      </c>
      <c r="S7" s="33">
        <f t="shared" ref="S7:S70" si="26">$F$19*R7</f>
        <v>8.3364572300385156</v>
      </c>
      <c r="T7" s="33">
        <f t="shared" si="2"/>
        <v>3.001451579662294</v>
      </c>
      <c r="U7" s="33">
        <f t="shared" si="20"/>
        <v>70</v>
      </c>
      <c r="V7" s="33">
        <f t="shared" si="3"/>
        <v>0.66666666666666663</v>
      </c>
      <c r="W7" s="33">
        <v>0</v>
      </c>
      <c r="X7" s="33">
        <f t="shared" si="4"/>
        <v>278.85796895467337</v>
      </c>
      <c r="Y7" s="38">
        <f t="shared" si="5"/>
        <v>16.860205468678828</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5"/>
        <v>0</v>
      </c>
      <c r="AR7" s="194">
        <f t="shared" si="16"/>
        <v>0</v>
      </c>
      <c r="AS7" s="194">
        <f t="shared" si="17"/>
        <v>0</v>
      </c>
      <c r="AT7" s="194">
        <f t="shared" si="18"/>
        <v>0</v>
      </c>
      <c r="AU7" s="33"/>
      <c r="AV7" s="33"/>
      <c r="AW7" s="33"/>
      <c r="AX7" s="33"/>
      <c r="AY7" s="164">
        <f t="shared" ref="AY7:AY35" si="27">IF(AK7&lt;=$F$18,AL7*$G$108+AY6,)</f>
        <v>0</v>
      </c>
    </row>
    <row r="8" spans="2:51" x14ac:dyDescent="0.3">
      <c r="B8" s="373"/>
      <c r="C8" s="93" t="s">
        <v>73</v>
      </c>
      <c r="D8" s="369" t="s">
        <v>135</v>
      </c>
      <c r="E8" s="369"/>
      <c r="F8" s="94">
        <f>IF(D8="","",VLOOKUP(D8,$B$97:$C$100,2,0))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9.0613665543896911</v>
      </c>
      <c r="R8" s="33">
        <f t="shared" si="25"/>
        <v>27.184099663169071</v>
      </c>
      <c r="S8" s="33">
        <f t="shared" si="26"/>
        <v>12.504685845057773</v>
      </c>
      <c r="T8" s="33">
        <f t="shared" si="2"/>
        <v>4.2946282650311343</v>
      </c>
      <c r="U8" s="33">
        <f t="shared" si="20"/>
        <v>70</v>
      </c>
      <c r="V8" s="33">
        <f t="shared" si="3"/>
        <v>1</v>
      </c>
      <c r="W8" s="33">
        <v>0</v>
      </c>
      <c r="X8" s="33">
        <f t="shared" si="4"/>
        <v>289.59213874173821</v>
      </c>
      <c r="Y8" s="38">
        <f t="shared" si="5"/>
        <v>24.991141150817725</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5"/>
        <v>0</v>
      </c>
      <c r="AR8" s="194">
        <f t="shared" si="16"/>
        <v>0</v>
      </c>
      <c r="AS8" s="194">
        <f t="shared" si="17"/>
        <v>0</v>
      </c>
      <c r="AT8" s="194">
        <f t="shared" si="18"/>
        <v>0</v>
      </c>
      <c r="AU8" s="33"/>
      <c r="AV8" s="33"/>
      <c r="AW8" s="33"/>
      <c r="AX8" s="33"/>
      <c r="AY8" s="164">
        <f t="shared" si="27"/>
        <v>0</v>
      </c>
    </row>
    <row r="9" spans="2:51" x14ac:dyDescent="0.3">
      <c r="B9" s="373"/>
      <c r="C9" s="93" t="s">
        <v>74</v>
      </c>
      <c r="D9" s="365" t="str">
        <f>IF(D8=$B$100,"totale","néant")</f>
        <v>totale</v>
      </c>
      <c r="E9" s="365"/>
      <c r="F9" s="94">
        <f>IF(D8=B100,10,VLOOKUP(D8,$B$97:$D$100,3,FALSE))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9.0613665543896911</v>
      </c>
      <c r="R9" s="33">
        <f t="shared" si="25"/>
        <v>36.245466217558764</v>
      </c>
      <c r="S9" s="33">
        <f t="shared" si="26"/>
        <v>16.672914460077031</v>
      </c>
      <c r="T9" s="33">
        <f t="shared" si="2"/>
        <v>5.5375982632810894</v>
      </c>
      <c r="U9" s="33">
        <f t="shared" si="20"/>
        <v>70</v>
      </c>
      <c r="V9" s="33">
        <f t="shared" si="3"/>
        <v>1.3333333333333333</v>
      </c>
      <c r="W9" s="33">
        <v>0</v>
      </c>
      <c r="X9" s="33">
        <f t="shared" si="4"/>
        <v>300.23886521540425</v>
      </c>
      <c r="Y9" s="38">
        <f t="shared" si="5"/>
        <v>33.0497075176321</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5"/>
        <v>0</v>
      </c>
      <c r="AR9" s="194">
        <f t="shared" si="16"/>
        <v>0</v>
      </c>
      <c r="AS9" s="194">
        <f t="shared" si="17"/>
        <v>0</v>
      </c>
      <c r="AT9" s="194">
        <f t="shared" si="18"/>
        <v>0</v>
      </c>
      <c r="AU9" s="33"/>
      <c r="AV9" s="33"/>
      <c r="AW9" s="33"/>
      <c r="AX9" s="33"/>
      <c r="AY9" s="164">
        <f t="shared" si="27"/>
        <v>0</v>
      </c>
    </row>
    <row r="10" spans="2:51" x14ac:dyDescent="0.3">
      <c r="B10" s="373"/>
      <c r="C10" s="367" t="s">
        <v>124</v>
      </c>
      <c r="D10" s="362" t="s">
        <v>136</v>
      </c>
      <c r="E10" s="362"/>
      <c r="F10" s="95">
        <f>F18</f>
        <v>60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9.0613665543896911</v>
      </c>
      <c r="R10" s="33">
        <f t="shared" si="25"/>
        <v>45.306832771948457</v>
      </c>
      <c r="S10" s="33">
        <f t="shared" si="26"/>
        <v>20.841143075096291</v>
      </c>
      <c r="T10" s="33">
        <f t="shared" si="2"/>
        <v>6.7445213415842877</v>
      </c>
      <c r="U10" s="33">
        <f t="shared" si="20"/>
        <v>70</v>
      </c>
      <c r="V10" s="33">
        <f t="shared" si="3"/>
        <v>1.6666666666666667</v>
      </c>
      <c r="W10" s="33">
        <v>0</v>
      </c>
      <c r="X10" s="33">
        <f t="shared" si="4"/>
        <v>310.82280997016312</v>
      </c>
      <c r="Y10" s="38">
        <f t="shared" si="5"/>
        <v>41.056314851381558</v>
      </c>
      <c r="AA10" s="71">
        <v>5</v>
      </c>
      <c r="AB10" s="33">
        <f t="shared" si="6"/>
        <v>0</v>
      </c>
      <c r="AC10" s="305">
        <f t="shared" si="7"/>
        <v>0</v>
      </c>
      <c r="AD10" s="100">
        <f t="shared" si="8"/>
        <v>0</v>
      </c>
      <c r="AE10" s="100">
        <f t="shared" si="9"/>
        <v>0</v>
      </c>
      <c r="AF10" s="194">
        <f t="shared" ref="AF10:AF24" si="28">IF(OR(AA10&lt;=$F$18,AA10&lt;=30),EXP(-LN(2)/$D$104)*AF9+((1-EXP(-LN(2)/$D$104))/(LN(2)/$D$104))*$AB10*AC10*0.475*$F$19*44/12,)</f>
        <v>0</v>
      </c>
      <c r="AG10" s="194">
        <f t="shared" ref="AG10:AG24" si="29">IF(OR(AA10&lt;=$F$18,AA10&lt;=30),EXP(-LN(2)/$D$106)*AG9+((1-EXP(-LN(2)/$D$106))/(LN(2)/$D$106))*$AB10*AD10*0.475*$F$19*44/12,)</f>
        <v>0</v>
      </c>
      <c r="AH10" s="194">
        <f t="shared" ref="AH10:AH24" si="30">IF(OR(AA10&lt;=$F$18,AA10&lt;=30),EXP(-LN(2)/$D$105)*AH9+((1-EXP(-LN(2)/$D$105))/(LN(2)/$D$105))*$AB10*AE10*0.475*$F$19*44/12,)</f>
        <v>0</v>
      </c>
      <c r="AI10" s="199">
        <f t="shared" ref="AI10:AI24" si="31">IF(OR(AA10&lt;=$F$18,AA10&lt;=30),SUM(AF10:AH10),)</f>
        <v>0</v>
      </c>
      <c r="AK10" s="71">
        <v>5</v>
      </c>
      <c r="AL10" s="33">
        <f t="shared" si="10"/>
        <v>0</v>
      </c>
      <c r="AM10" s="33">
        <f t="shared" si="11"/>
        <v>0</v>
      </c>
      <c r="AN10" s="33">
        <f t="shared" si="12"/>
        <v>0</v>
      </c>
      <c r="AO10" s="33">
        <f t="shared" si="13"/>
        <v>0</v>
      </c>
      <c r="AP10" s="33">
        <f t="shared" si="14"/>
        <v>0</v>
      </c>
      <c r="AQ10" s="194">
        <f t="shared" si="15"/>
        <v>0</v>
      </c>
      <c r="AR10" s="194">
        <f t="shared" si="16"/>
        <v>0</v>
      </c>
      <c r="AS10" s="194">
        <f t="shared" si="17"/>
        <v>0</v>
      </c>
      <c r="AT10" s="194">
        <f t="shared" si="18"/>
        <v>0</v>
      </c>
      <c r="AU10" s="33"/>
      <c r="AV10" s="33"/>
      <c r="AW10" s="33"/>
      <c r="AX10" s="33"/>
      <c r="AY10" s="164">
        <f t="shared" si="27"/>
        <v>0</v>
      </c>
    </row>
    <row r="11" spans="2:51" x14ac:dyDescent="0.3">
      <c r="B11" s="373"/>
      <c r="C11" s="367"/>
      <c r="D11" s="365" t="s">
        <v>139</v>
      </c>
      <c r="E11" s="365"/>
      <c r="F11" s="36">
        <f>IF(D8=$B$100,1,0)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9.0613665543896911</v>
      </c>
      <c r="R11" s="33">
        <f t="shared" si="25"/>
        <v>54.36819932633815</v>
      </c>
      <c r="S11" s="33">
        <f t="shared" si="26"/>
        <v>25.00937169011555</v>
      </c>
      <c r="T11" s="33">
        <f t="shared" si="2"/>
        <v>7.9234748223225022</v>
      </c>
      <c r="U11" s="33">
        <f t="shared" si="20"/>
        <v>70</v>
      </c>
      <c r="V11" s="33">
        <f t="shared" si="3"/>
        <v>2</v>
      </c>
      <c r="W11" s="33">
        <v>0</v>
      </c>
      <c r="X11" s="33">
        <f t="shared" si="4"/>
        <v>321.35804100916295</v>
      </c>
      <c r="Y11" s="38">
        <f t="shared" si="5"/>
        <v>49.022606029219673</v>
      </c>
      <c r="AA11" s="71">
        <v>6</v>
      </c>
      <c r="AB11" s="33">
        <f t="shared" si="6"/>
        <v>0</v>
      </c>
      <c r="AC11" s="305">
        <f t="shared" si="7"/>
        <v>0</v>
      </c>
      <c r="AD11" s="100">
        <f t="shared" si="8"/>
        <v>0</v>
      </c>
      <c r="AE11" s="100">
        <f t="shared" si="9"/>
        <v>0</v>
      </c>
      <c r="AF11" s="194">
        <f t="shared" si="28"/>
        <v>0</v>
      </c>
      <c r="AG11" s="194">
        <f t="shared" si="29"/>
        <v>0</v>
      </c>
      <c r="AH11" s="194">
        <f t="shared" si="30"/>
        <v>0</v>
      </c>
      <c r="AI11" s="199">
        <f t="shared" si="31"/>
        <v>0</v>
      </c>
      <c r="AK11" s="71">
        <v>6</v>
      </c>
      <c r="AL11" s="33">
        <f t="shared" si="10"/>
        <v>0</v>
      </c>
      <c r="AM11" s="33">
        <f t="shared" si="11"/>
        <v>0</v>
      </c>
      <c r="AN11" s="33">
        <f t="shared" si="12"/>
        <v>0</v>
      </c>
      <c r="AO11" s="33">
        <f t="shared" si="13"/>
        <v>0</v>
      </c>
      <c r="AP11" s="33">
        <f t="shared" si="14"/>
        <v>0</v>
      </c>
      <c r="AQ11" s="194">
        <f t="shared" si="15"/>
        <v>0</v>
      </c>
      <c r="AR11" s="194">
        <f t="shared" si="16"/>
        <v>0</v>
      </c>
      <c r="AS11" s="194">
        <f t="shared" si="17"/>
        <v>0</v>
      </c>
      <c r="AT11" s="194">
        <f t="shared" si="18"/>
        <v>0</v>
      </c>
      <c r="AU11" s="33"/>
      <c r="AV11" s="33"/>
      <c r="AW11" s="33"/>
      <c r="AX11" s="33"/>
      <c r="AY11" s="164">
        <f t="shared" si="27"/>
        <v>0</v>
      </c>
    </row>
    <row r="12" spans="2:51" x14ac:dyDescent="0.3">
      <c r="B12" s="373"/>
      <c r="C12" s="367"/>
      <c r="D12" s="362" t="s">
        <v>131</v>
      </c>
      <c r="E12" s="362"/>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9.0613665543896911</v>
      </c>
      <c r="R12" s="33">
        <f t="shared" si="25"/>
        <v>63.429565880727843</v>
      </c>
      <c r="S12" s="33">
        <f t="shared" si="26"/>
        <v>29.17760030513481</v>
      </c>
      <c r="T12" s="33">
        <f t="shared" si="2"/>
        <v>9.0796658429210524</v>
      </c>
      <c r="U12" s="33">
        <f t="shared" si="20"/>
        <v>70</v>
      </c>
      <c r="V12" s="33">
        <f t="shared" si="3"/>
        <v>2.3333333333333335</v>
      </c>
      <c r="W12" s="33">
        <v>0</v>
      </c>
      <c r="X12" s="33">
        <f t="shared" si="4"/>
        <v>331.85362743008614</v>
      </c>
      <c r="Y12" s="38">
        <f t="shared" si="5"/>
        <v>56.956086763869109</v>
      </c>
      <c r="AA12" s="71">
        <v>7</v>
      </c>
      <c r="AB12" s="33">
        <f t="shared" si="6"/>
        <v>0</v>
      </c>
      <c r="AC12" s="305">
        <f t="shared" si="7"/>
        <v>0</v>
      </c>
      <c r="AD12" s="100">
        <f t="shared" si="8"/>
        <v>0</v>
      </c>
      <c r="AE12" s="100">
        <f t="shared" si="9"/>
        <v>0</v>
      </c>
      <c r="AF12" s="194">
        <f t="shared" si="28"/>
        <v>0</v>
      </c>
      <c r="AG12" s="194">
        <f t="shared" si="29"/>
        <v>0</v>
      </c>
      <c r="AH12" s="194">
        <f t="shared" si="30"/>
        <v>0</v>
      </c>
      <c r="AI12" s="199">
        <f t="shared" si="31"/>
        <v>0</v>
      </c>
      <c r="AK12" s="71">
        <v>7</v>
      </c>
      <c r="AL12" s="33">
        <f t="shared" si="10"/>
        <v>0</v>
      </c>
      <c r="AM12" s="33">
        <f t="shared" si="11"/>
        <v>0</v>
      </c>
      <c r="AN12" s="33">
        <f t="shared" si="12"/>
        <v>0</v>
      </c>
      <c r="AO12" s="33">
        <f t="shared" si="13"/>
        <v>0</v>
      </c>
      <c r="AP12" s="33">
        <f t="shared" si="14"/>
        <v>0</v>
      </c>
      <c r="AQ12" s="194">
        <f t="shared" si="15"/>
        <v>0</v>
      </c>
      <c r="AR12" s="194">
        <f t="shared" si="16"/>
        <v>0</v>
      </c>
      <c r="AS12" s="194">
        <f t="shared" si="17"/>
        <v>0</v>
      </c>
      <c r="AT12" s="194">
        <f t="shared" si="18"/>
        <v>0</v>
      </c>
      <c r="AU12" s="33"/>
      <c r="AV12" s="33"/>
      <c r="AW12" s="33"/>
      <c r="AX12" s="33"/>
      <c r="AY12" s="164">
        <f t="shared" si="27"/>
        <v>0</v>
      </c>
    </row>
    <row r="13" spans="2:51" x14ac:dyDescent="0.3">
      <c r="B13" s="364"/>
      <c r="C13" s="368"/>
      <c r="D13" s="366" t="s">
        <v>155</v>
      </c>
      <c r="E13" s="366"/>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9.0613665543896911</v>
      </c>
      <c r="R13" s="33">
        <f t="shared" si="25"/>
        <v>72.490932435117529</v>
      </c>
      <c r="S13" s="33">
        <f t="shared" si="26"/>
        <v>33.345828920154062</v>
      </c>
      <c r="T13" s="33">
        <f t="shared" si="2"/>
        <v>10.216721380174317</v>
      </c>
      <c r="U13" s="33">
        <f t="shared" si="20"/>
        <v>70</v>
      </c>
      <c r="V13" s="33">
        <f t="shared" si="3"/>
        <v>2.6666666666666665</v>
      </c>
      <c r="W13" s="33">
        <v>0</v>
      </c>
      <c r="X13" s="33">
        <f t="shared" si="4"/>
        <v>342.31588621751638</v>
      </c>
      <c r="Y13" s="38">
        <f t="shared" si="5"/>
        <v>64.861985080566569</v>
      </c>
      <c r="AA13" s="71">
        <v>8</v>
      </c>
      <c r="AB13" s="33">
        <f t="shared" si="6"/>
        <v>0</v>
      </c>
      <c r="AC13" s="305">
        <f t="shared" si="7"/>
        <v>0</v>
      </c>
      <c r="AD13" s="100">
        <f t="shared" si="8"/>
        <v>0</v>
      </c>
      <c r="AE13" s="100">
        <f t="shared" si="9"/>
        <v>0</v>
      </c>
      <c r="AF13" s="194">
        <f t="shared" si="28"/>
        <v>0</v>
      </c>
      <c r="AG13" s="194">
        <f t="shared" si="29"/>
        <v>0</v>
      </c>
      <c r="AH13" s="194">
        <f t="shared" si="30"/>
        <v>0</v>
      </c>
      <c r="AI13" s="199">
        <f t="shared" si="31"/>
        <v>0</v>
      </c>
      <c r="AK13" s="71">
        <v>8</v>
      </c>
      <c r="AL13" s="33">
        <f t="shared" si="10"/>
        <v>0</v>
      </c>
      <c r="AM13" s="33">
        <f t="shared" si="11"/>
        <v>0</v>
      </c>
      <c r="AN13" s="33">
        <f t="shared" si="12"/>
        <v>0</v>
      </c>
      <c r="AO13" s="33">
        <f t="shared" si="13"/>
        <v>0</v>
      </c>
      <c r="AP13" s="33">
        <f t="shared" si="14"/>
        <v>0</v>
      </c>
      <c r="AQ13" s="194">
        <f t="shared" si="15"/>
        <v>0</v>
      </c>
      <c r="AR13" s="194">
        <f t="shared" si="16"/>
        <v>0</v>
      </c>
      <c r="AS13" s="194">
        <f t="shared" si="17"/>
        <v>0</v>
      </c>
      <c r="AT13" s="194">
        <f t="shared" si="18"/>
        <v>0</v>
      </c>
      <c r="AU13" s="33"/>
      <c r="AV13" s="33"/>
      <c r="AW13" s="33"/>
      <c r="AX13" s="33"/>
      <c r="AY13" s="164">
        <f t="shared" si="27"/>
        <v>0</v>
      </c>
    </row>
    <row r="14" spans="2:51" x14ac:dyDescent="0.3">
      <c r="B14" s="363" t="s">
        <v>132</v>
      </c>
      <c r="C14" s="359"/>
      <c r="D14" s="360"/>
      <c r="E14" s="360"/>
      <c r="F14" s="361"/>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9.0613665543896911</v>
      </c>
      <c r="R14" s="33">
        <f t="shared" si="25"/>
        <v>81.552298989507221</v>
      </c>
      <c r="S14" s="33">
        <f t="shared" si="26"/>
        <v>37.514057535173322</v>
      </c>
      <c r="T14" s="33">
        <f t="shared" si="2"/>
        <v>11.337307308165022</v>
      </c>
      <c r="U14" s="33">
        <f t="shared" si="20"/>
        <v>70</v>
      </c>
      <c r="V14" s="33">
        <f t="shared" si="3"/>
        <v>3</v>
      </c>
      <c r="W14" s="33">
        <v>0</v>
      </c>
      <c r="X14" s="33">
        <f t="shared" si="4"/>
        <v>352.7494604354809</v>
      </c>
      <c r="Y14" s="38">
        <f t="shared" si="5"/>
        <v>72.744143644366716</v>
      </c>
      <c r="AA14" s="71">
        <v>9</v>
      </c>
      <c r="AB14" s="33">
        <f t="shared" si="6"/>
        <v>0</v>
      </c>
      <c r="AC14" s="305">
        <f t="shared" si="7"/>
        <v>0</v>
      </c>
      <c r="AD14" s="100">
        <f t="shared" si="8"/>
        <v>0</v>
      </c>
      <c r="AE14" s="100">
        <f t="shared" si="9"/>
        <v>0</v>
      </c>
      <c r="AF14" s="194">
        <f t="shared" si="28"/>
        <v>0</v>
      </c>
      <c r="AG14" s="194">
        <f t="shared" si="29"/>
        <v>0</v>
      </c>
      <c r="AH14" s="194">
        <f t="shared" si="30"/>
        <v>0</v>
      </c>
      <c r="AI14" s="199">
        <f t="shared" si="31"/>
        <v>0</v>
      </c>
      <c r="AK14" s="71">
        <v>9</v>
      </c>
      <c r="AL14" s="33">
        <f t="shared" si="10"/>
        <v>0</v>
      </c>
      <c r="AM14" s="33">
        <f t="shared" si="11"/>
        <v>0</v>
      </c>
      <c r="AN14" s="33">
        <f t="shared" si="12"/>
        <v>0</v>
      </c>
      <c r="AO14" s="33">
        <f t="shared" si="13"/>
        <v>0</v>
      </c>
      <c r="AP14" s="33">
        <f t="shared" si="14"/>
        <v>0</v>
      </c>
      <c r="AQ14" s="194">
        <f t="shared" si="15"/>
        <v>0</v>
      </c>
      <c r="AR14" s="194">
        <f t="shared" si="16"/>
        <v>0</v>
      </c>
      <c r="AS14" s="194">
        <f t="shared" si="17"/>
        <v>0</v>
      </c>
      <c r="AT14" s="194">
        <f t="shared" si="18"/>
        <v>0</v>
      </c>
      <c r="AU14" s="33"/>
      <c r="AV14" s="33"/>
      <c r="AW14" s="33"/>
      <c r="AX14" s="33"/>
      <c r="AY14" s="164">
        <f t="shared" si="27"/>
        <v>0</v>
      </c>
    </row>
    <row r="15" spans="2:51" x14ac:dyDescent="0.3">
      <c r="B15" s="373"/>
      <c r="C15" s="93" t="s">
        <v>73</v>
      </c>
      <c r="D15" s="369" t="s">
        <v>135</v>
      </c>
      <c r="E15" s="369"/>
      <c r="F15" s="94">
        <f>IF(D15="","",VLOOKUP(D15,$B$97:$C$100,2,0))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9.0613665543896911</v>
      </c>
      <c r="R15" s="33">
        <f t="shared" si="25"/>
        <v>90.613665543896914</v>
      </c>
      <c r="S15" s="33">
        <f t="shared" si="26"/>
        <v>41.682286150192581</v>
      </c>
      <c r="T15" s="33">
        <f t="shared" si="2"/>
        <v>12.443462330324053</v>
      </c>
      <c r="U15" s="33">
        <f t="shared" si="20"/>
        <v>70</v>
      </c>
      <c r="V15" s="33">
        <f t="shared" si="3"/>
        <v>3.3333333333333335</v>
      </c>
      <c r="W15" s="33">
        <v>0</v>
      </c>
      <c r="X15" s="33">
        <f t="shared" si="4"/>
        <v>363.15790082578866</v>
      </c>
      <c r="Y15" s="38">
        <f t="shared" si="5"/>
        <v>80.605501099102071</v>
      </c>
      <c r="AA15" s="71">
        <v>10</v>
      </c>
      <c r="AB15" s="33">
        <f t="shared" si="6"/>
        <v>0</v>
      </c>
      <c r="AC15" s="305">
        <f t="shared" si="7"/>
        <v>0</v>
      </c>
      <c r="AD15" s="100">
        <f t="shared" si="8"/>
        <v>0</v>
      </c>
      <c r="AE15" s="100">
        <f t="shared" si="9"/>
        <v>0</v>
      </c>
      <c r="AF15" s="194">
        <f t="shared" si="28"/>
        <v>0</v>
      </c>
      <c r="AG15" s="194">
        <f t="shared" si="29"/>
        <v>0</v>
      </c>
      <c r="AH15" s="194">
        <f t="shared" si="30"/>
        <v>0</v>
      </c>
      <c r="AI15" s="199">
        <f t="shared" si="31"/>
        <v>0</v>
      </c>
      <c r="AK15" s="71">
        <v>10</v>
      </c>
      <c r="AL15" s="33">
        <f t="shared" si="10"/>
        <v>0</v>
      </c>
      <c r="AM15" s="33">
        <f t="shared" si="11"/>
        <v>0</v>
      </c>
      <c r="AN15" s="33">
        <f t="shared" si="12"/>
        <v>0</v>
      </c>
      <c r="AO15" s="33">
        <f t="shared" si="13"/>
        <v>0</v>
      </c>
      <c r="AP15" s="33">
        <f t="shared" si="14"/>
        <v>0</v>
      </c>
      <c r="AQ15" s="194">
        <f t="shared" si="15"/>
        <v>0</v>
      </c>
      <c r="AR15" s="194">
        <f t="shared" si="16"/>
        <v>0</v>
      </c>
      <c r="AS15" s="194">
        <f t="shared" si="17"/>
        <v>0</v>
      </c>
      <c r="AT15" s="194">
        <f t="shared" si="18"/>
        <v>0</v>
      </c>
      <c r="AU15" s="33"/>
      <c r="AV15" s="33"/>
      <c r="AW15" s="33"/>
      <c r="AX15" s="33"/>
      <c r="AY15" s="164">
        <f t="shared" si="27"/>
        <v>0</v>
      </c>
    </row>
    <row r="16" spans="2:51" x14ac:dyDescent="0.3">
      <c r="B16" s="373"/>
      <c r="C16" s="93" t="s">
        <v>74</v>
      </c>
      <c r="D16" s="365" t="s">
        <v>138</v>
      </c>
      <c r="E16" s="365"/>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9.0613665543896911</v>
      </c>
      <c r="R16" s="33">
        <f t="shared" si="25"/>
        <v>99.675032098286607</v>
      </c>
      <c r="S16" s="33">
        <f t="shared" si="26"/>
        <v>45.850514765211841</v>
      </c>
      <c r="T16" s="33">
        <f t="shared" si="2"/>
        <v>13.536793814532365</v>
      </c>
      <c r="U16" s="33">
        <f t="shared" si="20"/>
        <v>70</v>
      </c>
      <c r="V16" s="33">
        <f t="shared" si="3"/>
        <v>3.6666666666666665</v>
      </c>
      <c r="W16" s="33">
        <v>0</v>
      </c>
      <c r="X16" s="33">
        <f t="shared" si="4"/>
        <v>373.54400688749894</v>
      </c>
      <c r="Y16" s="38">
        <f t="shared" si="5"/>
        <v>88.448374349545418</v>
      </c>
      <c r="AA16" s="71">
        <v>11</v>
      </c>
      <c r="AB16" s="33">
        <f t="shared" si="6"/>
        <v>0</v>
      </c>
      <c r="AC16" s="305">
        <f t="shared" si="7"/>
        <v>0</v>
      </c>
      <c r="AD16" s="100">
        <f t="shared" si="8"/>
        <v>0</v>
      </c>
      <c r="AE16" s="100">
        <f t="shared" si="9"/>
        <v>0</v>
      </c>
      <c r="AF16" s="194">
        <f t="shared" si="28"/>
        <v>0</v>
      </c>
      <c r="AG16" s="194">
        <f t="shared" si="29"/>
        <v>0</v>
      </c>
      <c r="AH16" s="194">
        <f t="shared" si="30"/>
        <v>0</v>
      </c>
      <c r="AI16" s="199">
        <f t="shared" si="31"/>
        <v>0</v>
      </c>
      <c r="AK16" s="71">
        <v>11</v>
      </c>
      <c r="AL16" s="33">
        <f t="shared" si="10"/>
        <v>0</v>
      </c>
      <c r="AM16" s="33">
        <f t="shared" si="11"/>
        <v>0</v>
      </c>
      <c r="AN16" s="33">
        <f t="shared" si="12"/>
        <v>0</v>
      </c>
      <c r="AO16" s="33">
        <f t="shared" si="13"/>
        <v>0</v>
      </c>
      <c r="AP16" s="33">
        <f t="shared" si="14"/>
        <v>0</v>
      </c>
      <c r="AQ16" s="194">
        <f t="shared" si="15"/>
        <v>0</v>
      </c>
      <c r="AR16" s="194">
        <f t="shared" si="16"/>
        <v>0</v>
      </c>
      <c r="AS16" s="194">
        <f t="shared" si="17"/>
        <v>0</v>
      </c>
      <c r="AT16" s="194">
        <f t="shared" si="18"/>
        <v>0</v>
      </c>
      <c r="AU16" s="33"/>
      <c r="AV16" s="33"/>
      <c r="AW16" s="33"/>
      <c r="AX16" s="33"/>
      <c r="AY16" s="164">
        <f t="shared" si="27"/>
        <v>0</v>
      </c>
    </row>
    <row r="17" spans="2:51" x14ac:dyDescent="0.3">
      <c r="B17" s="373"/>
      <c r="C17" s="367" t="s">
        <v>124</v>
      </c>
      <c r="D17" s="362" t="s">
        <v>131</v>
      </c>
      <c r="E17" s="362"/>
      <c r="F17" s="96" t="s">
        <v>53</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9.0613665543896911</v>
      </c>
      <c r="R17" s="33">
        <f t="shared" si="25"/>
        <v>108.7363986526763</v>
      </c>
      <c r="S17" s="33">
        <f t="shared" si="26"/>
        <v>50.018743380231101</v>
      </c>
      <c r="T17" s="33">
        <f t="shared" si="2"/>
        <v>14.618600117540907</v>
      </c>
      <c r="U17" s="33">
        <f t="shared" si="20"/>
        <v>70</v>
      </c>
      <c r="V17" s="33">
        <f t="shared" si="3"/>
        <v>4</v>
      </c>
      <c r="W17" s="33">
        <v>0</v>
      </c>
      <c r="X17" s="33">
        <f t="shared" si="4"/>
        <v>383.91003992528618</v>
      </c>
      <c r="Y17" s="38">
        <f t="shared" si="5"/>
        <v>96.274634883231613</v>
      </c>
      <c r="AA17" s="71">
        <v>12</v>
      </c>
      <c r="AB17" s="33">
        <f t="shared" si="6"/>
        <v>0</v>
      </c>
      <c r="AC17" s="305">
        <f t="shared" si="7"/>
        <v>0</v>
      </c>
      <c r="AD17" s="100">
        <f t="shared" si="8"/>
        <v>0</v>
      </c>
      <c r="AE17" s="100">
        <f t="shared" si="9"/>
        <v>0</v>
      </c>
      <c r="AF17" s="194">
        <f t="shared" si="28"/>
        <v>0</v>
      </c>
      <c r="AG17" s="194">
        <f t="shared" si="29"/>
        <v>0</v>
      </c>
      <c r="AH17" s="194">
        <f t="shared" si="30"/>
        <v>0</v>
      </c>
      <c r="AI17" s="199">
        <f t="shared" si="31"/>
        <v>0</v>
      </c>
      <c r="AK17" s="71">
        <v>12</v>
      </c>
      <c r="AL17" s="33">
        <f t="shared" si="10"/>
        <v>0</v>
      </c>
      <c r="AM17" s="33">
        <f t="shared" si="11"/>
        <v>0</v>
      </c>
      <c r="AN17" s="33">
        <f t="shared" si="12"/>
        <v>0</v>
      </c>
      <c r="AO17" s="33">
        <f t="shared" si="13"/>
        <v>0</v>
      </c>
      <c r="AP17" s="33">
        <f t="shared" si="14"/>
        <v>0</v>
      </c>
      <c r="AQ17" s="194">
        <f t="shared" si="15"/>
        <v>0</v>
      </c>
      <c r="AR17" s="194">
        <f t="shared" si="16"/>
        <v>0</v>
      </c>
      <c r="AS17" s="194">
        <f t="shared" si="17"/>
        <v>0</v>
      </c>
      <c r="AT17" s="194">
        <f t="shared" si="18"/>
        <v>0</v>
      </c>
      <c r="AU17" s="33"/>
      <c r="AV17" s="33"/>
      <c r="AW17" s="33"/>
      <c r="AX17" s="33"/>
      <c r="AY17" s="164">
        <f t="shared" si="27"/>
        <v>0</v>
      </c>
    </row>
    <row r="18" spans="2:51" x14ac:dyDescent="0.3">
      <c r="B18" s="373"/>
      <c r="C18" s="367"/>
      <c r="D18" s="362" t="s">
        <v>136</v>
      </c>
      <c r="E18" s="362"/>
      <c r="F18" s="97">
        <v>60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9.0613665543896911</v>
      </c>
      <c r="R18" s="33">
        <f t="shared" si="25"/>
        <v>117.79776520706599</v>
      </c>
      <c r="S18" s="33">
        <f t="shared" si="26"/>
        <v>54.18697199525036</v>
      </c>
      <c r="T18" s="33">
        <f t="shared" si="2"/>
        <v>15.689950863678794</v>
      </c>
      <c r="U18" s="33">
        <f t="shared" si="20"/>
        <v>70</v>
      </c>
      <c r="V18" s="33">
        <f t="shared" si="3"/>
        <v>4.333333333333333</v>
      </c>
      <c r="W18" s="33">
        <v>0</v>
      </c>
      <c r="X18" s="33">
        <f t="shared" si="4"/>
        <v>394.25786286819044</v>
      </c>
      <c r="Y18" s="38">
        <f t="shared" si="5"/>
        <v>104.08582448642073</v>
      </c>
      <c r="AA18" s="71">
        <v>13</v>
      </c>
      <c r="AB18" s="33">
        <f t="shared" si="6"/>
        <v>0</v>
      </c>
      <c r="AC18" s="305">
        <f t="shared" si="7"/>
        <v>0</v>
      </c>
      <c r="AD18" s="100">
        <f t="shared" si="8"/>
        <v>0</v>
      </c>
      <c r="AE18" s="100">
        <f t="shared" si="9"/>
        <v>0</v>
      </c>
      <c r="AF18" s="194">
        <f t="shared" si="28"/>
        <v>0</v>
      </c>
      <c r="AG18" s="194">
        <f t="shared" si="29"/>
        <v>0</v>
      </c>
      <c r="AH18" s="194">
        <f t="shared" si="30"/>
        <v>0</v>
      </c>
      <c r="AI18" s="199">
        <f t="shared" si="31"/>
        <v>0</v>
      </c>
      <c r="AK18" s="71">
        <v>13</v>
      </c>
      <c r="AL18" s="33">
        <f t="shared" si="10"/>
        <v>0</v>
      </c>
      <c r="AM18" s="33">
        <f t="shared" si="11"/>
        <v>0</v>
      </c>
      <c r="AN18" s="33">
        <f t="shared" si="12"/>
        <v>0</v>
      </c>
      <c r="AO18" s="33">
        <f t="shared" si="13"/>
        <v>0</v>
      </c>
      <c r="AP18" s="33">
        <f t="shared" si="14"/>
        <v>0</v>
      </c>
      <c r="AQ18" s="194">
        <f t="shared" si="15"/>
        <v>0</v>
      </c>
      <c r="AR18" s="194">
        <f t="shared" si="16"/>
        <v>0</v>
      </c>
      <c r="AS18" s="194">
        <f t="shared" si="17"/>
        <v>0</v>
      </c>
      <c r="AT18" s="194">
        <f t="shared" si="18"/>
        <v>0</v>
      </c>
      <c r="AU18" s="33"/>
      <c r="AV18" s="33"/>
      <c r="AW18" s="33"/>
      <c r="AX18" s="33"/>
      <c r="AY18" s="164">
        <f t="shared" si="27"/>
        <v>0</v>
      </c>
    </row>
    <row r="19" spans="2:51" x14ac:dyDescent="0.3">
      <c r="B19" s="373"/>
      <c r="C19" s="367"/>
      <c r="D19" s="365" t="s">
        <v>155</v>
      </c>
      <c r="E19" s="365"/>
      <c r="F19" s="36">
        <f>IF(ISBLANK(F$17),,VLOOKUP(F$17,C131:D195,2,FALSE))</f>
        <v>0.46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9.0613665543896911</v>
      </c>
      <c r="R19" s="33">
        <f t="shared" si="25"/>
        <v>126.85913176145569</v>
      </c>
      <c r="S19" s="33">
        <f t="shared" si="26"/>
        <v>58.35520061026962</v>
      </c>
      <c r="T19" s="33">
        <f t="shared" si="2"/>
        <v>16.751741771756127</v>
      </c>
      <c r="U19" s="33">
        <f t="shared" si="20"/>
        <v>70</v>
      </c>
      <c r="V19" s="33">
        <f t="shared" si="3"/>
        <v>4.666666666666667</v>
      </c>
      <c r="W19" s="33">
        <v>0</v>
      </c>
      <c r="X19" s="33">
        <f t="shared" si="4"/>
        <v>404.58903575980594</v>
      </c>
      <c r="Y19" s="38">
        <f t="shared" si="5"/>
        <v>111.88323427312008</v>
      </c>
      <c r="AA19" s="71">
        <v>14</v>
      </c>
      <c r="AB19" s="33">
        <f t="shared" si="6"/>
        <v>0</v>
      </c>
      <c r="AC19" s="305">
        <f t="shared" si="7"/>
        <v>0</v>
      </c>
      <c r="AD19" s="100">
        <f t="shared" si="8"/>
        <v>0</v>
      </c>
      <c r="AE19" s="100">
        <f t="shared" si="9"/>
        <v>0</v>
      </c>
      <c r="AF19" s="194">
        <f t="shared" si="28"/>
        <v>0</v>
      </c>
      <c r="AG19" s="194">
        <f t="shared" si="29"/>
        <v>0</v>
      </c>
      <c r="AH19" s="194">
        <f t="shared" si="30"/>
        <v>0</v>
      </c>
      <c r="AI19" s="199">
        <f t="shared" si="31"/>
        <v>0</v>
      </c>
      <c r="AK19" s="71">
        <v>14</v>
      </c>
      <c r="AL19" s="33">
        <f t="shared" si="10"/>
        <v>0</v>
      </c>
      <c r="AM19" s="33">
        <f t="shared" si="11"/>
        <v>0</v>
      </c>
      <c r="AN19" s="33">
        <f t="shared" si="12"/>
        <v>0</v>
      </c>
      <c r="AO19" s="33">
        <f t="shared" si="13"/>
        <v>0</v>
      </c>
      <c r="AP19" s="33">
        <f t="shared" si="14"/>
        <v>0</v>
      </c>
      <c r="AQ19" s="194">
        <f t="shared" si="15"/>
        <v>0</v>
      </c>
      <c r="AR19" s="194">
        <f t="shared" si="16"/>
        <v>0</v>
      </c>
      <c r="AS19" s="194">
        <f t="shared" si="17"/>
        <v>0</v>
      </c>
      <c r="AT19" s="194">
        <f t="shared" si="18"/>
        <v>0</v>
      </c>
      <c r="AU19" s="33"/>
      <c r="AV19" s="33"/>
      <c r="AW19" s="33"/>
      <c r="AX19" s="33"/>
      <c r="AY19" s="164">
        <f t="shared" si="27"/>
        <v>0</v>
      </c>
    </row>
    <row r="20" spans="2:51" x14ac:dyDescent="0.3">
      <c r="B20" s="373"/>
      <c r="C20" s="367"/>
      <c r="D20" s="365" t="s">
        <v>140</v>
      </c>
      <c r="E20" s="365"/>
      <c r="F20" s="36">
        <f>IF(ISBLANK(F$17),,VLOOKUP(F17,Tableau1456[#All],4,FALSE))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9.0613665543896911</v>
      </c>
      <c r="R20" s="33">
        <f t="shared" si="25"/>
        <v>135.92049831584538</v>
      </c>
      <c r="S20" s="33">
        <f t="shared" si="26"/>
        <v>62.523429225288879</v>
      </c>
      <c r="T20" s="33">
        <f t="shared" si="2"/>
        <v>17.804733349945526</v>
      </c>
      <c r="U20" s="33">
        <f t="shared" si="20"/>
        <v>70</v>
      </c>
      <c r="V20" s="33">
        <f t="shared" si="3"/>
        <v>5</v>
      </c>
      <c r="W20" s="33">
        <v>0</v>
      </c>
      <c r="X20" s="33">
        <f t="shared" si="4"/>
        <v>414.9048831518665</v>
      </c>
      <c r="Y20" s="38">
        <f t="shared" si="5"/>
        <v>119.6679604609634</v>
      </c>
      <c r="AA20" s="71">
        <v>15</v>
      </c>
      <c r="AB20" s="33">
        <f t="shared" si="6"/>
        <v>0</v>
      </c>
      <c r="AC20" s="305">
        <f t="shared" si="7"/>
        <v>0</v>
      </c>
      <c r="AD20" s="100">
        <f t="shared" si="8"/>
        <v>0</v>
      </c>
      <c r="AE20" s="100">
        <f t="shared" si="9"/>
        <v>0</v>
      </c>
      <c r="AF20" s="194">
        <f t="shared" si="28"/>
        <v>0</v>
      </c>
      <c r="AG20" s="194">
        <f t="shared" si="29"/>
        <v>0</v>
      </c>
      <c r="AH20" s="194">
        <f t="shared" si="30"/>
        <v>0</v>
      </c>
      <c r="AI20" s="199">
        <f t="shared" si="31"/>
        <v>0</v>
      </c>
      <c r="AK20" s="71">
        <v>15</v>
      </c>
      <c r="AL20" s="33">
        <f t="shared" si="10"/>
        <v>0</v>
      </c>
      <c r="AM20" s="33">
        <f t="shared" si="11"/>
        <v>0</v>
      </c>
      <c r="AN20" s="33">
        <f t="shared" si="12"/>
        <v>0</v>
      </c>
      <c r="AO20" s="33">
        <f t="shared" si="13"/>
        <v>0</v>
      </c>
      <c r="AP20" s="33">
        <f t="shared" si="14"/>
        <v>0</v>
      </c>
      <c r="AQ20" s="194">
        <f t="shared" si="15"/>
        <v>0</v>
      </c>
      <c r="AR20" s="194">
        <f t="shared" si="16"/>
        <v>0</v>
      </c>
      <c r="AS20" s="194">
        <f t="shared" si="17"/>
        <v>0</v>
      </c>
      <c r="AT20" s="194">
        <f t="shared" si="18"/>
        <v>0</v>
      </c>
      <c r="AU20" s="33"/>
      <c r="AV20" s="33"/>
      <c r="AW20" s="33"/>
      <c r="AX20" s="33"/>
      <c r="AY20" s="164">
        <f t="shared" si="27"/>
        <v>0</v>
      </c>
    </row>
    <row r="21" spans="2:51" x14ac:dyDescent="0.3">
      <c r="B21" s="364"/>
      <c r="C21" s="368"/>
      <c r="D21" s="366" t="s">
        <v>143</v>
      </c>
      <c r="E21" s="366"/>
      <c r="F21" s="102">
        <v>4.3</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-34.795647568856424</v>
      </c>
      <c r="R21" s="33">
        <f t="shared" si="25"/>
        <v>101.12485074698895</v>
      </c>
      <c r="S21" s="33">
        <f t="shared" si="26"/>
        <v>46.517431343614923</v>
      </c>
      <c r="T21" s="33">
        <f t="shared" si="2"/>
        <v>13.710627120435053</v>
      </c>
      <c r="U21" s="33">
        <f t="shared" si="20"/>
        <v>70</v>
      </c>
      <c r="V21" s="33">
        <f t="shared" si="3"/>
        <v>5.333333333333333</v>
      </c>
      <c r="W21" s="33">
        <v>0</v>
      </c>
      <c r="X21" s="33">
        <f t="shared" si="4"/>
        <v>381.11942404710925</v>
      </c>
      <c r="Y21" s="38">
        <f t="shared" si="5"/>
        <v>83.353825885522838</v>
      </c>
      <c r="AA21" s="71">
        <v>16</v>
      </c>
      <c r="AB21" s="33">
        <f t="shared" si="6"/>
        <v>26.765882745274169</v>
      </c>
      <c r="AC21" s="305">
        <f t="shared" si="7"/>
        <v>0</v>
      </c>
      <c r="AD21" s="100">
        <f t="shared" si="8"/>
        <v>0.56000000000000005</v>
      </c>
      <c r="AE21" s="100">
        <f t="shared" si="9"/>
        <v>0.44</v>
      </c>
      <c r="AF21" s="194">
        <f t="shared" si="28"/>
        <v>0</v>
      </c>
      <c r="AG21" s="194">
        <f t="shared" si="29"/>
        <v>11.843655880026503</v>
      </c>
      <c r="AH21" s="194">
        <f t="shared" si="30"/>
        <v>7.9739034125394355</v>
      </c>
      <c r="AI21" s="199">
        <f t="shared" si="31"/>
        <v>19.817559292565939</v>
      </c>
      <c r="AK21" s="71">
        <v>16</v>
      </c>
      <c r="AL21" s="33">
        <f t="shared" si="10"/>
        <v>26.765882745274169</v>
      </c>
      <c r="AM21" s="33">
        <f t="shared" si="11"/>
        <v>0</v>
      </c>
      <c r="AN21" s="33">
        <f t="shared" si="12"/>
        <v>0.56000000000000005</v>
      </c>
      <c r="AO21" s="33">
        <f t="shared" si="13"/>
        <v>0.44</v>
      </c>
      <c r="AP21" s="33">
        <f t="shared" si="14"/>
        <v>0</v>
      </c>
      <c r="AQ21" s="194">
        <f t="shared" si="15"/>
        <v>0</v>
      </c>
      <c r="AR21" s="194">
        <f t="shared" si="16"/>
        <v>14.988894337353535</v>
      </c>
      <c r="AS21" s="194">
        <f t="shared" si="17"/>
        <v>11.776988407920635</v>
      </c>
      <c r="AT21" s="194">
        <f t="shared" si="18"/>
        <v>0</v>
      </c>
      <c r="AU21" s="33"/>
      <c r="AV21" s="33"/>
      <c r="AW21" s="33"/>
      <c r="AX21" s="33"/>
      <c r="AY21" s="164">
        <f t="shared" si="27"/>
        <v>11.509329580467892</v>
      </c>
    </row>
    <row r="22" spans="2:51" x14ac:dyDescent="0.3">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24.186075564712759</v>
      </c>
      <c r="R22" s="33">
        <f t="shared" si="25"/>
        <v>125.31092631170171</v>
      </c>
      <c r="S22" s="33">
        <f t="shared" si="26"/>
        <v>57.643026103382788</v>
      </c>
      <c r="T22" s="33">
        <f t="shared" si="2"/>
        <v>16.570969296586387</v>
      </c>
      <c r="U22" s="33">
        <f t="shared" si="20"/>
        <v>70</v>
      </c>
      <c r="V22" s="33">
        <f t="shared" si="3"/>
        <v>5.666666666666667</v>
      </c>
      <c r="W22" s="33">
        <v>0</v>
      </c>
      <c r="X22" s="33">
        <f t="shared" si="4"/>
        <v>406.70048643272412</v>
      </c>
      <c r="Y22" s="38">
        <f t="shared" si="5"/>
        <v>106.40848827364425</v>
      </c>
      <c r="AA22" s="71">
        <v>17</v>
      </c>
      <c r="AB22" s="33">
        <f t="shared" si="6"/>
        <v>0</v>
      </c>
      <c r="AC22" s="305">
        <f t="shared" si="7"/>
        <v>0</v>
      </c>
      <c r="AD22" s="100">
        <f t="shared" si="8"/>
        <v>0</v>
      </c>
      <c r="AE22" s="100">
        <f t="shared" si="9"/>
        <v>0</v>
      </c>
      <c r="AF22" s="194">
        <f t="shared" si="28"/>
        <v>0</v>
      </c>
      <c r="AG22" s="194">
        <f t="shared" si="29"/>
        <v>11.519790487156385</v>
      </c>
      <c r="AH22" s="194">
        <f t="shared" si="30"/>
        <v>5.638401175533188</v>
      </c>
      <c r="AI22" s="199">
        <f t="shared" si="31"/>
        <v>17.158191662689575</v>
      </c>
      <c r="AK22" s="71">
        <v>17</v>
      </c>
      <c r="AL22" s="33">
        <f t="shared" si="10"/>
        <v>0</v>
      </c>
      <c r="AM22" s="33">
        <f t="shared" si="11"/>
        <v>0</v>
      </c>
      <c r="AN22" s="33">
        <f t="shared" si="12"/>
        <v>0</v>
      </c>
      <c r="AO22" s="33">
        <f t="shared" si="13"/>
        <v>0</v>
      </c>
      <c r="AP22" s="33">
        <f t="shared" si="14"/>
        <v>0</v>
      </c>
      <c r="AQ22" s="194">
        <f t="shared" si="15"/>
        <v>0</v>
      </c>
      <c r="AR22" s="194">
        <f t="shared" si="16"/>
        <v>0</v>
      </c>
      <c r="AS22" s="194">
        <f t="shared" si="17"/>
        <v>0</v>
      </c>
      <c r="AT22" s="194">
        <f t="shared" si="18"/>
        <v>0</v>
      </c>
      <c r="AU22" s="33"/>
      <c r="AV22" s="33"/>
      <c r="AW22" s="33"/>
      <c r="AX22" s="33"/>
      <c r="AY22" s="164">
        <f t="shared" si="27"/>
        <v>11.509329580467892</v>
      </c>
    </row>
    <row r="23" spans="2:51" x14ac:dyDescent="0.3">
      <c r="B23" s="385" t="s">
        <v>142</v>
      </c>
      <c r="C23" s="386"/>
      <c r="D23" s="386"/>
      <c r="E23" s="386"/>
      <c r="F23" s="386"/>
      <c r="G23" s="387"/>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24.186075564712759</v>
      </c>
      <c r="R23" s="33">
        <f t="shared" si="25"/>
        <v>149.49700187641446</v>
      </c>
      <c r="S23" s="33">
        <f t="shared" si="26"/>
        <v>68.768620863150659</v>
      </c>
      <c r="T23" s="33">
        <f t="shared" si="2"/>
        <v>19.367347589781101</v>
      </c>
      <c r="U23" s="33">
        <f t="shared" si="20"/>
        <v>70</v>
      </c>
      <c r="V23" s="33">
        <f t="shared" si="3"/>
        <v>6</v>
      </c>
      <c r="W23" s="33">
        <v>0</v>
      </c>
      <c r="X23" s="33">
        <f t="shared" si="4"/>
        <v>432.17014505552282</v>
      </c>
      <c r="Y23" s="38">
        <f t="shared" si="5"/>
        <v>129.35387327396921</v>
      </c>
      <c r="AA23" s="71">
        <v>18</v>
      </c>
      <c r="AB23" s="33">
        <f t="shared" si="6"/>
        <v>0</v>
      </c>
      <c r="AC23" s="305">
        <f t="shared" si="7"/>
        <v>0</v>
      </c>
      <c r="AD23" s="100">
        <f t="shared" si="8"/>
        <v>0</v>
      </c>
      <c r="AE23" s="100">
        <f t="shared" si="9"/>
        <v>0</v>
      </c>
      <c r="AF23" s="194">
        <f t="shared" si="28"/>
        <v>0</v>
      </c>
      <c r="AG23" s="194">
        <f t="shared" si="29"/>
        <v>11.20478121048564</v>
      </c>
      <c r="AH23" s="194">
        <f t="shared" si="30"/>
        <v>3.9869517062697186</v>
      </c>
      <c r="AI23" s="199">
        <f t="shared" si="31"/>
        <v>15.19173291675536</v>
      </c>
      <c r="AK23" s="71">
        <v>18</v>
      </c>
      <c r="AL23" s="33">
        <f t="shared" si="10"/>
        <v>0</v>
      </c>
      <c r="AM23" s="33">
        <f t="shared" si="11"/>
        <v>0</v>
      </c>
      <c r="AN23" s="33">
        <f t="shared" si="12"/>
        <v>0</v>
      </c>
      <c r="AO23" s="33">
        <f t="shared" si="13"/>
        <v>0</v>
      </c>
      <c r="AP23" s="33">
        <f t="shared" si="14"/>
        <v>0</v>
      </c>
      <c r="AQ23" s="194">
        <f t="shared" si="15"/>
        <v>0</v>
      </c>
      <c r="AR23" s="194">
        <f t="shared" si="16"/>
        <v>0</v>
      </c>
      <c r="AS23" s="194">
        <f t="shared" si="17"/>
        <v>0</v>
      </c>
      <c r="AT23" s="194">
        <f t="shared" si="18"/>
        <v>0</v>
      </c>
      <c r="AU23" s="33"/>
      <c r="AV23" s="33"/>
      <c r="AW23" s="33"/>
      <c r="AX23" s="33"/>
      <c r="AY23" s="164">
        <f t="shared" si="27"/>
        <v>11.509329580467892</v>
      </c>
    </row>
    <row r="24" spans="2:51" x14ac:dyDescent="0.3">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24.186075564712759</v>
      </c>
      <c r="R24" s="33">
        <f t="shared" si="25"/>
        <v>173.68307744112721</v>
      </c>
      <c r="S24" s="33">
        <f t="shared" si="26"/>
        <v>79.894215622918523</v>
      </c>
      <c r="T24" s="33">
        <f t="shared" si="2"/>
        <v>22.111317307034348</v>
      </c>
      <c r="U24" s="33">
        <f t="shared" si="20"/>
        <v>70</v>
      </c>
      <c r="V24" s="33">
        <f t="shared" si="3"/>
        <v>6.333333333333333</v>
      </c>
      <c r="W24" s="33">
        <v>0</v>
      </c>
      <c r="X24" s="33">
        <f t="shared" si="4"/>
        <v>457.54852540855677</v>
      </c>
      <c r="Y24" s="38">
        <f t="shared" si="5"/>
        <v>152.20997478349847</v>
      </c>
      <c r="AA24" s="71">
        <v>19</v>
      </c>
      <c r="AB24" s="33">
        <f t="shared" si="6"/>
        <v>0</v>
      </c>
      <c r="AC24" s="305">
        <f t="shared" si="7"/>
        <v>0</v>
      </c>
      <c r="AD24" s="100">
        <f t="shared" si="8"/>
        <v>0</v>
      </c>
      <c r="AE24" s="100">
        <f t="shared" si="9"/>
        <v>0</v>
      </c>
      <c r="AF24" s="194">
        <f t="shared" si="28"/>
        <v>0</v>
      </c>
      <c r="AG24" s="194">
        <f t="shared" si="29"/>
        <v>10.898385879051075</v>
      </c>
      <c r="AH24" s="194">
        <f t="shared" si="30"/>
        <v>2.8192005877665944</v>
      </c>
      <c r="AI24" s="199">
        <f t="shared" si="31"/>
        <v>13.71758646681767</v>
      </c>
      <c r="AK24" s="71">
        <v>19</v>
      </c>
      <c r="AL24" s="33">
        <f t="shared" si="10"/>
        <v>0</v>
      </c>
      <c r="AM24" s="33">
        <f t="shared" si="11"/>
        <v>0</v>
      </c>
      <c r="AN24" s="33">
        <f t="shared" si="12"/>
        <v>0</v>
      </c>
      <c r="AO24" s="33">
        <f t="shared" si="13"/>
        <v>0</v>
      </c>
      <c r="AP24" s="33">
        <f t="shared" si="14"/>
        <v>0</v>
      </c>
      <c r="AQ24" s="194">
        <f t="shared" si="15"/>
        <v>0</v>
      </c>
      <c r="AR24" s="194">
        <f t="shared" si="16"/>
        <v>0</v>
      </c>
      <c r="AS24" s="194">
        <f t="shared" si="17"/>
        <v>0</v>
      </c>
      <c r="AT24" s="194">
        <f t="shared" si="18"/>
        <v>0</v>
      </c>
      <c r="AU24" s="33"/>
      <c r="AV24" s="33"/>
      <c r="AW24" s="33"/>
      <c r="AX24" s="33"/>
      <c r="AY24" s="164">
        <f t="shared" si="27"/>
        <v>11.509329580467892</v>
      </c>
    </row>
    <row r="25" spans="2:51" x14ac:dyDescent="0.3">
      <c r="B25" s="45">
        <v>0</v>
      </c>
      <c r="C25" s="334">
        <v>15</v>
      </c>
      <c r="D25" s="344">
        <v>104.5542294737272</v>
      </c>
      <c r="E25" s="140">
        <f t="shared" ref="E25:E60" si="32">$F$20</f>
        <v>1.3</v>
      </c>
      <c r="F25" s="46">
        <f t="shared" ref="F25:F42" si="33">D25*E25</f>
        <v>135.92049831584538</v>
      </c>
      <c r="G25" s="50">
        <f>F25/(C25-B25)</f>
        <v>9.0613665543896911</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24.186075564712759</v>
      </c>
      <c r="R25" s="33">
        <f t="shared" si="25"/>
        <v>197.86915300583996</v>
      </c>
      <c r="S25" s="33">
        <f t="shared" si="26"/>
        <v>91.019810382686387</v>
      </c>
      <c r="T25" s="33">
        <f t="shared" si="2"/>
        <v>24.811017180210143</v>
      </c>
      <c r="U25" s="33">
        <f t="shared" si="20"/>
        <v>70</v>
      </c>
      <c r="V25" s="33">
        <f t="shared" si="3"/>
        <v>6.666666666666667</v>
      </c>
      <c r="W25" s="33">
        <v>0</v>
      </c>
      <c r="X25" s="33">
        <f t="shared" si="4"/>
        <v>482.84980244982245</v>
      </c>
      <c r="Y25" s="38">
        <f t="shared" si="5"/>
        <v>174.99085079876318</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10.600368944067219</v>
      </c>
      <c r="AH25" s="194">
        <f>IF(OR(AA25&lt;=$F$18,AA25&lt;=30),EXP(-LN(2)/$D$105)*AH24+((1-EXP(-LN(2)/$D$105))/(LN(2)/$D$105))*$AB25*AE25*0.475*$F$19*44/12,)</f>
        <v>1.9934758531348595</v>
      </c>
      <c r="AI25" s="199">
        <f>IF(OR(AA25&lt;=$F$18,AA25&lt;=30),SUM(AF25:AH25),)</f>
        <v>12.593844797202078</v>
      </c>
      <c r="AK25" s="71">
        <v>20</v>
      </c>
      <c r="AL25" s="33">
        <f t="shared" si="10"/>
        <v>0</v>
      </c>
      <c r="AM25" s="33">
        <f t="shared" si="11"/>
        <v>0</v>
      </c>
      <c r="AN25" s="33">
        <f t="shared" si="12"/>
        <v>0</v>
      </c>
      <c r="AO25" s="33">
        <f t="shared" si="13"/>
        <v>0</v>
      </c>
      <c r="AP25" s="33">
        <f t="shared" si="14"/>
        <v>0</v>
      </c>
      <c r="AQ25" s="194">
        <f t="shared" si="15"/>
        <v>0</v>
      </c>
      <c r="AR25" s="194">
        <f t="shared" si="16"/>
        <v>0</v>
      </c>
      <c r="AS25" s="194">
        <f t="shared" si="17"/>
        <v>0</v>
      </c>
      <c r="AT25" s="194">
        <f t="shared" si="18"/>
        <v>0</v>
      </c>
      <c r="AU25" s="33"/>
      <c r="AV25" s="33"/>
      <c r="AW25" s="33"/>
      <c r="AX25" s="33"/>
      <c r="AY25" s="164">
        <f t="shared" si="27"/>
        <v>11.509329580467892</v>
      </c>
    </row>
    <row r="26" spans="2:51" x14ac:dyDescent="0.3">
      <c r="B26" s="40">
        <f t="shared" ref="B26:B60" si="34">C25</f>
        <v>15</v>
      </c>
      <c r="C26" s="41">
        <f>B26+1</f>
        <v>16</v>
      </c>
      <c r="D26" s="344">
        <v>77.788346728453035</v>
      </c>
      <c r="E26" s="141">
        <f t="shared" si="32"/>
        <v>1.3</v>
      </c>
      <c r="F26" s="42">
        <f t="shared" si="33"/>
        <v>101.12485074698895</v>
      </c>
      <c r="G26" s="142">
        <f>(F26-F25)/(C26-B26)</f>
        <v>-34.795647568856424</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-52.144341498009595</v>
      </c>
      <c r="R26" s="33">
        <f t="shared" si="25"/>
        <v>145.72481150783037</v>
      </c>
      <c r="S26" s="33">
        <f t="shared" si="26"/>
        <v>67.033413293601967</v>
      </c>
      <c r="T26" s="33">
        <f t="shared" si="2"/>
        <v>18.934903125161163</v>
      </c>
      <c r="U26" s="33">
        <f t="shared" si="20"/>
        <v>70</v>
      </c>
      <c r="V26" s="33">
        <f t="shared" si="3"/>
        <v>7</v>
      </c>
      <c r="W26" s="33">
        <v>0</v>
      </c>
      <c r="X26" s="33">
        <f t="shared" si="4"/>
        <v>432.06148442934574</v>
      </c>
      <c r="Y26" s="38">
        <f t="shared" si="5"/>
        <v>121.68390496517992</v>
      </c>
      <c r="AA26" s="71">
        <v>21</v>
      </c>
      <c r="AB26" s="33">
        <f t="shared" si="6"/>
        <v>40.111031921545845</v>
      </c>
      <c r="AC26" s="305">
        <f t="shared" si="7"/>
        <v>0</v>
      </c>
      <c r="AD26" s="100">
        <f t="shared" si="8"/>
        <v>0.56000000000000005</v>
      </c>
      <c r="AE26" s="100">
        <f t="shared" si="9"/>
        <v>0.44</v>
      </c>
      <c r="AF26" s="194">
        <f>IF(OR(AA26&lt;=$F$18,AA26&lt;=30),EXP(-LN(2)/$D$104)*AF25+((1-EXP(-LN(2)/$D$104))/(LN(2)/$D$104))*$AB26*AC26*0.475*$F$19*44/12,)</f>
        <v>0</v>
      </c>
      <c r="AG26" s="194">
        <f>IF(OR(AA26&lt;=$F$18,AA26&lt;=30),EXP(-LN(2)/$D$106)*AG25+((1-EXP(-LN(2)/$D$106))/(LN(2)/$D$106))*$AB26*AD26*0.475*$F$19*44/12,)</f>
        <v>28.059262420074703</v>
      </c>
      <c r="AH26" s="194">
        <f>IF(OR(AA26&lt;=$F$18,AA26&lt;=30),EXP(-LN(2)/$D$105)*AH25+((1-EXP(-LN(2)/$D$105))/(LN(2)/$D$105))*$AB26*AE26*0.475*$F$19*44/12,)</f>
        <v>13.359196627528016</v>
      </c>
      <c r="AI26" s="199">
        <f>IF(OR(AA26&lt;=$F$18,AA26&lt;=30),SUM(AF26:AH26),)</f>
        <v>41.418459047602717</v>
      </c>
      <c r="AK26" s="71">
        <v>21</v>
      </c>
      <c r="AL26" s="33">
        <f t="shared" si="10"/>
        <v>40.111031921545845</v>
      </c>
      <c r="AM26" s="33">
        <f t="shared" si="11"/>
        <v>0</v>
      </c>
      <c r="AN26" s="33">
        <f t="shared" si="12"/>
        <v>0.56000000000000005</v>
      </c>
      <c r="AO26" s="33">
        <f t="shared" si="13"/>
        <v>0.44</v>
      </c>
      <c r="AP26" s="33">
        <f t="shared" si="14"/>
        <v>0</v>
      </c>
      <c r="AQ26" s="194">
        <f t="shared" si="15"/>
        <v>0</v>
      </c>
      <c r="AR26" s="194">
        <f t="shared" si="16"/>
        <v>22.462177876065674</v>
      </c>
      <c r="AS26" s="194">
        <f t="shared" si="17"/>
        <v>17.648854045480171</v>
      </c>
      <c r="AT26" s="194">
        <f t="shared" si="18"/>
        <v>0</v>
      </c>
      <c r="AU26" s="33"/>
      <c r="AV26" s="33"/>
      <c r="AW26" s="33"/>
      <c r="AX26" s="33"/>
      <c r="AY26" s="164">
        <f t="shared" si="27"/>
        <v>28.757073306732604</v>
      </c>
    </row>
    <row r="27" spans="2:51" x14ac:dyDescent="0.3">
      <c r="B27" s="40">
        <f t="shared" si="34"/>
        <v>16</v>
      </c>
      <c r="C27" s="152">
        <f>C25+5</f>
        <v>20</v>
      </c>
      <c r="D27" s="137">
        <v>152.20704077372307</v>
      </c>
      <c r="E27" s="141">
        <f t="shared" si="32"/>
        <v>1.3</v>
      </c>
      <c r="F27" s="42">
        <f t="shared" si="33"/>
        <v>197.86915300583999</v>
      </c>
      <c r="G27" s="51">
        <f t="shared" ref="G27:G42" si="35">(F27-F26)/(C27-B27)</f>
        <v>24.186075564712759</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27.902714780324175</v>
      </c>
      <c r="R27" s="33">
        <f t="shared" si="25"/>
        <v>173.62752628815454</v>
      </c>
      <c r="S27" s="33">
        <f t="shared" si="26"/>
        <v>79.868662092551091</v>
      </c>
      <c r="T27" s="33">
        <f t="shared" si="2"/>
        <v>22.105068257302928</v>
      </c>
      <c r="U27" s="33">
        <f t="shared" si="20"/>
        <v>70</v>
      </c>
      <c r="V27" s="33">
        <f t="shared" si="3"/>
        <v>7.333333333333333</v>
      </c>
      <c r="W27" s="33">
        <v>0</v>
      </c>
      <c r="X27" s="33">
        <f t="shared" si="4"/>
        <v>461.15980258155128</v>
      </c>
      <c r="Y27" s="38">
        <f t="shared" si="5"/>
        <v>148.26527443783635</v>
      </c>
      <c r="AA27" s="71">
        <v>22</v>
      </c>
      <c r="AB27" s="33">
        <f t="shared" si="6"/>
        <v>0</v>
      </c>
      <c r="AC27" s="305">
        <f t="shared" si="7"/>
        <v>0</v>
      </c>
      <c r="AD27" s="100">
        <f t="shared" si="8"/>
        <v>0</v>
      </c>
      <c r="AE27" s="100">
        <f t="shared" si="9"/>
        <v>0</v>
      </c>
      <c r="AF27" s="194">
        <f t="shared" ref="AF27:AF90" si="36">IF(OR(AA27&lt;=$F$18,AA27&lt;=30),EXP(-LN(2)/$D$104)*AF26+((1-EXP(-LN(2)/$D$104))/(LN(2)/$D$104))*$AB27*AC27*0.475*$F$19*44/12,)</f>
        <v>0</v>
      </c>
      <c r="AG27" s="194">
        <f t="shared" ref="AG27:AG90" si="37">IF(OR(AA27&lt;=$F$18,AA27&lt;=30),EXP(-LN(2)/$D$106)*AG26+((1-EXP(-LN(2)/$D$106))/(LN(2)/$D$106))*$AB27*AD27*0.475*$F$19*44/12,)</f>
        <v>27.291980413625279</v>
      </c>
      <c r="AH27" s="194">
        <f t="shared" ref="AH27:AH90" si="38">IF(OR(AA27&lt;=$F$18,AA27&lt;=30),EXP(-LN(2)/$D$105)*AH26+((1-EXP(-LN(2)/$D$105))/(LN(2)/$D$105))*$AB27*AE27*0.475*$F$19*44/12,)</f>
        <v>9.4463785265295179</v>
      </c>
      <c r="AI27" s="199">
        <f t="shared" ref="AI27:AI90" si="39">IF(OR(AA27&lt;=$F$18,AA27&lt;=30),SUM(AF27:AH27),)</f>
        <v>36.738358940154797</v>
      </c>
      <c r="AK27" s="71">
        <v>22</v>
      </c>
      <c r="AL27" s="33">
        <f t="shared" si="10"/>
        <v>0</v>
      </c>
      <c r="AM27" s="33">
        <f t="shared" si="11"/>
        <v>0</v>
      </c>
      <c r="AN27" s="33">
        <f t="shared" si="12"/>
        <v>0</v>
      </c>
      <c r="AO27" s="33">
        <f t="shared" si="13"/>
        <v>0</v>
      </c>
      <c r="AP27" s="33">
        <f t="shared" si="14"/>
        <v>0</v>
      </c>
      <c r="AQ27" s="194">
        <f t="shared" si="15"/>
        <v>0</v>
      </c>
      <c r="AR27" s="194">
        <f t="shared" si="16"/>
        <v>0</v>
      </c>
      <c r="AS27" s="194">
        <f t="shared" si="17"/>
        <v>0</v>
      </c>
      <c r="AT27" s="194">
        <f t="shared" si="18"/>
        <v>0</v>
      </c>
      <c r="AU27" s="33"/>
      <c r="AV27" s="33"/>
      <c r="AW27" s="33"/>
      <c r="AX27" s="33"/>
      <c r="AY27" s="164">
        <f t="shared" si="27"/>
        <v>28.757073306732604</v>
      </c>
    </row>
    <row r="28" spans="2:51" x14ac:dyDescent="0.3">
      <c r="B28" s="40">
        <f t="shared" si="34"/>
        <v>20</v>
      </c>
      <c r="C28" s="152">
        <f>C26+5</f>
        <v>21</v>
      </c>
      <c r="D28" s="137">
        <v>112.09600885217722</v>
      </c>
      <c r="E28" s="141">
        <f t="shared" si="32"/>
        <v>1.3</v>
      </c>
      <c r="F28" s="42">
        <f t="shared" si="33"/>
        <v>145.7248115078304</v>
      </c>
      <c r="G28" s="51">
        <f t="shared" si="35"/>
        <v>-52.144341498009595</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27.902714780324175</v>
      </c>
      <c r="R28" s="33">
        <f t="shared" si="25"/>
        <v>201.53024106847872</v>
      </c>
      <c r="S28" s="33">
        <f t="shared" si="26"/>
        <v>92.703910891500215</v>
      </c>
      <c r="T28" s="33">
        <f t="shared" si="2"/>
        <v>25.216215492533152</v>
      </c>
      <c r="U28" s="33">
        <f t="shared" si="20"/>
        <v>70</v>
      </c>
      <c r="V28" s="33">
        <f t="shared" si="3"/>
        <v>7.666666666666667</v>
      </c>
      <c r="W28" s="33">
        <v>0</v>
      </c>
      <c r="X28" s="33">
        <f t="shared" si="4"/>
        <v>490.15533122996925</v>
      </c>
      <c r="Y28" s="38">
        <f t="shared" si="5"/>
        <v>174.74544849704296</v>
      </c>
      <c r="AA28" s="71">
        <v>23</v>
      </c>
      <c r="AB28" s="33">
        <f t="shared" si="6"/>
        <v>0</v>
      </c>
      <c r="AC28" s="305">
        <f t="shared" si="7"/>
        <v>0</v>
      </c>
      <c r="AD28" s="100">
        <f t="shared" si="8"/>
        <v>0</v>
      </c>
      <c r="AE28" s="100">
        <f t="shared" si="9"/>
        <v>0</v>
      </c>
      <c r="AF28" s="194">
        <f t="shared" si="36"/>
        <v>0</v>
      </c>
      <c r="AG28" s="194">
        <f t="shared" si="37"/>
        <v>26.545679773991822</v>
      </c>
      <c r="AH28" s="194">
        <f t="shared" si="38"/>
        <v>6.6795983137640098</v>
      </c>
      <c r="AI28" s="199">
        <f t="shared" si="39"/>
        <v>33.225278087755832</v>
      </c>
      <c r="AK28" s="71">
        <v>23</v>
      </c>
      <c r="AL28" s="33">
        <f t="shared" si="10"/>
        <v>0</v>
      </c>
      <c r="AM28" s="33">
        <f t="shared" si="11"/>
        <v>0</v>
      </c>
      <c r="AN28" s="33">
        <f t="shared" si="12"/>
        <v>0</v>
      </c>
      <c r="AO28" s="33">
        <f t="shared" si="13"/>
        <v>0</v>
      </c>
      <c r="AP28" s="33">
        <f t="shared" si="14"/>
        <v>0</v>
      </c>
      <c r="AQ28" s="194">
        <f t="shared" si="15"/>
        <v>0</v>
      </c>
      <c r="AR28" s="194">
        <f t="shared" si="16"/>
        <v>0</v>
      </c>
      <c r="AS28" s="194">
        <f t="shared" si="17"/>
        <v>0</v>
      </c>
      <c r="AT28" s="194">
        <f t="shared" si="18"/>
        <v>0</v>
      </c>
      <c r="AU28" s="33"/>
      <c r="AV28" s="33"/>
      <c r="AW28" s="33"/>
      <c r="AX28" s="33"/>
      <c r="AY28" s="164">
        <f t="shared" si="27"/>
        <v>28.757073306732604</v>
      </c>
    </row>
    <row r="29" spans="2:51" x14ac:dyDescent="0.3">
      <c r="B29" s="40">
        <f t="shared" si="34"/>
        <v>21</v>
      </c>
      <c r="C29" s="152">
        <f t="shared" ref="C29:C36" si="40">C27+5</f>
        <v>25</v>
      </c>
      <c r="D29" s="137">
        <v>197.95051586855931</v>
      </c>
      <c r="E29" s="141">
        <f t="shared" si="32"/>
        <v>1.3</v>
      </c>
      <c r="F29" s="42">
        <f t="shared" si="33"/>
        <v>257.33567062912709</v>
      </c>
      <c r="G29" s="51">
        <f t="shared" si="35"/>
        <v>27.902714780324175</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27.902714780324175</v>
      </c>
      <c r="R29" s="33">
        <f t="shared" si="25"/>
        <v>229.43295584880289</v>
      </c>
      <c r="S29" s="33">
        <f t="shared" si="26"/>
        <v>105.53915969044934</v>
      </c>
      <c r="T29" s="33">
        <f t="shared" si="2"/>
        <v>28.27745696297119</v>
      </c>
      <c r="U29" s="33">
        <f t="shared" si="20"/>
        <v>70</v>
      </c>
      <c r="V29" s="33">
        <f t="shared" si="3"/>
        <v>8</v>
      </c>
      <c r="W29" s="33">
        <v>0</v>
      </c>
      <c r="X29" s="33">
        <f t="shared" si="4"/>
        <v>519.0639406713741</v>
      </c>
      <c r="Y29" s="38">
        <f t="shared" si="5"/>
        <v>201.14022020960829</v>
      </c>
      <c r="AA29" s="71">
        <v>24</v>
      </c>
      <c r="AB29" s="33">
        <f t="shared" si="6"/>
        <v>0</v>
      </c>
      <c r="AC29" s="305">
        <f t="shared" si="7"/>
        <v>0</v>
      </c>
      <c r="AD29" s="100">
        <f t="shared" si="8"/>
        <v>0</v>
      </c>
      <c r="AE29" s="100">
        <f t="shared" si="9"/>
        <v>0</v>
      </c>
      <c r="AF29" s="194">
        <f t="shared" si="36"/>
        <v>0</v>
      </c>
      <c r="AG29" s="194">
        <f t="shared" si="37"/>
        <v>25.819786764595388</v>
      </c>
      <c r="AH29" s="194">
        <f t="shared" si="38"/>
        <v>4.7231892632647599</v>
      </c>
      <c r="AI29" s="199">
        <f t="shared" si="39"/>
        <v>30.542976027860149</v>
      </c>
      <c r="AK29" s="71">
        <v>24</v>
      </c>
      <c r="AL29" s="33">
        <f t="shared" si="10"/>
        <v>0</v>
      </c>
      <c r="AM29" s="33">
        <f t="shared" si="11"/>
        <v>0</v>
      </c>
      <c r="AN29" s="33">
        <f t="shared" si="12"/>
        <v>0</v>
      </c>
      <c r="AO29" s="33">
        <f t="shared" si="13"/>
        <v>0</v>
      </c>
      <c r="AP29" s="33">
        <f t="shared" si="14"/>
        <v>0</v>
      </c>
      <c r="AQ29" s="194">
        <f t="shared" si="15"/>
        <v>0</v>
      </c>
      <c r="AR29" s="194">
        <f t="shared" si="16"/>
        <v>0</v>
      </c>
      <c r="AS29" s="194">
        <f t="shared" si="17"/>
        <v>0</v>
      </c>
      <c r="AT29" s="194">
        <f t="shared" si="18"/>
        <v>0</v>
      </c>
      <c r="AU29" s="33"/>
      <c r="AV29" s="33"/>
      <c r="AW29" s="33"/>
      <c r="AX29" s="33"/>
      <c r="AY29" s="164">
        <f t="shared" si="27"/>
        <v>28.757073306732604</v>
      </c>
    </row>
    <row r="30" spans="2:51" x14ac:dyDescent="0.3">
      <c r="B30" s="40">
        <f t="shared" si="34"/>
        <v>25</v>
      </c>
      <c r="C30" s="152">
        <f t="shared" si="40"/>
        <v>26</v>
      </c>
      <c r="D30" s="137">
        <v>157.66584948127354</v>
      </c>
      <c r="E30" s="141">
        <f t="shared" si="32"/>
        <v>1.3</v>
      </c>
      <c r="F30" s="42">
        <f t="shared" si="33"/>
        <v>204.96560432565562</v>
      </c>
      <c r="G30" s="51">
        <f t="shared" si="35"/>
        <v>-52.370066303471475</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27.902714780324175</v>
      </c>
      <c r="R30" s="33">
        <f t="shared" si="25"/>
        <v>257.33567062912709</v>
      </c>
      <c r="S30" s="33">
        <f t="shared" si="26"/>
        <v>118.37440848939846</v>
      </c>
      <c r="T30" s="33">
        <f t="shared" si="2"/>
        <v>31.295556331254105</v>
      </c>
      <c r="U30" s="33">
        <f t="shared" si="20"/>
        <v>70</v>
      </c>
      <c r="V30" s="33">
        <f t="shared" si="3"/>
        <v>8.3333333333333339</v>
      </c>
      <c r="W30" s="33">
        <v>0</v>
      </c>
      <c r="X30" s="33">
        <f t="shared" si="4"/>
        <v>547.89741095152556</v>
      </c>
      <c r="Y30" s="38">
        <f t="shared" si="5"/>
        <v>227.46129919126963</v>
      </c>
      <c r="AA30" s="71">
        <v>25</v>
      </c>
      <c r="AB30" s="33">
        <f t="shared" si="6"/>
        <v>0</v>
      </c>
      <c r="AC30" s="305">
        <f>IF(AA30&lt;=$F$18,IFERROR(VLOOKUP($AA30,$B$82:$G$94,3,FALSE),0),)*50%</f>
        <v>0</v>
      </c>
      <c r="AD30" s="100">
        <f t="shared" si="8"/>
        <v>0</v>
      </c>
      <c r="AE30" s="100">
        <f t="shared" si="9"/>
        <v>0</v>
      </c>
      <c r="AF30" s="194">
        <f t="shared" si="36"/>
        <v>0</v>
      </c>
      <c r="AG30" s="194">
        <f t="shared" si="37"/>
        <v>25.113743337713952</v>
      </c>
      <c r="AH30" s="194">
        <f t="shared" si="38"/>
        <v>3.3397991568820053</v>
      </c>
      <c r="AI30" s="199">
        <f t="shared" si="39"/>
        <v>28.453542494595958</v>
      </c>
      <c r="AK30" s="71">
        <v>25</v>
      </c>
      <c r="AL30" s="33">
        <f t="shared" si="10"/>
        <v>0</v>
      </c>
      <c r="AM30" s="33">
        <f t="shared" si="11"/>
        <v>0</v>
      </c>
      <c r="AN30" s="33">
        <f t="shared" si="12"/>
        <v>0</v>
      </c>
      <c r="AO30" s="33">
        <f t="shared" si="13"/>
        <v>0</v>
      </c>
      <c r="AP30" s="33">
        <f t="shared" si="14"/>
        <v>0</v>
      </c>
      <c r="AQ30" s="194">
        <f t="shared" si="15"/>
        <v>0</v>
      </c>
      <c r="AR30" s="194">
        <f t="shared" si="16"/>
        <v>0</v>
      </c>
      <c r="AS30" s="194">
        <f t="shared" si="17"/>
        <v>0</v>
      </c>
      <c r="AT30" s="194">
        <f t="shared" si="18"/>
        <v>0</v>
      </c>
      <c r="AU30" s="33"/>
      <c r="AV30" s="33"/>
      <c r="AW30" s="33"/>
      <c r="AX30" s="33"/>
      <c r="AY30" s="164">
        <f t="shared" si="27"/>
        <v>28.757073306732604</v>
      </c>
    </row>
    <row r="31" spans="2:51" x14ac:dyDescent="0.3">
      <c r="B31" s="40">
        <f t="shared" si="34"/>
        <v>26</v>
      </c>
      <c r="C31" s="152">
        <f t="shared" si="40"/>
        <v>30</v>
      </c>
      <c r="D31" s="137">
        <v>211.97075954647852</v>
      </c>
      <c r="E31" s="141">
        <f t="shared" si="32"/>
        <v>1.3</v>
      </c>
      <c r="F31" s="42">
        <f t="shared" si="33"/>
        <v>275.56198741042209</v>
      </c>
      <c r="G31" s="51">
        <f t="shared" si="35"/>
        <v>17.649095771191618</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-52.370066303471475</v>
      </c>
      <c r="R31" s="33">
        <f t="shared" si="25"/>
        <v>204.96560432565562</v>
      </c>
      <c r="S31" s="33">
        <f t="shared" si="26"/>
        <v>94.284177989801591</v>
      </c>
      <c r="T31" s="33">
        <f t="shared" si="2"/>
        <v>25.595652503483368</v>
      </c>
      <c r="U31" s="33">
        <f t="shared" si="20"/>
        <v>70</v>
      </c>
      <c r="V31" s="33">
        <f t="shared" si="3"/>
        <v>8.6666666666666661</v>
      </c>
      <c r="W31" s="33">
        <v>0</v>
      </c>
      <c r="X31" s="33">
        <f t="shared" si="4"/>
        <v>497.23514922024901</v>
      </c>
      <c r="Y31" s="38">
        <f t="shared" si="5"/>
        <v>174.28802811515692</v>
      </c>
      <c r="AA31" s="71">
        <v>26</v>
      </c>
      <c r="AB31" s="33">
        <f t="shared" si="6"/>
        <v>40.284666387285768</v>
      </c>
      <c r="AC31" s="305">
        <f t="shared" ref="AC31:AC94" si="41">IF(AA31&lt;=$F$18,IFERROR(VLOOKUP($AA31,$B$82:$G$94,3,FALSE),0),)*50%</f>
        <v>0</v>
      </c>
      <c r="AD31" s="100">
        <f t="shared" si="8"/>
        <v>0.56000000000000005</v>
      </c>
      <c r="AE31" s="100">
        <f t="shared" si="9"/>
        <v>0.44</v>
      </c>
      <c r="AF31" s="194">
        <f t="shared" si="36"/>
        <v>0</v>
      </c>
      <c r="AG31" s="194">
        <f t="shared" si="37"/>
        <v>42.25259947494137</v>
      </c>
      <c r="AH31" s="194">
        <f t="shared" si="38"/>
        <v>14.3629189232927</v>
      </c>
      <c r="AI31" s="199">
        <f t="shared" si="39"/>
        <v>56.615518398234073</v>
      </c>
      <c r="AK31" s="71">
        <v>26</v>
      </c>
      <c r="AL31" s="33">
        <f t="shared" si="10"/>
        <v>40.284666387285768</v>
      </c>
      <c r="AM31" s="33">
        <f t="shared" si="11"/>
        <v>0</v>
      </c>
      <c r="AN31" s="33">
        <f t="shared" si="12"/>
        <v>0.56000000000000005</v>
      </c>
      <c r="AO31" s="33">
        <f t="shared" si="13"/>
        <v>0.44</v>
      </c>
      <c r="AP31" s="33">
        <f t="shared" si="14"/>
        <v>0</v>
      </c>
      <c r="AQ31" s="194">
        <f t="shared" si="15"/>
        <v>0</v>
      </c>
      <c r="AR31" s="194">
        <f t="shared" si="16"/>
        <v>22.559413176880032</v>
      </c>
      <c r="AS31" s="194">
        <f t="shared" si="17"/>
        <v>17.725253210405739</v>
      </c>
      <c r="AT31" s="194">
        <f t="shared" si="18"/>
        <v>0</v>
      </c>
      <c r="AU31" s="33"/>
      <c r="AV31" s="33"/>
      <c r="AW31" s="33"/>
      <c r="AX31" s="33"/>
      <c r="AY31" s="164">
        <f t="shared" si="27"/>
        <v>46.079479853265482</v>
      </c>
    </row>
    <row r="32" spans="2:51" x14ac:dyDescent="0.3">
      <c r="B32" s="40">
        <f t="shared" si="34"/>
        <v>30</v>
      </c>
      <c r="C32" s="152">
        <f t="shared" si="40"/>
        <v>31</v>
      </c>
      <c r="D32" s="137">
        <v>172.0703812789061</v>
      </c>
      <c r="E32" s="141">
        <f t="shared" si="32"/>
        <v>1.3</v>
      </c>
      <c r="F32" s="42">
        <f t="shared" si="33"/>
        <v>223.69149566257792</v>
      </c>
      <c r="G32" s="51">
        <f t="shared" si="35"/>
        <v>-51.87049174784417</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17.649095771191618</v>
      </c>
      <c r="R32" s="33">
        <f t="shared" si="25"/>
        <v>222.61470009684723</v>
      </c>
      <c r="S32" s="33">
        <f t="shared" si="26"/>
        <v>102.40276204454973</v>
      </c>
      <c r="T32" s="33">
        <f t="shared" si="2"/>
        <v>27.533629056725779</v>
      </c>
      <c r="U32" s="33">
        <f t="shared" si="20"/>
        <v>70</v>
      </c>
      <c r="V32" s="33">
        <f t="shared" si="3"/>
        <v>9</v>
      </c>
      <c r="W32" s="33">
        <v>0</v>
      </c>
      <c r="X32" s="33">
        <f t="shared" si="4"/>
        <v>515.97254783472147</v>
      </c>
      <c r="Y32" s="38">
        <f t="shared" si="5"/>
        <v>190.51574010237431</v>
      </c>
      <c r="AA32" s="71">
        <v>27</v>
      </c>
      <c r="AB32" s="33">
        <f t="shared" si="6"/>
        <v>0</v>
      </c>
      <c r="AC32" s="305">
        <f t="shared" si="41"/>
        <v>0</v>
      </c>
      <c r="AD32" s="100">
        <f t="shared" si="8"/>
        <v>0</v>
      </c>
      <c r="AE32" s="100">
        <f t="shared" si="9"/>
        <v>0</v>
      </c>
      <c r="AF32" s="194">
        <f t="shared" si="36"/>
        <v>0</v>
      </c>
      <c r="AG32" s="194">
        <f t="shared" si="37"/>
        <v>41.097199920331462</v>
      </c>
      <c r="AH32" s="194">
        <f t="shared" si="38"/>
        <v>10.156117368292854</v>
      </c>
      <c r="AI32" s="199">
        <f t="shared" si="39"/>
        <v>51.253317288624316</v>
      </c>
      <c r="AK32" s="71">
        <v>27</v>
      </c>
      <c r="AL32" s="33">
        <f t="shared" si="10"/>
        <v>0</v>
      </c>
      <c r="AM32" s="33">
        <f t="shared" si="11"/>
        <v>0</v>
      </c>
      <c r="AN32" s="33">
        <f t="shared" si="12"/>
        <v>0</v>
      </c>
      <c r="AO32" s="33">
        <f t="shared" si="13"/>
        <v>0</v>
      </c>
      <c r="AP32" s="33">
        <f t="shared" si="14"/>
        <v>0</v>
      </c>
      <c r="AQ32" s="194">
        <f t="shared" si="15"/>
        <v>0</v>
      </c>
      <c r="AR32" s="194">
        <f t="shared" si="16"/>
        <v>0</v>
      </c>
      <c r="AS32" s="194">
        <f t="shared" si="17"/>
        <v>0</v>
      </c>
      <c r="AT32" s="194">
        <f t="shared" si="18"/>
        <v>0</v>
      </c>
      <c r="AU32" s="33"/>
      <c r="AV32" s="33"/>
      <c r="AW32" s="33"/>
      <c r="AX32" s="33"/>
      <c r="AY32" s="164">
        <f t="shared" si="27"/>
        <v>46.079479853265482</v>
      </c>
    </row>
    <row r="33" spans="2:51" x14ac:dyDescent="0.3">
      <c r="B33" s="40">
        <f t="shared" si="34"/>
        <v>31</v>
      </c>
      <c r="C33" s="152">
        <f t="shared" si="40"/>
        <v>35</v>
      </c>
      <c r="D33" s="137">
        <v>229.94390295935816</v>
      </c>
      <c r="E33" s="141">
        <f t="shared" si="32"/>
        <v>1.3</v>
      </c>
      <c r="F33" s="42">
        <f t="shared" si="33"/>
        <v>298.92707384716562</v>
      </c>
      <c r="G33" s="51">
        <f t="shared" si="35"/>
        <v>18.808894546146924</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17.649095771191618</v>
      </c>
      <c r="R33" s="33">
        <f t="shared" si="25"/>
        <v>240.26379586803884</v>
      </c>
      <c r="S33" s="33">
        <f t="shared" si="26"/>
        <v>110.52134609929787</v>
      </c>
      <c r="T33" s="33">
        <f t="shared" si="2"/>
        <v>29.453783957264474</v>
      </c>
      <c r="U33" s="33">
        <f t="shared" si="20"/>
        <v>70</v>
      </c>
      <c r="V33" s="33">
        <f t="shared" si="3"/>
        <v>9.3333333333333339</v>
      </c>
      <c r="W33" s="33">
        <v>0</v>
      </c>
      <c r="X33" s="33">
        <f t="shared" si="4"/>
        <v>534.67890707073502</v>
      </c>
      <c r="Y33" s="38">
        <f t="shared" si="5"/>
        <v>206.713680829113</v>
      </c>
      <c r="AA33" s="71">
        <v>28</v>
      </c>
      <c r="AB33" s="33">
        <f t="shared" si="6"/>
        <v>0</v>
      </c>
      <c r="AC33" s="305">
        <f t="shared" si="41"/>
        <v>0</v>
      </c>
      <c r="AD33" s="100">
        <f t="shared" si="8"/>
        <v>0</v>
      </c>
      <c r="AE33" s="100">
        <f t="shared" si="9"/>
        <v>0</v>
      </c>
      <c r="AF33" s="194">
        <f t="shared" si="36"/>
        <v>0</v>
      </c>
      <c r="AG33" s="194">
        <f t="shared" si="37"/>
        <v>39.973394827302187</v>
      </c>
      <c r="AH33" s="194">
        <f t="shared" si="38"/>
        <v>7.1814594616463507</v>
      </c>
      <c r="AI33" s="199">
        <f t="shared" si="39"/>
        <v>47.154854288948535</v>
      </c>
      <c r="AK33" s="71">
        <v>28</v>
      </c>
      <c r="AL33" s="33">
        <f t="shared" si="10"/>
        <v>0</v>
      </c>
      <c r="AM33" s="33">
        <f t="shared" si="11"/>
        <v>0</v>
      </c>
      <c r="AN33" s="33">
        <f t="shared" si="12"/>
        <v>0</v>
      </c>
      <c r="AO33" s="33">
        <f t="shared" si="13"/>
        <v>0</v>
      </c>
      <c r="AP33" s="33">
        <f t="shared" si="14"/>
        <v>0</v>
      </c>
      <c r="AQ33" s="194">
        <f t="shared" si="15"/>
        <v>0</v>
      </c>
      <c r="AR33" s="194">
        <f t="shared" si="16"/>
        <v>0</v>
      </c>
      <c r="AS33" s="194">
        <f t="shared" si="17"/>
        <v>0</v>
      </c>
      <c r="AT33" s="194">
        <f t="shared" si="18"/>
        <v>0</v>
      </c>
      <c r="AU33" s="33"/>
      <c r="AV33" s="33"/>
      <c r="AW33" s="33"/>
      <c r="AX33" s="33"/>
      <c r="AY33" s="164">
        <f t="shared" si="27"/>
        <v>46.079479853265482</v>
      </c>
    </row>
    <row r="34" spans="2:51" ht="15" thickBot="1" x14ac:dyDescent="0.35">
      <c r="B34" s="40">
        <f t="shared" si="34"/>
        <v>35</v>
      </c>
      <c r="C34" s="152">
        <f t="shared" si="40"/>
        <v>36</v>
      </c>
      <c r="D34" s="137">
        <v>190.32279968020723</v>
      </c>
      <c r="E34" s="141">
        <f t="shared" si="32"/>
        <v>1.3</v>
      </c>
      <c r="F34" s="42">
        <f t="shared" si="33"/>
        <v>247.41963958426939</v>
      </c>
      <c r="G34" s="51">
        <f t="shared" si="35"/>
        <v>-51.507434262896226</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17.649095771191618</v>
      </c>
      <c r="R34" s="33">
        <f t="shared" si="25"/>
        <v>257.91289163923045</v>
      </c>
      <c r="S34" s="33">
        <f t="shared" si="26"/>
        <v>118.63993015404601</v>
      </c>
      <c r="T34" s="33">
        <f t="shared" si="2"/>
        <v>31.357575204496339</v>
      </c>
      <c r="U34" s="33">
        <f t="shared" si="20"/>
        <v>70</v>
      </c>
      <c r="V34" s="33">
        <f t="shared" si="3"/>
        <v>9.6666666666666661</v>
      </c>
      <c r="W34" s="33">
        <v>0</v>
      </c>
      <c r="X34" s="33">
        <f t="shared" si="4"/>
        <v>553.35676627723899</v>
      </c>
      <c r="Y34" s="38">
        <f t="shared" si="5"/>
        <v>222.88433916577543</v>
      </c>
      <c r="AA34" s="71">
        <v>29</v>
      </c>
      <c r="AB34" s="143">
        <f t="shared" si="6"/>
        <v>0</v>
      </c>
      <c r="AC34" s="305">
        <f t="shared" si="41"/>
        <v>0</v>
      </c>
      <c r="AD34" s="101">
        <f t="shared" si="8"/>
        <v>0</v>
      </c>
      <c r="AE34" s="101">
        <f t="shared" si="9"/>
        <v>0</v>
      </c>
      <c r="AF34" s="196">
        <f t="shared" si="36"/>
        <v>0</v>
      </c>
      <c r="AG34" s="196">
        <f t="shared" si="37"/>
        <v>38.880320243640135</v>
      </c>
      <c r="AH34" s="194">
        <f t="shared" si="38"/>
        <v>5.0780586841464279</v>
      </c>
      <c r="AI34" s="199">
        <f t="shared" si="39"/>
        <v>43.958378927786562</v>
      </c>
      <c r="AK34" s="71">
        <v>29</v>
      </c>
      <c r="AL34" s="143">
        <f t="shared" si="10"/>
        <v>0</v>
      </c>
      <c r="AM34" s="35">
        <f t="shared" si="11"/>
        <v>0</v>
      </c>
      <c r="AN34" s="35">
        <f t="shared" si="12"/>
        <v>0</v>
      </c>
      <c r="AO34" s="35">
        <f t="shared" si="13"/>
        <v>0</v>
      </c>
      <c r="AP34" s="35">
        <f t="shared" si="14"/>
        <v>0</v>
      </c>
      <c r="AQ34" s="194">
        <f t="shared" si="15"/>
        <v>0</v>
      </c>
      <c r="AR34" s="194">
        <f t="shared" si="16"/>
        <v>0</v>
      </c>
      <c r="AS34" s="194">
        <f t="shared" si="17"/>
        <v>0</v>
      </c>
      <c r="AT34" s="194">
        <f t="shared" si="18"/>
        <v>0</v>
      </c>
      <c r="AU34" s="33"/>
      <c r="AV34" s="33"/>
      <c r="AW34" s="33"/>
      <c r="AX34" s="33"/>
      <c r="AY34" s="164">
        <f t="shared" si="27"/>
        <v>46.079479853265482</v>
      </c>
    </row>
    <row r="35" spans="2:51" ht="15" thickBot="1" x14ac:dyDescent="0.35">
      <c r="B35" s="40">
        <f t="shared" si="34"/>
        <v>36</v>
      </c>
      <c r="C35" s="152">
        <f t="shared" si="40"/>
        <v>40</v>
      </c>
      <c r="D35" s="137">
        <v>298.4536041558946</v>
      </c>
      <c r="E35" s="141">
        <f t="shared" si="32"/>
        <v>1.3</v>
      </c>
      <c r="F35" s="42">
        <f t="shared" si="33"/>
        <v>387.98968540266299</v>
      </c>
      <c r="G35" s="51">
        <f t="shared" si="35"/>
        <v>35.142511454598399</v>
      </c>
      <c r="I35" s="87">
        <v>30</v>
      </c>
      <c r="J35" s="159">
        <f>IF($I35&lt;=$F$10,IF(AND(D8=B100,F12=C194),($F$11*$F$13+J34*50%),$F$11*$F$13+J34),)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17.649095771191618</v>
      </c>
      <c r="R35" s="54">
        <f t="shared" si="25"/>
        <v>275.56198741042209</v>
      </c>
      <c r="S35" s="53">
        <f t="shared" si="26"/>
        <v>126.75851420879417</v>
      </c>
      <c r="T35" s="54">
        <f t="shared" si="2"/>
        <v>33.246249959666166</v>
      </c>
      <c r="U35" s="54">
        <f t="shared" si="20"/>
        <v>70</v>
      </c>
      <c r="V35" s="53">
        <f t="shared" si="3"/>
        <v>10</v>
      </c>
      <c r="W35" s="54">
        <v>0</v>
      </c>
      <c r="X35" s="69">
        <f t="shared" si="4"/>
        <v>572.00829759340172</v>
      </c>
      <c r="Y35" s="65">
        <f t="shared" si="5"/>
        <v>239.02984045170939</v>
      </c>
      <c r="AA35" s="73">
        <v>30</v>
      </c>
      <c r="AB35" s="143">
        <f t="shared" si="6"/>
        <v>0</v>
      </c>
      <c r="AC35" s="305">
        <f t="shared" si="41"/>
        <v>0</v>
      </c>
      <c r="AD35" s="101">
        <f t="shared" si="8"/>
        <v>0</v>
      </c>
      <c r="AE35" s="101">
        <f t="shared" si="9"/>
        <v>0</v>
      </c>
      <c r="AF35" s="200">
        <f t="shared" si="36"/>
        <v>0</v>
      </c>
      <c r="AG35" s="195">
        <f t="shared" si="37"/>
        <v>37.817135841950616</v>
      </c>
      <c r="AH35" s="201">
        <f t="shared" si="38"/>
        <v>3.5907297308231758</v>
      </c>
      <c r="AI35" s="202">
        <f t="shared" si="39"/>
        <v>41.407865572773794</v>
      </c>
      <c r="AK35" s="73">
        <v>30</v>
      </c>
      <c r="AL35" s="143">
        <f t="shared" si="10"/>
        <v>0</v>
      </c>
      <c r="AM35" s="35">
        <f t="shared" si="11"/>
        <v>0</v>
      </c>
      <c r="AN35" s="35">
        <f t="shared" si="12"/>
        <v>0</v>
      </c>
      <c r="AO35" s="35">
        <f t="shared" si="13"/>
        <v>0</v>
      </c>
      <c r="AP35" s="35">
        <f t="shared" si="14"/>
        <v>0</v>
      </c>
      <c r="AQ35" s="195">
        <f t="shared" si="15"/>
        <v>0</v>
      </c>
      <c r="AR35" s="195">
        <f t="shared" si="16"/>
        <v>0</v>
      </c>
      <c r="AS35" s="195">
        <f t="shared" si="17"/>
        <v>0</v>
      </c>
      <c r="AT35" s="195">
        <f t="shared" si="18"/>
        <v>0</v>
      </c>
      <c r="AU35" s="53"/>
      <c r="AV35" s="53"/>
      <c r="AW35" s="53"/>
      <c r="AX35" s="53"/>
      <c r="AY35" s="165">
        <f t="shared" si="27"/>
        <v>46.079479853265482</v>
      </c>
    </row>
    <row r="36" spans="2:51" x14ac:dyDescent="0.3">
      <c r="B36" s="40">
        <f t="shared" si="34"/>
        <v>40</v>
      </c>
      <c r="C36" s="152">
        <f t="shared" si="40"/>
        <v>41</v>
      </c>
      <c r="D36" s="137">
        <v>269.42752814387029</v>
      </c>
      <c r="E36" s="141">
        <f t="shared" si="32"/>
        <v>1.3</v>
      </c>
      <c r="F36" s="42">
        <f t="shared" si="33"/>
        <v>350.25578658703137</v>
      </c>
      <c r="G36" s="51">
        <f t="shared" si="35"/>
        <v>-37.733898815631619</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-51.87049174784417</v>
      </c>
      <c r="R36" s="33">
        <f t="shared" si="25"/>
        <v>223.69149566257792</v>
      </c>
      <c r="S36" s="33">
        <f t="shared" si="26"/>
        <v>102.89808800478585</v>
      </c>
      <c r="T36" s="33">
        <f t="shared" si="2"/>
        <v>27.651274883305483</v>
      </c>
      <c r="U36" s="33">
        <f t="shared" si="20"/>
        <v>70</v>
      </c>
      <c r="V36" s="33">
        <f t="shared" si="3"/>
        <v>10</v>
      </c>
      <c r="W36" s="33">
        <v>0</v>
      </c>
      <c r="X36" s="33">
        <f t="shared" si="4"/>
        <v>520.70680703009236</v>
      </c>
      <c r="Y36" s="38">
        <f t="shared" si="5"/>
        <v>186.44566941721627</v>
      </c>
      <c r="AA36" s="71">
        <v>31</v>
      </c>
      <c r="AB36" s="33">
        <f t="shared" si="6"/>
        <v>39.900378267572421</v>
      </c>
      <c r="AC36" s="305">
        <f t="shared" si="41"/>
        <v>0.1</v>
      </c>
      <c r="AD36" s="100">
        <f t="shared" si="8"/>
        <v>0.44800000000000006</v>
      </c>
      <c r="AE36" s="100">
        <f t="shared" si="9"/>
        <v>0.35200000000000004</v>
      </c>
      <c r="AF36" s="194">
        <f t="shared" si="36"/>
        <v>3.1652393293875623</v>
      </c>
      <c r="AG36" s="194">
        <f t="shared" si="37"/>
        <v>50.907463334550407</v>
      </c>
      <c r="AH36" s="194">
        <f t="shared" si="38"/>
        <v>12.048501245758821</v>
      </c>
      <c r="AI36" s="199">
        <f t="shared" si="39"/>
        <v>66.121203909696789</v>
      </c>
      <c r="AK36" s="71">
        <v>31</v>
      </c>
      <c r="AL36" s="33">
        <f t="shared" si="10"/>
        <v>39.900378267572421</v>
      </c>
      <c r="AM36" s="33">
        <f t="shared" si="11"/>
        <v>0.2</v>
      </c>
      <c r="AN36" s="33">
        <f t="shared" si="12"/>
        <v>0.44800000000000006</v>
      </c>
      <c r="AO36" s="33">
        <f t="shared" si="13"/>
        <v>0.35200000000000004</v>
      </c>
      <c r="AP36" s="33">
        <f t="shared" si="14"/>
        <v>0</v>
      </c>
      <c r="AQ36" s="194">
        <f t="shared" si="15"/>
        <v>7.9800756535144846</v>
      </c>
      <c r="AR36" s="194">
        <f t="shared" si="16"/>
        <v>17.875369463872449</v>
      </c>
      <c r="AS36" s="194">
        <f t="shared" si="17"/>
        <v>14.044933150185493</v>
      </c>
      <c r="AT36" s="194">
        <f t="shared" si="18"/>
        <v>0</v>
      </c>
      <c r="AU36" s="33"/>
      <c r="AV36" s="33"/>
      <c r="AW36" s="33"/>
      <c r="AX36" s="33"/>
      <c r="AY36" s="76"/>
    </row>
    <row r="37" spans="2:51" x14ac:dyDescent="0.3">
      <c r="B37" s="40">
        <f t="shared" si="34"/>
        <v>41</v>
      </c>
      <c r="C37" s="152">
        <f t="shared" ref="C37:C40" si="42">C35+10</f>
        <v>50</v>
      </c>
      <c r="D37" s="137">
        <v>353.47474463678287</v>
      </c>
      <c r="E37" s="141">
        <f t="shared" si="32"/>
        <v>1.3</v>
      </c>
      <c r="F37" s="42">
        <f t="shared" si="33"/>
        <v>459.51716802781777</v>
      </c>
      <c r="G37" s="51">
        <f t="shared" si="35"/>
        <v>12.140153493420712</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18.808894546146924</v>
      </c>
      <c r="R37" s="33">
        <f t="shared" si="25"/>
        <v>242.50039020872484</v>
      </c>
      <c r="S37" s="33">
        <f t="shared" si="26"/>
        <v>111.55017949601343</v>
      </c>
      <c r="T37" s="33">
        <f t="shared" si="2"/>
        <v>29.695920952064487</v>
      </c>
      <c r="U37" s="33">
        <f t="shared" si="20"/>
        <v>70</v>
      </c>
      <c r="V37" s="33">
        <f t="shared" si="3"/>
        <v>10</v>
      </c>
      <c r="W37" s="33">
        <v>0</v>
      </c>
      <c r="X37" s="33">
        <f t="shared" si="4"/>
        <v>539.33695828040243</v>
      </c>
      <c r="Y37" s="38">
        <f t="shared" si="5"/>
        <v>203.79422699634677</v>
      </c>
      <c r="AA37" s="71">
        <v>32</v>
      </c>
      <c r="AB37" s="33">
        <f t="shared" si="6"/>
        <v>0</v>
      </c>
      <c r="AC37" s="305">
        <f t="shared" si="41"/>
        <v>0</v>
      </c>
      <c r="AD37" s="100">
        <f t="shared" si="8"/>
        <v>0</v>
      </c>
      <c r="AE37" s="100">
        <f t="shared" si="9"/>
        <v>0</v>
      </c>
      <c r="AF37" s="194">
        <f t="shared" si="36"/>
        <v>3.1031709167436317</v>
      </c>
      <c r="AG37" s="194">
        <f t="shared" si="37"/>
        <v>49.51539607255998</v>
      </c>
      <c r="AH37" s="194">
        <f t="shared" si="38"/>
        <v>8.5195769340106278</v>
      </c>
      <c r="AI37" s="199">
        <f t="shared" si="39"/>
        <v>61.138143923314239</v>
      </c>
      <c r="AK37" s="71">
        <v>32</v>
      </c>
      <c r="AL37" s="33">
        <f t="shared" si="10"/>
        <v>0</v>
      </c>
      <c r="AM37" s="33">
        <f t="shared" si="11"/>
        <v>0</v>
      </c>
      <c r="AN37" s="33">
        <f t="shared" si="12"/>
        <v>0</v>
      </c>
      <c r="AO37" s="33">
        <f t="shared" si="13"/>
        <v>0</v>
      </c>
      <c r="AP37" s="33">
        <f t="shared" si="14"/>
        <v>0</v>
      </c>
      <c r="AQ37" s="194">
        <f t="shared" si="15"/>
        <v>0</v>
      </c>
      <c r="AR37" s="194">
        <f t="shared" si="16"/>
        <v>0</v>
      </c>
      <c r="AS37" s="194">
        <f t="shared" si="17"/>
        <v>0</v>
      </c>
      <c r="AT37" s="194">
        <f t="shared" si="18"/>
        <v>0</v>
      </c>
      <c r="AU37" s="33"/>
      <c r="AV37" s="33"/>
      <c r="AW37" s="33"/>
      <c r="AX37" s="33"/>
      <c r="AY37" s="76"/>
    </row>
    <row r="38" spans="2:51" x14ac:dyDescent="0.3">
      <c r="B38" s="40">
        <f t="shared" si="34"/>
        <v>50</v>
      </c>
      <c r="C38" s="152">
        <f t="shared" si="42"/>
        <v>51</v>
      </c>
      <c r="D38" s="137">
        <v>323.17690938220153</v>
      </c>
      <c r="E38" s="141">
        <f t="shared" si="32"/>
        <v>1.3</v>
      </c>
      <c r="F38" s="42">
        <f t="shared" si="33"/>
        <v>420.12998219686199</v>
      </c>
      <c r="G38" s="51">
        <f t="shared" si="35"/>
        <v>-39.387185830955787</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18.808894546146924</v>
      </c>
      <c r="R38" s="33">
        <f t="shared" si="25"/>
        <v>261.30928475487178</v>
      </c>
      <c r="S38" s="33">
        <f t="shared" si="26"/>
        <v>120.20227098724102</v>
      </c>
      <c r="T38" s="33">
        <f t="shared" si="2"/>
        <v>31.722171055059885</v>
      </c>
      <c r="U38" s="33">
        <f t="shared" si="20"/>
        <v>70</v>
      </c>
      <c r="V38" s="33">
        <f t="shared" si="3"/>
        <v>10</v>
      </c>
      <c r="W38" s="33">
        <v>0</v>
      </c>
      <c r="X38" s="33">
        <f t="shared" si="4"/>
        <v>557.93506989034074</v>
      </c>
      <c r="Y38" s="38">
        <f t="shared" si="5"/>
        <v>221.11179387574691</v>
      </c>
      <c r="AA38" s="71">
        <v>33</v>
      </c>
      <c r="AB38" s="33">
        <f t="shared" si="6"/>
        <v>0</v>
      </c>
      <c r="AC38" s="305">
        <f t="shared" si="41"/>
        <v>0</v>
      </c>
      <c r="AD38" s="100">
        <f t="shared" si="8"/>
        <v>0</v>
      </c>
      <c r="AE38" s="100">
        <f t="shared" si="9"/>
        <v>0</v>
      </c>
      <c r="AF38" s="194">
        <f t="shared" si="36"/>
        <v>3.0423196278136548</v>
      </c>
      <c r="AG38" s="194">
        <f t="shared" si="37"/>
        <v>48.16139496305432</v>
      </c>
      <c r="AH38" s="194">
        <f t="shared" si="38"/>
        <v>6.0242506228794106</v>
      </c>
      <c r="AI38" s="199">
        <f t="shared" si="39"/>
        <v>57.227965213747382</v>
      </c>
      <c r="AK38" s="71">
        <v>33</v>
      </c>
      <c r="AL38" s="33">
        <f t="shared" si="10"/>
        <v>0</v>
      </c>
      <c r="AM38" s="33">
        <f t="shared" si="11"/>
        <v>0</v>
      </c>
      <c r="AN38" s="33">
        <f t="shared" si="12"/>
        <v>0</v>
      </c>
      <c r="AO38" s="33">
        <f t="shared" si="13"/>
        <v>0</v>
      </c>
      <c r="AP38" s="33">
        <f t="shared" si="14"/>
        <v>0</v>
      </c>
      <c r="AQ38" s="194">
        <f t="shared" si="15"/>
        <v>0</v>
      </c>
      <c r="AR38" s="194">
        <f t="shared" si="16"/>
        <v>0</v>
      </c>
      <c r="AS38" s="194">
        <f t="shared" si="17"/>
        <v>0</v>
      </c>
      <c r="AT38" s="194">
        <f t="shared" si="18"/>
        <v>0</v>
      </c>
      <c r="AU38" s="33"/>
      <c r="AV38" s="33"/>
      <c r="AW38" s="33"/>
      <c r="AX38" s="33"/>
      <c r="AY38" s="76"/>
    </row>
    <row r="39" spans="2:51" x14ac:dyDescent="0.3">
      <c r="B39" s="40">
        <f t="shared" si="34"/>
        <v>51</v>
      </c>
      <c r="C39" s="152">
        <f t="shared" si="42"/>
        <v>60</v>
      </c>
      <c r="D39" s="137">
        <v>396.65306261171173</v>
      </c>
      <c r="E39" s="141">
        <f t="shared" si="32"/>
        <v>1.3</v>
      </c>
      <c r="F39" s="42">
        <f t="shared" si="33"/>
        <v>515.64898139522529</v>
      </c>
      <c r="G39" s="51">
        <f t="shared" si="35"/>
        <v>10.613222133151478</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18.808894546146924</v>
      </c>
      <c r="R39" s="33">
        <f t="shared" si="25"/>
        <v>280.1181793010187</v>
      </c>
      <c r="S39" s="33">
        <f t="shared" si="26"/>
        <v>128.8543624784686</v>
      </c>
      <c r="T39" s="33">
        <f t="shared" si="2"/>
        <v>33.731499915812442</v>
      </c>
      <c r="U39" s="33">
        <f t="shared" si="20"/>
        <v>70</v>
      </c>
      <c r="V39" s="33">
        <f t="shared" si="3"/>
        <v>10</v>
      </c>
      <c r="W39" s="33">
        <v>0</v>
      </c>
      <c r="X39" s="33">
        <f t="shared" si="4"/>
        <v>576.50371033670615</v>
      </c>
      <c r="Y39" s="38">
        <f t="shared" si="5"/>
        <v>238.40090309774763</v>
      </c>
      <c r="AA39" s="71">
        <v>34</v>
      </c>
      <c r="AB39" s="33">
        <f t="shared" si="6"/>
        <v>0</v>
      </c>
      <c r="AC39" s="305">
        <f t="shared" si="41"/>
        <v>0</v>
      </c>
      <c r="AD39" s="100">
        <f t="shared" si="8"/>
        <v>0</v>
      </c>
      <c r="AE39" s="100">
        <f t="shared" si="9"/>
        <v>0</v>
      </c>
      <c r="AF39" s="194">
        <f t="shared" si="36"/>
        <v>2.9826615955439735</v>
      </c>
      <c r="AG39" s="194">
        <f t="shared" si="37"/>
        <v>46.844419085091914</v>
      </c>
      <c r="AH39" s="194">
        <f t="shared" si="38"/>
        <v>4.2597884670053139</v>
      </c>
      <c r="AI39" s="199">
        <f t="shared" si="39"/>
        <v>54.086869147641202</v>
      </c>
      <c r="AK39" s="71">
        <v>34</v>
      </c>
      <c r="AL39" s="33">
        <f t="shared" si="10"/>
        <v>0</v>
      </c>
      <c r="AM39" s="33">
        <f t="shared" si="11"/>
        <v>0</v>
      </c>
      <c r="AN39" s="33">
        <f t="shared" si="12"/>
        <v>0</v>
      </c>
      <c r="AO39" s="33">
        <f t="shared" si="13"/>
        <v>0</v>
      </c>
      <c r="AP39" s="33">
        <f t="shared" si="14"/>
        <v>0</v>
      </c>
      <c r="AQ39" s="194">
        <f t="shared" si="15"/>
        <v>0</v>
      </c>
      <c r="AR39" s="194">
        <f t="shared" si="16"/>
        <v>0</v>
      </c>
      <c r="AS39" s="194">
        <f t="shared" si="17"/>
        <v>0</v>
      </c>
      <c r="AT39" s="194">
        <f t="shared" si="18"/>
        <v>0</v>
      </c>
      <c r="AU39" s="33"/>
      <c r="AV39" s="33"/>
      <c r="AW39" s="33"/>
      <c r="AX39" s="33"/>
      <c r="AY39" s="76"/>
    </row>
    <row r="40" spans="2:51" x14ac:dyDescent="0.3">
      <c r="B40" s="40">
        <f t="shared" si="34"/>
        <v>60</v>
      </c>
      <c r="C40" s="152">
        <f t="shared" si="42"/>
        <v>61</v>
      </c>
      <c r="D40" s="137">
        <v>0</v>
      </c>
      <c r="E40" s="141">
        <f t="shared" si="32"/>
        <v>1.3</v>
      </c>
      <c r="F40" s="42">
        <f t="shared" si="33"/>
        <v>0</v>
      </c>
      <c r="G40" s="51">
        <f t="shared" si="35"/>
        <v>-515.64898139522529</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18.808894546146924</v>
      </c>
      <c r="R40" s="33">
        <f t="shared" si="25"/>
        <v>298.92707384716562</v>
      </c>
      <c r="S40" s="33">
        <f t="shared" si="26"/>
        <v>137.5064539696962</v>
      </c>
      <c r="T40" s="33">
        <f t="shared" si="2"/>
        <v>35.725173007622296</v>
      </c>
      <c r="U40" s="33">
        <f t="shared" si="20"/>
        <v>70</v>
      </c>
      <c r="V40" s="33">
        <f t="shared" si="3"/>
        <v>10</v>
      </c>
      <c r="W40" s="33">
        <v>0</v>
      </c>
      <c r="X40" s="33">
        <f t="shared" si="4"/>
        <v>595.04508365216304</v>
      </c>
      <c r="Y40" s="38">
        <f t="shared" si="5"/>
        <v>255.66372546342745</v>
      </c>
      <c r="AA40" s="71">
        <v>35</v>
      </c>
      <c r="AB40" s="33">
        <f t="shared" si="6"/>
        <v>0</v>
      </c>
      <c r="AC40" s="305">
        <f t="shared" si="41"/>
        <v>0</v>
      </c>
      <c r="AD40" s="100">
        <f t="shared" si="8"/>
        <v>0</v>
      </c>
      <c r="AE40" s="100">
        <f t="shared" si="9"/>
        <v>0</v>
      </c>
      <c r="AF40" s="194">
        <f t="shared" si="36"/>
        <v>2.9241734208992942</v>
      </c>
      <c r="AG40" s="194">
        <f t="shared" si="37"/>
        <v>45.563455981769138</v>
      </c>
      <c r="AH40" s="194">
        <f t="shared" si="38"/>
        <v>3.0121253114397053</v>
      </c>
      <c r="AI40" s="199">
        <f t="shared" si="39"/>
        <v>51.499754714108136</v>
      </c>
      <c r="AK40" s="71">
        <v>35</v>
      </c>
      <c r="AL40" s="33">
        <f t="shared" si="10"/>
        <v>0</v>
      </c>
      <c r="AM40" s="33">
        <f t="shared" si="11"/>
        <v>0</v>
      </c>
      <c r="AN40" s="33">
        <f t="shared" si="12"/>
        <v>0</v>
      </c>
      <c r="AO40" s="33">
        <f t="shared" si="13"/>
        <v>0</v>
      </c>
      <c r="AP40" s="33">
        <f t="shared" si="14"/>
        <v>0</v>
      </c>
      <c r="AQ40" s="194">
        <f t="shared" si="15"/>
        <v>0</v>
      </c>
      <c r="AR40" s="194">
        <f t="shared" si="16"/>
        <v>0</v>
      </c>
      <c r="AS40" s="194">
        <f t="shared" si="17"/>
        <v>0</v>
      </c>
      <c r="AT40" s="194">
        <f t="shared" si="18"/>
        <v>0</v>
      </c>
      <c r="AU40" s="33"/>
      <c r="AV40" s="33"/>
      <c r="AW40" s="33"/>
      <c r="AX40" s="33"/>
      <c r="AY40" s="76"/>
    </row>
    <row r="41" spans="2:51" x14ac:dyDescent="0.3">
      <c r="B41" s="40"/>
      <c r="C41" s="152"/>
      <c r="D41" s="137"/>
      <c r="E41" s="141"/>
      <c r="F41" s="42"/>
      <c r="G41" s="51"/>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-51.507434262896226</v>
      </c>
      <c r="R41" s="33">
        <f t="shared" si="25"/>
        <v>247.41963958426939</v>
      </c>
      <c r="S41" s="33">
        <f t="shared" si="26"/>
        <v>113.81303420876392</v>
      </c>
      <c r="T41" s="33">
        <f t="shared" si="2"/>
        <v>30.227575702092587</v>
      </c>
      <c r="U41" s="33">
        <f t="shared" si="20"/>
        <v>70</v>
      </c>
      <c r="V41" s="33">
        <f t="shared" si="3"/>
        <v>10</v>
      </c>
      <c r="W41" s="33">
        <v>0</v>
      </c>
      <c r="X41" s="33">
        <f t="shared" si="4"/>
        <v>544.20406226140847</v>
      </c>
      <c r="Y41" s="38">
        <f t="shared" si="5"/>
        <v>203.54510217285241</v>
      </c>
      <c r="AA41" s="71">
        <v>36</v>
      </c>
      <c r="AB41" s="33">
        <f t="shared" si="6"/>
        <v>39.62110327915093</v>
      </c>
      <c r="AC41" s="305">
        <f t="shared" si="41"/>
        <v>0.15</v>
      </c>
      <c r="AD41" s="100">
        <f t="shared" si="8"/>
        <v>0.39200000000000002</v>
      </c>
      <c r="AE41" s="100">
        <f t="shared" si="9"/>
        <v>0.308</v>
      </c>
      <c r="AF41" s="194">
        <f t="shared" si="36"/>
        <v>7.5814594360843639</v>
      </c>
      <c r="AG41" s="194">
        <f t="shared" si="37"/>
        <v>56.589901438258153</v>
      </c>
      <c r="AH41" s="194">
        <f t="shared" si="38"/>
        <v>10.392442401893881</v>
      </c>
      <c r="AI41" s="199">
        <f t="shared" si="39"/>
        <v>74.563803276236399</v>
      </c>
      <c r="AK41" s="71">
        <v>36</v>
      </c>
      <c r="AL41" s="33">
        <f t="shared" si="10"/>
        <v>39.62110327915093</v>
      </c>
      <c r="AM41" s="33">
        <f t="shared" si="11"/>
        <v>0.3</v>
      </c>
      <c r="AN41" s="33">
        <f t="shared" si="12"/>
        <v>0.39200000000000002</v>
      </c>
      <c r="AO41" s="33">
        <f t="shared" si="13"/>
        <v>0.308</v>
      </c>
      <c r="AP41" s="33">
        <f t="shared" si="14"/>
        <v>0</v>
      </c>
      <c r="AQ41" s="194">
        <f t="shared" si="15"/>
        <v>11.886330983745278</v>
      </c>
      <c r="AR41" s="194">
        <f t="shared" si="16"/>
        <v>15.531472485427164</v>
      </c>
      <c r="AS41" s="194">
        <f t="shared" si="17"/>
        <v>12.203299809978486</v>
      </c>
      <c r="AT41" s="194">
        <f t="shared" si="18"/>
        <v>0</v>
      </c>
      <c r="AU41" s="33"/>
      <c r="AV41" s="33"/>
      <c r="AW41" s="33"/>
      <c r="AX41" s="33"/>
      <c r="AY41" s="76"/>
    </row>
    <row r="42" spans="2:51" x14ac:dyDescent="0.3">
      <c r="B42" s="40"/>
      <c r="C42" s="152"/>
      <c r="D42" s="137"/>
      <c r="E42" s="141"/>
      <c r="F42" s="42"/>
      <c r="G42" s="51"/>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35.142511454598399</v>
      </c>
      <c r="R42" s="33">
        <f t="shared" si="25"/>
        <v>282.5621510388678</v>
      </c>
      <c r="S42" s="33">
        <f t="shared" si="26"/>
        <v>129.97858947787918</v>
      </c>
      <c r="T42" s="33">
        <f t="shared" si="2"/>
        <v>33.991411941891236</v>
      </c>
      <c r="U42" s="33">
        <f t="shared" si="20"/>
        <v>70</v>
      </c>
      <c r="V42" s="33">
        <f t="shared" si="3"/>
        <v>10</v>
      </c>
      <c r="W42" s="33">
        <v>0</v>
      </c>
      <c r="X42" s="33">
        <f t="shared" si="4"/>
        <v>578.91441913943345</v>
      </c>
      <c r="Y42" s="38">
        <f t="shared" si="5"/>
        <v>236.97877680979235</v>
      </c>
      <c r="AA42" s="71">
        <v>37</v>
      </c>
      <c r="AB42" s="33">
        <f t="shared" si="6"/>
        <v>0</v>
      </c>
      <c r="AC42" s="305">
        <f t="shared" si="41"/>
        <v>0</v>
      </c>
      <c r="AD42" s="100">
        <f t="shared" si="8"/>
        <v>0</v>
      </c>
      <c r="AE42" s="100">
        <f t="shared" si="9"/>
        <v>0</v>
      </c>
      <c r="AF42" s="194">
        <f t="shared" si="36"/>
        <v>7.4327916407764008</v>
      </c>
      <c r="AG42" s="194">
        <f t="shared" si="37"/>
        <v>55.042447607495404</v>
      </c>
      <c r="AH42" s="194">
        <f t="shared" si="38"/>
        <v>7.3485664954697754</v>
      </c>
      <c r="AI42" s="199">
        <f t="shared" si="39"/>
        <v>69.823805743741588</v>
      </c>
      <c r="AK42" s="71">
        <v>37</v>
      </c>
      <c r="AL42" s="33">
        <f t="shared" si="10"/>
        <v>0</v>
      </c>
      <c r="AM42" s="33">
        <f t="shared" si="11"/>
        <v>0</v>
      </c>
      <c r="AN42" s="33">
        <f t="shared" si="12"/>
        <v>0</v>
      </c>
      <c r="AO42" s="33">
        <f t="shared" si="13"/>
        <v>0</v>
      </c>
      <c r="AP42" s="33">
        <f t="shared" si="14"/>
        <v>0</v>
      </c>
      <c r="AQ42" s="194">
        <f t="shared" si="15"/>
        <v>0</v>
      </c>
      <c r="AR42" s="194">
        <f t="shared" si="16"/>
        <v>0</v>
      </c>
      <c r="AS42" s="194">
        <f t="shared" si="17"/>
        <v>0</v>
      </c>
      <c r="AT42" s="194">
        <f t="shared" si="18"/>
        <v>0</v>
      </c>
      <c r="AU42" s="33"/>
      <c r="AV42" s="33"/>
      <c r="AW42" s="33"/>
      <c r="AX42" s="33"/>
      <c r="AY42" s="76"/>
    </row>
    <row r="43" spans="2:51" x14ac:dyDescent="0.3">
      <c r="B43" s="40"/>
      <c r="C43" s="152"/>
      <c r="D43" s="137"/>
      <c r="E43" s="141"/>
      <c r="F43" s="42"/>
      <c r="G43" s="51"/>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35.142511454598399</v>
      </c>
      <c r="R43" s="33">
        <f t="shared" si="25"/>
        <v>317.70466249346617</v>
      </c>
      <c r="S43" s="33">
        <f t="shared" si="26"/>
        <v>146.14414474699444</v>
      </c>
      <c r="T43" s="33">
        <f t="shared" si="2"/>
        <v>37.701005021302791</v>
      </c>
      <c r="U43" s="33">
        <f t="shared" si="20"/>
        <v>70</v>
      </c>
      <c r="V43" s="33">
        <f t="shared" si="3"/>
        <v>10</v>
      </c>
      <c r="W43" s="33">
        <v>0</v>
      </c>
      <c r="X43" s="33">
        <f t="shared" si="4"/>
        <v>613.5303025131177</v>
      </c>
      <c r="Y43" s="38">
        <f t="shared" si="5"/>
        <v>270.31886988905921</v>
      </c>
      <c r="AA43" s="71">
        <v>38</v>
      </c>
      <c r="AB43" s="33">
        <f t="shared" si="6"/>
        <v>0</v>
      </c>
      <c r="AC43" s="305">
        <f t="shared" si="41"/>
        <v>0</v>
      </c>
      <c r="AD43" s="100">
        <f t="shared" si="8"/>
        <v>0</v>
      </c>
      <c r="AE43" s="100">
        <f t="shared" si="9"/>
        <v>0</v>
      </c>
      <c r="AF43" s="194">
        <f t="shared" si="36"/>
        <v>7.2870391302560247</v>
      </c>
      <c r="AG43" s="194">
        <f t="shared" si="37"/>
        <v>53.537308983111927</v>
      </c>
      <c r="AH43" s="194">
        <f t="shared" si="38"/>
        <v>5.1962212009469413</v>
      </c>
      <c r="AI43" s="199">
        <f t="shared" si="39"/>
        <v>66.020569314314898</v>
      </c>
      <c r="AK43" s="71">
        <v>38</v>
      </c>
      <c r="AL43" s="33">
        <f t="shared" si="10"/>
        <v>0</v>
      </c>
      <c r="AM43" s="33">
        <f t="shared" si="11"/>
        <v>0</v>
      </c>
      <c r="AN43" s="33">
        <f t="shared" si="12"/>
        <v>0</v>
      </c>
      <c r="AO43" s="33">
        <f t="shared" si="13"/>
        <v>0</v>
      </c>
      <c r="AP43" s="33">
        <f t="shared" si="14"/>
        <v>0</v>
      </c>
      <c r="AQ43" s="194">
        <f t="shared" si="15"/>
        <v>0</v>
      </c>
      <c r="AR43" s="194">
        <f t="shared" si="16"/>
        <v>0</v>
      </c>
      <c r="AS43" s="194">
        <f t="shared" si="17"/>
        <v>0</v>
      </c>
      <c r="AT43" s="194">
        <f t="shared" si="18"/>
        <v>0</v>
      </c>
      <c r="AU43" s="33"/>
      <c r="AV43" s="33"/>
      <c r="AW43" s="33"/>
      <c r="AX43" s="33"/>
      <c r="AY43" s="76"/>
    </row>
    <row r="44" spans="2:51" x14ac:dyDescent="0.3">
      <c r="B44" s="40"/>
      <c r="C44" s="152"/>
      <c r="D44" s="137"/>
      <c r="E44" s="141"/>
      <c r="F44" s="42"/>
      <c r="G44" s="51"/>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35.142511454598399</v>
      </c>
      <c r="R44" s="33">
        <f t="shared" si="25"/>
        <v>352.84717394806455</v>
      </c>
      <c r="S44" s="33">
        <f t="shared" si="26"/>
        <v>162.3097000161097</v>
      </c>
      <c r="T44" s="33">
        <f t="shared" si="2"/>
        <v>41.363039340206313</v>
      </c>
      <c r="U44" s="33">
        <f t="shared" si="20"/>
        <v>70</v>
      </c>
      <c r="V44" s="33">
        <f t="shared" si="3"/>
        <v>10</v>
      </c>
      <c r="W44" s="33">
        <v>0</v>
      </c>
      <c r="X44" s="33">
        <f t="shared" si="4"/>
        <v>648.0633543789171</v>
      </c>
      <c r="Y44" s="38">
        <f t="shared" si="5"/>
        <v>303.5769972366337</v>
      </c>
      <c r="AA44" s="71">
        <v>39</v>
      </c>
      <c r="AB44" s="33">
        <f t="shared" si="6"/>
        <v>0</v>
      </c>
      <c r="AC44" s="305">
        <f t="shared" si="41"/>
        <v>0</v>
      </c>
      <c r="AD44" s="100">
        <f t="shared" si="8"/>
        <v>0</v>
      </c>
      <c r="AE44" s="100">
        <f t="shared" si="9"/>
        <v>0</v>
      </c>
      <c r="AF44" s="194">
        <f t="shared" si="36"/>
        <v>7.1441447375667</v>
      </c>
      <c r="AG44" s="194">
        <f t="shared" si="37"/>
        <v>52.073328453564017</v>
      </c>
      <c r="AH44" s="194">
        <f t="shared" si="38"/>
        <v>3.6742832477348881</v>
      </c>
      <c r="AI44" s="199">
        <f t="shared" si="39"/>
        <v>62.891756438865606</v>
      </c>
      <c r="AK44" s="71">
        <v>39</v>
      </c>
      <c r="AL44" s="33">
        <f t="shared" si="10"/>
        <v>0</v>
      </c>
      <c r="AM44" s="33">
        <f t="shared" si="11"/>
        <v>0</v>
      </c>
      <c r="AN44" s="33">
        <f t="shared" si="12"/>
        <v>0</v>
      </c>
      <c r="AO44" s="33">
        <f t="shared" si="13"/>
        <v>0</v>
      </c>
      <c r="AP44" s="33">
        <f t="shared" si="14"/>
        <v>0</v>
      </c>
      <c r="AQ44" s="194">
        <f t="shared" si="15"/>
        <v>0</v>
      </c>
      <c r="AR44" s="194">
        <f t="shared" si="16"/>
        <v>0</v>
      </c>
      <c r="AS44" s="194">
        <f t="shared" si="17"/>
        <v>0</v>
      </c>
      <c r="AT44" s="194">
        <f t="shared" si="18"/>
        <v>0</v>
      </c>
      <c r="AU44" s="33"/>
      <c r="AV44" s="33"/>
      <c r="AW44" s="33"/>
      <c r="AX44" s="33"/>
      <c r="AY44" s="76"/>
    </row>
    <row r="45" spans="2:51" x14ac:dyDescent="0.3">
      <c r="B45" s="40"/>
      <c r="C45" s="152"/>
      <c r="D45" s="137"/>
      <c r="E45" s="141"/>
      <c r="F45" s="42"/>
      <c r="G45" s="51"/>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35.142511454598399</v>
      </c>
      <c r="R45" s="33">
        <f t="shared" si="25"/>
        <v>387.98968540266293</v>
      </c>
      <c r="S45" s="33">
        <f t="shared" si="26"/>
        <v>178.47525528522496</v>
      </c>
      <c r="T45" s="33">
        <f t="shared" si="2"/>
        <v>44.98279079024325</v>
      </c>
      <c r="U45" s="33">
        <f t="shared" si="20"/>
        <v>70</v>
      </c>
      <c r="V45" s="33">
        <f t="shared" si="3"/>
        <v>10</v>
      </c>
      <c r="W45" s="33">
        <v>0</v>
      </c>
      <c r="X45" s="33">
        <f t="shared" si="4"/>
        <v>682.52276358144047</v>
      </c>
      <c r="Y45" s="38">
        <f t="shared" si="5"/>
        <v>336.76232294518496</v>
      </c>
      <c r="AA45" s="71">
        <v>40</v>
      </c>
      <c r="AB45" s="33">
        <f t="shared" si="6"/>
        <v>0</v>
      </c>
      <c r="AC45" s="305">
        <f t="shared" si="41"/>
        <v>0</v>
      </c>
      <c r="AD45" s="100">
        <f t="shared" si="8"/>
        <v>0</v>
      </c>
      <c r="AE45" s="100">
        <f t="shared" si="9"/>
        <v>0</v>
      </c>
      <c r="AF45" s="194">
        <f t="shared" si="36"/>
        <v>7.0040524167610396</v>
      </c>
      <c r="AG45" s="194">
        <f t="shared" si="37"/>
        <v>50.649380548583977</v>
      </c>
      <c r="AH45" s="194">
        <f t="shared" si="38"/>
        <v>2.5981106004734711</v>
      </c>
      <c r="AI45" s="199">
        <f t="shared" si="39"/>
        <v>60.251543565818487</v>
      </c>
      <c r="AK45" s="71">
        <v>40</v>
      </c>
      <c r="AL45" s="33">
        <f t="shared" si="10"/>
        <v>0</v>
      </c>
      <c r="AM45" s="33">
        <f t="shared" si="11"/>
        <v>0</v>
      </c>
      <c r="AN45" s="33">
        <f t="shared" si="12"/>
        <v>0</v>
      </c>
      <c r="AO45" s="33">
        <f t="shared" si="13"/>
        <v>0</v>
      </c>
      <c r="AP45" s="33">
        <f t="shared" si="14"/>
        <v>0</v>
      </c>
      <c r="AQ45" s="194">
        <f t="shared" si="15"/>
        <v>0</v>
      </c>
      <c r="AR45" s="194">
        <f t="shared" si="16"/>
        <v>0</v>
      </c>
      <c r="AS45" s="194">
        <f t="shared" si="17"/>
        <v>0</v>
      </c>
      <c r="AT45" s="194">
        <f t="shared" si="18"/>
        <v>0</v>
      </c>
      <c r="AU45" s="33"/>
      <c r="AV45" s="33"/>
      <c r="AW45" s="33"/>
      <c r="AX45" s="33"/>
      <c r="AY45" s="76"/>
    </row>
    <row r="46" spans="2:51" x14ac:dyDescent="0.3">
      <c r="B46" s="40"/>
      <c r="C46" s="152"/>
      <c r="D46" s="137"/>
      <c r="E46" s="141"/>
      <c r="F46" s="42"/>
      <c r="G46" s="51"/>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-37.733898815631619</v>
      </c>
      <c r="R46" s="33">
        <f t="shared" si="25"/>
        <v>350.25578658703131</v>
      </c>
      <c r="S46" s="33">
        <f t="shared" si="26"/>
        <v>161.11766183003442</v>
      </c>
      <c r="T46" s="33">
        <f t="shared" si="2"/>
        <v>41.094504929892295</v>
      </c>
      <c r="U46" s="33">
        <f t="shared" si="20"/>
        <v>70</v>
      </c>
      <c r="V46" s="33">
        <f t="shared" si="3"/>
        <v>10</v>
      </c>
      <c r="W46" s="33">
        <v>0</v>
      </c>
      <c r="X46" s="33">
        <f t="shared" si="4"/>
        <v>645.51952377353894</v>
      </c>
      <c r="Y46" s="38">
        <f t="shared" si="5"/>
        <v>298.48581722375712</v>
      </c>
      <c r="AA46" s="71">
        <v>41</v>
      </c>
      <c r="AB46" s="33">
        <f t="shared" si="6"/>
        <v>29.026076012024305</v>
      </c>
      <c r="AC46" s="305">
        <f t="shared" si="41"/>
        <v>0.35</v>
      </c>
      <c r="AD46" s="100">
        <f t="shared" si="8"/>
        <v>0.16800000000000004</v>
      </c>
      <c r="AE46" s="100">
        <f t="shared" si="9"/>
        <v>0.13200000000000003</v>
      </c>
      <c r="AF46" s="194">
        <f t="shared" si="36"/>
        <v>14.925795499287517</v>
      </c>
      <c r="AG46" s="194">
        <f t="shared" si="37"/>
        <v>53.117501730938365</v>
      </c>
      <c r="AH46" s="194">
        <f t="shared" si="38"/>
        <v>4.4313149089511414</v>
      </c>
      <c r="AI46" s="199">
        <f t="shared" si="39"/>
        <v>72.474612139177012</v>
      </c>
      <c r="AK46" s="71">
        <v>41</v>
      </c>
      <c r="AL46" s="33">
        <f t="shared" si="10"/>
        <v>29.026076012024305</v>
      </c>
      <c r="AM46" s="33">
        <f t="shared" si="11"/>
        <v>0.7</v>
      </c>
      <c r="AN46" s="33">
        <f t="shared" si="12"/>
        <v>0.16800000000000004</v>
      </c>
      <c r="AO46" s="33">
        <f t="shared" si="13"/>
        <v>0.13200000000000003</v>
      </c>
      <c r="AP46" s="33">
        <f t="shared" si="14"/>
        <v>0</v>
      </c>
      <c r="AQ46" s="194">
        <f t="shared" si="15"/>
        <v>20.318253208417012</v>
      </c>
      <c r="AR46" s="194">
        <f t="shared" si="16"/>
        <v>4.8763807700200843</v>
      </c>
      <c r="AS46" s="194">
        <f t="shared" si="17"/>
        <v>3.831442033587209</v>
      </c>
      <c r="AT46" s="194">
        <f t="shared" si="18"/>
        <v>0</v>
      </c>
      <c r="AU46" s="33"/>
      <c r="AV46" s="33"/>
      <c r="AW46" s="33"/>
      <c r="AX46" s="33"/>
      <c r="AY46" s="76"/>
    </row>
    <row r="47" spans="2:51" x14ac:dyDescent="0.3">
      <c r="B47" s="40"/>
      <c r="C47" s="152"/>
      <c r="D47" s="137"/>
      <c r="E47" s="141"/>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12.140153493420712</v>
      </c>
      <c r="R47" s="33">
        <f t="shared" si="25"/>
        <v>362.39594008045202</v>
      </c>
      <c r="S47" s="33">
        <f t="shared" si="26"/>
        <v>166.70213243700795</v>
      </c>
      <c r="T47" s="33">
        <f t="shared" si="2"/>
        <v>42.350570954950449</v>
      </c>
      <c r="U47" s="33">
        <f t="shared" si="20"/>
        <v>70</v>
      </c>
      <c r="V47" s="33">
        <f t="shared" si="3"/>
        <v>10</v>
      </c>
      <c r="W47" s="33">
        <v>0</v>
      </c>
      <c r="X47" s="33">
        <f t="shared" si="4"/>
        <v>657.43345840766096</v>
      </c>
      <c r="Y47" s="38">
        <f t="shared" si="5"/>
        <v>309.12728128979421</v>
      </c>
      <c r="AA47" s="71">
        <v>42</v>
      </c>
      <c r="AB47" s="33">
        <f t="shared" si="6"/>
        <v>0</v>
      </c>
      <c r="AC47" s="305">
        <f t="shared" si="41"/>
        <v>0</v>
      </c>
      <c r="AD47" s="100">
        <f t="shared" si="8"/>
        <v>0</v>
      </c>
      <c r="AE47" s="100">
        <f t="shared" si="9"/>
        <v>0</v>
      </c>
      <c r="AF47" s="194">
        <f t="shared" si="36"/>
        <v>14.633109753382815</v>
      </c>
      <c r="AG47" s="194">
        <f t="shared" si="37"/>
        <v>51.665000852777844</v>
      </c>
      <c r="AH47" s="194">
        <f t="shared" si="38"/>
        <v>3.1334128216924007</v>
      </c>
      <c r="AI47" s="199">
        <f t="shared" si="39"/>
        <v>69.431523427853065</v>
      </c>
      <c r="AK47" s="71">
        <v>42</v>
      </c>
      <c r="AL47" s="33">
        <f t="shared" si="10"/>
        <v>0</v>
      </c>
      <c r="AM47" s="33">
        <f t="shared" si="11"/>
        <v>0</v>
      </c>
      <c r="AN47" s="33">
        <f t="shared" si="12"/>
        <v>0</v>
      </c>
      <c r="AO47" s="33">
        <f t="shared" si="13"/>
        <v>0</v>
      </c>
      <c r="AP47" s="33">
        <f t="shared" si="14"/>
        <v>0</v>
      </c>
      <c r="AQ47" s="194">
        <f t="shared" si="15"/>
        <v>0</v>
      </c>
      <c r="AR47" s="194">
        <f t="shared" si="16"/>
        <v>0</v>
      </c>
      <c r="AS47" s="194">
        <f t="shared" si="17"/>
        <v>0</v>
      </c>
      <c r="AT47" s="194">
        <f t="shared" si="18"/>
        <v>0</v>
      </c>
      <c r="AU47" s="33"/>
      <c r="AV47" s="33"/>
      <c r="AW47" s="33"/>
      <c r="AX47" s="33"/>
      <c r="AY47" s="76"/>
    </row>
    <row r="48" spans="2:51" x14ac:dyDescent="0.3">
      <c r="B48" s="40"/>
      <c r="C48" s="152"/>
      <c r="D48" s="137"/>
      <c r="E48" s="141"/>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12.140153493420712</v>
      </c>
      <c r="R48" s="33">
        <f t="shared" si="25"/>
        <v>374.53609357387273</v>
      </c>
      <c r="S48" s="33">
        <f t="shared" si="26"/>
        <v>172.28660304398147</v>
      </c>
      <c r="T48" s="33">
        <f t="shared" si="2"/>
        <v>43.601747691515719</v>
      </c>
      <c r="U48" s="33">
        <f t="shared" si="20"/>
        <v>70</v>
      </c>
      <c r="V48" s="33">
        <f t="shared" si="3"/>
        <v>10</v>
      </c>
      <c r="W48" s="33">
        <v>0</v>
      </c>
      <c r="X48" s="33">
        <f t="shared" si="4"/>
        <v>669.33887753099089</v>
      </c>
      <c r="Y48" s="38">
        <f t="shared" si="5"/>
        <v>319.7610040746759</v>
      </c>
      <c r="AA48" s="71">
        <v>43</v>
      </c>
      <c r="AB48" s="33">
        <f t="shared" si="6"/>
        <v>0</v>
      </c>
      <c r="AC48" s="305">
        <f t="shared" si="41"/>
        <v>0</v>
      </c>
      <c r="AD48" s="100">
        <f t="shared" si="8"/>
        <v>0</v>
      </c>
      <c r="AE48" s="100">
        <f t="shared" si="9"/>
        <v>0</v>
      </c>
      <c r="AF48" s="194">
        <f t="shared" si="36"/>
        <v>14.346163396434626</v>
      </c>
      <c r="AG48" s="194">
        <f t="shared" si="37"/>
        <v>50.252218687514322</v>
      </c>
      <c r="AH48" s="194">
        <f t="shared" si="38"/>
        <v>2.2156574544755712</v>
      </c>
      <c r="AI48" s="199">
        <f t="shared" si="39"/>
        <v>66.814039538424524</v>
      </c>
      <c r="AK48" s="71">
        <v>43</v>
      </c>
      <c r="AL48" s="33">
        <f t="shared" si="10"/>
        <v>0</v>
      </c>
      <c r="AM48" s="33">
        <f t="shared" si="11"/>
        <v>0</v>
      </c>
      <c r="AN48" s="33">
        <f t="shared" si="12"/>
        <v>0</v>
      </c>
      <c r="AO48" s="33">
        <f t="shared" si="13"/>
        <v>0</v>
      </c>
      <c r="AP48" s="33">
        <f t="shared" si="14"/>
        <v>0</v>
      </c>
      <c r="AQ48" s="194">
        <f t="shared" si="15"/>
        <v>0</v>
      </c>
      <c r="AR48" s="194">
        <f t="shared" si="16"/>
        <v>0</v>
      </c>
      <c r="AS48" s="194">
        <f t="shared" si="17"/>
        <v>0</v>
      </c>
      <c r="AT48" s="194">
        <f t="shared" si="18"/>
        <v>0</v>
      </c>
      <c r="AU48" s="33"/>
      <c r="AV48" s="33"/>
      <c r="AW48" s="33"/>
      <c r="AX48" s="33"/>
      <c r="AY48" s="76"/>
    </row>
    <row r="49" spans="2:51" x14ac:dyDescent="0.3">
      <c r="B49" s="40"/>
      <c r="C49" s="152"/>
      <c r="D49" s="137"/>
      <c r="E49" s="141"/>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12.140153493420712</v>
      </c>
      <c r="R49" s="33">
        <f t="shared" si="25"/>
        <v>386.67624706729345</v>
      </c>
      <c r="S49" s="33">
        <f t="shared" si="26"/>
        <v>177.871073650955</v>
      </c>
      <c r="T49" s="33">
        <f t="shared" si="2"/>
        <v>44.848211796805678</v>
      </c>
      <c r="U49" s="33">
        <f t="shared" si="20"/>
        <v>70</v>
      </c>
      <c r="V49" s="33">
        <f t="shared" si="3"/>
        <v>10</v>
      </c>
      <c r="W49" s="33">
        <v>0</v>
      </c>
      <c r="X49" s="33">
        <f t="shared" si="4"/>
        <v>681.23608882151655</v>
      </c>
      <c r="Y49" s="38">
        <f t="shared" si="5"/>
        <v>330.38727317875203</v>
      </c>
      <c r="AA49" s="71">
        <v>44</v>
      </c>
      <c r="AB49" s="33">
        <f t="shared" si="6"/>
        <v>0</v>
      </c>
      <c r="AC49" s="305">
        <f t="shared" si="41"/>
        <v>0</v>
      </c>
      <c r="AD49" s="100">
        <f t="shared" si="8"/>
        <v>0</v>
      </c>
      <c r="AE49" s="100">
        <f t="shared" si="9"/>
        <v>0</v>
      </c>
      <c r="AF49" s="194">
        <f t="shared" si="36"/>
        <v>14.064843882526196</v>
      </c>
      <c r="AG49" s="194">
        <f t="shared" si="37"/>
        <v>48.878069124854918</v>
      </c>
      <c r="AH49" s="194">
        <f t="shared" si="38"/>
        <v>1.5667064108462008</v>
      </c>
      <c r="AI49" s="199">
        <f t="shared" si="39"/>
        <v>64.509619418227317</v>
      </c>
      <c r="AK49" s="71">
        <v>44</v>
      </c>
      <c r="AL49" s="33">
        <f t="shared" si="10"/>
        <v>0</v>
      </c>
      <c r="AM49" s="33">
        <f t="shared" si="11"/>
        <v>0</v>
      </c>
      <c r="AN49" s="33">
        <f t="shared" si="12"/>
        <v>0</v>
      </c>
      <c r="AO49" s="33">
        <f t="shared" si="13"/>
        <v>0</v>
      </c>
      <c r="AP49" s="33">
        <f t="shared" si="14"/>
        <v>0</v>
      </c>
      <c r="AQ49" s="194">
        <f t="shared" si="15"/>
        <v>0</v>
      </c>
      <c r="AR49" s="194">
        <f t="shared" si="16"/>
        <v>0</v>
      </c>
      <c r="AS49" s="194">
        <f t="shared" si="17"/>
        <v>0</v>
      </c>
      <c r="AT49" s="194">
        <f t="shared" si="18"/>
        <v>0</v>
      </c>
      <c r="AU49" s="33"/>
      <c r="AV49" s="33"/>
      <c r="AW49" s="33"/>
      <c r="AX49" s="33"/>
      <c r="AY49" s="76"/>
    </row>
    <row r="50" spans="2:51" x14ac:dyDescent="0.3">
      <c r="B50" s="40"/>
      <c r="C50" s="152"/>
      <c r="D50" s="137"/>
      <c r="E50" s="141"/>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12.140153493420712</v>
      </c>
      <c r="R50" s="33">
        <f t="shared" si="25"/>
        <v>398.81640056071416</v>
      </c>
      <c r="S50" s="33">
        <f t="shared" si="26"/>
        <v>183.45554425792852</v>
      </c>
      <c r="T50" s="33">
        <f t="shared" si="2"/>
        <v>46.090128205299855</v>
      </c>
      <c r="U50" s="33">
        <f t="shared" si="20"/>
        <v>70</v>
      </c>
      <c r="V50" s="33">
        <f t="shared" si="3"/>
        <v>10</v>
      </c>
      <c r="W50" s="33">
        <v>0</v>
      </c>
      <c r="X50" s="33">
        <f t="shared" si="4"/>
        <v>693.12537954012271</v>
      </c>
      <c r="Y50" s="38">
        <f t="shared" si="5"/>
        <v>341.00635674997721</v>
      </c>
      <c r="AA50" s="71">
        <v>45</v>
      </c>
      <c r="AB50" s="33">
        <f t="shared" si="6"/>
        <v>0</v>
      </c>
      <c r="AC50" s="305">
        <f t="shared" si="41"/>
        <v>0</v>
      </c>
      <c r="AD50" s="100">
        <f t="shared" si="8"/>
        <v>0</v>
      </c>
      <c r="AE50" s="100">
        <f t="shared" si="9"/>
        <v>0</v>
      </c>
      <c r="AF50" s="194">
        <f t="shared" si="36"/>
        <v>13.789040872697548</v>
      </c>
      <c r="AG50" s="194">
        <f t="shared" si="37"/>
        <v>47.541495754249816</v>
      </c>
      <c r="AH50" s="194">
        <f t="shared" si="38"/>
        <v>1.1078287272377858</v>
      </c>
      <c r="AI50" s="199">
        <f t="shared" si="39"/>
        <v>62.438365354185152</v>
      </c>
      <c r="AK50" s="71">
        <v>45</v>
      </c>
      <c r="AL50" s="33">
        <f t="shared" si="10"/>
        <v>0</v>
      </c>
      <c r="AM50" s="33">
        <f t="shared" si="11"/>
        <v>0</v>
      </c>
      <c r="AN50" s="33">
        <f t="shared" si="12"/>
        <v>0</v>
      </c>
      <c r="AO50" s="33">
        <f t="shared" si="13"/>
        <v>0</v>
      </c>
      <c r="AP50" s="33">
        <f t="shared" si="14"/>
        <v>0</v>
      </c>
      <c r="AQ50" s="194">
        <f t="shared" si="15"/>
        <v>0</v>
      </c>
      <c r="AR50" s="194">
        <f t="shared" si="16"/>
        <v>0</v>
      </c>
      <c r="AS50" s="194">
        <f t="shared" si="17"/>
        <v>0</v>
      </c>
      <c r="AT50" s="194">
        <f t="shared" si="18"/>
        <v>0</v>
      </c>
      <c r="AU50" s="33"/>
      <c r="AV50" s="33"/>
      <c r="AW50" s="33"/>
      <c r="AX50" s="33"/>
      <c r="AY50" s="76"/>
    </row>
    <row r="51" spans="2:51" x14ac:dyDescent="0.3">
      <c r="B51" s="40"/>
      <c r="C51" s="152"/>
      <c r="D51" s="137"/>
      <c r="E51" s="141"/>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12.140153493420712</v>
      </c>
      <c r="R51" s="33">
        <f t="shared" si="25"/>
        <v>410.95655405413487</v>
      </c>
      <c r="S51" s="33">
        <f t="shared" si="26"/>
        <v>189.04001486490205</v>
      </c>
      <c r="T51" s="33">
        <f t="shared" si="2"/>
        <v>47.327651239542767</v>
      </c>
      <c r="U51" s="33">
        <f t="shared" si="20"/>
        <v>70</v>
      </c>
      <c r="V51" s="33">
        <f t="shared" si="3"/>
        <v>10</v>
      </c>
      <c r="W51" s="33">
        <v>0</v>
      </c>
      <c r="X51" s="33">
        <f t="shared" si="4"/>
        <v>705.00701846524134</v>
      </c>
      <c r="Y51" s="38">
        <f t="shared" si="5"/>
        <v>351.61850535181617</v>
      </c>
      <c r="AA51" s="71">
        <v>46</v>
      </c>
      <c r="AB51" s="33">
        <f t="shared" si="6"/>
        <v>0</v>
      </c>
      <c r="AC51" s="305">
        <f t="shared" si="41"/>
        <v>0</v>
      </c>
      <c r="AD51" s="100">
        <f t="shared" si="8"/>
        <v>0</v>
      </c>
      <c r="AE51" s="100">
        <f t="shared" si="9"/>
        <v>0</v>
      </c>
      <c r="AF51" s="194">
        <f t="shared" si="36"/>
        <v>13.518646191668415</v>
      </c>
      <c r="AG51" s="194">
        <f t="shared" si="37"/>
        <v>46.241471052751251</v>
      </c>
      <c r="AH51" s="194">
        <f t="shared" si="38"/>
        <v>0.7833532054231005</v>
      </c>
      <c r="AI51" s="199">
        <f t="shared" si="39"/>
        <v>60.543470449842765</v>
      </c>
      <c r="AK51" s="71">
        <v>46</v>
      </c>
      <c r="AL51" s="33">
        <f t="shared" si="10"/>
        <v>0</v>
      </c>
      <c r="AM51" s="33">
        <f t="shared" si="11"/>
        <v>0</v>
      </c>
      <c r="AN51" s="33">
        <f t="shared" si="12"/>
        <v>0</v>
      </c>
      <c r="AO51" s="33">
        <f t="shared" si="13"/>
        <v>0</v>
      </c>
      <c r="AP51" s="33">
        <f t="shared" si="14"/>
        <v>0</v>
      </c>
      <c r="AQ51" s="194">
        <f t="shared" si="15"/>
        <v>0</v>
      </c>
      <c r="AR51" s="194">
        <f t="shared" si="16"/>
        <v>0</v>
      </c>
      <c r="AS51" s="194">
        <f t="shared" si="17"/>
        <v>0</v>
      </c>
      <c r="AT51" s="194">
        <f t="shared" si="18"/>
        <v>0</v>
      </c>
      <c r="AU51" s="33"/>
      <c r="AV51" s="33"/>
      <c r="AW51" s="33"/>
      <c r="AX51" s="33"/>
      <c r="AY51" s="76"/>
    </row>
    <row r="52" spans="2:51" x14ac:dyDescent="0.3">
      <c r="B52" s="40"/>
      <c r="C52" s="152"/>
      <c r="D52" s="137"/>
      <c r="E52" s="141"/>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12.140153493420712</v>
      </c>
      <c r="R52" s="33">
        <f t="shared" si="25"/>
        <v>423.09670754755558</v>
      </c>
      <c r="S52" s="33">
        <f t="shared" si="26"/>
        <v>194.62448547187557</v>
      </c>
      <c r="T52" s="33">
        <f t="shared" si="2"/>
        <v>48.560925586001446</v>
      </c>
      <c r="U52" s="33">
        <f t="shared" si="20"/>
        <v>70</v>
      </c>
      <c r="V52" s="33">
        <f t="shared" si="3"/>
        <v>10</v>
      </c>
      <c r="W52" s="33">
        <v>0</v>
      </c>
      <c r="X52" s="33">
        <f t="shared" si="4"/>
        <v>716.88125759246907</v>
      </c>
      <c r="Y52" s="38">
        <f t="shared" si="5"/>
        <v>362.22395360208401</v>
      </c>
      <c r="AA52" s="71">
        <v>47</v>
      </c>
      <c r="AB52" s="33">
        <f t="shared" si="6"/>
        <v>0</v>
      </c>
      <c r="AC52" s="305">
        <f t="shared" si="41"/>
        <v>0</v>
      </c>
      <c r="AD52" s="100">
        <f t="shared" si="8"/>
        <v>0</v>
      </c>
      <c r="AE52" s="100">
        <f t="shared" si="9"/>
        <v>0</v>
      </c>
      <c r="AF52" s="194">
        <f t="shared" si="36"/>
        <v>13.253553785409792</v>
      </c>
      <c r="AG52" s="194">
        <f t="shared" si="37"/>
        <v>44.976995595080488</v>
      </c>
      <c r="AH52" s="194">
        <f t="shared" si="38"/>
        <v>0.55391436361889301</v>
      </c>
      <c r="AI52" s="199">
        <f t="shared" si="39"/>
        <v>58.784463744109175</v>
      </c>
      <c r="AK52" s="71">
        <v>47</v>
      </c>
      <c r="AL52" s="33">
        <f t="shared" si="10"/>
        <v>0</v>
      </c>
      <c r="AM52" s="33">
        <f t="shared" si="11"/>
        <v>0</v>
      </c>
      <c r="AN52" s="33">
        <f t="shared" si="12"/>
        <v>0</v>
      </c>
      <c r="AO52" s="33">
        <f t="shared" si="13"/>
        <v>0</v>
      </c>
      <c r="AP52" s="33">
        <f t="shared" si="14"/>
        <v>0</v>
      </c>
      <c r="AQ52" s="194">
        <f t="shared" si="15"/>
        <v>0</v>
      </c>
      <c r="AR52" s="194">
        <f t="shared" si="16"/>
        <v>0</v>
      </c>
      <c r="AS52" s="194">
        <f t="shared" si="17"/>
        <v>0</v>
      </c>
      <c r="AT52" s="194">
        <f t="shared" si="18"/>
        <v>0</v>
      </c>
      <c r="AU52" s="33"/>
      <c r="AV52" s="33"/>
      <c r="AW52" s="33"/>
      <c r="AX52" s="33"/>
      <c r="AY52" s="76"/>
    </row>
    <row r="53" spans="2:51" x14ac:dyDescent="0.3">
      <c r="B53" s="40"/>
      <c r="C53" s="152"/>
      <c r="D53" s="137"/>
      <c r="E53" s="141"/>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12.140153493420712</v>
      </c>
      <c r="R53" s="33">
        <f t="shared" si="25"/>
        <v>435.23686104097629</v>
      </c>
      <c r="S53" s="33">
        <f t="shared" si="26"/>
        <v>200.2089560788491</v>
      </c>
      <c r="T53" s="33">
        <f t="shared" si="2"/>
        <v>49.790087155771182</v>
      </c>
      <c r="U53" s="33">
        <f t="shared" si="20"/>
        <v>70</v>
      </c>
      <c r="V53" s="33">
        <f t="shared" si="3"/>
        <v>10</v>
      </c>
      <c r="W53" s="33">
        <v>0</v>
      </c>
      <c r="X53" s="33">
        <f t="shared" si="4"/>
        <v>728.7483336336303</v>
      </c>
      <c r="Y53" s="38">
        <f t="shared" si="5"/>
        <v>372.82292161655039</v>
      </c>
      <c r="AA53" s="71">
        <v>48</v>
      </c>
      <c r="AB53" s="33">
        <f t="shared" si="6"/>
        <v>0</v>
      </c>
      <c r="AC53" s="305">
        <f t="shared" si="41"/>
        <v>0</v>
      </c>
      <c r="AD53" s="100">
        <f t="shared" si="8"/>
        <v>0</v>
      </c>
      <c r="AE53" s="100">
        <f t="shared" si="9"/>
        <v>0</v>
      </c>
      <c r="AF53" s="194">
        <f t="shared" si="36"/>
        <v>12.9936596795475</v>
      </c>
      <c r="AG53" s="194">
        <f t="shared" si="37"/>
        <v>43.747097285295609</v>
      </c>
      <c r="AH53" s="194">
        <f t="shared" si="38"/>
        <v>0.3916766027115503</v>
      </c>
      <c r="AI53" s="199">
        <f t="shared" si="39"/>
        <v>57.132433567554656</v>
      </c>
      <c r="AK53" s="71">
        <v>48</v>
      </c>
      <c r="AL53" s="33">
        <f t="shared" si="10"/>
        <v>0</v>
      </c>
      <c r="AM53" s="33">
        <f t="shared" si="11"/>
        <v>0</v>
      </c>
      <c r="AN53" s="33">
        <f t="shared" si="12"/>
        <v>0</v>
      </c>
      <c r="AO53" s="33">
        <f t="shared" si="13"/>
        <v>0</v>
      </c>
      <c r="AP53" s="33">
        <f t="shared" si="14"/>
        <v>0</v>
      </c>
      <c r="AQ53" s="194">
        <f t="shared" si="15"/>
        <v>0</v>
      </c>
      <c r="AR53" s="194">
        <f t="shared" si="16"/>
        <v>0</v>
      </c>
      <c r="AS53" s="194">
        <f t="shared" si="17"/>
        <v>0</v>
      </c>
      <c r="AT53" s="194">
        <f t="shared" si="18"/>
        <v>0</v>
      </c>
      <c r="AU53" s="33"/>
      <c r="AV53" s="33"/>
      <c r="AW53" s="33"/>
      <c r="AX53" s="33"/>
      <c r="AY53" s="76"/>
    </row>
    <row r="54" spans="2:51" x14ac:dyDescent="0.3">
      <c r="B54" s="40"/>
      <c r="C54" s="152"/>
      <c r="D54" s="137"/>
      <c r="E54" s="141"/>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12.140153493420712</v>
      </c>
      <c r="R54" s="33">
        <f t="shared" si="25"/>
        <v>447.37701453439701</v>
      </c>
      <c r="S54" s="33">
        <f t="shared" si="26"/>
        <v>205.79342668582262</v>
      </c>
      <c r="T54" s="33">
        <f t="shared" si="2"/>
        <v>51.015263846550567</v>
      </c>
      <c r="U54" s="33">
        <f t="shared" si="20"/>
        <v>70</v>
      </c>
      <c r="V54" s="33">
        <f t="shared" si="3"/>
        <v>10</v>
      </c>
      <c r="W54" s="33">
        <v>0</v>
      </c>
      <c r="X54" s="33">
        <f t="shared" si="4"/>
        <v>740.60846934388326</v>
      </c>
      <c r="Y54" s="38">
        <f t="shared" si="5"/>
        <v>383.41561628533839</v>
      </c>
      <c r="AA54" s="71">
        <v>49</v>
      </c>
      <c r="AB54" s="33">
        <f t="shared" si="6"/>
        <v>0</v>
      </c>
      <c r="AC54" s="305">
        <f t="shared" si="41"/>
        <v>0</v>
      </c>
      <c r="AD54" s="100">
        <f t="shared" si="8"/>
        <v>0</v>
      </c>
      <c r="AE54" s="100">
        <f t="shared" si="9"/>
        <v>0</v>
      </c>
      <c r="AF54" s="194">
        <f t="shared" si="36"/>
        <v>12.738861938581415</v>
      </c>
      <c r="AG54" s="194">
        <f t="shared" si="37"/>
        <v>42.550830609469337</v>
      </c>
      <c r="AH54" s="194">
        <f t="shared" si="38"/>
        <v>0.27695718180944651</v>
      </c>
      <c r="AI54" s="199">
        <f t="shared" si="39"/>
        <v>55.566649729860195</v>
      </c>
      <c r="AK54" s="71">
        <v>49</v>
      </c>
      <c r="AL54" s="33">
        <f t="shared" si="10"/>
        <v>0</v>
      </c>
      <c r="AM54" s="33">
        <f t="shared" si="11"/>
        <v>0</v>
      </c>
      <c r="AN54" s="33">
        <f t="shared" si="12"/>
        <v>0</v>
      </c>
      <c r="AO54" s="33">
        <f t="shared" si="13"/>
        <v>0</v>
      </c>
      <c r="AP54" s="33">
        <f t="shared" si="14"/>
        <v>0</v>
      </c>
      <c r="AQ54" s="194">
        <f t="shared" si="15"/>
        <v>0</v>
      </c>
      <c r="AR54" s="194">
        <f t="shared" si="16"/>
        <v>0</v>
      </c>
      <c r="AS54" s="194">
        <f t="shared" si="17"/>
        <v>0</v>
      </c>
      <c r="AT54" s="194">
        <f t="shared" si="18"/>
        <v>0</v>
      </c>
      <c r="AU54" s="33"/>
      <c r="AV54" s="33"/>
      <c r="AW54" s="33"/>
      <c r="AX54" s="33"/>
      <c r="AY54" s="76"/>
    </row>
    <row r="55" spans="2:51" x14ac:dyDescent="0.3">
      <c r="B55" s="40"/>
      <c r="C55" s="152"/>
      <c r="D55" s="137"/>
      <c r="E55" s="141"/>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12.140153493420712</v>
      </c>
      <c r="R55" s="33">
        <f t="shared" si="25"/>
        <v>459.51716802781772</v>
      </c>
      <c r="S55" s="33">
        <f t="shared" si="26"/>
        <v>211.37789729279615</v>
      </c>
      <c r="T55" s="33">
        <f t="shared" si="2"/>
        <v>52.236576219581579</v>
      </c>
      <c r="U55" s="33">
        <f t="shared" si="20"/>
        <v>70</v>
      </c>
      <c r="V55" s="33">
        <f t="shared" si="3"/>
        <v>10</v>
      </c>
      <c r="W55" s="33">
        <v>0</v>
      </c>
      <c r="X55" s="33">
        <f t="shared" si="4"/>
        <v>752.46187470072448</v>
      </c>
      <c r="Y55" s="38">
        <f t="shared" si="5"/>
        <v>394.00223240547922</v>
      </c>
      <c r="AA55" s="71">
        <v>50</v>
      </c>
      <c r="AB55" s="33">
        <f t="shared" si="6"/>
        <v>0</v>
      </c>
      <c r="AC55" s="305">
        <f t="shared" si="41"/>
        <v>0</v>
      </c>
      <c r="AD55" s="100">
        <f t="shared" si="8"/>
        <v>0</v>
      </c>
      <c r="AE55" s="100">
        <f t="shared" si="9"/>
        <v>0</v>
      </c>
      <c r="AF55" s="194">
        <f t="shared" si="36"/>
        <v>12.489060625904399</v>
      </c>
      <c r="AG55" s="194">
        <f t="shared" si="37"/>
        <v>41.387275908802465</v>
      </c>
      <c r="AH55" s="194">
        <f t="shared" si="38"/>
        <v>0.19583830135577515</v>
      </c>
      <c r="AI55" s="199">
        <f t="shared" si="39"/>
        <v>54.072174836062644</v>
      </c>
      <c r="AK55" s="71">
        <v>50</v>
      </c>
      <c r="AL55" s="33">
        <f t="shared" si="10"/>
        <v>0</v>
      </c>
      <c r="AM55" s="33">
        <f t="shared" si="11"/>
        <v>0</v>
      </c>
      <c r="AN55" s="33">
        <f t="shared" si="12"/>
        <v>0</v>
      </c>
      <c r="AO55" s="33">
        <f t="shared" si="13"/>
        <v>0</v>
      </c>
      <c r="AP55" s="33">
        <f t="shared" si="14"/>
        <v>0</v>
      </c>
      <c r="AQ55" s="194">
        <f t="shared" si="15"/>
        <v>0</v>
      </c>
      <c r="AR55" s="194">
        <f t="shared" si="16"/>
        <v>0</v>
      </c>
      <c r="AS55" s="194">
        <f t="shared" si="17"/>
        <v>0</v>
      </c>
      <c r="AT55" s="194">
        <f t="shared" si="18"/>
        <v>0</v>
      </c>
      <c r="AU55" s="33"/>
      <c r="AV55" s="33"/>
      <c r="AW55" s="33"/>
      <c r="AX55" s="33"/>
      <c r="AY55" s="76"/>
    </row>
    <row r="56" spans="2:51" x14ac:dyDescent="0.3">
      <c r="B56" s="40"/>
      <c r="C56" s="152"/>
      <c r="D56" s="137"/>
      <c r="E56" s="141"/>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-39.387185830955787</v>
      </c>
      <c r="R56" s="33">
        <f t="shared" si="25"/>
        <v>420.12998219686193</v>
      </c>
      <c r="S56" s="33">
        <f t="shared" si="26"/>
        <v>193.25979181055649</v>
      </c>
      <c r="T56" s="33">
        <f t="shared" si="2"/>
        <v>48.259931459453753</v>
      </c>
      <c r="U56" s="33">
        <f t="shared" si="20"/>
        <v>70</v>
      </c>
      <c r="V56" s="33">
        <f t="shared" si="3"/>
        <v>10</v>
      </c>
      <c r="W56" s="33">
        <v>0</v>
      </c>
      <c r="X56" s="33">
        <f t="shared" si="4"/>
        <v>713.98018469526778</v>
      </c>
      <c r="Y56" s="38">
        <f t="shared" si="5"/>
        <v>354.25439042956077</v>
      </c>
      <c r="AA56" s="71">
        <v>51</v>
      </c>
      <c r="AB56" s="33">
        <f t="shared" si="6"/>
        <v>30.297835254581344</v>
      </c>
      <c r="AC56" s="305">
        <f t="shared" si="41"/>
        <v>0.45</v>
      </c>
      <c r="AD56" s="100">
        <f t="shared" si="8"/>
        <v>5.5999999999999994E-2</v>
      </c>
      <c r="AE56" s="100">
        <f t="shared" si="9"/>
        <v>4.3999999999999991E-2</v>
      </c>
      <c r="AF56" s="194">
        <f t="shared" si="36"/>
        <v>23.059833394294742</v>
      </c>
      <c r="AG56" s="194">
        <f t="shared" si="37"/>
        <v>41.596189896711429</v>
      </c>
      <c r="AH56" s="194">
        <f t="shared" si="38"/>
        <v>1.0410903755719771</v>
      </c>
      <c r="AI56" s="199">
        <f t="shared" si="39"/>
        <v>65.697113666578147</v>
      </c>
      <c r="AK56" s="71">
        <v>51</v>
      </c>
      <c r="AL56" s="33">
        <f t="shared" si="10"/>
        <v>30.297835254581344</v>
      </c>
      <c r="AM56" s="33">
        <f t="shared" si="11"/>
        <v>0.9</v>
      </c>
      <c r="AN56" s="33">
        <f t="shared" si="12"/>
        <v>5.5999999999999994E-2</v>
      </c>
      <c r="AO56" s="33">
        <f t="shared" si="13"/>
        <v>4.3999999999999991E-2</v>
      </c>
      <c r="AP56" s="33">
        <f t="shared" si="14"/>
        <v>0</v>
      </c>
      <c r="AQ56" s="194">
        <f t="shared" si="15"/>
        <v>27.268051729123211</v>
      </c>
      <c r="AR56" s="194">
        <f t="shared" si="16"/>
        <v>1.696678774256555</v>
      </c>
      <c r="AS56" s="194">
        <f t="shared" si="17"/>
        <v>1.3331047512015788</v>
      </c>
      <c r="AT56" s="194">
        <f t="shared" si="18"/>
        <v>0</v>
      </c>
      <c r="AU56" s="33"/>
      <c r="AV56" s="33"/>
      <c r="AW56" s="33"/>
      <c r="AX56" s="33"/>
      <c r="AY56" s="76"/>
    </row>
    <row r="57" spans="2:51" x14ac:dyDescent="0.3">
      <c r="B57" s="40"/>
      <c r="C57" s="152"/>
      <c r="D57" s="137"/>
      <c r="E57" s="141"/>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10.613222133151478</v>
      </c>
      <c r="R57" s="33">
        <f t="shared" si="25"/>
        <v>430.74320433001338</v>
      </c>
      <c r="S57" s="33">
        <f t="shared" si="26"/>
        <v>198.14187399180616</v>
      </c>
      <c r="T57" s="33">
        <f t="shared" si="2"/>
        <v>49.335586295318187</v>
      </c>
      <c r="U57" s="33">
        <f t="shared" si="20"/>
        <v>70</v>
      </c>
      <c r="V57" s="33">
        <f t="shared" si="3"/>
        <v>10</v>
      </c>
      <c r="W57" s="33">
        <v>0</v>
      </c>
      <c r="X57" s="33">
        <f t="shared" si="4"/>
        <v>724.35657666674149</v>
      </c>
      <c r="Y57" s="38">
        <f t="shared" si="5"/>
        <v>363.36525376103378</v>
      </c>
      <c r="AA57" s="71">
        <v>52</v>
      </c>
      <c r="AB57" s="33">
        <f t="shared" si="6"/>
        <v>0</v>
      </c>
      <c r="AC57" s="305">
        <f t="shared" si="41"/>
        <v>0</v>
      </c>
      <c r="AD57" s="100">
        <f t="shared" si="8"/>
        <v>0</v>
      </c>
      <c r="AE57" s="100">
        <f t="shared" si="9"/>
        <v>0</v>
      </c>
      <c r="AF57" s="194">
        <f t="shared" si="36"/>
        <v>22.60764412654218</v>
      </c>
      <c r="AG57" s="194">
        <f t="shared" si="37"/>
        <v>40.458739896537296</v>
      </c>
      <c r="AH57" s="194">
        <f t="shared" si="38"/>
        <v>0.73616206439499465</v>
      </c>
      <c r="AI57" s="199">
        <f t="shared" si="39"/>
        <v>63.802546087474475</v>
      </c>
      <c r="AK57" s="71">
        <v>52</v>
      </c>
      <c r="AL57" s="33">
        <f t="shared" si="10"/>
        <v>0</v>
      </c>
      <c r="AM57" s="33">
        <f t="shared" si="11"/>
        <v>0</v>
      </c>
      <c r="AN57" s="33">
        <f t="shared" si="12"/>
        <v>0</v>
      </c>
      <c r="AO57" s="33">
        <f t="shared" si="13"/>
        <v>0</v>
      </c>
      <c r="AP57" s="33">
        <f t="shared" si="14"/>
        <v>0</v>
      </c>
      <c r="AQ57" s="194">
        <f t="shared" si="15"/>
        <v>0</v>
      </c>
      <c r="AR57" s="194">
        <f t="shared" si="16"/>
        <v>0</v>
      </c>
      <c r="AS57" s="194">
        <f t="shared" si="17"/>
        <v>0</v>
      </c>
      <c r="AT57" s="194">
        <f t="shared" si="18"/>
        <v>0</v>
      </c>
      <c r="AU57" s="33"/>
      <c r="AV57" s="33"/>
      <c r="AW57" s="33"/>
      <c r="AX57" s="33"/>
      <c r="AY57" s="76"/>
    </row>
    <row r="58" spans="2:51" x14ac:dyDescent="0.3">
      <c r="B58" s="40"/>
      <c r="C58" s="152"/>
      <c r="D58" s="137"/>
      <c r="E58" s="141"/>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10.613222133151478</v>
      </c>
      <c r="R58" s="33">
        <f t="shared" si="25"/>
        <v>441.35642646316484</v>
      </c>
      <c r="S58" s="33">
        <f t="shared" si="26"/>
        <v>203.02395617305584</v>
      </c>
      <c r="T58" s="33">
        <f t="shared" si="2"/>
        <v>50.408160224501913</v>
      </c>
      <c r="U58" s="33">
        <f t="shared" si="20"/>
        <v>70</v>
      </c>
      <c r="V58" s="33">
        <f t="shared" si="3"/>
        <v>10</v>
      </c>
      <c r="W58" s="33">
        <v>0</v>
      </c>
      <c r="X58" s="33">
        <f t="shared" si="4"/>
        <v>734.72760272574635</v>
      </c>
      <c r="Y58" s="38">
        <f t="shared" si="5"/>
        <v>372.47136114137777</v>
      </c>
      <c r="AA58" s="71">
        <v>53</v>
      </c>
      <c r="AB58" s="33">
        <f t="shared" si="6"/>
        <v>0</v>
      </c>
      <c r="AC58" s="305">
        <f t="shared" si="41"/>
        <v>0</v>
      </c>
      <c r="AD58" s="100">
        <f t="shared" si="8"/>
        <v>0</v>
      </c>
      <c r="AE58" s="100">
        <f t="shared" si="9"/>
        <v>0</v>
      </c>
      <c r="AF58" s="194">
        <f t="shared" si="36"/>
        <v>22.164322014522025</v>
      </c>
      <c r="AG58" s="194">
        <f t="shared" si="37"/>
        <v>39.352393526433822</v>
      </c>
      <c r="AH58" s="194">
        <f t="shared" si="38"/>
        <v>0.52054518778598857</v>
      </c>
      <c r="AI58" s="199">
        <f t="shared" si="39"/>
        <v>62.037260728741835</v>
      </c>
      <c r="AK58" s="71">
        <v>53</v>
      </c>
      <c r="AL58" s="33">
        <f t="shared" si="10"/>
        <v>0</v>
      </c>
      <c r="AM58" s="33">
        <f t="shared" si="11"/>
        <v>0</v>
      </c>
      <c r="AN58" s="33">
        <f t="shared" si="12"/>
        <v>0</v>
      </c>
      <c r="AO58" s="33">
        <f t="shared" si="13"/>
        <v>0</v>
      </c>
      <c r="AP58" s="33">
        <f t="shared" si="14"/>
        <v>0</v>
      </c>
      <c r="AQ58" s="194">
        <f t="shared" si="15"/>
        <v>0</v>
      </c>
      <c r="AR58" s="194">
        <f t="shared" si="16"/>
        <v>0</v>
      </c>
      <c r="AS58" s="194">
        <f t="shared" si="17"/>
        <v>0</v>
      </c>
      <c r="AT58" s="194">
        <f t="shared" si="18"/>
        <v>0</v>
      </c>
      <c r="AU58" s="33"/>
      <c r="AV58" s="33"/>
      <c r="AW58" s="33"/>
      <c r="AX58" s="33"/>
      <c r="AY58" s="76"/>
    </row>
    <row r="59" spans="2:51" x14ac:dyDescent="0.3">
      <c r="B59" s="40"/>
      <c r="C59" s="152"/>
      <c r="D59" s="137"/>
      <c r="E59" s="141"/>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10.613222133151478</v>
      </c>
      <c r="R59" s="33">
        <f t="shared" si="25"/>
        <v>451.96964859631629</v>
      </c>
      <c r="S59" s="33">
        <f t="shared" si="26"/>
        <v>207.90603835430551</v>
      </c>
      <c r="T59" s="33">
        <f t="shared" si="2"/>
        <v>51.477735857105436</v>
      </c>
      <c r="U59" s="33">
        <f t="shared" si="20"/>
        <v>70</v>
      </c>
      <c r="V59" s="33">
        <f t="shared" si="3"/>
        <v>10</v>
      </c>
      <c r="W59" s="33">
        <v>0</v>
      </c>
      <c r="X59" s="33">
        <f t="shared" si="4"/>
        <v>745.09340675154056</v>
      </c>
      <c r="Y59" s="38">
        <f t="shared" si="5"/>
        <v>381.57284361409558</v>
      </c>
      <c r="AA59" s="71">
        <v>54</v>
      </c>
      <c r="AB59" s="33">
        <f t="shared" si="6"/>
        <v>0</v>
      </c>
      <c r="AC59" s="305">
        <f t="shared" si="41"/>
        <v>0</v>
      </c>
      <c r="AD59" s="100">
        <f t="shared" si="8"/>
        <v>0</v>
      </c>
      <c r="AE59" s="100">
        <f t="shared" si="9"/>
        <v>0</v>
      </c>
      <c r="AF59" s="194">
        <f t="shared" si="36"/>
        <v>21.729693178718797</v>
      </c>
      <c r="AG59" s="194">
        <f t="shared" si="37"/>
        <v>38.276300256001058</v>
      </c>
      <c r="AH59" s="194">
        <f t="shared" si="38"/>
        <v>0.36808103219749733</v>
      </c>
      <c r="AI59" s="199">
        <f t="shared" si="39"/>
        <v>60.374074466917349</v>
      </c>
      <c r="AK59" s="71">
        <v>54</v>
      </c>
      <c r="AL59" s="33">
        <f t="shared" si="10"/>
        <v>0</v>
      </c>
      <c r="AM59" s="33">
        <f t="shared" si="11"/>
        <v>0</v>
      </c>
      <c r="AN59" s="33">
        <f t="shared" si="12"/>
        <v>0</v>
      </c>
      <c r="AO59" s="33">
        <f t="shared" si="13"/>
        <v>0</v>
      </c>
      <c r="AP59" s="33">
        <f t="shared" si="14"/>
        <v>0</v>
      </c>
      <c r="AQ59" s="194">
        <f t="shared" si="15"/>
        <v>0</v>
      </c>
      <c r="AR59" s="194">
        <f t="shared" si="16"/>
        <v>0</v>
      </c>
      <c r="AS59" s="194">
        <f t="shared" si="17"/>
        <v>0</v>
      </c>
      <c r="AT59" s="194">
        <f t="shared" si="18"/>
        <v>0</v>
      </c>
      <c r="AU59" s="33"/>
      <c r="AV59" s="33"/>
      <c r="AW59" s="33"/>
      <c r="AX59" s="33"/>
      <c r="AY59" s="76"/>
    </row>
    <row r="60" spans="2:51" x14ac:dyDescent="0.3">
      <c r="B60" s="40"/>
      <c r="C60" s="152"/>
      <c r="D60" s="137"/>
      <c r="E60" s="141"/>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10.613222133151478</v>
      </c>
      <c r="R60" s="33">
        <f t="shared" si="25"/>
        <v>462.58287072946774</v>
      </c>
      <c r="S60" s="33">
        <f t="shared" si="26"/>
        <v>212.78812053555518</v>
      </c>
      <c r="T60" s="33">
        <f t="shared" si="2"/>
        <v>52.544391702173741</v>
      </c>
      <c r="U60" s="33">
        <f t="shared" si="20"/>
        <v>70</v>
      </c>
      <c r="V60" s="33">
        <f t="shared" si="3"/>
        <v>10</v>
      </c>
      <c r="W60" s="33">
        <v>0</v>
      </c>
      <c r="X60" s="33">
        <f t="shared" si="4"/>
        <v>755.45412548071124</v>
      </c>
      <c r="Y60" s="38">
        <f t="shared" si="5"/>
        <v>390.66982558262958</v>
      </c>
      <c r="AA60" s="71">
        <v>55</v>
      </c>
      <c r="AB60" s="33">
        <f t="shared" si="6"/>
        <v>0</v>
      </c>
      <c r="AC60" s="305">
        <f t="shared" si="41"/>
        <v>0</v>
      </c>
      <c r="AD60" s="100">
        <f t="shared" si="8"/>
        <v>0</v>
      </c>
      <c r="AE60" s="100">
        <f t="shared" si="9"/>
        <v>0</v>
      </c>
      <c r="AF60" s="194">
        <f t="shared" si="36"/>
        <v>21.303587149288255</v>
      </c>
      <c r="AG60" s="194">
        <f t="shared" si="37"/>
        <v>37.229632812637561</v>
      </c>
      <c r="AH60" s="194">
        <f t="shared" si="38"/>
        <v>0.26027259389299429</v>
      </c>
      <c r="AI60" s="199">
        <f t="shared" si="39"/>
        <v>58.793492555818808</v>
      </c>
      <c r="AK60" s="71">
        <v>55</v>
      </c>
      <c r="AL60" s="33">
        <f t="shared" si="10"/>
        <v>0</v>
      </c>
      <c r="AM60" s="33">
        <f t="shared" si="11"/>
        <v>0</v>
      </c>
      <c r="AN60" s="33">
        <f t="shared" si="12"/>
        <v>0</v>
      </c>
      <c r="AO60" s="33">
        <f t="shared" si="13"/>
        <v>0</v>
      </c>
      <c r="AP60" s="33">
        <f t="shared" si="14"/>
        <v>0</v>
      </c>
      <c r="AQ60" s="194">
        <f t="shared" si="15"/>
        <v>0</v>
      </c>
      <c r="AR60" s="194">
        <f t="shared" si="16"/>
        <v>0</v>
      </c>
      <c r="AS60" s="194">
        <f t="shared" si="17"/>
        <v>0</v>
      </c>
      <c r="AT60" s="194">
        <f t="shared" si="18"/>
        <v>0</v>
      </c>
      <c r="AU60" s="33"/>
      <c r="AV60" s="33"/>
      <c r="AW60" s="33"/>
      <c r="AX60" s="33"/>
      <c r="AY60" s="76"/>
    </row>
    <row r="61" spans="2:51" x14ac:dyDescent="0.3">
      <c r="B61" s="40"/>
      <c r="C61" s="152"/>
      <c r="D61" s="137"/>
      <c r="E61" s="141"/>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10.613222133151478</v>
      </c>
      <c r="R61" s="33">
        <f t="shared" si="25"/>
        <v>473.1960928626192</v>
      </c>
      <c r="S61" s="33">
        <f t="shared" si="26"/>
        <v>217.67020271680485</v>
      </c>
      <c r="T61" s="33">
        <f t="shared" si="2"/>
        <v>53.608202460637301</v>
      </c>
      <c r="U61" s="33">
        <f t="shared" si="20"/>
        <v>70</v>
      </c>
      <c r="V61" s="33">
        <f t="shared" si="3"/>
        <v>10</v>
      </c>
      <c r="W61" s="33">
        <v>0</v>
      </c>
      <c r="X61" s="33">
        <f t="shared" si="4"/>
        <v>765.80988901737828</v>
      </c>
      <c r="Y61" s="38">
        <f t="shared" si="5"/>
        <v>399.76242529211095</v>
      </c>
      <c r="AA61" s="71">
        <v>56</v>
      </c>
      <c r="AB61" s="33">
        <f t="shared" si="6"/>
        <v>0</v>
      </c>
      <c r="AC61" s="305">
        <f t="shared" si="41"/>
        <v>0</v>
      </c>
      <c r="AD61" s="100">
        <f t="shared" si="8"/>
        <v>0</v>
      </c>
      <c r="AE61" s="100">
        <f t="shared" si="9"/>
        <v>0</v>
      </c>
      <c r="AF61" s="194">
        <f t="shared" si="36"/>
        <v>20.885836799195832</v>
      </c>
      <c r="AG61" s="194">
        <f t="shared" si="37"/>
        <v>36.211586545554688</v>
      </c>
      <c r="AH61" s="194">
        <f t="shared" si="38"/>
        <v>0.18404051609874866</v>
      </c>
      <c r="AI61" s="199">
        <f t="shared" si="39"/>
        <v>57.281463860849271</v>
      </c>
      <c r="AK61" s="71">
        <v>56</v>
      </c>
      <c r="AL61" s="33">
        <f t="shared" si="10"/>
        <v>0</v>
      </c>
      <c r="AM61" s="33">
        <f t="shared" si="11"/>
        <v>0</v>
      </c>
      <c r="AN61" s="33">
        <f t="shared" si="12"/>
        <v>0</v>
      </c>
      <c r="AO61" s="33">
        <f t="shared" si="13"/>
        <v>0</v>
      </c>
      <c r="AP61" s="33">
        <f t="shared" si="14"/>
        <v>0</v>
      </c>
      <c r="AQ61" s="194">
        <f t="shared" si="15"/>
        <v>0</v>
      </c>
      <c r="AR61" s="194">
        <f t="shared" si="16"/>
        <v>0</v>
      </c>
      <c r="AS61" s="194">
        <f t="shared" si="17"/>
        <v>0</v>
      </c>
      <c r="AT61" s="194">
        <f t="shared" si="18"/>
        <v>0</v>
      </c>
      <c r="AU61" s="33"/>
      <c r="AV61" s="33"/>
      <c r="AW61" s="33"/>
      <c r="AX61" s="33"/>
      <c r="AY61" s="76"/>
    </row>
    <row r="62" spans="2:51" x14ac:dyDescent="0.3">
      <c r="B62" s="40"/>
      <c r="C62" s="152"/>
      <c r="D62" s="137"/>
      <c r="E62" s="141"/>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10.613222133151478</v>
      </c>
      <c r="R62" s="33">
        <f t="shared" si="25"/>
        <v>483.80931499577065</v>
      </c>
      <c r="S62" s="33">
        <f t="shared" si="26"/>
        <v>222.55228489805449</v>
      </c>
      <c r="T62" s="33">
        <f t="shared" si="2"/>
        <v>54.669239291230447</v>
      </c>
      <c r="U62" s="33">
        <f t="shared" si="20"/>
        <v>70</v>
      </c>
      <c r="V62" s="33">
        <f t="shared" si="3"/>
        <v>10</v>
      </c>
      <c r="W62" s="33">
        <v>0</v>
      </c>
      <c r="X62" s="33">
        <f t="shared" si="4"/>
        <v>776.16082129633787</v>
      </c>
      <c r="Y62" s="38">
        <f t="shared" si="5"/>
        <v>408.85075526613787</v>
      </c>
      <c r="AA62" s="71">
        <v>57</v>
      </c>
      <c r="AB62" s="33">
        <f t="shared" si="6"/>
        <v>0</v>
      </c>
      <c r="AC62" s="305">
        <f t="shared" si="41"/>
        <v>0</v>
      </c>
      <c r="AD62" s="100">
        <f t="shared" si="8"/>
        <v>0</v>
      </c>
      <c r="AE62" s="100">
        <f t="shared" si="9"/>
        <v>0</v>
      </c>
      <c r="AF62" s="194">
        <f t="shared" si="36"/>
        <v>20.476278278666168</v>
      </c>
      <c r="AG62" s="194">
        <f t="shared" si="37"/>
        <v>35.221378807181921</v>
      </c>
      <c r="AH62" s="194">
        <f t="shared" si="38"/>
        <v>0.13013629694649714</v>
      </c>
      <c r="AI62" s="199">
        <f t="shared" si="39"/>
        <v>55.827793382794589</v>
      </c>
      <c r="AK62" s="71">
        <v>57</v>
      </c>
      <c r="AL62" s="33">
        <f t="shared" si="10"/>
        <v>0</v>
      </c>
      <c r="AM62" s="33">
        <f t="shared" si="11"/>
        <v>0</v>
      </c>
      <c r="AN62" s="33">
        <f t="shared" si="12"/>
        <v>0</v>
      </c>
      <c r="AO62" s="33">
        <f t="shared" si="13"/>
        <v>0</v>
      </c>
      <c r="AP62" s="33">
        <f t="shared" si="14"/>
        <v>0</v>
      </c>
      <c r="AQ62" s="194">
        <f t="shared" si="15"/>
        <v>0</v>
      </c>
      <c r="AR62" s="194">
        <f t="shared" si="16"/>
        <v>0</v>
      </c>
      <c r="AS62" s="194">
        <f t="shared" si="17"/>
        <v>0</v>
      </c>
      <c r="AT62" s="194">
        <f t="shared" si="18"/>
        <v>0</v>
      </c>
      <c r="AU62" s="33"/>
      <c r="AV62" s="33"/>
      <c r="AW62" s="33"/>
      <c r="AX62" s="33"/>
      <c r="AY62" s="76"/>
    </row>
    <row r="63" spans="2:51" x14ac:dyDescent="0.3">
      <c r="B63" s="40"/>
      <c r="C63" s="152"/>
      <c r="D63" s="137"/>
      <c r="E63" s="141"/>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10.613222133151478</v>
      </c>
      <c r="R63" s="33">
        <f t="shared" si="25"/>
        <v>494.4225371289221</v>
      </c>
      <c r="S63" s="33">
        <f t="shared" si="26"/>
        <v>227.43436707930417</v>
      </c>
      <c r="T63" s="33">
        <f t="shared" si="2"/>
        <v>55.727570052418891</v>
      </c>
      <c r="U63" s="33">
        <f t="shared" si="20"/>
        <v>70</v>
      </c>
      <c r="V63" s="33">
        <f t="shared" si="3"/>
        <v>10</v>
      </c>
      <c r="W63" s="33">
        <v>0</v>
      </c>
      <c r="X63" s="33">
        <f t="shared" si="4"/>
        <v>786.50704050441766</v>
      </c>
      <c r="Y63" s="38">
        <f t="shared" si="5"/>
        <v>417.93492270366829</v>
      </c>
      <c r="AA63" s="71">
        <v>58</v>
      </c>
      <c r="AB63" s="33">
        <f t="shared" si="6"/>
        <v>0</v>
      </c>
      <c r="AC63" s="305">
        <f t="shared" si="41"/>
        <v>0</v>
      </c>
      <c r="AD63" s="100">
        <f t="shared" si="8"/>
        <v>0</v>
      </c>
      <c r="AE63" s="100">
        <f t="shared" si="9"/>
        <v>0</v>
      </c>
      <c r="AF63" s="194">
        <f t="shared" si="36"/>
        <v>20.074750950918059</v>
      </c>
      <c r="AG63" s="194">
        <f t="shared" si="37"/>
        <v>34.258248351487723</v>
      </c>
      <c r="AH63" s="194">
        <f t="shared" si="38"/>
        <v>9.2020258049374332E-2</v>
      </c>
      <c r="AI63" s="199">
        <f t="shared" si="39"/>
        <v>54.425019560455155</v>
      </c>
      <c r="AK63" s="71">
        <v>58</v>
      </c>
      <c r="AL63" s="33">
        <f t="shared" si="10"/>
        <v>0</v>
      </c>
      <c r="AM63" s="33">
        <f t="shared" si="11"/>
        <v>0</v>
      </c>
      <c r="AN63" s="33">
        <f t="shared" si="12"/>
        <v>0</v>
      </c>
      <c r="AO63" s="33">
        <f t="shared" si="13"/>
        <v>0</v>
      </c>
      <c r="AP63" s="33">
        <f t="shared" si="14"/>
        <v>0</v>
      </c>
      <c r="AQ63" s="194">
        <f t="shared" si="15"/>
        <v>0</v>
      </c>
      <c r="AR63" s="194">
        <f t="shared" si="16"/>
        <v>0</v>
      </c>
      <c r="AS63" s="194">
        <f t="shared" si="17"/>
        <v>0</v>
      </c>
      <c r="AT63" s="194">
        <f t="shared" si="18"/>
        <v>0</v>
      </c>
      <c r="AU63" s="33"/>
      <c r="AV63" s="33"/>
      <c r="AW63" s="33"/>
      <c r="AX63" s="33"/>
      <c r="AY63" s="76"/>
    </row>
    <row r="64" spans="2:51" x14ac:dyDescent="0.3">
      <c r="B64" s="40"/>
      <c r="C64" s="152"/>
      <c r="D64" s="137"/>
      <c r="E64" s="141"/>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10.613222133151478</v>
      </c>
      <c r="R64" s="33">
        <f t="shared" si="25"/>
        <v>505.03575926207355</v>
      </c>
      <c r="S64" s="33">
        <f t="shared" si="26"/>
        <v>232.31644926055384</v>
      </c>
      <c r="T64" s="33">
        <f t="shared" si="2"/>
        <v>56.783259522967136</v>
      </c>
      <c r="U64" s="33">
        <f t="shared" si="20"/>
        <v>70</v>
      </c>
      <c r="V64" s="33">
        <f t="shared" si="3"/>
        <v>10</v>
      </c>
      <c r="W64" s="33">
        <v>0</v>
      </c>
      <c r="X64" s="33">
        <f t="shared" si="4"/>
        <v>796.84865946463231</v>
      </c>
      <c r="Y64" s="38">
        <f t="shared" si="5"/>
        <v>427.01502984044822</v>
      </c>
      <c r="AA64" s="71">
        <v>59</v>
      </c>
      <c r="AB64" s="33">
        <f t="shared" si="6"/>
        <v>0</v>
      </c>
      <c r="AC64" s="305">
        <f t="shared" si="41"/>
        <v>0</v>
      </c>
      <c r="AD64" s="100">
        <f t="shared" si="8"/>
        <v>0</v>
      </c>
      <c r="AE64" s="100">
        <f t="shared" si="9"/>
        <v>0</v>
      </c>
      <c r="AF64" s="194">
        <f t="shared" si="36"/>
        <v>19.681097329159602</v>
      </c>
      <c r="AG64" s="194">
        <f t="shared" si="37"/>
        <v>33.321454748753311</v>
      </c>
      <c r="AH64" s="194">
        <f t="shared" si="38"/>
        <v>6.5068148473248572E-2</v>
      </c>
      <c r="AI64" s="199">
        <f t="shared" si="39"/>
        <v>53.067620226386161</v>
      </c>
      <c r="AK64" s="71">
        <v>59</v>
      </c>
      <c r="AL64" s="33">
        <f t="shared" si="10"/>
        <v>0</v>
      </c>
      <c r="AM64" s="33">
        <f t="shared" si="11"/>
        <v>0</v>
      </c>
      <c r="AN64" s="33">
        <f t="shared" si="12"/>
        <v>0</v>
      </c>
      <c r="AO64" s="33">
        <f t="shared" si="13"/>
        <v>0</v>
      </c>
      <c r="AP64" s="33">
        <f t="shared" si="14"/>
        <v>0</v>
      </c>
      <c r="AQ64" s="194">
        <f t="shared" si="15"/>
        <v>0</v>
      </c>
      <c r="AR64" s="194">
        <f t="shared" si="16"/>
        <v>0</v>
      </c>
      <c r="AS64" s="194">
        <f t="shared" si="17"/>
        <v>0</v>
      </c>
      <c r="AT64" s="194">
        <f t="shared" si="18"/>
        <v>0</v>
      </c>
      <c r="AU64" s="33"/>
      <c r="AV64" s="33"/>
      <c r="AW64" s="33"/>
      <c r="AX64" s="33"/>
      <c r="AY64" s="76"/>
    </row>
    <row r="65" spans="2:51" x14ac:dyDescent="0.3">
      <c r="B65" s="40"/>
      <c r="C65" s="152"/>
      <c r="D65" s="137"/>
      <c r="E65" s="141"/>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10.613222133151478</v>
      </c>
      <c r="R65" s="33">
        <f t="shared" si="25"/>
        <v>515.64898139522506</v>
      </c>
      <c r="S65" s="33">
        <f t="shared" si="26"/>
        <v>237.19853144180354</v>
      </c>
      <c r="T65" s="33">
        <f t="shared" si="2"/>
        <v>57.836369603443373</v>
      </c>
      <c r="U65" s="33">
        <f t="shared" si="20"/>
        <v>70</v>
      </c>
      <c r="V65" s="33">
        <f t="shared" si="3"/>
        <v>10</v>
      </c>
      <c r="W65" s="33">
        <v>0</v>
      </c>
      <c r="X65" s="33">
        <f t="shared" si="4"/>
        <v>807.18578598713827</v>
      </c>
      <c r="Y65" s="38">
        <f t="shared" si="5"/>
        <v>436.0911742788233</v>
      </c>
      <c r="AA65" s="71">
        <v>60</v>
      </c>
      <c r="AB65" s="33">
        <f t="shared" si="6"/>
        <v>396.65306261171173</v>
      </c>
      <c r="AC65" s="305">
        <f t="shared" si="41"/>
        <v>0.47499999999999998</v>
      </c>
      <c r="AD65" s="100">
        <f t="shared" si="8"/>
        <v>2.8000000000000028E-2</v>
      </c>
      <c r="AE65" s="100">
        <f t="shared" si="9"/>
        <v>2.200000000000002E-2</v>
      </c>
      <c r="AF65" s="194">
        <f t="shared" si="36"/>
        <v>168.75825484406741</v>
      </c>
      <c r="AG65" s="194">
        <f t="shared" si="37"/>
        <v>41.1860436336775</v>
      </c>
      <c r="AH65" s="194">
        <f t="shared" si="38"/>
        <v>5.9544145699583453</v>
      </c>
      <c r="AI65" s="199">
        <f t="shared" si="39"/>
        <v>215.89871304770324</v>
      </c>
      <c r="AK65" s="71">
        <v>60</v>
      </c>
      <c r="AL65" s="33">
        <f t="shared" si="10"/>
        <v>396.65306261171173</v>
      </c>
      <c r="AM65" s="33">
        <f t="shared" si="11"/>
        <v>0.95</v>
      </c>
      <c r="AN65" s="33">
        <f t="shared" si="12"/>
        <v>2.8000000000000028E-2</v>
      </c>
      <c r="AO65" s="33">
        <f t="shared" si="13"/>
        <v>2.200000000000002E-2</v>
      </c>
      <c r="AP65" s="33">
        <f t="shared" si="14"/>
        <v>0</v>
      </c>
      <c r="AQ65" s="194">
        <f t="shared" si="15"/>
        <v>376.82040948112615</v>
      </c>
      <c r="AR65" s="194">
        <f t="shared" si="16"/>
        <v>11.10628575312794</v>
      </c>
      <c r="AS65" s="194">
        <f t="shared" si="17"/>
        <v>8.7263673774576667</v>
      </c>
      <c r="AT65" s="194">
        <f t="shared" si="18"/>
        <v>0</v>
      </c>
      <c r="AU65" s="33"/>
      <c r="AV65" s="33"/>
      <c r="AW65" s="33"/>
      <c r="AX65" s="33"/>
      <c r="AY65" s="76"/>
    </row>
    <row r="66" spans="2:51" x14ac:dyDescent="0.3">
      <c r="B66" s="40"/>
      <c r="C66" s="152"/>
      <c r="D66" s="137"/>
      <c r="E66" s="141"/>
      <c r="F66" s="42"/>
      <c r="G66" s="51"/>
      <c r="I66" s="55">
        <v>61</v>
      </c>
      <c r="J66" s="33">
        <f t="shared" si="21"/>
        <v>0</v>
      </c>
      <c r="K66" s="33">
        <f t="shared" si="22"/>
        <v>0</v>
      </c>
      <c r="L66" s="33">
        <f t="shared" si="23"/>
        <v>0</v>
      </c>
      <c r="M66" s="33">
        <f t="shared" si="24"/>
        <v>0</v>
      </c>
      <c r="N66" s="33">
        <f t="shared" si="0"/>
        <v>0</v>
      </c>
      <c r="O66" s="34">
        <f t="shared" si="1"/>
        <v>0</v>
      </c>
      <c r="P66" s="55">
        <v>61</v>
      </c>
      <c r="Q66" s="33">
        <f t="shared" si="19"/>
        <v>0</v>
      </c>
      <c r="R66" s="33">
        <f t="shared" si="25"/>
        <v>0</v>
      </c>
      <c r="S66" s="33">
        <f t="shared" si="26"/>
        <v>0</v>
      </c>
      <c r="T66" s="33">
        <f t="shared" si="2"/>
        <v>0</v>
      </c>
      <c r="U66" s="33">
        <f t="shared" si="20"/>
        <v>0</v>
      </c>
      <c r="V66" s="33">
        <f t="shared" si="3"/>
        <v>0</v>
      </c>
      <c r="W66" s="33">
        <v>0</v>
      </c>
      <c r="X66" s="33">
        <f t="shared" si="4"/>
        <v>0</v>
      </c>
      <c r="Y66" s="38">
        <f t="shared" si="5"/>
        <v>0</v>
      </c>
      <c r="AA66" s="71">
        <v>61</v>
      </c>
      <c r="AB66" s="33">
        <f t="shared" si="6"/>
        <v>0</v>
      </c>
      <c r="AC66" s="305">
        <f t="shared" si="41"/>
        <v>0</v>
      </c>
      <c r="AD66" s="100">
        <f t="shared" si="8"/>
        <v>0</v>
      </c>
      <c r="AE66" s="100">
        <f t="shared" si="9"/>
        <v>0</v>
      </c>
      <c r="AF66" s="194">
        <f t="shared" si="36"/>
        <v>0</v>
      </c>
      <c r="AG66" s="194">
        <f t="shared" si="37"/>
        <v>0</v>
      </c>
      <c r="AH66" s="194">
        <f t="shared" si="38"/>
        <v>0</v>
      </c>
      <c r="AI66" s="199">
        <f t="shared" si="39"/>
        <v>0</v>
      </c>
      <c r="AK66" s="71">
        <v>61</v>
      </c>
      <c r="AL66" s="33">
        <f t="shared" si="10"/>
        <v>0</v>
      </c>
      <c r="AM66" s="33">
        <f t="shared" si="11"/>
        <v>0</v>
      </c>
      <c r="AN66" s="33">
        <f t="shared" si="12"/>
        <v>0</v>
      </c>
      <c r="AO66" s="33">
        <f t="shared" si="13"/>
        <v>0</v>
      </c>
      <c r="AP66" s="33">
        <f t="shared" si="14"/>
        <v>0</v>
      </c>
      <c r="AQ66" s="194">
        <f t="shared" si="15"/>
        <v>0</v>
      </c>
      <c r="AR66" s="194">
        <f t="shared" si="16"/>
        <v>0</v>
      </c>
      <c r="AS66" s="194">
        <f t="shared" si="17"/>
        <v>0</v>
      </c>
      <c r="AT66" s="194">
        <f t="shared" si="18"/>
        <v>0</v>
      </c>
      <c r="AU66" s="33"/>
      <c r="AV66" s="33"/>
      <c r="AW66" s="33"/>
      <c r="AX66" s="33"/>
      <c r="AY66" s="76"/>
    </row>
    <row r="67" spans="2:51" x14ac:dyDescent="0.3">
      <c r="B67" s="40"/>
      <c r="C67" s="152"/>
      <c r="D67" s="137"/>
      <c r="E67" s="141"/>
      <c r="F67" s="42"/>
      <c r="G67" s="51"/>
      <c r="I67" s="55">
        <v>62</v>
      </c>
      <c r="J67" s="33">
        <f t="shared" si="21"/>
        <v>0</v>
      </c>
      <c r="K67" s="33">
        <f t="shared" si="22"/>
        <v>0</v>
      </c>
      <c r="L67" s="33">
        <f t="shared" si="23"/>
        <v>0</v>
      </c>
      <c r="M67" s="33">
        <f t="shared" si="24"/>
        <v>0</v>
      </c>
      <c r="N67" s="33">
        <f t="shared" si="0"/>
        <v>0</v>
      </c>
      <c r="O67" s="34">
        <f t="shared" si="1"/>
        <v>0</v>
      </c>
      <c r="P67" s="55">
        <v>62</v>
      </c>
      <c r="Q67" s="33">
        <f t="shared" si="19"/>
        <v>0</v>
      </c>
      <c r="R67" s="33">
        <f t="shared" si="25"/>
        <v>0</v>
      </c>
      <c r="S67" s="33">
        <f t="shared" si="26"/>
        <v>0</v>
      </c>
      <c r="T67" s="33">
        <f t="shared" si="2"/>
        <v>0</v>
      </c>
      <c r="U67" s="33">
        <f t="shared" si="20"/>
        <v>0</v>
      </c>
      <c r="V67" s="33">
        <f t="shared" si="3"/>
        <v>0</v>
      </c>
      <c r="W67" s="33">
        <v>0</v>
      </c>
      <c r="X67" s="33">
        <f t="shared" si="4"/>
        <v>0</v>
      </c>
      <c r="Y67" s="38">
        <f t="shared" si="5"/>
        <v>0</v>
      </c>
      <c r="AA67" s="71">
        <v>62</v>
      </c>
      <c r="AB67" s="33">
        <f t="shared" si="6"/>
        <v>0</v>
      </c>
      <c r="AC67" s="305">
        <f t="shared" si="41"/>
        <v>0</v>
      </c>
      <c r="AD67" s="100">
        <f t="shared" si="8"/>
        <v>0</v>
      </c>
      <c r="AE67" s="100">
        <f t="shared" si="9"/>
        <v>0</v>
      </c>
      <c r="AF67" s="194">
        <f t="shared" si="36"/>
        <v>0</v>
      </c>
      <c r="AG67" s="194">
        <f t="shared" si="37"/>
        <v>0</v>
      </c>
      <c r="AH67" s="194">
        <f t="shared" si="38"/>
        <v>0</v>
      </c>
      <c r="AI67" s="199">
        <f t="shared" si="39"/>
        <v>0</v>
      </c>
      <c r="AK67" s="71">
        <v>62</v>
      </c>
      <c r="AL67" s="33">
        <f t="shared" si="10"/>
        <v>0</v>
      </c>
      <c r="AM67" s="33">
        <f t="shared" si="11"/>
        <v>0</v>
      </c>
      <c r="AN67" s="33">
        <f t="shared" si="12"/>
        <v>0</v>
      </c>
      <c r="AO67" s="33">
        <f t="shared" si="13"/>
        <v>0</v>
      </c>
      <c r="AP67" s="33">
        <f t="shared" si="14"/>
        <v>0</v>
      </c>
      <c r="AQ67" s="194">
        <f t="shared" si="15"/>
        <v>0</v>
      </c>
      <c r="AR67" s="194">
        <f t="shared" si="16"/>
        <v>0</v>
      </c>
      <c r="AS67" s="194">
        <f t="shared" si="17"/>
        <v>0</v>
      </c>
      <c r="AT67" s="194">
        <f t="shared" si="18"/>
        <v>0</v>
      </c>
      <c r="AU67" s="33"/>
      <c r="AV67" s="33"/>
      <c r="AW67" s="33"/>
      <c r="AX67" s="33"/>
      <c r="AY67" s="76"/>
    </row>
    <row r="68" spans="2:51" x14ac:dyDescent="0.3">
      <c r="B68" s="40"/>
      <c r="C68" s="152"/>
      <c r="D68" s="137"/>
      <c r="E68" s="141"/>
      <c r="F68" s="42"/>
      <c r="G68" s="51"/>
      <c r="I68" s="55">
        <v>63</v>
      </c>
      <c r="J68" s="33">
        <f t="shared" si="21"/>
        <v>0</v>
      </c>
      <c r="K68" s="33">
        <f t="shared" si="22"/>
        <v>0</v>
      </c>
      <c r="L68" s="33">
        <f t="shared" si="23"/>
        <v>0</v>
      </c>
      <c r="M68" s="33">
        <f t="shared" si="24"/>
        <v>0</v>
      </c>
      <c r="N68" s="33">
        <f t="shared" si="0"/>
        <v>0</v>
      </c>
      <c r="O68" s="34">
        <f t="shared" si="1"/>
        <v>0</v>
      </c>
      <c r="P68" s="55">
        <v>63</v>
      </c>
      <c r="Q68" s="33">
        <f t="shared" si="19"/>
        <v>0</v>
      </c>
      <c r="R68" s="33">
        <f t="shared" si="25"/>
        <v>0</v>
      </c>
      <c r="S68" s="33">
        <f t="shared" si="26"/>
        <v>0</v>
      </c>
      <c r="T68" s="33">
        <f t="shared" si="2"/>
        <v>0</v>
      </c>
      <c r="U68" s="33">
        <f t="shared" si="20"/>
        <v>0</v>
      </c>
      <c r="V68" s="33">
        <f t="shared" si="3"/>
        <v>0</v>
      </c>
      <c r="W68" s="33">
        <v>0</v>
      </c>
      <c r="X68" s="33">
        <f t="shared" si="4"/>
        <v>0</v>
      </c>
      <c r="Y68" s="38">
        <f t="shared" si="5"/>
        <v>0</v>
      </c>
      <c r="AA68" s="71">
        <v>63</v>
      </c>
      <c r="AB68" s="33">
        <f t="shared" si="6"/>
        <v>0</v>
      </c>
      <c r="AC68" s="305">
        <f t="shared" si="41"/>
        <v>0</v>
      </c>
      <c r="AD68" s="100">
        <f t="shared" si="8"/>
        <v>0</v>
      </c>
      <c r="AE68" s="100">
        <f t="shared" si="9"/>
        <v>0</v>
      </c>
      <c r="AF68" s="194">
        <f t="shared" si="36"/>
        <v>0</v>
      </c>
      <c r="AG68" s="194">
        <f t="shared" si="37"/>
        <v>0</v>
      </c>
      <c r="AH68" s="194">
        <f t="shared" si="38"/>
        <v>0</v>
      </c>
      <c r="AI68" s="199">
        <f t="shared" si="39"/>
        <v>0</v>
      </c>
      <c r="AK68" s="71">
        <v>63</v>
      </c>
      <c r="AL68" s="33">
        <f t="shared" si="10"/>
        <v>0</v>
      </c>
      <c r="AM68" s="33">
        <f t="shared" si="11"/>
        <v>0</v>
      </c>
      <c r="AN68" s="33">
        <f t="shared" si="12"/>
        <v>0</v>
      </c>
      <c r="AO68" s="33">
        <f t="shared" si="13"/>
        <v>0</v>
      </c>
      <c r="AP68" s="33">
        <f t="shared" si="14"/>
        <v>0</v>
      </c>
      <c r="AQ68" s="194">
        <f t="shared" si="15"/>
        <v>0</v>
      </c>
      <c r="AR68" s="194">
        <f t="shared" si="16"/>
        <v>0</v>
      </c>
      <c r="AS68" s="194">
        <f t="shared" si="17"/>
        <v>0</v>
      </c>
      <c r="AT68" s="194">
        <f t="shared" si="18"/>
        <v>0</v>
      </c>
      <c r="AU68" s="33"/>
      <c r="AV68" s="33"/>
      <c r="AW68" s="33"/>
      <c r="AX68" s="33"/>
      <c r="AY68" s="76"/>
    </row>
    <row r="69" spans="2:51" x14ac:dyDescent="0.3">
      <c r="B69" s="40"/>
      <c r="C69" s="152"/>
      <c r="D69" s="137"/>
      <c r="E69" s="141"/>
      <c r="F69" s="42"/>
      <c r="G69" s="51"/>
      <c r="I69" s="55">
        <v>64</v>
      </c>
      <c r="J69" s="33">
        <f t="shared" si="21"/>
        <v>0</v>
      </c>
      <c r="K69" s="33">
        <f t="shared" si="22"/>
        <v>0</v>
      </c>
      <c r="L69" s="33">
        <f t="shared" si="23"/>
        <v>0</v>
      </c>
      <c r="M69" s="33">
        <f t="shared" si="24"/>
        <v>0</v>
      </c>
      <c r="N69" s="33">
        <f t="shared" ref="N69:N132" si="43">IF(P70&lt;=$F$18,0,)</f>
        <v>0</v>
      </c>
      <c r="O69" s="34">
        <f t="shared" ref="O69:O132" si="44">((J69+K69)*0.475+L69+M69+N69)*44/12</f>
        <v>0</v>
      </c>
      <c r="P69" s="55">
        <v>64</v>
      </c>
      <c r="Q69" s="33">
        <f t="shared" si="19"/>
        <v>0</v>
      </c>
      <c r="R69" s="33">
        <f t="shared" si="25"/>
        <v>0</v>
      </c>
      <c r="S69" s="33">
        <f t="shared" si="26"/>
        <v>0</v>
      </c>
      <c r="T69" s="33">
        <f t="shared" ref="T69:T132" si="45">IF(S69=0,0,EXP(-1.0587+0.8836*LN(S69)+0.284))</f>
        <v>0</v>
      </c>
      <c r="U69" s="33">
        <f t="shared" si="20"/>
        <v>0</v>
      </c>
      <c r="V69" s="33">
        <f t="shared" ref="V69:V132" si="46">IF(P69&lt;=$F$18,IF(P69&lt;=30,P69*($F$16-$F$6)/30,$F$16-$F$6),)</f>
        <v>0</v>
      </c>
      <c r="W69" s="33">
        <v>0</v>
      </c>
      <c r="X69" s="33">
        <f t="shared" ref="X69:X132" si="47">((S69+T69)*0.475+U69+V69+W69)*44/12</f>
        <v>0</v>
      </c>
      <c r="Y69" s="38">
        <f t="shared" ref="Y69:Y132" si="48">IF(P69&lt;=$F$18,X69-O69,)</f>
        <v>0</v>
      </c>
      <c r="AA69" s="71">
        <v>64</v>
      </c>
      <c r="AB69" s="33">
        <f t="shared" ref="AB69:AB132" si="49">IF(AA69&lt;=$F$18,IFERROR(VLOOKUP($AA69,$B$82:$G$94,2,FALSE),0),)</f>
        <v>0</v>
      </c>
      <c r="AC69" s="305">
        <f t="shared" si="41"/>
        <v>0</v>
      </c>
      <c r="AD69" s="100">
        <f t="shared" ref="AD69:AD132" si="50">IF(AA69&lt;=$F$18,IFERROR(VLOOKUP($AA69,$B$82:$G$94,4,FALSE),0),)</f>
        <v>0</v>
      </c>
      <c r="AE69" s="100">
        <f t="shared" ref="AE69:AE132" si="51">IF(AA69&lt;=$F$18,IFERROR(VLOOKUP($AA69,$B$82:$G$94,5,FALSE),0),)</f>
        <v>0</v>
      </c>
      <c r="AF69" s="194">
        <f t="shared" si="36"/>
        <v>0</v>
      </c>
      <c r="AG69" s="194">
        <f t="shared" si="37"/>
        <v>0</v>
      </c>
      <c r="AH69" s="194">
        <f t="shared" si="38"/>
        <v>0</v>
      </c>
      <c r="AI69" s="199">
        <f t="shared" si="39"/>
        <v>0</v>
      </c>
      <c r="AK69" s="71">
        <v>64</v>
      </c>
      <c r="AL69" s="33">
        <f t="shared" ref="AL69:AL132" si="52">IF(AK69&lt;=$F$18,IFERROR(VLOOKUP($AA69,$B$82:$G$94,2,FALSE),0),)</f>
        <v>0</v>
      </c>
      <c r="AM69" s="33">
        <f t="shared" ref="AM69:AM132" si="53">IF(AK69&lt;=$F$18,IFERROR(VLOOKUP($AA69,$B$82:$G$94,3,FALSE),0),)</f>
        <v>0</v>
      </c>
      <c r="AN69" s="33">
        <f t="shared" ref="AN69:AN132" si="54">IF(AK69&lt;=$F$18,IFERROR(VLOOKUP($AA69,$B$82:$G$94,4,FALSE),0),)</f>
        <v>0</v>
      </c>
      <c r="AO69" s="33">
        <f t="shared" ref="AO69:AO132" si="55">IF(AK69&lt;=$F$18,IFERROR(VLOOKUP($AA69,$B$82:$G$94,5,FALSE),0),)</f>
        <v>0</v>
      </c>
      <c r="AP69" s="33">
        <f t="shared" ref="AP69:AP132" si="56">IF(AK69&lt;=$F$18,IFERROR(VLOOKUP($AA69,$B$82:$G$94,6,FALSE),0),)</f>
        <v>0</v>
      </c>
      <c r="AQ69" s="194">
        <f t="shared" ref="AQ69:AT132" si="57">IF($AK69&lt;=$F$18,$AL69*AM69,)</f>
        <v>0</v>
      </c>
      <c r="AR69" s="194">
        <f t="shared" si="57"/>
        <v>0</v>
      </c>
      <c r="AS69" s="194">
        <f t="shared" si="57"/>
        <v>0</v>
      </c>
      <c r="AT69" s="194">
        <f t="shared" si="57"/>
        <v>0</v>
      </c>
      <c r="AU69" s="33"/>
      <c r="AV69" s="33"/>
      <c r="AW69" s="33"/>
      <c r="AX69" s="33"/>
      <c r="AY69" s="76"/>
    </row>
    <row r="70" spans="2:51" x14ac:dyDescent="0.3">
      <c r="B70" s="40"/>
      <c r="C70" s="152"/>
      <c r="D70" s="137"/>
      <c r="E70" s="141"/>
      <c r="F70" s="42"/>
      <c r="G70" s="51"/>
      <c r="I70" s="55">
        <v>65</v>
      </c>
      <c r="J70" s="33">
        <f t="shared" si="21"/>
        <v>0</v>
      </c>
      <c r="K70" s="33">
        <f t="shared" si="22"/>
        <v>0</v>
      </c>
      <c r="L70" s="33">
        <f t="shared" si="23"/>
        <v>0</v>
      </c>
      <c r="M70" s="33">
        <f t="shared" si="24"/>
        <v>0</v>
      </c>
      <c r="N70" s="33">
        <f t="shared" si="43"/>
        <v>0</v>
      </c>
      <c r="O70" s="34">
        <f t="shared" si="44"/>
        <v>0</v>
      </c>
      <c r="P70" s="55">
        <v>65</v>
      </c>
      <c r="Q70" s="33">
        <f t="shared" ref="Q70:Q133" si="58">IF(P70&lt;=$F$18,LOOKUP(P70-1,$B$25:$B$78,$G$25:$G$78),)</f>
        <v>0</v>
      </c>
      <c r="R70" s="33">
        <f t="shared" si="25"/>
        <v>0</v>
      </c>
      <c r="S70" s="33">
        <f t="shared" si="26"/>
        <v>0</v>
      </c>
      <c r="T70" s="33">
        <f t="shared" si="45"/>
        <v>0</v>
      </c>
      <c r="U70" s="33">
        <f t="shared" ref="U70:U133" si="59">IF(P70&lt;=$F$18,$F$5+($F$15-$F$5)*(1-EXP(-0.0175*P70)),)</f>
        <v>0</v>
      </c>
      <c r="V70" s="33">
        <f t="shared" si="46"/>
        <v>0</v>
      </c>
      <c r="W70" s="33">
        <v>0</v>
      </c>
      <c r="X70" s="33">
        <f t="shared" si="47"/>
        <v>0</v>
      </c>
      <c r="Y70" s="38">
        <f t="shared" si="48"/>
        <v>0</v>
      </c>
      <c r="AA70" s="71">
        <v>65</v>
      </c>
      <c r="AB70" s="33">
        <f t="shared" si="49"/>
        <v>0</v>
      </c>
      <c r="AC70" s="305">
        <f t="shared" si="41"/>
        <v>0</v>
      </c>
      <c r="AD70" s="100">
        <f t="shared" si="50"/>
        <v>0</v>
      </c>
      <c r="AE70" s="100">
        <f t="shared" si="51"/>
        <v>0</v>
      </c>
      <c r="AF70" s="194">
        <f t="shared" si="36"/>
        <v>0</v>
      </c>
      <c r="AG70" s="194">
        <f t="shared" si="37"/>
        <v>0</v>
      </c>
      <c r="AH70" s="194">
        <f t="shared" si="38"/>
        <v>0</v>
      </c>
      <c r="AI70" s="199">
        <f t="shared" si="39"/>
        <v>0</v>
      </c>
      <c r="AK70" s="71">
        <v>65</v>
      </c>
      <c r="AL70" s="33">
        <f t="shared" si="52"/>
        <v>0</v>
      </c>
      <c r="AM70" s="33">
        <f t="shared" si="53"/>
        <v>0</v>
      </c>
      <c r="AN70" s="33">
        <f t="shared" si="54"/>
        <v>0</v>
      </c>
      <c r="AO70" s="33">
        <f t="shared" si="55"/>
        <v>0</v>
      </c>
      <c r="AP70" s="33">
        <f t="shared" si="56"/>
        <v>0</v>
      </c>
      <c r="AQ70" s="194">
        <f t="shared" si="57"/>
        <v>0</v>
      </c>
      <c r="AR70" s="194">
        <f t="shared" si="57"/>
        <v>0</v>
      </c>
      <c r="AS70" s="194">
        <f t="shared" si="57"/>
        <v>0</v>
      </c>
      <c r="AT70" s="194">
        <f t="shared" si="57"/>
        <v>0</v>
      </c>
      <c r="AU70" s="33"/>
      <c r="AV70" s="33"/>
      <c r="AW70" s="33"/>
      <c r="AX70" s="33"/>
      <c r="AY70" s="76"/>
    </row>
    <row r="71" spans="2:51" x14ac:dyDescent="0.3">
      <c r="B71" s="40"/>
      <c r="C71" s="152"/>
      <c r="D71" s="137"/>
      <c r="E71" s="141"/>
      <c r="F71" s="42"/>
      <c r="G71" s="51"/>
      <c r="I71" s="55">
        <v>66</v>
      </c>
      <c r="J71" s="33">
        <f t="shared" ref="J71:J134" si="60">IF($I71&lt;=$F$10,$F$11*$F$13+J70,)</f>
        <v>0</v>
      </c>
      <c r="K71" s="33">
        <f t="shared" ref="K71:K134" si="61">IF(J71=0,0,EXP(-1.0587+0.8836*LN(J71)+0.284))</f>
        <v>0</v>
      </c>
      <c r="L71" s="33">
        <f t="shared" ref="L71:L134" si="62">IF(I71&lt;=$F$10,$F$5+($F$8-$F$5)*(1-EXP(-0.0175*I71)),)</f>
        <v>0</v>
      </c>
      <c r="M71" s="33">
        <f t="shared" ref="M71:M134" si="63">IF(I71&lt;=$F$10,IF(I71&lt;=30,I71*($F$9-$F$6)/30,$F$9-$F$6),)</f>
        <v>0</v>
      </c>
      <c r="N71" s="33">
        <f t="shared" si="43"/>
        <v>0</v>
      </c>
      <c r="O71" s="34">
        <f t="shared" si="44"/>
        <v>0</v>
      </c>
      <c r="P71" s="55">
        <v>66</v>
      </c>
      <c r="Q71" s="33">
        <f t="shared" si="58"/>
        <v>0</v>
      </c>
      <c r="R71" s="33">
        <f t="shared" ref="R71:R134" si="64">IF(P71&lt;=$F$18,Q71+R70,)</f>
        <v>0</v>
      </c>
      <c r="S71" s="33">
        <f t="shared" ref="S71:S134" si="65">$F$19*R71</f>
        <v>0</v>
      </c>
      <c r="T71" s="33">
        <f t="shared" si="45"/>
        <v>0</v>
      </c>
      <c r="U71" s="33">
        <f t="shared" si="59"/>
        <v>0</v>
      </c>
      <c r="V71" s="33">
        <f t="shared" si="46"/>
        <v>0</v>
      </c>
      <c r="W71" s="33">
        <v>0</v>
      </c>
      <c r="X71" s="33">
        <f t="shared" si="47"/>
        <v>0</v>
      </c>
      <c r="Y71" s="38">
        <f t="shared" si="48"/>
        <v>0</v>
      </c>
      <c r="AA71" s="71">
        <v>66</v>
      </c>
      <c r="AB71" s="33">
        <f t="shared" si="49"/>
        <v>0</v>
      </c>
      <c r="AC71" s="305">
        <f t="shared" si="41"/>
        <v>0</v>
      </c>
      <c r="AD71" s="100">
        <f t="shared" si="50"/>
        <v>0</v>
      </c>
      <c r="AE71" s="100">
        <f t="shared" si="51"/>
        <v>0</v>
      </c>
      <c r="AF71" s="194">
        <f t="shared" si="36"/>
        <v>0</v>
      </c>
      <c r="AG71" s="194">
        <f t="shared" si="37"/>
        <v>0</v>
      </c>
      <c r="AH71" s="194">
        <f t="shared" si="38"/>
        <v>0</v>
      </c>
      <c r="AI71" s="199">
        <f t="shared" si="39"/>
        <v>0</v>
      </c>
      <c r="AK71" s="71">
        <v>66</v>
      </c>
      <c r="AL71" s="33">
        <f t="shared" si="52"/>
        <v>0</v>
      </c>
      <c r="AM71" s="33">
        <f t="shared" si="53"/>
        <v>0</v>
      </c>
      <c r="AN71" s="33">
        <f t="shared" si="54"/>
        <v>0</v>
      </c>
      <c r="AO71" s="33">
        <f t="shared" si="55"/>
        <v>0</v>
      </c>
      <c r="AP71" s="33">
        <f t="shared" si="56"/>
        <v>0</v>
      </c>
      <c r="AQ71" s="194">
        <f t="shared" si="57"/>
        <v>0</v>
      </c>
      <c r="AR71" s="194">
        <f t="shared" si="57"/>
        <v>0</v>
      </c>
      <c r="AS71" s="194">
        <f t="shared" si="57"/>
        <v>0</v>
      </c>
      <c r="AT71" s="194">
        <f t="shared" si="57"/>
        <v>0</v>
      </c>
      <c r="AU71" s="33"/>
      <c r="AV71" s="33"/>
      <c r="AW71" s="33"/>
      <c r="AX71" s="33"/>
      <c r="AY71" s="76"/>
    </row>
    <row r="72" spans="2:51" x14ac:dyDescent="0.3">
      <c r="B72" s="40"/>
      <c r="C72" s="152"/>
      <c r="D72" s="137"/>
      <c r="E72" s="141"/>
      <c r="F72" s="42"/>
      <c r="G72" s="51"/>
      <c r="I72" s="55">
        <v>67</v>
      </c>
      <c r="J72" s="33">
        <f t="shared" si="60"/>
        <v>0</v>
      </c>
      <c r="K72" s="33">
        <f t="shared" si="61"/>
        <v>0</v>
      </c>
      <c r="L72" s="33">
        <f t="shared" si="62"/>
        <v>0</v>
      </c>
      <c r="M72" s="33">
        <f t="shared" si="63"/>
        <v>0</v>
      </c>
      <c r="N72" s="33">
        <f t="shared" si="43"/>
        <v>0</v>
      </c>
      <c r="O72" s="34">
        <f t="shared" si="44"/>
        <v>0</v>
      </c>
      <c r="P72" s="55">
        <v>67</v>
      </c>
      <c r="Q72" s="33">
        <f t="shared" si="58"/>
        <v>0</v>
      </c>
      <c r="R72" s="33">
        <f t="shared" si="64"/>
        <v>0</v>
      </c>
      <c r="S72" s="33">
        <f t="shared" si="65"/>
        <v>0</v>
      </c>
      <c r="T72" s="33">
        <f t="shared" si="45"/>
        <v>0</v>
      </c>
      <c r="U72" s="33">
        <f t="shared" si="59"/>
        <v>0</v>
      </c>
      <c r="V72" s="33">
        <f t="shared" si="46"/>
        <v>0</v>
      </c>
      <c r="W72" s="33">
        <v>0</v>
      </c>
      <c r="X72" s="33">
        <f t="shared" si="47"/>
        <v>0</v>
      </c>
      <c r="Y72" s="38">
        <f t="shared" si="48"/>
        <v>0</v>
      </c>
      <c r="AA72" s="71">
        <v>67</v>
      </c>
      <c r="AB72" s="33">
        <f t="shared" si="49"/>
        <v>0</v>
      </c>
      <c r="AC72" s="305">
        <f t="shared" si="41"/>
        <v>0</v>
      </c>
      <c r="AD72" s="100">
        <f t="shared" si="50"/>
        <v>0</v>
      </c>
      <c r="AE72" s="100">
        <f t="shared" si="51"/>
        <v>0</v>
      </c>
      <c r="AF72" s="194">
        <f t="shared" si="36"/>
        <v>0</v>
      </c>
      <c r="AG72" s="194">
        <f t="shared" si="37"/>
        <v>0</v>
      </c>
      <c r="AH72" s="194">
        <f t="shared" si="38"/>
        <v>0</v>
      </c>
      <c r="AI72" s="199">
        <f t="shared" si="39"/>
        <v>0</v>
      </c>
      <c r="AK72" s="71">
        <v>67</v>
      </c>
      <c r="AL72" s="33">
        <f t="shared" si="52"/>
        <v>0</v>
      </c>
      <c r="AM72" s="33">
        <f t="shared" si="53"/>
        <v>0</v>
      </c>
      <c r="AN72" s="33">
        <f t="shared" si="54"/>
        <v>0</v>
      </c>
      <c r="AO72" s="33">
        <f t="shared" si="55"/>
        <v>0</v>
      </c>
      <c r="AP72" s="33">
        <f t="shared" si="56"/>
        <v>0</v>
      </c>
      <c r="AQ72" s="194">
        <f t="shared" si="57"/>
        <v>0</v>
      </c>
      <c r="AR72" s="194">
        <f t="shared" si="57"/>
        <v>0</v>
      </c>
      <c r="AS72" s="194">
        <f t="shared" si="57"/>
        <v>0</v>
      </c>
      <c r="AT72" s="194">
        <f t="shared" si="57"/>
        <v>0</v>
      </c>
      <c r="AU72" s="33"/>
      <c r="AV72" s="33"/>
      <c r="AW72" s="33"/>
      <c r="AX72" s="33"/>
      <c r="AY72" s="76"/>
    </row>
    <row r="73" spans="2:51" x14ac:dyDescent="0.3">
      <c r="B73" s="40"/>
      <c r="C73" s="152"/>
      <c r="D73" s="137"/>
      <c r="E73" s="141"/>
      <c r="F73" s="42"/>
      <c r="G73" s="51"/>
      <c r="I73" s="55">
        <v>68</v>
      </c>
      <c r="J73" s="33">
        <f t="shared" si="60"/>
        <v>0</v>
      </c>
      <c r="K73" s="33">
        <f t="shared" si="61"/>
        <v>0</v>
      </c>
      <c r="L73" s="33">
        <f t="shared" si="62"/>
        <v>0</v>
      </c>
      <c r="M73" s="33">
        <f t="shared" si="63"/>
        <v>0</v>
      </c>
      <c r="N73" s="33">
        <f t="shared" si="43"/>
        <v>0</v>
      </c>
      <c r="O73" s="34">
        <f t="shared" si="44"/>
        <v>0</v>
      </c>
      <c r="P73" s="55">
        <v>68</v>
      </c>
      <c r="Q73" s="33">
        <f t="shared" si="58"/>
        <v>0</v>
      </c>
      <c r="R73" s="33">
        <f t="shared" si="64"/>
        <v>0</v>
      </c>
      <c r="S73" s="33">
        <f t="shared" si="65"/>
        <v>0</v>
      </c>
      <c r="T73" s="33">
        <f t="shared" si="45"/>
        <v>0</v>
      </c>
      <c r="U73" s="33">
        <f t="shared" si="59"/>
        <v>0</v>
      </c>
      <c r="V73" s="33">
        <f t="shared" si="46"/>
        <v>0</v>
      </c>
      <c r="W73" s="33">
        <v>0</v>
      </c>
      <c r="X73" s="33">
        <f t="shared" si="47"/>
        <v>0</v>
      </c>
      <c r="Y73" s="38">
        <f t="shared" si="48"/>
        <v>0</v>
      </c>
      <c r="AA73" s="71">
        <v>68</v>
      </c>
      <c r="AB73" s="33">
        <f t="shared" si="49"/>
        <v>0</v>
      </c>
      <c r="AC73" s="305">
        <f t="shared" si="41"/>
        <v>0</v>
      </c>
      <c r="AD73" s="100">
        <f t="shared" si="50"/>
        <v>0</v>
      </c>
      <c r="AE73" s="100">
        <f t="shared" si="51"/>
        <v>0</v>
      </c>
      <c r="AF73" s="194">
        <f t="shared" si="36"/>
        <v>0</v>
      </c>
      <c r="AG73" s="194">
        <f t="shared" si="37"/>
        <v>0</v>
      </c>
      <c r="AH73" s="194">
        <f t="shared" si="38"/>
        <v>0</v>
      </c>
      <c r="AI73" s="199">
        <f t="shared" si="39"/>
        <v>0</v>
      </c>
      <c r="AK73" s="71">
        <v>68</v>
      </c>
      <c r="AL73" s="33">
        <f t="shared" si="52"/>
        <v>0</v>
      </c>
      <c r="AM73" s="33">
        <f t="shared" si="53"/>
        <v>0</v>
      </c>
      <c r="AN73" s="33">
        <f t="shared" si="54"/>
        <v>0</v>
      </c>
      <c r="AO73" s="33">
        <f t="shared" si="55"/>
        <v>0</v>
      </c>
      <c r="AP73" s="33">
        <f t="shared" si="56"/>
        <v>0</v>
      </c>
      <c r="AQ73" s="194">
        <f t="shared" si="57"/>
        <v>0</v>
      </c>
      <c r="AR73" s="194">
        <f t="shared" si="57"/>
        <v>0</v>
      </c>
      <c r="AS73" s="194">
        <f t="shared" si="57"/>
        <v>0</v>
      </c>
      <c r="AT73" s="194">
        <f t="shared" si="57"/>
        <v>0</v>
      </c>
      <c r="AU73" s="33"/>
      <c r="AV73" s="33"/>
      <c r="AW73" s="33"/>
      <c r="AX73" s="33"/>
      <c r="AY73" s="76"/>
    </row>
    <row r="74" spans="2:51" x14ac:dyDescent="0.3">
      <c r="B74" s="40"/>
      <c r="C74" s="152"/>
      <c r="D74" s="137"/>
      <c r="E74" s="141"/>
      <c r="F74" s="42"/>
      <c r="G74" s="51"/>
      <c r="I74" s="55">
        <v>69</v>
      </c>
      <c r="J74" s="33">
        <f t="shared" si="60"/>
        <v>0</v>
      </c>
      <c r="K74" s="33">
        <f t="shared" si="61"/>
        <v>0</v>
      </c>
      <c r="L74" s="33">
        <f t="shared" si="62"/>
        <v>0</v>
      </c>
      <c r="M74" s="33">
        <f t="shared" si="63"/>
        <v>0</v>
      </c>
      <c r="N74" s="33">
        <f t="shared" si="43"/>
        <v>0</v>
      </c>
      <c r="O74" s="34">
        <f t="shared" si="44"/>
        <v>0</v>
      </c>
      <c r="P74" s="55">
        <v>69</v>
      </c>
      <c r="Q74" s="33">
        <f t="shared" si="58"/>
        <v>0</v>
      </c>
      <c r="R74" s="33">
        <f t="shared" si="64"/>
        <v>0</v>
      </c>
      <c r="S74" s="33">
        <f t="shared" si="65"/>
        <v>0</v>
      </c>
      <c r="T74" s="33">
        <f t="shared" si="45"/>
        <v>0</v>
      </c>
      <c r="U74" s="33">
        <f t="shared" si="59"/>
        <v>0</v>
      </c>
      <c r="V74" s="33">
        <f t="shared" si="46"/>
        <v>0</v>
      </c>
      <c r="W74" s="33">
        <v>0</v>
      </c>
      <c r="X74" s="33">
        <f t="shared" si="47"/>
        <v>0</v>
      </c>
      <c r="Y74" s="38">
        <f t="shared" si="48"/>
        <v>0</v>
      </c>
      <c r="AA74" s="71">
        <v>69</v>
      </c>
      <c r="AB74" s="33">
        <f t="shared" si="49"/>
        <v>0</v>
      </c>
      <c r="AC74" s="305">
        <f t="shared" si="41"/>
        <v>0</v>
      </c>
      <c r="AD74" s="100">
        <f t="shared" si="50"/>
        <v>0</v>
      </c>
      <c r="AE74" s="100">
        <f t="shared" si="51"/>
        <v>0</v>
      </c>
      <c r="AF74" s="194">
        <f t="shared" si="36"/>
        <v>0</v>
      </c>
      <c r="AG74" s="194">
        <f t="shared" si="37"/>
        <v>0</v>
      </c>
      <c r="AH74" s="194">
        <f t="shared" si="38"/>
        <v>0</v>
      </c>
      <c r="AI74" s="199">
        <f t="shared" si="39"/>
        <v>0</v>
      </c>
      <c r="AK74" s="71">
        <v>69</v>
      </c>
      <c r="AL74" s="33">
        <f t="shared" si="52"/>
        <v>0</v>
      </c>
      <c r="AM74" s="33">
        <f t="shared" si="53"/>
        <v>0</v>
      </c>
      <c r="AN74" s="33">
        <f t="shared" si="54"/>
        <v>0</v>
      </c>
      <c r="AO74" s="33">
        <f t="shared" si="55"/>
        <v>0</v>
      </c>
      <c r="AP74" s="33">
        <f t="shared" si="56"/>
        <v>0</v>
      </c>
      <c r="AQ74" s="194">
        <f t="shared" si="57"/>
        <v>0</v>
      </c>
      <c r="AR74" s="194">
        <f t="shared" si="57"/>
        <v>0</v>
      </c>
      <c r="AS74" s="194">
        <f t="shared" si="57"/>
        <v>0</v>
      </c>
      <c r="AT74" s="194">
        <f t="shared" si="57"/>
        <v>0</v>
      </c>
      <c r="AU74" s="33"/>
      <c r="AV74" s="33"/>
      <c r="AW74" s="33"/>
      <c r="AX74" s="33"/>
      <c r="AY74" s="76"/>
    </row>
    <row r="75" spans="2:51" x14ac:dyDescent="0.3">
      <c r="B75" s="40"/>
      <c r="C75" s="152"/>
      <c r="D75" s="137"/>
      <c r="E75" s="141"/>
      <c r="F75" s="42"/>
      <c r="G75" s="51"/>
      <c r="I75" s="55">
        <v>70</v>
      </c>
      <c r="J75" s="33">
        <f t="shared" si="60"/>
        <v>0</v>
      </c>
      <c r="K75" s="33">
        <f t="shared" si="61"/>
        <v>0</v>
      </c>
      <c r="L75" s="33">
        <f t="shared" si="62"/>
        <v>0</v>
      </c>
      <c r="M75" s="33">
        <f t="shared" si="63"/>
        <v>0</v>
      </c>
      <c r="N75" s="33">
        <f t="shared" si="43"/>
        <v>0</v>
      </c>
      <c r="O75" s="34">
        <f t="shared" si="44"/>
        <v>0</v>
      </c>
      <c r="P75" s="55">
        <v>70</v>
      </c>
      <c r="Q75" s="33">
        <f t="shared" si="58"/>
        <v>0</v>
      </c>
      <c r="R75" s="33">
        <f t="shared" si="64"/>
        <v>0</v>
      </c>
      <c r="S75" s="33">
        <f t="shared" si="65"/>
        <v>0</v>
      </c>
      <c r="T75" s="33">
        <f t="shared" si="45"/>
        <v>0</v>
      </c>
      <c r="U75" s="33">
        <f t="shared" si="59"/>
        <v>0</v>
      </c>
      <c r="V75" s="33">
        <f t="shared" si="46"/>
        <v>0</v>
      </c>
      <c r="W75" s="33">
        <v>0</v>
      </c>
      <c r="X75" s="33">
        <f t="shared" si="47"/>
        <v>0</v>
      </c>
      <c r="Y75" s="38">
        <f t="shared" si="48"/>
        <v>0</v>
      </c>
      <c r="AA75" s="71">
        <v>70</v>
      </c>
      <c r="AB75" s="33">
        <f t="shared" si="49"/>
        <v>0</v>
      </c>
      <c r="AC75" s="305">
        <f t="shared" si="41"/>
        <v>0</v>
      </c>
      <c r="AD75" s="100">
        <f t="shared" si="50"/>
        <v>0</v>
      </c>
      <c r="AE75" s="100">
        <f t="shared" si="51"/>
        <v>0</v>
      </c>
      <c r="AF75" s="194">
        <f t="shared" si="36"/>
        <v>0</v>
      </c>
      <c r="AG75" s="194">
        <f t="shared" si="37"/>
        <v>0</v>
      </c>
      <c r="AH75" s="194">
        <f t="shared" si="38"/>
        <v>0</v>
      </c>
      <c r="AI75" s="199">
        <f t="shared" si="39"/>
        <v>0</v>
      </c>
      <c r="AK75" s="71">
        <v>70</v>
      </c>
      <c r="AL75" s="33">
        <f t="shared" si="52"/>
        <v>0</v>
      </c>
      <c r="AM75" s="33">
        <f t="shared" si="53"/>
        <v>0</v>
      </c>
      <c r="AN75" s="33">
        <f t="shared" si="54"/>
        <v>0</v>
      </c>
      <c r="AO75" s="33">
        <f t="shared" si="55"/>
        <v>0</v>
      </c>
      <c r="AP75" s="33">
        <f t="shared" si="56"/>
        <v>0</v>
      </c>
      <c r="AQ75" s="194">
        <f t="shared" si="57"/>
        <v>0</v>
      </c>
      <c r="AR75" s="194">
        <f t="shared" si="57"/>
        <v>0</v>
      </c>
      <c r="AS75" s="194">
        <f t="shared" si="57"/>
        <v>0</v>
      </c>
      <c r="AT75" s="194">
        <f t="shared" si="57"/>
        <v>0</v>
      </c>
      <c r="AU75" s="33"/>
      <c r="AV75" s="33"/>
      <c r="AW75" s="33"/>
      <c r="AX75" s="33"/>
      <c r="AY75" s="76"/>
    </row>
    <row r="76" spans="2:51" x14ac:dyDescent="0.3">
      <c r="B76" s="40"/>
      <c r="C76" s="152"/>
      <c r="D76" s="137"/>
      <c r="E76" s="141"/>
      <c r="F76" s="42"/>
      <c r="G76" s="51"/>
      <c r="I76" s="55">
        <v>71</v>
      </c>
      <c r="J76" s="33">
        <f t="shared" si="60"/>
        <v>0</v>
      </c>
      <c r="K76" s="33">
        <f t="shared" si="61"/>
        <v>0</v>
      </c>
      <c r="L76" s="33">
        <f t="shared" si="62"/>
        <v>0</v>
      </c>
      <c r="M76" s="33">
        <f t="shared" si="63"/>
        <v>0</v>
      </c>
      <c r="N76" s="33">
        <f t="shared" si="43"/>
        <v>0</v>
      </c>
      <c r="O76" s="34">
        <f t="shared" si="44"/>
        <v>0</v>
      </c>
      <c r="P76" s="55">
        <v>71</v>
      </c>
      <c r="Q76" s="33">
        <f t="shared" si="58"/>
        <v>0</v>
      </c>
      <c r="R76" s="33">
        <f t="shared" si="64"/>
        <v>0</v>
      </c>
      <c r="S76" s="33">
        <f t="shared" si="65"/>
        <v>0</v>
      </c>
      <c r="T76" s="33">
        <f t="shared" si="45"/>
        <v>0</v>
      </c>
      <c r="U76" s="33">
        <f t="shared" si="59"/>
        <v>0</v>
      </c>
      <c r="V76" s="33">
        <f t="shared" si="46"/>
        <v>0</v>
      </c>
      <c r="W76" s="33">
        <v>0</v>
      </c>
      <c r="X76" s="33">
        <f t="shared" si="47"/>
        <v>0</v>
      </c>
      <c r="Y76" s="38">
        <f t="shared" si="48"/>
        <v>0</v>
      </c>
      <c r="AA76" s="71">
        <v>71</v>
      </c>
      <c r="AB76" s="33">
        <f t="shared" si="49"/>
        <v>0</v>
      </c>
      <c r="AC76" s="305">
        <f t="shared" si="41"/>
        <v>0</v>
      </c>
      <c r="AD76" s="100">
        <f t="shared" si="50"/>
        <v>0</v>
      </c>
      <c r="AE76" s="100">
        <f t="shared" si="51"/>
        <v>0</v>
      </c>
      <c r="AF76" s="194">
        <f t="shared" si="36"/>
        <v>0</v>
      </c>
      <c r="AG76" s="194">
        <f t="shared" si="37"/>
        <v>0</v>
      </c>
      <c r="AH76" s="194">
        <f t="shared" si="38"/>
        <v>0</v>
      </c>
      <c r="AI76" s="199">
        <f t="shared" si="39"/>
        <v>0</v>
      </c>
      <c r="AK76" s="71">
        <v>71</v>
      </c>
      <c r="AL76" s="33">
        <f t="shared" si="52"/>
        <v>0</v>
      </c>
      <c r="AM76" s="33">
        <f t="shared" si="53"/>
        <v>0</v>
      </c>
      <c r="AN76" s="33">
        <f t="shared" si="54"/>
        <v>0</v>
      </c>
      <c r="AO76" s="33">
        <f t="shared" si="55"/>
        <v>0</v>
      </c>
      <c r="AP76" s="33">
        <f t="shared" si="56"/>
        <v>0</v>
      </c>
      <c r="AQ76" s="194">
        <f t="shared" si="57"/>
        <v>0</v>
      </c>
      <c r="AR76" s="194">
        <f t="shared" si="57"/>
        <v>0</v>
      </c>
      <c r="AS76" s="194">
        <f t="shared" si="57"/>
        <v>0</v>
      </c>
      <c r="AT76" s="194">
        <f t="shared" si="57"/>
        <v>0</v>
      </c>
      <c r="AU76" s="33"/>
      <c r="AV76" s="33"/>
      <c r="AW76" s="33"/>
      <c r="AX76" s="33"/>
      <c r="AY76" s="76"/>
    </row>
    <row r="77" spans="2:51" x14ac:dyDescent="0.3">
      <c r="B77" s="40"/>
      <c r="C77" s="152"/>
      <c r="D77" s="137"/>
      <c r="E77" s="141"/>
      <c r="F77" s="42"/>
      <c r="G77" s="51"/>
      <c r="I77" s="55">
        <v>72</v>
      </c>
      <c r="J77" s="33">
        <f t="shared" si="60"/>
        <v>0</v>
      </c>
      <c r="K77" s="33">
        <f t="shared" si="61"/>
        <v>0</v>
      </c>
      <c r="L77" s="33">
        <f t="shared" si="62"/>
        <v>0</v>
      </c>
      <c r="M77" s="33">
        <f t="shared" si="63"/>
        <v>0</v>
      </c>
      <c r="N77" s="33">
        <f t="shared" si="43"/>
        <v>0</v>
      </c>
      <c r="O77" s="34">
        <f t="shared" si="44"/>
        <v>0</v>
      </c>
      <c r="P77" s="55">
        <v>72</v>
      </c>
      <c r="Q77" s="33">
        <f t="shared" si="58"/>
        <v>0</v>
      </c>
      <c r="R77" s="33">
        <f t="shared" si="64"/>
        <v>0</v>
      </c>
      <c r="S77" s="33">
        <f t="shared" si="65"/>
        <v>0</v>
      </c>
      <c r="T77" s="33">
        <f t="shared" si="45"/>
        <v>0</v>
      </c>
      <c r="U77" s="33">
        <f t="shared" si="59"/>
        <v>0</v>
      </c>
      <c r="V77" s="33">
        <f t="shared" si="46"/>
        <v>0</v>
      </c>
      <c r="W77" s="33">
        <v>0</v>
      </c>
      <c r="X77" s="33">
        <f t="shared" si="47"/>
        <v>0</v>
      </c>
      <c r="Y77" s="38">
        <f t="shared" si="48"/>
        <v>0</v>
      </c>
      <c r="AA77" s="71">
        <v>72</v>
      </c>
      <c r="AB77" s="33">
        <f t="shared" si="49"/>
        <v>0</v>
      </c>
      <c r="AC77" s="305">
        <f t="shared" si="41"/>
        <v>0</v>
      </c>
      <c r="AD77" s="100">
        <f t="shared" si="50"/>
        <v>0</v>
      </c>
      <c r="AE77" s="100">
        <f t="shared" si="51"/>
        <v>0</v>
      </c>
      <c r="AF77" s="194">
        <f t="shared" si="36"/>
        <v>0</v>
      </c>
      <c r="AG77" s="194">
        <f t="shared" si="37"/>
        <v>0</v>
      </c>
      <c r="AH77" s="194">
        <f t="shared" si="38"/>
        <v>0</v>
      </c>
      <c r="AI77" s="199">
        <f t="shared" si="39"/>
        <v>0</v>
      </c>
      <c r="AK77" s="71">
        <v>72</v>
      </c>
      <c r="AL77" s="33">
        <f t="shared" si="52"/>
        <v>0</v>
      </c>
      <c r="AM77" s="33">
        <f t="shared" si="53"/>
        <v>0</v>
      </c>
      <c r="AN77" s="33">
        <f t="shared" si="54"/>
        <v>0</v>
      </c>
      <c r="AO77" s="33">
        <f t="shared" si="55"/>
        <v>0</v>
      </c>
      <c r="AP77" s="33">
        <f t="shared" si="56"/>
        <v>0</v>
      </c>
      <c r="AQ77" s="194">
        <f t="shared" si="57"/>
        <v>0</v>
      </c>
      <c r="AR77" s="194">
        <f t="shared" si="57"/>
        <v>0</v>
      </c>
      <c r="AS77" s="194">
        <f t="shared" si="57"/>
        <v>0</v>
      </c>
      <c r="AT77" s="194">
        <f t="shared" si="57"/>
        <v>0</v>
      </c>
      <c r="AU77" s="33"/>
      <c r="AV77" s="33"/>
      <c r="AW77" s="33"/>
      <c r="AX77" s="33"/>
      <c r="AY77" s="76"/>
    </row>
    <row r="78" spans="2:51" x14ac:dyDescent="0.3">
      <c r="B78" s="43"/>
      <c r="C78" s="153"/>
      <c r="D78" s="154"/>
      <c r="E78" s="144"/>
      <c r="F78" s="44"/>
      <c r="G78" s="52"/>
      <c r="I78" s="55">
        <v>73</v>
      </c>
      <c r="J78" s="33">
        <f t="shared" si="60"/>
        <v>0</v>
      </c>
      <c r="K78" s="33">
        <f t="shared" si="61"/>
        <v>0</v>
      </c>
      <c r="L78" s="33">
        <f t="shared" si="62"/>
        <v>0</v>
      </c>
      <c r="M78" s="33">
        <f t="shared" si="63"/>
        <v>0</v>
      </c>
      <c r="N78" s="33">
        <f t="shared" si="43"/>
        <v>0</v>
      </c>
      <c r="O78" s="34">
        <f t="shared" si="44"/>
        <v>0</v>
      </c>
      <c r="P78" s="55">
        <v>73</v>
      </c>
      <c r="Q78" s="33">
        <f t="shared" si="58"/>
        <v>0</v>
      </c>
      <c r="R78" s="33">
        <f t="shared" si="64"/>
        <v>0</v>
      </c>
      <c r="S78" s="33">
        <f t="shared" si="65"/>
        <v>0</v>
      </c>
      <c r="T78" s="33">
        <f t="shared" si="45"/>
        <v>0</v>
      </c>
      <c r="U78" s="33">
        <f t="shared" si="59"/>
        <v>0</v>
      </c>
      <c r="V78" s="33">
        <f t="shared" si="46"/>
        <v>0</v>
      </c>
      <c r="W78" s="33">
        <v>0</v>
      </c>
      <c r="X78" s="33">
        <f t="shared" si="47"/>
        <v>0</v>
      </c>
      <c r="Y78" s="38">
        <f t="shared" si="48"/>
        <v>0</v>
      </c>
      <c r="AA78" s="71">
        <v>73</v>
      </c>
      <c r="AB78" s="33">
        <f t="shared" si="49"/>
        <v>0</v>
      </c>
      <c r="AC78" s="305">
        <f t="shared" si="41"/>
        <v>0</v>
      </c>
      <c r="AD78" s="100">
        <f t="shared" si="50"/>
        <v>0</v>
      </c>
      <c r="AE78" s="100">
        <f t="shared" si="51"/>
        <v>0</v>
      </c>
      <c r="AF78" s="194">
        <f t="shared" si="36"/>
        <v>0</v>
      </c>
      <c r="AG78" s="194">
        <f t="shared" si="37"/>
        <v>0</v>
      </c>
      <c r="AH78" s="194">
        <f t="shared" si="38"/>
        <v>0</v>
      </c>
      <c r="AI78" s="199">
        <f t="shared" si="39"/>
        <v>0</v>
      </c>
      <c r="AK78" s="71">
        <v>73</v>
      </c>
      <c r="AL78" s="33">
        <f t="shared" si="52"/>
        <v>0</v>
      </c>
      <c r="AM78" s="33">
        <f t="shared" si="53"/>
        <v>0</v>
      </c>
      <c r="AN78" s="33">
        <f t="shared" si="54"/>
        <v>0</v>
      </c>
      <c r="AO78" s="33">
        <f t="shared" si="55"/>
        <v>0</v>
      </c>
      <c r="AP78" s="33">
        <f t="shared" si="56"/>
        <v>0</v>
      </c>
      <c r="AQ78" s="194">
        <f t="shared" si="57"/>
        <v>0</v>
      </c>
      <c r="AR78" s="194">
        <f t="shared" si="57"/>
        <v>0</v>
      </c>
      <c r="AS78" s="194">
        <f t="shared" si="57"/>
        <v>0</v>
      </c>
      <c r="AT78" s="194">
        <f t="shared" si="57"/>
        <v>0</v>
      </c>
      <c r="AU78" s="33"/>
      <c r="AV78" s="33"/>
      <c r="AW78" s="33"/>
      <c r="AX78" s="33"/>
      <c r="AY78" s="76"/>
    </row>
    <row r="79" spans="2:51" x14ac:dyDescent="0.3">
      <c r="I79" s="55">
        <v>74</v>
      </c>
      <c r="J79" s="33">
        <f t="shared" si="60"/>
        <v>0</v>
      </c>
      <c r="K79" s="33">
        <f t="shared" si="61"/>
        <v>0</v>
      </c>
      <c r="L79" s="33">
        <f t="shared" si="62"/>
        <v>0</v>
      </c>
      <c r="M79" s="33">
        <f t="shared" si="63"/>
        <v>0</v>
      </c>
      <c r="N79" s="33">
        <f t="shared" si="43"/>
        <v>0</v>
      </c>
      <c r="O79" s="34">
        <f t="shared" si="44"/>
        <v>0</v>
      </c>
      <c r="P79" s="55">
        <v>74</v>
      </c>
      <c r="Q79" s="33">
        <f t="shared" si="58"/>
        <v>0</v>
      </c>
      <c r="R79" s="33">
        <f t="shared" si="64"/>
        <v>0</v>
      </c>
      <c r="S79" s="33">
        <f t="shared" si="65"/>
        <v>0</v>
      </c>
      <c r="T79" s="33">
        <f t="shared" si="45"/>
        <v>0</v>
      </c>
      <c r="U79" s="33">
        <f t="shared" si="59"/>
        <v>0</v>
      </c>
      <c r="V79" s="33">
        <f t="shared" si="46"/>
        <v>0</v>
      </c>
      <c r="W79" s="33">
        <v>0</v>
      </c>
      <c r="X79" s="33">
        <f t="shared" si="47"/>
        <v>0</v>
      </c>
      <c r="Y79" s="38">
        <f t="shared" si="48"/>
        <v>0</v>
      </c>
      <c r="AA79" s="71">
        <v>74</v>
      </c>
      <c r="AB79" s="33">
        <f t="shared" si="49"/>
        <v>0</v>
      </c>
      <c r="AC79" s="305">
        <f t="shared" si="41"/>
        <v>0</v>
      </c>
      <c r="AD79" s="100">
        <f t="shared" si="50"/>
        <v>0</v>
      </c>
      <c r="AE79" s="100">
        <f t="shared" si="51"/>
        <v>0</v>
      </c>
      <c r="AF79" s="194">
        <f t="shared" si="36"/>
        <v>0</v>
      </c>
      <c r="AG79" s="194">
        <f t="shared" si="37"/>
        <v>0</v>
      </c>
      <c r="AH79" s="194">
        <f t="shared" si="38"/>
        <v>0</v>
      </c>
      <c r="AI79" s="199">
        <f t="shared" si="39"/>
        <v>0</v>
      </c>
      <c r="AK79" s="71">
        <v>74</v>
      </c>
      <c r="AL79" s="33">
        <f t="shared" si="52"/>
        <v>0</v>
      </c>
      <c r="AM79" s="33">
        <f t="shared" si="53"/>
        <v>0</v>
      </c>
      <c r="AN79" s="33">
        <f t="shared" si="54"/>
        <v>0</v>
      </c>
      <c r="AO79" s="33">
        <f t="shared" si="55"/>
        <v>0</v>
      </c>
      <c r="AP79" s="33">
        <f t="shared" si="56"/>
        <v>0</v>
      </c>
      <c r="AQ79" s="194">
        <f t="shared" si="57"/>
        <v>0</v>
      </c>
      <c r="AR79" s="194">
        <f t="shared" si="57"/>
        <v>0</v>
      </c>
      <c r="AS79" s="194">
        <f t="shared" si="57"/>
        <v>0</v>
      </c>
      <c r="AT79" s="194">
        <f t="shared" si="57"/>
        <v>0</v>
      </c>
      <c r="AU79" s="33"/>
      <c r="AV79" s="33"/>
      <c r="AW79" s="33"/>
      <c r="AX79" s="33"/>
      <c r="AY79" s="76"/>
    </row>
    <row r="80" spans="2:51" x14ac:dyDescent="0.3">
      <c r="B80" s="356" t="s">
        <v>259</v>
      </c>
      <c r="C80" s="357"/>
      <c r="D80" s="357"/>
      <c r="E80" s="357"/>
      <c r="F80" s="357"/>
      <c r="G80" s="358"/>
      <c r="H80" s="23"/>
      <c r="I80" s="55">
        <v>75</v>
      </c>
      <c r="J80" s="33">
        <f t="shared" si="60"/>
        <v>0</v>
      </c>
      <c r="K80" s="33">
        <f t="shared" si="61"/>
        <v>0</v>
      </c>
      <c r="L80" s="33">
        <f t="shared" si="62"/>
        <v>0</v>
      </c>
      <c r="M80" s="33">
        <f t="shared" si="63"/>
        <v>0</v>
      </c>
      <c r="N80" s="33">
        <f t="shared" si="43"/>
        <v>0</v>
      </c>
      <c r="O80" s="34">
        <f t="shared" si="44"/>
        <v>0</v>
      </c>
      <c r="P80" s="55">
        <v>75</v>
      </c>
      <c r="Q80" s="33">
        <f t="shared" si="58"/>
        <v>0</v>
      </c>
      <c r="R80" s="33">
        <f t="shared" si="64"/>
        <v>0</v>
      </c>
      <c r="S80" s="33">
        <f t="shared" si="65"/>
        <v>0</v>
      </c>
      <c r="T80" s="33">
        <f t="shared" si="45"/>
        <v>0</v>
      </c>
      <c r="U80" s="33">
        <f t="shared" si="59"/>
        <v>0</v>
      </c>
      <c r="V80" s="33">
        <f t="shared" si="46"/>
        <v>0</v>
      </c>
      <c r="W80" s="33">
        <v>0</v>
      </c>
      <c r="X80" s="33">
        <f t="shared" si="47"/>
        <v>0</v>
      </c>
      <c r="Y80" s="38">
        <f t="shared" si="48"/>
        <v>0</v>
      </c>
      <c r="AA80" s="71">
        <v>75</v>
      </c>
      <c r="AB80" s="33">
        <f t="shared" si="49"/>
        <v>0</v>
      </c>
      <c r="AC80" s="305">
        <f t="shared" si="41"/>
        <v>0</v>
      </c>
      <c r="AD80" s="100">
        <f t="shared" si="50"/>
        <v>0</v>
      </c>
      <c r="AE80" s="100">
        <f t="shared" si="51"/>
        <v>0</v>
      </c>
      <c r="AF80" s="194">
        <f t="shared" si="36"/>
        <v>0</v>
      </c>
      <c r="AG80" s="194">
        <f t="shared" si="37"/>
        <v>0</v>
      </c>
      <c r="AH80" s="194">
        <f t="shared" si="38"/>
        <v>0</v>
      </c>
      <c r="AI80" s="199">
        <f t="shared" si="39"/>
        <v>0</v>
      </c>
      <c r="AK80" s="71">
        <v>75</v>
      </c>
      <c r="AL80" s="33">
        <f t="shared" si="52"/>
        <v>0</v>
      </c>
      <c r="AM80" s="33">
        <f t="shared" si="53"/>
        <v>0</v>
      </c>
      <c r="AN80" s="33">
        <f t="shared" si="54"/>
        <v>0</v>
      </c>
      <c r="AO80" s="33">
        <f t="shared" si="55"/>
        <v>0</v>
      </c>
      <c r="AP80" s="33">
        <f t="shared" si="56"/>
        <v>0</v>
      </c>
      <c r="AQ80" s="194">
        <f t="shared" si="57"/>
        <v>0</v>
      </c>
      <c r="AR80" s="194">
        <f t="shared" si="57"/>
        <v>0</v>
      </c>
      <c r="AS80" s="194">
        <f t="shared" si="57"/>
        <v>0</v>
      </c>
      <c r="AT80" s="194">
        <f t="shared" si="57"/>
        <v>0</v>
      </c>
      <c r="AU80" s="33"/>
      <c r="AV80" s="33"/>
      <c r="AW80" s="33"/>
      <c r="AX80" s="33"/>
      <c r="AY80" s="76"/>
    </row>
    <row r="81" spans="2:51" x14ac:dyDescent="0.3">
      <c r="B81" s="156" t="s">
        <v>76</v>
      </c>
      <c r="C81" s="132" t="s">
        <v>156</v>
      </c>
      <c r="D81" s="130" t="s">
        <v>78</v>
      </c>
      <c r="E81" s="130" t="s">
        <v>81</v>
      </c>
      <c r="F81" s="130" t="s">
        <v>80</v>
      </c>
      <c r="G81" s="131" t="s">
        <v>79</v>
      </c>
      <c r="H81" s="57"/>
      <c r="I81" s="55">
        <v>76</v>
      </c>
      <c r="J81" s="33">
        <f t="shared" si="60"/>
        <v>0</v>
      </c>
      <c r="K81" s="33">
        <f t="shared" si="61"/>
        <v>0</v>
      </c>
      <c r="L81" s="33">
        <f t="shared" si="62"/>
        <v>0</v>
      </c>
      <c r="M81" s="33">
        <f t="shared" si="63"/>
        <v>0</v>
      </c>
      <c r="N81" s="33">
        <f t="shared" si="43"/>
        <v>0</v>
      </c>
      <c r="O81" s="34">
        <f t="shared" si="44"/>
        <v>0</v>
      </c>
      <c r="P81" s="55">
        <v>76</v>
      </c>
      <c r="Q81" s="33">
        <f t="shared" si="58"/>
        <v>0</v>
      </c>
      <c r="R81" s="33">
        <f t="shared" si="64"/>
        <v>0</v>
      </c>
      <c r="S81" s="33">
        <f t="shared" si="65"/>
        <v>0</v>
      </c>
      <c r="T81" s="33">
        <f t="shared" si="45"/>
        <v>0</v>
      </c>
      <c r="U81" s="33">
        <f t="shared" si="59"/>
        <v>0</v>
      </c>
      <c r="V81" s="33">
        <f t="shared" si="46"/>
        <v>0</v>
      </c>
      <c r="W81" s="33">
        <v>0</v>
      </c>
      <c r="X81" s="33">
        <f t="shared" si="47"/>
        <v>0</v>
      </c>
      <c r="Y81" s="38">
        <f t="shared" si="48"/>
        <v>0</v>
      </c>
      <c r="AA81" s="71">
        <v>76</v>
      </c>
      <c r="AB81" s="33">
        <f t="shared" si="49"/>
        <v>0</v>
      </c>
      <c r="AC81" s="305">
        <f t="shared" si="41"/>
        <v>0</v>
      </c>
      <c r="AD81" s="100">
        <f t="shared" si="50"/>
        <v>0</v>
      </c>
      <c r="AE81" s="100">
        <f t="shared" si="51"/>
        <v>0</v>
      </c>
      <c r="AF81" s="194">
        <f t="shared" si="36"/>
        <v>0</v>
      </c>
      <c r="AG81" s="194">
        <f t="shared" si="37"/>
        <v>0</v>
      </c>
      <c r="AH81" s="194">
        <f t="shared" si="38"/>
        <v>0</v>
      </c>
      <c r="AI81" s="199">
        <f t="shared" si="39"/>
        <v>0</v>
      </c>
      <c r="AK81" s="71">
        <v>76</v>
      </c>
      <c r="AL81" s="33">
        <f t="shared" si="52"/>
        <v>0</v>
      </c>
      <c r="AM81" s="33">
        <f t="shared" si="53"/>
        <v>0</v>
      </c>
      <c r="AN81" s="33">
        <f t="shared" si="54"/>
        <v>0</v>
      </c>
      <c r="AO81" s="33">
        <f t="shared" si="55"/>
        <v>0</v>
      </c>
      <c r="AP81" s="33">
        <f t="shared" si="56"/>
        <v>0</v>
      </c>
      <c r="AQ81" s="194">
        <f t="shared" si="57"/>
        <v>0</v>
      </c>
      <c r="AR81" s="194">
        <f t="shared" si="57"/>
        <v>0</v>
      </c>
      <c r="AS81" s="194">
        <f t="shared" si="57"/>
        <v>0</v>
      </c>
      <c r="AT81" s="194">
        <f t="shared" si="57"/>
        <v>0</v>
      </c>
      <c r="AU81" s="33"/>
      <c r="AV81" s="33"/>
      <c r="AW81" s="33"/>
      <c r="AX81" s="33"/>
      <c r="AY81" s="76"/>
    </row>
    <row r="82" spans="2:51" x14ac:dyDescent="0.3">
      <c r="B82" s="170">
        <f>IF(C25&lt;=$F$18,C25+1,"-")</f>
        <v>16</v>
      </c>
      <c r="C82" s="145">
        <f>D25-D26</f>
        <v>26.765882745274169</v>
      </c>
      <c r="D82" s="146">
        <v>0</v>
      </c>
      <c r="E82" s="171">
        <f>IF(G82+D82&lt;&gt;1,(1-(G82+D82))*56%,0)</f>
        <v>0.56000000000000005</v>
      </c>
      <c r="F82" s="171">
        <f>IF(G82+D82&lt;&gt;1,(1-(G82+D82))*44%,0)</f>
        <v>0.44</v>
      </c>
      <c r="G82" s="147"/>
      <c r="H82" s="58">
        <f t="shared" ref="H82:H94" si="66">IF(C82=0,0,IF(SUM(D82:G82)&lt;&gt;1,"erreur",))</f>
        <v>0</v>
      </c>
      <c r="I82" s="55">
        <v>77</v>
      </c>
      <c r="J82" s="33">
        <f t="shared" si="60"/>
        <v>0</v>
      </c>
      <c r="K82" s="33">
        <f t="shared" si="61"/>
        <v>0</v>
      </c>
      <c r="L82" s="33">
        <f t="shared" si="62"/>
        <v>0</v>
      </c>
      <c r="M82" s="33">
        <f t="shared" si="63"/>
        <v>0</v>
      </c>
      <c r="N82" s="33">
        <f t="shared" si="43"/>
        <v>0</v>
      </c>
      <c r="O82" s="34">
        <f t="shared" si="44"/>
        <v>0</v>
      </c>
      <c r="P82" s="55">
        <v>77</v>
      </c>
      <c r="Q82" s="33">
        <f t="shared" si="58"/>
        <v>0</v>
      </c>
      <c r="R82" s="33">
        <f t="shared" si="64"/>
        <v>0</v>
      </c>
      <c r="S82" s="33">
        <f t="shared" si="65"/>
        <v>0</v>
      </c>
      <c r="T82" s="33">
        <f t="shared" si="45"/>
        <v>0</v>
      </c>
      <c r="U82" s="33">
        <f t="shared" si="59"/>
        <v>0</v>
      </c>
      <c r="V82" s="33">
        <f t="shared" si="46"/>
        <v>0</v>
      </c>
      <c r="W82" s="33">
        <v>0</v>
      </c>
      <c r="X82" s="33">
        <f t="shared" si="47"/>
        <v>0</v>
      </c>
      <c r="Y82" s="38">
        <f t="shared" si="48"/>
        <v>0</v>
      </c>
      <c r="AA82" s="71">
        <v>77</v>
      </c>
      <c r="AB82" s="33">
        <f t="shared" si="49"/>
        <v>0</v>
      </c>
      <c r="AC82" s="305">
        <f t="shared" si="41"/>
        <v>0</v>
      </c>
      <c r="AD82" s="100">
        <f t="shared" si="50"/>
        <v>0</v>
      </c>
      <c r="AE82" s="100">
        <f t="shared" si="51"/>
        <v>0</v>
      </c>
      <c r="AF82" s="194">
        <f t="shared" si="36"/>
        <v>0</v>
      </c>
      <c r="AG82" s="194">
        <f t="shared" si="37"/>
        <v>0</v>
      </c>
      <c r="AH82" s="194">
        <f t="shared" si="38"/>
        <v>0</v>
      </c>
      <c r="AI82" s="199">
        <f t="shared" si="39"/>
        <v>0</v>
      </c>
      <c r="AK82" s="71">
        <v>77</v>
      </c>
      <c r="AL82" s="33">
        <f t="shared" si="52"/>
        <v>0</v>
      </c>
      <c r="AM82" s="33">
        <f t="shared" si="53"/>
        <v>0</v>
      </c>
      <c r="AN82" s="33">
        <f t="shared" si="54"/>
        <v>0</v>
      </c>
      <c r="AO82" s="33">
        <f t="shared" si="55"/>
        <v>0</v>
      </c>
      <c r="AP82" s="33">
        <f t="shared" si="56"/>
        <v>0</v>
      </c>
      <c r="AQ82" s="194">
        <f t="shared" si="57"/>
        <v>0</v>
      </c>
      <c r="AR82" s="194">
        <f t="shared" si="57"/>
        <v>0</v>
      </c>
      <c r="AS82" s="194">
        <f t="shared" si="57"/>
        <v>0</v>
      </c>
      <c r="AT82" s="194">
        <f t="shared" si="57"/>
        <v>0</v>
      </c>
      <c r="AU82" s="33"/>
      <c r="AV82" s="33"/>
      <c r="AW82" s="33"/>
      <c r="AX82" s="33"/>
      <c r="AY82" s="76"/>
    </row>
    <row r="83" spans="2:51" x14ac:dyDescent="0.3">
      <c r="B83" s="172">
        <f>IF(C27&lt;=$F$18,C27+1,"-")</f>
        <v>21</v>
      </c>
      <c r="C83" s="148">
        <f>D27-D28</f>
        <v>40.111031921545845</v>
      </c>
      <c r="D83" s="149">
        <v>0</v>
      </c>
      <c r="E83" s="129">
        <f t="shared" ref="E83:E94" si="67">IF(G83+D83&lt;&gt;1,(1-(G83+D83))*56%,0)</f>
        <v>0.56000000000000005</v>
      </c>
      <c r="F83" s="129">
        <f t="shared" ref="F83:F94" si="68">IF(G83+D83&lt;&gt;1,(1-(G83+D83))*44%,0)</f>
        <v>0.44</v>
      </c>
      <c r="G83" s="150"/>
      <c r="H83" s="58">
        <f t="shared" si="66"/>
        <v>0</v>
      </c>
      <c r="I83" s="55">
        <v>78</v>
      </c>
      <c r="J83" s="33">
        <f t="shared" si="60"/>
        <v>0</v>
      </c>
      <c r="K83" s="33">
        <f t="shared" si="61"/>
        <v>0</v>
      </c>
      <c r="L83" s="33">
        <f t="shared" si="62"/>
        <v>0</v>
      </c>
      <c r="M83" s="33">
        <f t="shared" si="63"/>
        <v>0</v>
      </c>
      <c r="N83" s="33">
        <f t="shared" si="43"/>
        <v>0</v>
      </c>
      <c r="O83" s="34">
        <f t="shared" si="44"/>
        <v>0</v>
      </c>
      <c r="P83" s="55">
        <v>78</v>
      </c>
      <c r="Q83" s="33">
        <f t="shared" si="58"/>
        <v>0</v>
      </c>
      <c r="R83" s="33">
        <f t="shared" si="64"/>
        <v>0</v>
      </c>
      <c r="S83" s="33">
        <f t="shared" si="65"/>
        <v>0</v>
      </c>
      <c r="T83" s="33">
        <f t="shared" si="45"/>
        <v>0</v>
      </c>
      <c r="U83" s="33">
        <f t="shared" si="59"/>
        <v>0</v>
      </c>
      <c r="V83" s="33">
        <f t="shared" si="46"/>
        <v>0</v>
      </c>
      <c r="W83" s="33">
        <v>0</v>
      </c>
      <c r="X83" s="33">
        <f t="shared" si="47"/>
        <v>0</v>
      </c>
      <c r="Y83" s="38">
        <f t="shared" si="48"/>
        <v>0</v>
      </c>
      <c r="AA83" s="71">
        <v>78</v>
      </c>
      <c r="AB83" s="33">
        <f t="shared" si="49"/>
        <v>0</v>
      </c>
      <c r="AC83" s="305">
        <f t="shared" si="41"/>
        <v>0</v>
      </c>
      <c r="AD83" s="100">
        <f t="shared" si="50"/>
        <v>0</v>
      </c>
      <c r="AE83" s="100">
        <f t="shared" si="51"/>
        <v>0</v>
      </c>
      <c r="AF83" s="194">
        <f t="shared" si="36"/>
        <v>0</v>
      </c>
      <c r="AG83" s="194">
        <f t="shared" si="37"/>
        <v>0</v>
      </c>
      <c r="AH83" s="194">
        <f t="shared" si="38"/>
        <v>0</v>
      </c>
      <c r="AI83" s="199">
        <f t="shared" si="39"/>
        <v>0</v>
      </c>
      <c r="AK83" s="71">
        <v>78</v>
      </c>
      <c r="AL83" s="33">
        <f t="shared" si="52"/>
        <v>0</v>
      </c>
      <c r="AM83" s="33">
        <f t="shared" si="53"/>
        <v>0</v>
      </c>
      <c r="AN83" s="33">
        <f t="shared" si="54"/>
        <v>0</v>
      </c>
      <c r="AO83" s="33">
        <f t="shared" si="55"/>
        <v>0</v>
      </c>
      <c r="AP83" s="33">
        <f t="shared" si="56"/>
        <v>0</v>
      </c>
      <c r="AQ83" s="194">
        <f t="shared" si="57"/>
        <v>0</v>
      </c>
      <c r="AR83" s="194">
        <f t="shared" si="57"/>
        <v>0</v>
      </c>
      <c r="AS83" s="194">
        <f t="shared" si="57"/>
        <v>0</v>
      </c>
      <c r="AT83" s="194">
        <f t="shared" si="57"/>
        <v>0</v>
      </c>
      <c r="AU83" s="33"/>
      <c r="AV83" s="33"/>
      <c r="AW83" s="33"/>
      <c r="AX83" s="33"/>
      <c r="AY83" s="76"/>
    </row>
    <row r="84" spans="2:51" x14ac:dyDescent="0.3">
      <c r="B84" s="187">
        <f>IF(C29&lt;=$F$18,C29+1,"-")</f>
        <v>26</v>
      </c>
      <c r="C84" s="148">
        <f>D29-D30</f>
        <v>40.284666387285768</v>
      </c>
      <c r="D84" s="149">
        <v>0</v>
      </c>
      <c r="E84" s="129">
        <f t="shared" si="67"/>
        <v>0.56000000000000005</v>
      </c>
      <c r="F84" s="129">
        <f t="shared" si="68"/>
        <v>0.44</v>
      </c>
      <c r="G84" s="150"/>
      <c r="H84" s="58">
        <f t="shared" si="66"/>
        <v>0</v>
      </c>
      <c r="I84" s="55">
        <v>79</v>
      </c>
      <c r="J84" s="33">
        <f t="shared" si="60"/>
        <v>0</v>
      </c>
      <c r="K84" s="33">
        <f t="shared" si="61"/>
        <v>0</v>
      </c>
      <c r="L84" s="33">
        <f t="shared" si="62"/>
        <v>0</v>
      </c>
      <c r="M84" s="33">
        <f t="shared" si="63"/>
        <v>0</v>
      </c>
      <c r="N84" s="33">
        <f t="shared" si="43"/>
        <v>0</v>
      </c>
      <c r="O84" s="34">
        <f t="shared" si="44"/>
        <v>0</v>
      </c>
      <c r="P84" s="55">
        <v>79</v>
      </c>
      <c r="Q84" s="33">
        <f t="shared" si="58"/>
        <v>0</v>
      </c>
      <c r="R84" s="33">
        <f t="shared" si="64"/>
        <v>0</v>
      </c>
      <c r="S84" s="33">
        <f t="shared" si="65"/>
        <v>0</v>
      </c>
      <c r="T84" s="33">
        <f t="shared" si="45"/>
        <v>0</v>
      </c>
      <c r="U84" s="33">
        <f t="shared" si="59"/>
        <v>0</v>
      </c>
      <c r="V84" s="33">
        <f t="shared" si="46"/>
        <v>0</v>
      </c>
      <c r="W84" s="33">
        <v>0</v>
      </c>
      <c r="X84" s="33">
        <f t="shared" si="47"/>
        <v>0</v>
      </c>
      <c r="Y84" s="38">
        <f t="shared" si="48"/>
        <v>0</v>
      </c>
      <c r="AA84" s="71">
        <v>79</v>
      </c>
      <c r="AB84" s="33">
        <f t="shared" si="49"/>
        <v>0</v>
      </c>
      <c r="AC84" s="305">
        <f t="shared" si="41"/>
        <v>0</v>
      </c>
      <c r="AD84" s="100">
        <f t="shared" si="50"/>
        <v>0</v>
      </c>
      <c r="AE84" s="100">
        <f t="shared" si="51"/>
        <v>0</v>
      </c>
      <c r="AF84" s="194">
        <f t="shared" si="36"/>
        <v>0</v>
      </c>
      <c r="AG84" s="194">
        <f t="shared" si="37"/>
        <v>0</v>
      </c>
      <c r="AH84" s="194">
        <f t="shared" si="38"/>
        <v>0</v>
      </c>
      <c r="AI84" s="199">
        <f t="shared" si="39"/>
        <v>0</v>
      </c>
      <c r="AK84" s="71">
        <v>79</v>
      </c>
      <c r="AL84" s="33">
        <f t="shared" si="52"/>
        <v>0</v>
      </c>
      <c r="AM84" s="33">
        <f t="shared" si="53"/>
        <v>0</v>
      </c>
      <c r="AN84" s="33">
        <f t="shared" si="54"/>
        <v>0</v>
      </c>
      <c r="AO84" s="33">
        <f t="shared" si="55"/>
        <v>0</v>
      </c>
      <c r="AP84" s="33">
        <f t="shared" si="56"/>
        <v>0</v>
      </c>
      <c r="AQ84" s="194">
        <f t="shared" si="57"/>
        <v>0</v>
      </c>
      <c r="AR84" s="194">
        <f t="shared" si="57"/>
        <v>0</v>
      </c>
      <c r="AS84" s="194">
        <f t="shared" si="57"/>
        <v>0</v>
      </c>
      <c r="AT84" s="194">
        <f t="shared" si="57"/>
        <v>0</v>
      </c>
      <c r="AU84" s="33"/>
      <c r="AV84" s="33"/>
      <c r="AW84" s="33"/>
      <c r="AX84" s="33"/>
      <c r="AY84" s="76"/>
    </row>
    <row r="85" spans="2:51" x14ac:dyDescent="0.3">
      <c r="B85" s="172">
        <f>IF(C31&lt;=$F$18,C31+1,"-")</f>
        <v>31</v>
      </c>
      <c r="C85" s="148">
        <f>D31-D32</f>
        <v>39.900378267572421</v>
      </c>
      <c r="D85" s="149">
        <v>0.2</v>
      </c>
      <c r="E85" s="129">
        <f t="shared" si="67"/>
        <v>0.44800000000000006</v>
      </c>
      <c r="F85" s="129">
        <f t="shared" si="68"/>
        <v>0.35200000000000004</v>
      </c>
      <c r="G85" s="150"/>
      <c r="H85" s="58">
        <f t="shared" si="66"/>
        <v>0</v>
      </c>
      <c r="I85" s="55">
        <v>80</v>
      </c>
      <c r="J85" s="33">
        <f t="shared" si="60"/>
        <v>0</v>
      </c>
      <c r="K85" s="33">
        <f t="shared" si="61"/>
        <v>0</v>
      </c>
      <c r="L85" s="33">
        <f t="shared" si="62"/>
        <v>0</v>
      </c>
      <c r="M85" s="33">
        <f t="shared" si="63"/>
        <v>0</v>
      </c>
      <c r="N85" s="33">
        <f t="shared" si="43"/>
        <v>0</v>
      </c>
      <c r="O85" s="34">
        <f t="shared" si="44"/>
        <v>0</v>
      </c>
      <c r="P85" s="55">
        <v>80</v>
      </c>
      <c r="Q85" s="33">
        <f t="shared" si="58"/>
        <v>0</v>
      </c>
      <c r="R85" s="33">
        <f t="shared" si="64"/>
        <v>0</v>
      </c>
      <c r="S85" s="33">
        <f t="shared" si="65"/>
        <v>0</v>
      </c>
      <c r="T85" s="33">
        <f t="shared" si="45"/>
        <v>0</v>
      </c>
      <c r="U85" s="33">
        <f t="shared" si="59"/>
        <v>0</v>
      </c>
      <c r="V85" s="33">
        <f t="shared" si="46"/>
        <v>0</v>
      </c>
      <c r="W85" s="33">
        <v>0</v>
      </c>
      <c r="X85" s="33">
        <f t="shared" si="47"/>
        <v>0</v>
      </c>
      <c r="Y85" s="38">
        <f t="shared" si="48"/>
        <v>0</v>
      </c>
      <c r="AA85" s="71">
        <v>80</v>
      </c>
      <c r="AB85" s="33">
        <f t="shared" si="49"/>
        <v>0</v>
      </c>
      <c r="AC85" s="305">
        <f t="shared" si="41"/>
        <v>0</v>
      </c>
      <c r="AD85" s="100">
        <f t="shared" si="50"/>
        <v>0</v>
      </c>
      <c r="AE85" s="100">
        <f t="shared" si="51"/>
        <v>0</v>
      </c>
      <c r="AF85" s="194">
        <f t="shared" si="36"/>
        <v>0</v>
      </c>
      <c r="AG85" s="194">
        <f t="shared" si="37"/>
        <v>0</v>
      </c>
      <c r="AH85" s="194">
        <f t="shared" si="38"/>
        <v>0</v>
      </c>
      <c r="AI85" s="199">
        <f t="shared" si="39"/>
        <v>0</v>
      </c>
      <c r="AK85" s="71">
        <v>80</v>
      </c>
      <c r="AL85" s="33">
        <f t="shared" si="52"/>
        <v>0</v>
      </c>
      <c r="AM85" s="33">
        <f t="shared" si="53"/>
        <v>0</v>
      </c>
      <c r="AN85" s="33">
        <f t="shared" si="54"/>
        <v>0</v>
      </c>
      <c r="AO85" s="33">
        <f t="shared" si="55"/>
        <v>0</v>
      </c>
      <c r="AP85" s="33">
        <f t="shared" si="56"/>
        <v>0</v>
      </c>
      <c r="AQ85" s="194">
        <f t="shared" si="57"/>
        <v>0</v>
      </c>
      <c r="AR85" s="194">
        <f t="shared" si="57"/>
        <v>0</v>
      </c>
      <c r="AS85" s="194">
        <f t="shared" si="57"/>
        <v>0</v>
      </c>
      <c r="AT85" s="194">
        <f t="shared" si="57"/>
        <v>0</v>
      </c>
      <c r="AU85" s="33"/>
      <c r="AV85" s="33"/>
      <c r="AW85" s="33"/>
      <c r="AX85" s="33"/>
      <c r="AY85" s="76"/>
    </row>
    <row r="86" spans="2:51" x14ac:dyDescent="0.3">
      <c r="B86" s="172">
        <f>IF(C33&lt;=$F$18,C33+1,"-")</f>
        <v>36</v>
      </c>
      <c r="C86" s="148">
        <f>D33-D34</f>
        <v>39.62110327915093</v>
      </c>
      <c r="D86" s="149">
        <v>0.3</v>
      </c>
      <c r="E86" s="129">
        <f t="shared" si="67"/>
        <v>0.39200000000000002</v>
      </c>
      <c r="F86" s="129">
        <f t="shared" si="68"/>
        <v>0.308</v>
      </c>
      <c r="G86" s="150"/>
      <c r="H86" s="58">
        <f t="shared" si="66"/>
        <v>0</v>
      </c>
      <c r="I86" s="55">
        <v>81</v>
      </c>
      <c r="J86" s="33">
        <f t="shared" si="60"/>
        <v>0</v>
      </c>
      <c r="K86" s="33">
        <f t="shared" si="61"/>
        <v>0</v>
      </c>
      <c r="L86" s="33">
        <f t="shared" si="62"/>
        <v>0</v>
      </c>
      <c r="M86" s="33">
        <f t="shared" si="63"/>
        <v>0</v>
      </c>
      <c r="N86" s="33">
        <f t="shared" si="43"/>
        <v>0</v>
      </c>
      <c r="O86" s="34">
        <f t="shared" si="44"/>
        <v>0</v>
      </c>
      <c r="P86" s="55">
        <v>81</v>
      </c>
      <c r="Q86" s="33">
        <f t="shared" si="58"/>
        <v>0</v>
      </c>
      <c r="R86" s="33">
        <f t="shared" si="64"/>
        <v>0</v>
      </c>
      <c r="S86" s="33">
        <f t="shared" si="65"/>
        <v>0</v>
      </c>
      <c r="T86" s="33">
        <f t="shared" si="45"/>
        <v>0</v>
      </c>
      <c r="U86" s="33">
        <f t="shared" si="59"/>
        <v>0</v>
      </c>
      <c r="V86" s="33">
        <f t="shared" si="46"/>
        <v>0</v>
      </c>
      <c r="W86" s="33">
        <v>0</v>
      </c>
      <c r="X86" s="33">
        <f t="shared" si="47"/>
        <v>0</v>
      </c>
      <c r="Y86" s="38">
        <f t="shared" si="48"/>
        <v>0</v>
      </c>
      <c r="AA86" s="71">
        <v>81</v>
      </c>
      <c r="AB86" s="33">
        <f t="shared" si="49"/>
        <v>0</v>
      </c>
      <c r="AC86" s="305">
        <f t="shared" si="41"/>
        <v>0</v>
      </c>
      <c r="AD86" s="100">
        <f t="shared" si="50"/>
        <v>0</v>
      </c>
      <c r="AE86" s="100">
        <f t="shared" si="51"/>
        <v>0</v>
      </c>
      <c r="AF86" s="194">
        <f t="shared" si="36"/>
        <v>0</v>
      </c>
      <c r="AG86" s="194">
        <f t="shared" si="37"/>
        <v>0</v>
      </c>
      <c r="AH86" s="194">
        <f t="shared" si="38"/>
        <v>0</v>
      </c>
      <c r="AI86" s="199">
        <f t="shared" si="39"/>
        <v>0</v>
      </c>
      <c r="AK86" s="71">
        <v>81</v>
      </c>
      <c r="AL86" s="33">
        <f t="shared" si="52"/>
        <v>0</v>
      </c>
      <c r="AM86" s="33">
        <f t="shared" si="53"/>
        <v>0</v>
      </c>
      <c r="AN86" s="33">
        <f t="shared" si="54"/>
        <v>0</v>
      </c>
      <c r="AO86" s="33">
        <f t="shared" si="55"/>
        <v>0</v>
      </c>
      <c r="AP86" s="33">
        <f t="shared" si="56"/>
        <v>0</v>
      </c>
      <c r="AQ86" s="194">
        <f t="shared" si="57"/>
        <v>0</v>
      </c>
      <c r="AR86" s="194">
        <f t="shared" si="57"/>
        <v>0</v>
      </c>
      <c r="AS86" s="194">
        <f t="shared" si="57"/>
        <v>0</v>
      </c>
      <c r="AT86" s="194">
        <f t="shared" si="57"/>
        <v>0</v>
      </c>
      <c r="AU86" s="33"/>
      <c r="AV86" s="33"/>
      <c r="AW86" s="33"/>
      <c r="AX86" s="33"/>
      <c r="AY86" s="76"/>
    </row>
    <row r="87" spans="2:51" x14ac:dyDescent="0.3">
      <c r="B87" s="172">
        <f>IF(C35&lt;=$F$18,C35+1,"-")</f>
        <v>41</v>
      </c>
      <c r="C87" s="148">
        <f>D35-D36</f>
        <v>29.026076012024305</v>
      </c>
      <c r="D87" s="149">
        <v>0.7</v>
      </c>
      <c r="E87" s="129">
        <f t="shared" si="67"/>
        <v>0.16800000000000004</v>
      </c>
      <c r="F87" s="129">
        <f t="shared" si="68"/>
        <v>0.13200000000000003</v>
      </c>
      <c r="G87" s="150"/>
      <c r="H87" s="58">
        <f t="shared" si="66"/>
        <v>0</v>
      </c>
      <c r="I87" s="55">
        <v>82</v>
      </c>
      <c r="J87" s="33">
        <f t="shared" si="60"/>
        <v>0</v>
      </c>
      <c r="K87" s="33">
        <f t="shared" si="61"/>
        <v>0</v>
      </c>
      <c r="L87" s="33">
        <f t="shared" si="62"/>
        <v>0</v>
      </c>
      <c r="M87" s="33">
        <f t="shared" si="63"/>
        <v>0</v>
      </c>
      <c r="N87" s="33">
        <f t="shared" si="43"/>
        <v>0</v>
      </c>
      <c r="O87" s="34">
        <f t="shared" si="44"/>
        <v>0</v>
      </c>
      <c r="P87" s="55">
        <v>82</v>
      </c>
      <c r="Q87" s="33">
        <f t="shared" si="58"/>
        <v>0</v>
      </c>
      <c r="R87" s="33">
        <f t="shared" si="64"/>
        <v>0</v>
      </c>
      <c r="S87" s="33">
        <f t="shared" si="65"/>
        <v>0</v>
      </c>
      <c r="T87" s="33">
        <f t="shared" si="45"/>
        <v>0</v>
      </c>
      <c r="U87" s="33">
        <f t="shared" si="59"/>
        <v>0</v>
      </c>
      <c r="V87" s="33">
        <f t="shared" si="46"/>
        <v>0</v>
      </c>
      <c r="W87" s="33">
        <v>0</v>
      </c>
      <c r="X87" s="33">
        <f t="shared" si="47"/>
        <v>0</v>
      </c>
      <c r="Y87" s="38">
        <f t="shared" si="48"/>
        <v>0</v>
      </c>
      <c r="AA87" s="71">
        <v>82</v>
      </c>
      <c r="AB87" s="33">
        <f t="shared" si="49"/>
        <v>0</v>
      </c>
      <c r="AC87" s="305">
        <f t="shared" si="41"/>
        <v>0</v>
      </c>
      <c r="AD87" s="100">
        <f t="shared" si="50"/>
        <v>0</v>
      </c>
      <c r="AE87" s="100">
        <f t="shared" si="51"/>
        <v>0</v>
      </c>
      <c r="AF87" s="194">
        <f t="shared" si="36"/>
        <v>0</v>
      </c>
      <c r="AG87" s="194">
        <f t="shared" si="37"/>
        <v>0</v>
      </c>
      <c r="AH87" s="194">
        <f t="shared" si="38"/>
        <v>0</v>
      </c>
      <c r="AI87" s="199">
        <f t="shared" si="39"/>
        <v>0</v>
      </c>
      <c r="AK87" s="71">
        <v>82</v>
      </c>
      <c r="AL87" s="33">
        <f t="shared" si="52"/>
        <v>0</v>
      </c>
      <c r="AM87" s="33">
        <f t="shared" si="53"/>
        <v>0</v>
      </c>
      <c r="AN87" s="33">
        <f t="shared" si="54"/>
        <v>0</v>
      </c>
      <c r="AO87" s="33">
        <f t="shared" si="55"/>
        <v>0</v>
      </c>
      <c r="AP87" s="33">
        <f t="shared" si="56"/>
        <v>0</v>
      </c>
      <c r="AQ87" s="194">
        <f t="shared" si="57"/>
        <v>0</v>
      </c>
      <c r="AR87" s="194">
        <f t="shared" si="57"/>
        <v>0</v>
      </c>
      <c r="AS87" s="194">
        <f t="shared" si="57"/>
        <v>0</v>
      </c>
      <c r="AT87" s="194">
        <f t="shared" si="57"/>
        <v>0</v>
      </c>
      <c r="AU87" s="33"/>
      <c r="AV87" s="33"/>
      <c r="AW87" s="33"/>
      <c r="AX87" s="33"/>
      <c r="AY87" s="76"/>
    </row>
    <row r="88" spans="2:51" x14ac:dyDescent="0.3">
      <c r="B88" s="172">
        <f>IF(C37&lt;=$F$18,C37+1,"-")</f>
        <v>51</v>
      </c>
      <c r="C88" s="148">
        <f>D37-D38</f>
        <v>30.297835254581344</v>
      </c>
      <c r="D88" s="149">
        <v>0.9</v>
      </c>
      <c r="E88" s="129">
        <f t="shared" si="67"/>
        <v>5.5999999999999994E-2</v>
      </c>
      <c r="F88" s="129">
        <f t="shared" si="68"/>
        <v>4.3999999999999991E-2</v>
      </c>
      <c r="G88" s="150"/>
      <c r="H88" s="58">
        <f t="shared" si="66"/>
        <v>0</v>
      </c>
      <c r="I88" s="55">
        <v>83</v>
      </c>
      <c r="J88" s="33">
        <f t="shared" si="60"/>
        <v>0</v>
      </c>
      <c r="K88" s="33">
        <f t="shared" si="61"/>
        <v>0</v>
      </c>
      <c r="L88" s="33">
        <f t="shared" si="62"/>
        <v>0</v>
      </c>
      <c r="M88" s="33">
        <f t="shared" si="63"/>
        <v>0</v>
      </c>
      <c r="N88" s="33">
        <f t="shared" si="43"/>
        <v>0</v>
      </c>
      <c r="O88" s="34">
        <f t="shared" si="44"/>
        <v>0</v>
      </c>
      <c r="P88" s="55">
        <v>83</v>
      </c>
      <c r="Q88" s="33">
        <f t="shared" si="58"/>
        <v>0</v>
      </c>
      <c r="R88" s="33">
        <f t="shared" si="64"/>
        <v>0</v>
      </c>
      <c r="S88" s="33">
        <f t="shared" si="65"/>
        <v>0</v>
      </c>
      <c r="T88" s="33">
        <f t="shared" si="45"/>
        <v>0</v>
      </c>
      <c r="U88" s="33">
        <f t="shared" si="59"/>
        <v>0</v>
      </c>
      <c r="V88" s="33">
        <f t="shared" si="46"/>
        <v>0</v>
      </c>
      <c r="W88" s="33">
        <v>0</v>
      </c>
      <c r="X88" s="33">
        <f t="shared" si="47"/>
        <v>0</v>
      </c>
      <c r="Y88" s="38">
        <f t="shared" si="48"/>
        <v>0</v>
      </c>
      <c r="AA88" s="71">
        <v>83</v>
      </c>
      <c r="AB88" s="33">
        <f t="shared" si="49"/>
        <v>0</v>
      </c>
      <c r="AC88" s="305">
        <f t="shared" si="41"/>
        <v>0</v>
      </c>
      <c r="AD88" s="100">
        <f t="shared" si="50"/>
        <v>0</v>
      </c>
      <c r="AE88" s="100">
        <f t="shared" si="51"/>
        <v>0</v>
      </c>
      <c r="AF88" s="194">
        <f t="shared" si="36"/>
        <v>0</v>
      </c>
      <c r="AG88" s="194">
        <f t="shared" si="37"/>
        <v>0</v>
      </c>
      <c r="AH88" s="194">
        <f t="shared" si="38"/>
        <v>0</v>
      </c>
      <c r="AI88" s="199">
        <f t="shared" si="39"/>
        <v>0</v>
      </c>
      <c r="AK88" s="71">
        <v>83</v>
      </c>
      <c r="AL88" s="33">
        <f t="shared" si="52"/>
        <v>0</v>
      </c>
      <c r="AM88" s="33">
        <f t="shared" si="53"/>
        <v>0</v>
      </c>
      <c r="AN88" s="33">
        <f t="shared" si="54"/>
        <v>0</v>
      </c>
      <c r="AO88" s="33">
        <f t="shared" si="55"/>
        <v>0</v>
      </c>
      <c r="AP88" s="33">
        <f t="shared" si="56"/>
        <v>0</v>
      </c>
      <c r="AQ88" s="194">
        <f t="shared" si="57"/>
        <v>0</v>
      </c>
      <c r="AR88" s="194">
        <f t="shared" si="57"/>
        <v>0</v>
      </c>
      <c r="AS88" s="194">
        <f t="shared" si="57"/>
        <v>0</v>
      </c>
      <c r="AT88" s="194">
        <f t="shared" si="57"/>
        <v>0</v>
      </c>
      <c r="AU88" s="33"/>
      <c r="AV88" s="33"/>
      <c r="AW88" s="33"/>
      <c r="AX88" s="33"/>
      <c r="AY88" s="76"/>
    </row>
    <row r="89" spans="2:51" x14ac:dyDescent="0.3">
      <c r="B89" s="172">
        <f>IF(C39&lt;=$F$18,C39+1,"-")</f>
        <v>61</v>
      </c>
      <c r="C89" s="148">
        <f>D39-D40</f>
        <v>396.65306261171173</v>
      </c>
      <c r="D89" s="149">
        <v>0.7</v>
      </c>
      <c r="E89" s="129">
        <f t="shared" si="67"/>
        <v>0.16800000000000004</v>
      </c>
      <c r="F89" s="129">
        <f t="shared" si="68"/>
        <v>0.13200000000000003</v>
      </c>
      <c r="G89" s="150"/>
      <c r="H89" s="58">
        <f t="shared" si="66"/>
        <v>0</v>
      </c>
      <c r="I89" s="55">
        <v>84</v>
      </c>
      <c r="J89" s="33">
        <f t="shared" si="60"/>
        <v>0</v>
      </c>
      <c r="K89" s="33">
        <f t="shared" si="61"/>
        <v>0</v>
      </c>
      <c r="L89" s="33">
        <f t="shared" si="62"/>
        <v>0</v>
      </c>
      <c r="M89" s="33">
        <f t="shared" si="63"/>
        <v>0</v>
      </c>
      <c r="N89" s="33">
        <f t="shared" si="43"/>
        <v>0</v>
      </c>
      <c r="O89" s="34">
        <f t="shared" si="44"/>
        <v>0</v>
      </c>
      <c r="P89" s="55">
        <v>84</v>
      </c>
      <c r="Q89" s="33">
        <f t="shared" si="58"/>
        <v>0</v>
      </c>
      <c r="R89" s="33">
        <f t="shared" si="64"/>
        <v>0</v>
      </c>
      <c r="S89" s="33">
        <f t="shared" si="65"/>
        <v>0</v>
      </c>
      <c r="T89" s="33">
        <f t="shared" si="45"/>
        <v>0</v>
      </c>
      <c r="U89" s="33">
        <f t="shared" si="59"/>
        <v>0</v>
      </c>
      <c r="V89" s="33">
        <f t="shared" si="46"/>
        <v>0</v>
      </c>
      <c r="W89" s="33">
        <v>0</v>
      </c>
      <c r="X89" s="33">
        <f t="shared" si="47"/>
        <v>0</v>
      </c>
      <c r="Y89" s="38">
        <f t="shared" si="48"/>
        <v>0</v>
      </c>
      <c r="AA89" s="71">
        <v>84</v>
      </c>
      <c r="AB89" s="33">
        <f t="shared" si="49"/>
        <v>0</v>
      </c>
      <c r="AC89" s="305">
        <f t="shared" si="41"/>
        <v>0</v>
      </c>
      <c r="AD89" s="100">
        <f t="shared" si="50"/>
        <v>0</v>
      </c>
      <c r="AE89" s="100">
        <f t="shared" si="51"/>
        <v>0</v>
      </c>
      <c r="AF89" s="194">
        <f t="shared" si="36"/>
        <v>0</v>
      </c>
      <c r="AG89" s="194">
        <f t="shared" si="37"/>
        <v>0</v>
      </c>
      <c r="AH89" s="194">
        <f t="shared" si="38"/>
        <v>0</v>
      </c>
      <c r="AI89" s="199">
        <f t="shared" si="39"/>
        <v>0</v>
      </c>
      <c r="AK89" s="71">
        <v>84</v>
      </c>
      <c r="AL89" s="33">
        <f t="shared" si="52"/>
        <v>0</v>
      </c>
      <c r="AM89" s="33">
        <f t="shared" si="53"/>
        <v>0</v>
      </c>
      <c r="AN89" s="33">
        <f t="shared" si="54"/>
        <v>0</v>
      </c>
      <c r="AO89" s="33">
        <f t="shared" si="55"/>
        <v>0</v>
      </c>
      <c r="AP89" s="33">
        <f t="shared" si="56"/>
        <v>0</v>
      </c>
      <c r="AQ89" s="194">
        <f t="shared" si="57"/>
        <v>0</v>
      </c>
      <c r="AR89" s="194">
        <f t="shared" si="57"/>
        <v>0</v>
      </c>
      <c r="AS89" s="194">
        <f t="shared" si="57"/>
        <v>0</v>
      </c>
      <c r="AT89" s="194">
        <f t="shared" si="57"/>
        <v>0</v>
      </c>
      <c r="AU89" s="33"/>
      <c r="AV89" s="33"/>
      <c r="AW89" s="33"/>
      <c r="AX89" s="33"/>
      <c r="AY89" s="76"/>
    </row>
    <row r="90" spans="2:51" x14ac:dyDescent="0.3">
      <c r="B90" s="172">
        <f>IF(C41&lt;=$F$18,C41+1,"-")</f>
        <v>1</v>
      </c>
      <c r="C90" s="148">
        <f>D41-D42</f>
        <v>0</v>
      </c>
      <c r="D90" s="149">
        <v>0.8</v>
      </c>
      <c r="E90" s="129">
        <f t="shared" si="67"/>
        <v>0.11199999999999999</v>
      </c>
      <c r="F90" s="129">
        <f t="shared" si="68"/>
        <v>8.7999999999999981E-2</v>
      </c>
      <c r="G90" s="150"/>
      <c r="H90" s="58">
        <f t="shared" si="66"/>
        <v>0</v>
      </c>
      <c r="I90" s="55">
        <v>85</v>
      </c>
      <c r="J90" s="33">
        <f t="shared" si="60"/>
        <v>0</v>
      </c>
      <c r="K90" s="33">
        <f t="shared" si="61"/>
        <v>0</v>
      </c>
      <c r="L90" s="33">
        <f t="shared" si="62"/>
        <v>0</v>
      </c>
      <c r="M90" s="33">
        <f t="shared" si="63"/>
        <v>0</v>
      </c>
      <c r="N90" s="33">
        <f t="shared" si="43"/>
        <v>0</v>
      </c>
      <c r="O90" s="34">
        <f t="shared" si="44"/>
        <v>0</v>
      </c>
      <c r="P90" s="55">
        <v>85</v>
      </c>
      <c r="Q90" s="33">
        <f t="shared" si="58"/>
        <v>0</v>
      </c>
      <c r="R90" s="33">
        <f t="shared" si="64"/>
        <v>0</v>
      </c>
      <c r="S90" s="33">
        <f t="shared" si="65"/>
        <v>0</v>
      </c>
      <c r="T90" s="33">
        <f t="shared" si="45"/>
        <v>0</v>
      </c>
      <c r="U90" s="33">
        <f t="shared" si="59"/>
        <v>0</v>
      </c>
      <c r="V90" s="33">
        <f t="shared" si="46"/>
        <v>0</v>
      </c>
      <c r="W90" s="33">
        <v>0</v>
      </c>
      <c r="X90" s="33">
        <f t="shared" si="47"/>
        <v>0</v>
      </c>
      <c r="Y90" s="38">
        <f t="shared" si="48"/>
        <v>0</v>
      </c>
      <c r="AA90" s="71">
        <v>85</v>
      </c>
      <c r="AB90" s="33">
        <f t="shared" si="49"/>
        <v>0</v>
      </c>
      <c r="AC90" s="305">
        <f t="shared" si="41"/>
        <v>0</v>
      </c>
      <c r="AD90" s="100">
        <f t="shared" si="50"/>
        <v>0</v>
      </c>
      <c r="AE90" s="100">
        <f t="shared" si="51"/>
        <v>0</v>
      </c>
      <c r="AF90" s="194">
        <f t="shared" si="36"/>
        <v>0</v>
      </c>
      <c r="AG90" s="194">
        <f t="shared" si="37"/>
        <v>0</v>
      </c>
      <c r="AH90" s="194">
        <f t="shared" si="38"/>
        <v>0</v>
      </c>
      <c r="AI90" s="199">
        <f t="shared" si="39"/>
        <v>0</v>
      </c>
      <c r="AK90" s="71">
        <v>85</v>
      </c>
      <c r="AL90" s="33">
        <f t="shared" si="52"/>
        <v>0</v>
      </c>
      <c r="AM90" s="33">
        <f t="shared" si="53"/>
        <v>0</v>
      </c>
      <c r="AN90" s="33">
        <f t="shared" si="54"/>
        <v>0</v>
      </c>
      <c r="AO90" s="33">
        <f t="shared" si="55"/>
        <v>0</v>
      </c>
      <c r="AP90" s="33">
        <f t="shared" si="56"/>
        <v>0</v>
      </c>
      <c r="AQ90" s="194">
        <f t="shared" si="57"/>
        <v>0</v>
      </c>
      <c r="AR90" s="194">
        <f t="shared" si="57"/>
        <v>0</v>
      </c>
      <c r="AS90" s="194">
        <f t="shared" si="57"/>
        <v>0</v>
      </c>
      <c r="AT90" s="194">
        <f t="shared" si="57"/>
        <v>0</v>
      </c>
      <c r="AU90" s="33"/>
      <c r="AV90" s="33"/>
      <c r="AW90" s="33"/>
      <c r="AX90" s="33"/>
      <c r="AY90" s="76"/>
    </row>
    <row r="91" spans="2:51" x14ac:dyDescent="0.3">
      <c r="B91" s="172">
        <f>IF(C43&lt;=$F$18,C43+1,"-")</f>
        <v>1</v>
      </c>
      <c r="C91" s="148">
        <f>D43-D44</f>
        <v>0</v>
      </c>
      <c r="D91" s="149">
        <v>0.9</v>
      </c>
      <c r="E91" s="129">
        <f>IF(G91+D91&lt;&gt;1,(1-(G91+D91))*56%,0)</f>
        <v>5.5999999999999994E-2</v>
      </c>
      <c r="F91" s="129">
        <f>IF(G91+D91&lt;&gt;1,(1-(G91+D91))*44%,0)</f>
        <v>4.3999999999999991E-2</v>
      </c>
      <c r="G91" s="150"/>
      <c r="H91" s="58">
        <f t="shared" si="66"/>
        <v>0</v>
      </c>
      <c r="I91" s="55">
        <v>86</v>
      </c>
      <c r="J91" s="33">
        <f t="shared" si="60"/>
        <v>0</v>
      </c>
      <c r="K91" s="33">
        <f t="shared" si="61"/>
        <v>0</v>
      </c>
      <c r="L91" s="33">
        <f t="shared" si="62"/>
        <v>0</v>
      </c>
      <c r="M91" s="33">
        <f t="shared" si="63"/>
        <v>0</v>
      </c>
      <c r="N91" s="33">
        <f t="shared" si="43"/>
        <v>0</v>
      </c>
      <c r="O91" s="34">
        <f t="shared" si="44"/>
        <v>0</v>
      </c>
      <c r="P91" s="55">
        <v>86</v>
      </c>
      <c r="Q91" s="33">
        <f t="shared" si="58"/>
        <v>0</v>
      </c>
      <c r="R91" s="33">
        <f t="shared" si="64"/>
        <v>0</v>
      </c>
      <c r="S91" s="33">
        <f t="shared" si="65"/>
        <v>0</v>
      </c>
      <c r="T91" s="33">
        <f t="shared" si="45"/>
        <v>0</v>
      </c>
      <c r="U91" s="33">
        <f t="shared" si="59"/>
        <v>0</v>
      </c>
      <c r="V91" s="33">
        <f t="shared" si="46"/>
        <v>0</v>
      </c>
      <c r="W91" s="33">
        <v>0</v>
      </c>
      <c r="X91" s="33">
        <f t="shared" si="47"/>
        <v>0</v>
      </c>
      <c r="Y91" s="38">
        <f t="shared" si="48"/>
        <v>0</v>
      </c>
      <c r="AA91" s="71">
        <v>86</v>
      </c>
      <c r="AB91" s="33">
        <f t="shared" si="49"/>
        <v>0</v>
      </c>
      <c r="AC91" s="305">
        <f t="shared" si="41"/>
        <v>0</v>
      </c>
      <c r="AD91" s="100">
        <f t="shared" si="50"/>
        <v>0</v>
      </c>
      <c r="AE91" s="100">
        <f t="shared" si="51"/>
        <v>0</v>
      </c>
      <c r="AF91" s="194">
        <f t="shared" ref="AF91:AF154" si="69">IF(OR(AA91&lt;=$F$18,AA91&lt;=30),EXP(-LN(2)/$D$104)*AF90+((1-EXP(-LN(2)/$D$104))/(LN(2)/$D$104))*$AB91*AC91*0.475*$F$19*44/12,)</f>
        <v>0</v>
      </c>
      <c r="AG91" s="194">
        <f t="shared" ref="AG91:AG154" si="70">IF(OR(AA91&lt;=$F$18,AA91&lt;=30),EXP(-LN(2)/$D$106)*AG90+((1-EXP(-LN(2)/$D$106))/(LN(2)/$D$106))*$AB91*AD91*0.475*$F$19*44/12,)</f>
        <v>0</v>
      </c>
      <c r="AH91" s="194">
        <f t="shared" ref="AH91:AH154" si="71">IF(OR(AA91&lt;=$F$18,AA91&lt;=30),EXP(-LN(2)/$D$105)*AH90+((1-EXP(-LN(2)/$D$105))/(LN(2)/$D$105))*$AB91*AE91*0.475*$F$19*44/12,)</f>
        <v>0</v>
      </c>
      <c r="AI91" s="199">
        <f t="shared" ref="AI91:AI154" si="72">IF(OR(AA91&lt;=$F$18,AA91&lt;=30),SUM(AF91:AH91),)</f>
        <v>0</v>
      </c>
      <c r="AK91" s="71">
        <v>86</v>
      </c>
      <c r="AL91" s="33">
        <f t="shared" si="52"/>
        <v>0</v>
      </c>
      <c r="AM91" s="33">
        <f t="shared" si="53"/>
        <v>0</v>
      </c>
      <c r="AN91" s="33">
        <f t="shared" si="54"/>
        <v>0</v>
      </c>
      <c r="AO91" s="33">
        <f t="shared" si="55"/>
        <v>0</v>
      </c>
      <c r="AP91" s="33">
        <f t="shared" si="56"/>
        <v>0</v>
      </c>
      <c r="AQ91" s="194">
        <f t="shared" si="57"/>
        <v>0</v>
      </c>
      <c r="AR91" s="194">
        <f t="shared" si="57"/>
        <v>0</v>
      </c>
      <c r="AS91" s="194">
        <f t="shared" si="57"/>
        <v>0</v>
      </c>
      <c r="AT91" s="194">
        <f t="shared" si="57"/>
        <v>0</v>
      </c>
      <c r="AU91" s="33"/>
      <c r="AV91" s="33"/>
      <c r="AW91" s="33"/>
      <c r="AX91" s="33"/>
      <c r="AY91" s="76"/>
    </row>
    <row r="92" spans="2:51" x14ac:dyDescent="0.3">
      <c r="B92" s="172">
        <f>IF(C45&lt;=$F$18,C45+1,"-")</f>
        <v>1</v>
      </c>
      <c r="C92" s="148">
        <f>D45-D46</f>
        <v>0</v>
      </c>
      <c r="D92" s="149">
        <v>0.9</v>
      </c>
      <c r="E92" s="129">
        <f>IF(G92+D92&lt;&gt;1,(1-(G92+D92))*56%,0)</f>
        <v>5.5999999999999994E-2</v>
      </c>
      <c r="F92" s="129">
        <f>IF(G92+D92&lt;&gt;1,(1-(G92+D92))*44%,0)</f>
        <v>4.3999999999999991E-2</v>
      </c>
      <c r="G92" s="150"/>
      <c r="H92" s="58">
        <f t="shared" si="66"/>
        <v>0</v>
      </c>
      <c r="I92" s="55">
        <v>87</v>
      </c>
      <c r="J92" s="33">
        <f t="shared" si="60"/>
        <v>0</v>
      </c>
      <c r="K92" s="33">
        <f t="shared" si="61"/>
        <v>0</v>
      </c>
      <c r="L92" s="33">
        <f t="shared" si="62"/>
        <v>0</v>
      </c>
      <c r="M92" s="33">
        <f t="shared" si="63"/>
        <v>0</v>
      </c>
      <c r="N92" s="33">
        <f t="shared" si="43"/>
        <v>0</v>
      </c>
      <c r="O92" s="34">
        <f t="shared" si="44"/>
        <v>0</v>
      </c>
      <c r="P92" s="55">
        <v>87</v>
      </c>
      <c r="Q92" s="33">
        <f t="shared" si="58"/>
        <v>0</v>
      </c>
      <c r="R92" s="33">
        <f t="shared" si="64"/>
        <v>0</v>
      </c>
      <c r="S92" s="33">
        <f t="shared" si="65"/>
        <v>0</v>
      </c>
      <c r="T92" s="33">
        <f t="shared" si="45"/>
        <v>0</v>
      </c>
      <c r="U92" s="33">
        <f t="shared" si="59"/>
        <v>0</v>
      </c>
      <c r="V92" s="33">
        <f t="shared" si="46"/>
        <v>0</v>
      </c>
      <c r="W92" s="33">
        <v>0</v>
      </c>
      <c r="X92" s="33">
        <f t="shared" si="47"/>
        <v>0</v>
      </c>
      <c r="Y92" s="38">
        <f t="shared" si="48"/>
        <v>0</v>
      </c>
      <c r="AA92" s="71">
        <v>87</v>
      </c>
      <c r="AB92" s="33">
        <f t="shared" si="49"/>
        <v>0</v>
      </c>
      <c r="AC92" s="305">
        <f t="shared" si="41"/>
        <v>0</v>
      </c>
      <c r="AD92" s="100">
        <f t="shared" si="50"/>
        <v>0</v>
      </c>
      <c r="AE92" s="100">
        <f t="shared" si="51"/>
        <v>0</v>
      </c>
      <c r="AF92" s="194">
        <f t="shared" si="69"/>
        <v>0</v>
      </c>
      <c r="AG92" s="194">
        <f t="shared" si="70"/>
        <v>0</v>
      </c>
      <c r="AH92" s="194">
        <f t="shared" si="71"/>
        <v>0</v>
      </c>
      <c r="AI92" s="199">
        <f t="shared" si="72"/>
        <v>0</v>
      </c>
      <c r="AK92" s="71">
        <v>87</v>
      </c>
      <c r="AL92" s="33">
        <f t="shared" si="52"/>
        <v>0</v>
      </c>
      <c r="AM92" s="33">
        <f t="shared" si="53"/>
        <v>0</v>
      </c>
      <c r="AN92" s="33">
        <f t="shared" si="54"/>
        <v>0</v>
      </c>
      <c r="AO92" s="33">
        <f t="shared" si="55"/>
        <v>0</v>
      </c>
      <c r="AP92" s="33">
        <f t="shared" si="56"/>
        <v>0</v>
      </c>
      <c r="AQ92" s="194">
        <f t="shared" si="57"/>
        <v>0</v>
      </c>
      <c r="AR92" s="194">
        <f t="shared" si="57"/>
        <v>0</v>
      </c>
      <c r="AS92" s="194">
        <f t="shared" si="57"/>
        <v>0</v>
      </c>
      <c r="AT92" s="194">
        <f t="shared" si="57"/>
        <v>0</v>
      </c>
      <c r="AU92" s="33"/>
      <c r="AV92" s="33"/>
      <c r="AW92" s="33"/>
      <c r="AX92" s="33"/>
      <c r="AY92" s="76"/>
    </row>
    <row r="93" spans="2:51" x14ac:dyDescent="0.3">
      <c r="B93" s="172">
        <f>IF(C47&lt;=$F$18,C47+1,"-")</f>
        <v>1</v>
      </c>
      <c r="C93" s="148">
        <f>D47-D48</f>
        <v>0</v>
      </c>
      <c r="D93" s="149">
        <v>0.95</v>
      </c>
      <c r="E93" s="129">
        <f>IF(G93+D93&lt;&gt;1,(1-(G93+D93))*56%,0)</f>
        <v>2.8000000000000028E-2</v>
      </c>
      <c r="F93" s="129">
        <f>IF(G93+D93&lt;&gt;1,(1-(G93+D93))*44%,0)</f>
        <v>2.200000000000002E-2</v>
      </c>
      <c r="G93" s="150"/>
      <c r="H93" s="58">
        <f t="shared" si="66"/>
        <v>0</v>
      </c>
      <c r="I93" s="55">
        <v>88</v>
      </c>
      <c r="J93" s="33">
        <f t="shared" si="60"/>
        <v>0</v>
      </c>
      <c r="K93" s="33">
        <f t="shared" si="61"/>
        <v>0</v>
      </c>
      <c r="L93" s="33">
        <f t="shared" si="62"/>
        <v>0</v>
      </c>
      <c r="M93" s="33">
        <f t="shared" si="63"/>
        <v>0</v>
      </c>
      <c r="N93" s="33">
        <f t="shared" si="43"/>
        <v>0</v>
      </c>
      <c r="O93" s="34">
        <f t="shared" si="44"/>
        <v>0</v>
      </c>
      <c r="P93" s="55">
        <v>88</v>
      </c>
      <c r="Q93" s="33">
        <f t="shared" si="58"/>
        <v>0</v>
      </c>
      <c r="R93" s="33">
        <f t="shared" si="64"/>
        <v>0</v>
      </c>
      <c r="S93" s="33">
        <f t="shared" si="65"/>
        <v>0</v>
      </c>
      <c r="T93" s="33">
        <f t="shared" si="45"/>
        <v>0</v>
      </c>
      <c r="U93" s="33">
        <f t="shared" si="59"/>
        <v>0</v>
      </c>
      <c r="V93" s="33">
        <f t="shared" si="46"/>
        <v>0</v>
      </c>
      <c r="W93" s="33">
        <v>0</v>
      </c>
      <c r="X93" s="33">
        <f t="shared" si="47"/>
        <v>0</v>
      </c>
      <c r="Y93" s="38">
        <f t="shared" si="48"/>
        <v>0</v>
      </c>
      <c r="AA93" s="71">
        <v>88</v>
      </c>
      <c r="AB93" s="33">
        <f t="shared" si="49"/>
        <v>0</v>
      </c>
      <c r="AC93" s="305">
        <f t="shared" si="41"/>
        <v>0</v>
      </c>
      <c r="AD93" s="100">
        <f t="shared" si="50"/>
        <v>0</v>
      </c>
      <c r="AE93" s="100">
        <f t="shared" si="51"/>
        <v>0</v>
      </c>
      <c r="AF93" s="194">
        <f t="shared" si="69"/>
        <v>0</v>
      </c>
      <c r="AG93" s="194">
        <f t="shared" si="70"/>
        <v>0</v>
      </c>
      <c r="AH93" s="194">
        <f t="shared" si="71"/>
        <v>0</v>
      </c>
      <c r="AI93" s="199">
        <f t="shared" si="72"/>
        <v>0</v>
      </c>
      <c r="AK93" s="71">
        <v>88</v>
      </c>
      <c r="AL93" s="33">
        <f t="shared" si="52"/>
        <v>0</v>
      </c>
      <c r="AM93" s="33">
        <f t="shared" si="53"/>
        <v>0</v>
      </c>
      <c r="AN93" s="33">
        <f t="shared" si="54"/>
        <v>0</v>
      </c>
      <c r="AO93" s="33">
        <f t="shared" si="55"/>
        <v>0</v>
      </c>
      <c r="AP93" s="33">
        <f t="shared" si="56"/>
        <v>0</v>
      </c>
      <c r="AQ93" s="194">
        <f t="shared" si="57"/>
        <v>0</v>
      </c>
      <c r="AR93" s="194">
        <f t="shared" si="57"/>
        <v>0</v>
      </c>
      <c r="AS93" s="194">
        <f t="shared" si="57"/>
        <v>0</v>
      </c>
      <c r="AT93" s="194">
        <f t="shared" si="57"/>
        <v>0</v>
      </c>
      <c r="AU93" s="33"/>
      <c r="AV93" s="33"/>
      <c r="AW93" s="33"/>
      <c r="AX93" s="33"/>
      <c r="AY93" s="76"/>
    </row>
    <row r="94" spans="2:51" x14ac:dyDescent="0.3">
      <c r="B94" s="184">
        <f>F18</f>
        <v>60</v>
      </c>
      <c r="C94" s="181">
        <f>VLOOKUP(B94,C25:D78,2)</f>
        <v>396.65306261171173</v>
      </c>
      <c r="D94" s="182">
        <v>0.95</v>
      </c>
      <c r="E94" s="183">
        <f t="shared" si="67"/>
        <v>2.8000000000000028E-2</v>
      </c>
      <c r="F94" s="183">
        <f t="shared" si="68"/>
        <v>2.200000000000002E-2</v>
      </c>
      <c r="G94" s="151"/>
      <c r="H94" s="58">
        <f t="shared" si="66"/>
        <v>0</v>
      </c>
      <c r="I94" s="55">
        <v>89</v>
      </c>
      <c r="J94" s="33">
        <f t="shared" si="60"/>
        <v>0</v>
      </c>
      <c r="K94" s="33">
        <f t="shared" si="61"/>
        <v>0</v>
      </c>
      <c r="L94" s="33">
        <f t="shared" si="62"/>
        <v>0</v>
      </c>
      <c r="M94" s="33">
        <f t="shared" si="63"/>
        <v>0</v>
      </c>
      <c r="N94" s="33">
        <f t="shared" si="43"/>
        <v>0</v>
      </c>
      <c r="O94" s="34">
        <f t="shared" si="44"/>
        <v>0</v>
      </c>
      <c r="P94" s="55">
        <v>89</v>
      </c>
      <c r="Q94" s="33">
        <f t="shared" si="58"/>
        <v>0</v>
      </c>
      <c r="R94" s="33">
        <f t="shared" si="64"/>
        <v>0</v>
      </c>
      <c r="S94" s="33">
        <f t="shared" si="65"/>
        <v>0</v>
      </c>
      <c r="T94" s="33">
        <f t="shared" si="45"/>
        <v>0</v>
      </c>
      <c r="U94" s="33">
        <f t="shared" si="59"/>
        <v>0</v>
      </c>
      <c r="V94" s="33">
        <f t="shared" si="46"/>
        <v>0</v>
      </c>
      <c r="W94" s="33">
        <v>0</v>
      </c>
      <c r="X94" s="33">
        <f t="shared" si="47"/>
        <v>0</v>
      </c>
      <c r="Y94" s="38">
        <f t="shared" si="48"/>
        <v>0</v>
      </c>
      <c r="AA94" s="71">
        <v>89</v>
      </c>
      <c r="AB94" s="33">
        <f t="shared" si="49"/>
        <v>0</v>
      </c>
      <c r="AC94" s="305">
        <f t="shared" si="41"/>
        <v>0</v>
      </c>
      <c r="AD94" s="100">
        <f t="shared" si="50"/>
        <v>0</v>
      </c>
      <c r="AE94" s="100">
        <f t="shared" si="51"/>
        <v>0</v>
      </c>
      <c r="AF94" s="194">
        <f t="shared" si="69"/>
        <v>0</v>
      </c>
      <c r="AG94" s="194">
        <f t="shared" si="70"/>
        <v>0</v>
      </c>
      <c r="AH94" s="194">
        <f t="shared" si="71"/>
        <v>0</v>
      </c>
      <c r="AI94" s="199">
        <f t="shared" si="72"/>
        <v>0</v>
      </c>
      <c r="AK94" s="71">
        <v>89</v>
      </c>
      <c r="AL94" s="33">
        <f t="shared" si="52"/>
        <v>0</v>
      </c>
      <c r="AM94" s="33">
        <f t="shared" si="53"/>
        <v>0</v>
      </c>
      <c r="AN94" s="33">
        <f t="shared" si="54"/>
        <v>0</v>
      </c>
      <c r="AO94" s="33">
        <f t="shared" si="55"/>
        <v>0</v>
      </c>
      <c r="AP94" s="33">
        <f t="shared" si="56"/>
        <v>0</v>
      </c>
      <c r="AQ94" s="194">
        <f t="shared" si="57"/>
        <v>0</v>
      </c>
      <c r="AR94" s="194">
        <f t="shared" si="57"/>
        <v>0</v>
      </c>
      <c r="AS94" s="194">
        <f t="shared" si="57"/>
        <v>0</v>
      </c>
      <c r="AT94" s="194">
        <f t="shared" si="57"/>
        <v>0</v>
      </c>
      <c r="AU94" s="33"/>
      <c r="AV94" s="33"/>
      <c r="AW94" s="33"/>
      <c r="AX94" s="33"/>
      <c r="AY94" s="76"/>
    </row>
    <row r="95" spans="2:51" x14ac:dyDescent="0.3">
      <c r="I95" s="55">
        <v>90</v>
      </c>
      <c r="J95" s="33">
        <f t="shared" si="60"/>
        <v>0</v>
      </c>
      <c r="K95" s="33">
        <f t="shared" si="61"/>
        <v>0</v>
      </c>
      <c r="L95" s="33">
        <f t="shared" si="62"/>
        <v>0</v>
      </c>
      <c r="M95" s="33">
        <f t="shared" si="63"/>
        <v>0</v>
      </c>
      <c r="N95" s="33">
        <f t="shared" si="43"/>
        <v>0</v>
      </c>
      <c r="O95" s="34">
        <f t="shared" si="44"/>
        <v>0</v>
      </c>
      <c r="P95" s="55">
        <v>90</v>
      </c>
      <c r="Q95" s="33">
        <f t="shared" si="58"/>
        <v>0</v>
      </c>
      <c r="R95" s="33">
        <f t="shared" si="64"/>
        <v>0</v>
      </c>
      <c r="S95" s="33">
        <f t="shared" si="65"/>
        <v>0</v>
      </c>
      <c r="T95" s="33">
        <f t="shared" si="45"/>
        <v>0</v>
      </c>
      <c r="U95" s="33">
        <f t="shared" si="59"/>
        <v>0</v>
      </c>
      <c r="V95" s="33">
        <f t="shared" si="46"/>
        <v>0</v>
      </c>
      <c r="W95" s="33">
        <v>0</v>
      </c>
      <c r="X95" s="33">
        <f t="shared" si="47"/>
        <v>0</v>
      </c>
      <c r="Y95" s="38">
        <f t="shared" si="48"/>
        <v>0</v>
      </c>
      <c r="AA95" s="71">
        <v>90</v>
      </c>
      <c r="AB95" s="33">
        <f t="shared" si="49"/>
        <v>0</v>
      </c>
      <c r="AC95" s="305">
        <f t="shared" ref="AC95:AC158" si="73">IF(AA95&lt;=$F$18,IFERROR(VLOOKUP($AA95,$B$82:$G$94,3,FALSE),0),)*50%</f>
        <v>0</v>
      </c>
      <c r="AD95" s="100">
        <f t="shared" si="50"/>
        <v>0</v>
      </c>
      <c r="AE95" s="100">
        <f t="shared" si="51"/>
        <v>0</v>
      </c>
      <c r="AF95" s="194">
        <f t="shared" si="69"/>
        <v>0</v>
      </c>
      <c r="AG95" s="194">
        <f t="shared" si="70"/>
        <v>0</v>
      </c>
      <c r="AH95" s="194">
        <f t="shared" si="71"/>
        <v>0</v>
      </c>
      <c r="AI95" s="199">
        <f t="shared" si="72"/>
        <v>0</v>
      </c>
      <c r="AK95" s="71">
        <v>90</v>
      </c>
      <c r="AL95" s="33">
        <f t="shared" si="52"/>
        <v>0</v>
      </c>
      <c r="AM95" s="33">
        <f t="shared" si="53"/>
        <v>0</v>
      </c>
      <c r="AN95" s="33">
        <f t="shared" si="54"/>
        <v>0</v>
      </c>
      <c r="AO95" s="33">
        <f t="shared" si="55"/>
        <v>0</v>
      </c>
      <c r="AP95" s="33">
        <f t="shared" si="56"/>
        <v>0</v>
      </c>
      <c r="AQ95" s="194">
        <f t="shared" si="57"/>
        <v>0</v>
      </c>
      <c r="AR95" s="194">
        <f t="shared" si="57"/>
        <v>0</v>
      </c>
      <c r="AS95" s="194">
        <f t="shared" si="57"/>
        <v>0</v>
      </c>
      <c r="AT95" s="194">
        <f t="shared" si="57"/>
        <v>0</v>
      </c>
      <c r="AU95" s="33"/>
      <c r="AV95" s="33"/>
      <c r="AW95" s="33"/>
      <c r="AX95" s="33"/>
      <c r="AY95" s="76"/>
    </row>
    <row r="96" spans="2:51" x14ac:dyDescent="0.3">
      <c r="C96" s="67" t="s">
        <v>154</v>
      </c>
      <c r="D96" t="s">
        <v>137</v>
      </c>
      <c r="E96" s="6"/>
      <c r="I96" s="55">
        <v>91</v>
      </c>
      <c r="J96" s="33">
        <f t="shared" si="60"/>
        <v>0</v>
      </c>
      <c r="K96" s="33">
        <f t="shared" si="61"/>
        <v>0</v>
      </c>
      <c r="L96" s="33">
        <f t="shared" si="62"/>
        <v>0</v>
      </c>
      <c r="M96" s="33">
        <f t="shared" si="63"/>
        <v>0</v>
      </c>
      <c r="N96" s="33">
        <f t="shared" si="43"/>
        <v>0</v>
      </c>
      <c r="O96" s="34">
        <f t="shared" si="44"/>
        <v>0</v>
      </c>
      <c r="P96" s="55">
        <v>91</v>
      </c>
      <c r="Q96" s="33">
        <f t="shared" si="58"/>
        <v>0</v>
      </c>
      <c r="R96" s="33">
        <f t="shared" si="64"/>
        <v>0</v>
      </c>
      <c r="S96" s="33">
        <f t="shared" si="65"/>
        <v>0</v>
      </c>
      <c r="T96" s="33">
        <f t="shared" si="45"/>
        <v>0</v>
      </c>
      <c r="U96" s="33">
        <f t="shared" si="59"/>
        <v>0</v>
      </c>
      <c r="V96" s="33">
        <f t="shared" si="46"/>
        <v>0</v>
      </c>
      <c r="W96" s="33">
        <v>0</v>
      </c>
      <c r="X96" s="33">
        <f t="shared" si="47"/>
        <v>0</v>
      </c>
      <c r="Y96" s="38">
        <f t="shared" si="48"/>
        <v>0</v>
      </c>
      <c r="AA96" s="71">
        <v>91</v>
      </c>
      <c r="AB96" s="33">
        <f t="shared" si="49"/>
        <v>0</v>
      </c>
      <c r="AC96" s="305">
        <f t="shared" si="73"/>
        <v>0</v>
      </c>
      <c r="AD96" s="100">
        <f t="shared" si="50"/>
        <v>0</v>
      </c>
      <c r="AE96" s="100">
        <f t="shared" si="51"/>
        <v>0</v>
      </c>
      <c r="AF96" s="194">
        <f t="shared" si="69"/>
        <v>0</v>
      </c>
      <c r="AG96" s="194">
        <f t="shared" si="70"/>
        <v>0</v>
      </c>
      <c r="AH96" s="194">
        <f t="shared" si="71"/>
        <v>0</v>
      </c>
      <c r="AI96" s="199">
        <f t="shared" si="72"/>
        <v>0</v>
      </c>
      <c r="AK96" s="71">
        <v>91</v>
      </c>
      <c r="AL96" s="33">
        <f t="shared" si="52"/>
        <v>0</v>
      </c>
      <c r="AM96" s="33">
        <f t="shared" si="53"/>
        <v>0</v>
      </c>
      <c r="AN96" s="33">
        <f t="shared" si="54"/>
        <v>0</v>
      </c>
      <c r="AO96" s="33">
        <f t="shared" si="55"/>
        <v>0</v>
      </c>
      <c r="AP96" s="33">
        <f t="shared" si="56"/>
        <v>0</v>
      </c>
      <c r="AQ96" s="194">
        <f t="shared" si="57"/>
        <v>0</v>
      </c>
      <c r="AR96" s="194">
        <f t="shared" si="57"/>
        <v>0</v>
      </c>
      <c r="AS96" s="194">
        <f t="shared" si="57"/>
        <v>0</v>
      </c>
      <c r="AT96" s="194">
        <f t="shared" si="57"/>
        <v>0</v>
      </c>
      <c r="AU96" s="33"/>
      <c r="AV96" s="33"/>
      <c r="AW96" s="33"/>
      <c r="AX96" s="33"/>
      <c r="AY96" s="76"/>
    </row>
    <row r="97" spans="2:51" x14ac:dyDescent="0.3">
      <c r="B97" s="2" t="s">
        <v>0</v>
      </c>
      <c r="C97">
        <v>32</v>
      </c>
      <c r="D97">
        <v>0</v>
      </c>
      <c r="E97" s="6"/>
      <c r="I97" s="55">
        <v>92</v>
      </c>
      <c r="J97" s="33">
        <f t="shared" si="60"/>
        <v>0</v>
      </c>
      <c r="K97" s="33">
        <f t="shared" si="61"/>
        <v>0</v>
      </c>
      <c r="L97" s="33">
        <f t="shared" si="62"/>
        <v>0</v>
      </c>
      <c r="M97" s="33">
        <f t="shared" si="63"/>
        <v>0</v>
      </c>
      <c r="N97" s="33">
        <f t="shared" si="43"/>
        <v>0</v>
      </c>
      <c r="O97" s="34">
        <f t="shared" si="44"/>
        <v>0</v>
      </c>
      <c r="P97" s="55">
        <v>92</v>
      </c>
      <c r="Q97" s="33">
        <f t="shared" si="58"/>
        <v>0</v>
      </c>
      <c r="R97" s="33">
        <f t="shared" si="64"/>
        <v>0</v>
      </c>
      <c r="S97" s="33">
        <f t="shared" si="65"/>
        <v>0</v>
      </c>
      <c r="T97" s="33">
        <f t="shared" si="45"/>
        <v>0</v>
      </c>
      <c r="U97" s="33">
        <f t="shared" si="59"/>
        <v>0</v>
      </c>
      <c r="V97" s="33">
        <f t="shared" si="46"/>
        <v>0</v>
      </c>
      <c r="W97" s="33">
        <v>0</v>
      </c>
      <c r="X97" s="33">
        <f t="shared" si="47"/>
        <v>0</v>
      </c>
      <c r="Y97" s="38">
        <f t="shared" si="48"/>
        <v>0</v>
      </c>
      <c r="AA97" s="71">
        <v>92</v>
      </c>
      <c r="AB97" s="33">
        <f t="shared" si="49"/>
        <v>0</v>
      </c>
      <c r="AC97" s="305">
        <f t="shared" si="73"/>
        <v>0</v>
      </c>
      <c r="AD97" s="100">
        <f t="shared" si="50"/>
        <v>0</v>
      </c>
      <c r="AE97" s="100">
        <f t="shared" si="51"/>
        <v>0</v>
      </c>
      <c r="AF97" s="194">
        <f t="shared" si="69"/>
        <v>0</v>
      </c>
      <c r="AG97" s="194">
        <f t="shared" si="70"/>
        <v>0</v>
      </c>
      <c r="AH97" s="194">
        <f t="shared" si="71"/>
        <v>0</v>
      </c>
      <c r="AI97" s="199">
        <f t="shared" si="72"/>
        <v>0</v>
      </c>
      <c r="AK97" s="71">
        <v>92</v>
      </c>
      <c r="AL97" s="33">
        <f t="shared" si="52"/>
        <v>0</v>
      </c>
      <c r="AM97" s="33">
        <f t="shared" si="53"/>
        <v>0</v>
      </c>
      <c r="AN97" s="33">
        <f t="shared" si="54"/>
        <v>0</v>
      </c>
      <c r="AO97" s="33">
        <f t="shared" si="55"/>
        <v>0</v>
      </c>
      <c r="AP97" s="33">
        <f t="shared" si="56"/>
        <v>0</v>
      </c>
      <c r="AQ97" s="194">
        <f t="shared" si="57"/>
        <v>0</v>
      </c>
      <c r="AR97" s="194">
        <f t="shared" si="57"/>
        <v>0</v>
      </c>
      <c r="AS97" s="194">
        <f t="shared" si="57"/>
        <v>0</v>
      </c>
      <c r="AT97" s="194">
        <f t="shared" si="57"/>
        <v>0</v>
      </c>
      <c r="AU97" s="33"/>
      <c r="AV97" s="33"/>
      <c r="AW97" s="33"/>
      <c r="AX97" s="33"/>
      <c r="AY97" s="76"/>
    </row>
    <row r="98" spans="2:51" x14ac:dyDescent="0.3">
      <c r="B98" s="2" t="s">
        <v>1</v>
      </c>
      <c r="C98">
        <v>45</v>
      </c>
      <c r="D98">
        <v>0</v>
      </c>
      <c r="E98" s="6"/>
      <c r="I98" s="55">
        <v>93</v>
      </c>
      <c r="J98" s="33">
        <f t="shared" si="60"/>
        <v>0</v>
      </c>
      <c r="K98" s="33">
        <f t="shared" si="61"/>
        <v>0</v>
      </c>
      <c r="L98" s="33">
        <f t="shared" si="62"/>
        <v>0</v>
      </c>
      <c r="M98" s="33">
        <f t="shared" si="63"/>
        <v>0</v>
      </c>
      <c r="N98" s="33">
        <f t="shared" si="43"/>
        <v>0</v>
      </c>
      <c r="O98" s="34">
        <f t="shared" si="44"/>
        <v>0</v>
      </c>
      <c r="P98" s="55">
        <v>93</v>
      </c>
      <c r="Q98" s="33">
        <f t="shared" si="58"/>
        <v>0</v>
      </c>
      <c r="R98" s="33">
        <f t="shared" si="64"/>
        <v>0</v>
      </c>
      <c r="S98" s="33">
        <f t="shared" si="65"/>
        <v>0</v>
      </c>
      <c r="T98" s="33">
        <f t="shared" si="45"/>
        <v>0</v>
      </c>
      <c r="U98" s="33">
        <f t="shared" si="59"/>
        <v>0</v>
      </c>
      <c r="V98" s="33">
        <f t="shared" si="46"/>
        <v>0</v>
      </c>
      <c r="W98" s="33">
        <v>0</v>
      </c>
      <c r="X98" s="33">
        <f t="shared" si="47"/>
        <v>0</v>
      </c>
      <c r="Y98" s="38">
        <f t="shared" si="48"/>
        <v>0</v>
      </c>
      <c r="AA98" s="71">
        <v>93</v>
      </c>
      <c r="AB98" s="33">
        <f t="shared" si="49"/>
        <v>0</v>
      </c>
      <c r="AC98" s="305">
        <f t="shared" si="73"/>
        <v>0</v>
      </c>
      <c r="AD98" s="100">
        <f t="shared" si="50"/>
        <v>0</v>
      </c>
      <c r="AE98" s="100">
        <f t="shared" si="51"/>
        <v>0</v>
      </c>
      <c r="AF98" s="194">
        <f t="shared" si="69"/>
        <v>0</v>
      </c>
      <c r="AG98" s="194">
        <f t="shared" si="70"/>
        <v>0</v>
      </c>
      <c r="AH98" s="194">
        <f t="shared" si="71"/>
        <v>0</v>
      </c>
      <c r="AI98" s="199">
        <f t="shared" si="72"/>
        <v>0</v>
      </c>
      <c r="AK98" s="71">
        <v>93</v>
      </c>
      <c r="AL98" s="33">
        <f t="shared" si="52"/>
        <v>0</v>
      </c>
      <c r="AM98" s="33">
        <f t="shared" si="53"/>
        <v>0</v>
      </c>
      <c r="AN98" s="33">
        <f t="shared" si="54"/>
        <v>0</v>
      </c>
      <c r="AO98" s="33">
        <f t="shared" si="55"/>
        <v>0</v>
      </c>
      <c r="AP98" s="33">
        <f t="shared" si="56"/>
        <v>0</v>
      </c>
      <c r="AQ98" s="194">
        <f t="shared" si="57"/>
        <v>0</v>
      </c>
      <c r="AR98" s="194">
        <f t="shared" si="57"/>
        <v>0</v>
      </c>
      <c r="AS98" s="194">
        <f t="shared" si="57"/>
        <v>0</v>
      </c>
      <c r="AT98" s="194">
        <f t="shared" si="57"/>
        <v>0</v>
      </c>
      <c r="AU98" s="33"/>
      <c r="AV98" s="33"/>
      <c r="AW98" s="33"/>
      <c r="AX98" s="33"/>
      <c r="AY98" s="76"/>
    </row>
    <row r="99" spans="2:51" x14ac:dyDescent="0.3">
      <c r="B99" s="2" t="s">
        <v>2</v>
      </c>
      <c r="C99">
        <v>70</v>
      </c>
      <c r="D99">
        <v>0</v>
      </c>
      <c r="E99" s="6"/>
      <c r="I99" s="55">
        <v>94</v>
      </c>
      <c r="J99" s="33">
        <f t="shared" si="60"/>
        <v>0</v>
      </c>
      <c r="K99" s="33">
        <f t="shared" si="61"/>
        <v>0</v>
      </c>
      <c r="L99" s="33">
        <f t="shared" si="62"/>
        <v>0</v>
      </c>
      <c r="M99" s="33">
        <f t="shared" si="63"/>
        <v>0</v>
      </c>
      <c r="N99" s="33">
        <f t="shared" si="43"/>
        <v>0</v>
      </c>
      <c r="O99" s="34">
        <f t="shared" si="44"/>
        <v>0</v>
      </c>
      <c r="P99" s="55">
        <v>94</v>
      </c>
      <c r="Q99" s="33">
        <f t="shared" si="58"/>
        <v>0</v>
      </c>
      <c r="R99" s="33">
        <f t="shared" si="64"/>
        <v>0</v>
      </c>
      <c r="S99" s="33">
        <f t="shared" si="65"/>
        <v>0</v>
      </c>
      <c r="T99" s="33">
        <f t="shared" si="45"/>
        <v>0</v>
      </c>
      <c r="U99" s="33">
        <f t="shared" si="59"/>
        <v>0</v>
      </c>
      <c r="V99" s="33">
        <f t="shared" si="46"/>
        <v>0</v>
      </c>
      <c r="W99" s="33">
        <v>0</v>
      </c>
      <c r="X99" s="33">
        <f t="shared" si="47"/>
        <v>0</v>
      </c>
      <c r="Y99" s="38">
        <f t="shared" si="48"/>
        <v>0</v>
      </c>
      <c r="AA99" s="71">
        <v>94</v>
      </c>
      <c r="AB99" s="33">
        <f t="shared" si="49"/>
        <v>0</v>
      </c>
      <c r="AC99" s="305">
        <f t="shared" si="73"/>
        <v>0</v>
      </c>
      <c r="AD99" s="100">
        <f t="shared" si="50"/>
        <v>0</v>
      </c>
      <c r="AE99" s="100">
        <f t="shared" si="51"/>
        <v>0</v>
      </c>
      <c r="AF99" s="194">
        <f t="shared" si="69"/>
        <v>0</v>
      </c>
      <c r="AG99" s="194">
        <f t="shared" si="70"/>
        <v>0</v>
      </c>
      <c r="AH99" s="194">
        <f t="shared" si="71"/>
        <v>0</v>
      </c>
      <c r="AI99" s="199">
        <f t="shared" si="72"/>
        <v>0</v>
      </c>
      <c r="AK99" s="71">
        <v>94</v>
      </c>
      <c r="AL99" s="33">
        <f t="shared" si="52"/>
        <v>0</v>
      </c>
      <c r="AM99" s="33">
        <f t="shared" si="53"/>
        <v>0</v>
      </c>
      <c r="AN99" s="33">
        <f t="shared" si="54"/>
        <v>0</v>
      </c>
      <c r="AO99" s="33">
        <f t="shared" si="55"/>
        <v>0</v>
      </c>
      <c r="AP99" s="33">
        <f t="shared" si="56"/>
        <v>0</v>
      </c>
      <c r="AQ99" s="194">
        <f t="shared" si="57"/>
        <v>0</v>
      </c>
      <c r="AR99" s="194">
        <f t="shared" si="57"/>
        <v>0</v>
      </c>
      <c r="AS99" s="194">
        <f t="shared" si="57"/>
        <v>0</v>
      </c>
      <c r="AT99" s="194">
        <f t="shared" si="57"/>
        <v>0</v>
      </c>
      <c r="AU99" s="33"/>
      <c r="AV99" s="33"/>
      <c r="AW99" s="33"/>
      <c r="AX99" s="33"/>
      <c r="AY99" s="76"/>
    </row>
    <row r="100" spans="2:51" x14ac:dyDescent="0.3">
      <c r="B100" s="2" t="s">
        <v>135</v>
      </c>
      <c r="C100">
        <v>70</v>
      </c>
      <c r="D100">
        <v>0</v>
      </c>
      <c r="E100" s="6"/>
      <c r="I100" s="55">
        <v>95</v>
      </c>
      <c r="J100" s="33">
        <f t="shared" si="60"/>
        <v>0</v>
      </c>
      <c r="K100" s="33">
        <f t="shared" si="61"/>
        <v>0</v>
      </c>
      <c r="L100" s="33">
        <f t="shared" si="62"/>
        <v>0</v>
      </c>
      <c r="M100" s="33">
        <f t="shared" si="63"/>
        <v>0</v>
      </c>
      <c r="N100" s="33">
        <f t="shared" si="43"/>
        <v>0</v>
      </c>
      <c r="O100" s="34">
        <f t="shared" si="44"/>
        <v>0</v>
      </c>
      <c r="P100" s="55">
        <v>95</v>
      </c>
      <c r="Q100" s="33">
        <f t="shared" si="58"/>
        <v>0</v>
      </c>
      <c r="R100" s="33">
        <f t="shared" si="64"/>
        <v>0</v>
      </c>
      <c r="S100" s="33">
        <f t="shared" si="65"/>
        <v>0</v>
      </c>
      <c r="T100" s="33">
        <f t="shared" si="45"/>
        <v>0</v>
      </c>
      <c r="U100" s="33">
        <f t="shared" si="59"/>
        <v>0</v>
      </c>
      <c r="V100" s="33">
        <f t="shared" si="46"/>
        <v>0</v>
      </c>
      <c r="W100" s="33">
        <v>0</v>
      </c>
      <c r="X100" s="33">
        <f t="shared" si="47"/>
        <v>0</v>
      </c>
      <c r="Y100" s="38">
        <f t="shared" si="48"/>
        <v>0</v>
      </c>
      <c r="AA100" s="71">
        <v>95</v>
      </c>
      <c r="AB100" s="33">
        <f t="shared" si="49"/>
        <v>0</v>
      </c>
      <c r="AC100" s="305">
        <f t="shared" si="73"/>
        <v>0</v>
      </c>
      <c r="AD100" s="100">
        <f t="shared" si="50"/>
        <v>0</v>
      </c>
      <c r="AE100" s="100">
        <f t="shared" si="51"/>
        <v>0</v>
      </c>
      <c r="AF100" s="194">
        <f t="shared" si="69"/>
        <v>0</v>
      </c>
      <c r="AG100" s="194">
        <f t="shared" si="70"/>
        <v>0</v>
      </c>
      <c r="AH100" s="194">
        <f t="shared" si="71"/>
        <v>0</v>
      </c>
      <c r="AI100" s="199">
        <f t="shared" si="72"/>
        <v>0</v>
      </c>
      <c r="AK100" s="71">
        <v>95</v>
      </c>
      <c r="AL100" s="33">
        <f t="shared" si="52"/>
        <v>0</v>
      </c>
      <c r="AM100" s="33">
        <f t="shared" si="53"/>
        <v>0</v>
      </c>
      <c r="AN100" s="33">
        <f t="shared" si="54"/>
        <v>0</v>
      </c>
      <c r="AO100" s="33">
        <f t="shared" si="55"/>
        <v>0</v>
      </c>
      <c r="AP100" s="33">
        <f t="shared" si="56"/>
        <v>0</v>
      </c>
      <c r="AQ100" s="194">
        <f t="shared" si="57"/>
        <v>0</v>
      </c>
      <c r="AR100" s="194">
        <f t="shared" si="57"/>
        <v>0</v>
      </c>
      <c r="AS100" s="194">
        <f t="shared" si="57"/>
        <v>0</v>
      </c>
      <c r="AT100" s="194">
        <f t="shared" si="57"/>
        <v>0</v>
      </c>
      <c r="AU100" s="33"/>
      <c r="AV100" s="33"/>
      <c r="AW100" s="33"/>
      <c r="AX100" s="33"/>
      <c r="AY100" s="76"/>
    </row>
    <row r="101" spans="2:51" x14ac:dyDescent="0.3">
      <c r="C101" s="27"/>
      <c r="E101" s="6"/>
      <c r="I101" s="55">
        <v>96</v>
      </c>
      <c r="J101" s="33">
        <f t="shared" si="60"/>
        <v>0</v>
      </c>
      <c r="K101" s="33">
        <f t="shared" si="61"/>
        <v>0</v>
      </c>
      <c r="L101" s="33">
        <f t="shared" si="62"/>
        <v>0</v>
      </c>
      <c r="M101" s="33">
        <f t="shared" si="63"/>
        <v>0</v>
      </c>
      <c r="N101" s="33">
        <f t="shared" si="43"/>
        <v>0</v>
      </c>
      <c r="O101" s="34">
        <f t="shared" si="44"/>
        <v>0</v>
      </c>
      <c r="P101" s="55">
        <v>96</v>
      </c>
      <c r="Q101" s="33">
        <f t="shared" si="58"/>
        <v>0</v>
      </c>
      <c r="R101" s="33">
        <f t="shared" si="64"/>
        <v>0</v>
      </c>
      <c r="S101" s="33">
        <f t="shared" si="65"/>
        <v>0</v>
      </c>
      <c r="T101" s="33">
        <f t="shared" si="45"/>
        <v>0</v>
      </c>
      <c r="U101" s="33">
        <f t="shared" si="59"/>
        <v>0</v>
      </c>
      <c r="V101" s="33">
        <f t="shared" si="46"/>
        <v>0</v>
      </c>
      <c r="W101" s="33">
        <v>0</v>
      </c>
      <c r="X101" s="33">
        <f t="shared" si="47"/>
        <v>0</v>
      </c>
      <c r="Y101" s="38">
        <f t="shared" si="48"/>
        <v>0</v>
      </c>
      <c r="AA101" s="71">
        <v>96</v>
      </c>
      <c r="AB101" s="33">
        <f t="shared" si="49"/>
        <v>0</v>
      </c>
      <c r="AC101" s="305">
        <f t="shared" si="73"/>
        <v>0</v>
      </c>
      <c r="AD101" s="100">
        <f t="shared" si="50"/>
        <v>0</v>
      </c>
      <c r="AE101" s="100">
        <f t="shared" si="51"/>
        <v>0</v>
      </c>
      <c r="AF101" s="194">
        <f t="shared" si="69"/>
        <v>0</v>
      </c>
      <c r="AG101" s="194">
        <f t="shared" si="70"/>
        <v>0</v>
      </c>
      <c r="AH101" s="194">
        <f t="shared" si="71"/>
        <v>0</v>
      </c>
      <c r="AI101" s="199">
        <f t="shared" si="72"/>
        <v>0</v>
      </c>
      <c r="AK101" s="71">
        <v>96</v>
      </c>
      <c r="AL101" s="33">
        <f t="shared" si="52"/>
        <v>0</v>
      </c>
      <c r="AM101" s="33">
        <f t="shared" si="53"/>
        <v>0</v>
      </c>
      <c r="AN101" s="33">
        <f t="shared" si="54"/>
        <v>0</v>
      </c>
      <c r="AO101" s="33">
        <f t="shared" si="55"/>
        <v>0</v>
      </c>
      <c r="AP101" s="33">
        <f t="shared" si="56"/>
        <v>0</v>
      </c>
      <c r="AQ101" s="194">
        <f t="shared" si="57"/>
        <v>0</v>
      </c>
      <c r="AR101" s="194">
        <f t="shared" si="57"/>
        <v>0</v>
      </c>
      <c r="AS101" s="194">
        <f t="shared" si="57"/>
        <v>0</v>
      </c>
      <c r="AT101" s="194">
        <f t="shared" si="57"/>
        <v>0</v>
      </c>
      <c r="AU101" s="33"/>
      <c r="AV101" s="33"/>
      <c r="AW101" s="33"/>
      <c r="AX101" s="33"/>
      <c r="AY101" s="76"/>
    </row>
    <row r="102" spans="2:51" x14ac:dyDescent="0.3">
      <c r="C102" s="27"/>
      <c r="E102" s="6"/>
      <c r="I102" s="55">
        <v>97</v>
      </c>
      <c r="J102" s="33">
        <f t="shared" si="60"/>
        <v>0</v>
      </c>
      <c r="K102" s="33">
        <f t="shared" si="61"/>
        <v>0</v>
      </c>
      <c r="L102" s="33">
        <f t="shared" si="62"/>
        <v>0</v>
      </c>
      <c r="M102" s="33">
        <f t="shared" si="63"/>
        <v>0</v>
      </c>
      <c r="N102" s="33">
        <f t="shared" si="43"/>
        <v>0</v>
      </c>
      <c r="O102" s="34">
        <f t="shared" si="44"/>
        <v>0</v>
      </c>
      <c r="P102" s="55">
        <v>97</v>
      </c>
      <c r="Q102" s="33">
        <f t="shared" si="58"/>
        <v>0</v>
      </c>
      <c r="R102" s="33">
        <f t="shared" si="64"/>
        <v>0</v>
      </c>
      <c r="S102" s="33">
        <f t="shared" si="65"/>
        <v>0</v>
      </c>
      <c r="T102" s="33">
        <f t="shared" si="45"/>
        <v>0</v>
      </c>
      <c r="U102" s="33">
        <f t="shared" si="59"/>
        <v>0</v>
      </c>
      <c r="V102" s="33">
        <f t="shared" si="46"/>
        <v>0</v>
      </c>
      <c r="W102" s="33">
        <v>0</v>
      </c>
      <c r="X102" s="33">
        <f t="shared" si="47"/>
        <v>0</v>
      </c>
      <c r="Y102" s="38">
        <f t="shared" si="48"/>
        <v>0</v>
      </c>
      <c r="AA102" s="71">
        <v>97</v>
      </c>
      <c r="AB102" s="33">
        <f t="shared" si="49"/>
        <v>0</v>
      </c>
      <c r="AC102" s="305">
        <f t="shared" si="73"/>
        <v>0</v>
      </c>
      <c r="AD102" s="100">
        <f t="shared" si="50"/>
        <v>0</v>
      </c>
      <c r="AE102" s="100">
        <f t="shared" si="51"/>
        <v>0</v>
      </c>
      <c r="AF102" s="194">
        <f t="shared" si="69"/>
        <v>0</v>
      </c>
      <c r="AG102" s="194">
        <f t="shared" si="70"/>
        <v>0</v>
      </c>
      <c r="AH102" s="194">
        <f t="shared" si="71"/>
        <v>0</v>
      </c>
      <c r="AI102" s="199">
        <f t="shared" si="72"/>
        <v>0</v>
      </c>
      <c r="AK102" s="71">
        <v>97</v>
      </c>
      <c r="AL102" s="33">
        <f t="shared" si="52"/>
        <v>0</v>
      </c>
      <c r="AM102" s="33">
        <f t="shared" si="53"/>
        <v>0</v>
      </c>
      <c r="AN102" s="33">
        <f t="shared" si="54"/>
        <v>0</v>
      </c>
      <c r="AO102" s="33">
        <f t="shared" si="55"/>
        <v>0</v>
      </c>
      <c r="AP102" s="33">
        <f t="shared" si="56"/>
        <v>0</v>
      </c>
      <c r="AQ102" s="194">
        <f t="shared" si="57"/>
        <v>0</v>
      </c>
      <c r="AR102" s="194">
        <f t="shared" si="57"/>
        <v>0</v>
      </c>
      <c r="AS102" s="194">
        <f t="shared" si="57"/>
        <v>0</v>
      </c>
      <c r="AT102" s="194">
        <f t="shared" si="57"/>
        <v>0</v>
      </c>
      <c r="AU102" s="33"/>
      <c r="AV102" s="33"/>
      <c r="AW102" s="33"/>
      <c r="AX102" s="33"/>
      <c r="AY102" s="76"/>
    </row>
    <row r="103" spans="2:51" x14ac:dyDescent="0.3">
      <c r="C103" s="25" t="s">
        <v>157</v>
      </c>
      <c r="D103" s="157" t="s">
        <v>158</v>
      </c>
      <c r="F103" s="190" t="s">
        <v>232</v>
      </c>
      <c r="I103" s="55">
        <v>98</v>
      </c>
      <c r="J103" s="33">
        <f t="shared" si="60"/>
        <v>0</v>
      </c>
      <c r="K103" s="33">
        <f t="shared" si="61"/>
        <v>0</v>
      </c>
      <c r="L103" s="33">
        <f t="shared" si="62"/>
        <v>0</v>
      </c>
      <c r="M103" s="33">
        <f t="shared" si="63"/>
        <v>0</v>
      </c>
      <c r="N103" s="33">
        <f t="shared" si="43"/>
        <v>0</v>
      </c>
      <c r="O103" s="34">
        <f t="shared" si="44"/>
        <v>0</v>
      </c>
      <c r="P103" s="55">
        <v>98</v>
      </c>
      <c r="Q103" s="33">
        <f t="shared" si="58"/>
        <v>0</v>
      </c>
      <c r="R103" s="33">
        <f t="shared" si="64"/>
        <v>0</v>
      </c>
      <c r="S103" s="33">
        <f t="shared" si="65"/>
        <v>0</v>
      </c>
      <c r="T103" s="33">
        <f t="shared" si="45"/>
        <v>0</v>
      </c>
      <c r="U103" s="33">
        <f t="shared" si="59"/>
        <v>0</v>
      </c>
      <c r="V103" s="33">
        <f t="shared" si="46"/>
        <v>0</v>
      </c>
      <c r="W103" s="33">
        <v>0</v>
      </c>
      <c r="X103" s="33">
        <f t="shared" si="47"/>
        <v>0</v>
      </c>
      <c r="Y103" s="38">
        <f t="shared" si="48"/>
        <v>0</v>
      </c>
      <c r="AA103" s="71">
        <v>98</v>
      </c>
      <c r="AB103" s="33">
        <f t="shared" si="49"/>
        <v>0</v>
      </c>
      <c r="AC103" s="305">
        <f t="shared" si="73"/>
        <v>0</v>
      </c>
      <c r="AD103" s="100">
        <f t="shared" si="50"/>
        <v>0</v>
      </c>
      <c r="AE103" s="100">
        <f t="shared" si="51"/>
        <v>0</v>
      </c>
      <c r="AF103" s="194">
        <f t="shared" si="69"/>
        <v>0</v>
      </c>
      <c r="AG103" s="194">
        <f t="shared" si="70"/>
        <v>0</v>
      </c>
      <c r="AH103" s="194">
        <f t="shared" si="71"/>
        <v>0</v>
      </c>
      <c r="AI103" s="199">
        <f t="shared" si="72"/>
        <v>0</v>
      </c>
      <c r="AK103" s="71">
        <v>98</v>
      </c>
      <c r="AL103" s="33">
        <f t="shared" si="52"/>
        <v>0</v>
      </c>
      <c r="AM103" s="33">
        <f t="shared" si="53"/>
        <v>0</v>
      </c>
      <c r="AN103" s="33">
        <f t="shared" si="54"/>
        <v>0</v>
      </c>
      <c r="AO103" s="33">
        <f t="shared" si="55"/>
        <v>0</v>
      </c>
      <c r="AP103" s="33">
        <f t="shared" si="56"/>
        <v>0</v>
      </c>
      <c r="AQ103" s="194">
        <f t="shared" si="57"/>
        <v>0</v>
      </c>
      <c r="AR103" s="194">
        <f t="shared" si="57"/>
        <v>0</v>
      </c>
      <c r="AS103" s="194">
        <f t="shared" si="57"/>
        <v>0</v>
      </c>
      <c r="AT103" s="194">
        <f t="shared" si="57"/>
        <v>0</v>
      </c>
      <c r="AU103" s="33"/>
      <c r="AV103" s="33"/>
      <c r="AW103" s="33"/>
      <c r="AX103" s="33"/>
      <c r="AY103" s="76"/>
    </row>
    <row r="104" spans="2:51" x14ac:dyDescent="0.3">
      <c r="B104" t="s">
        <v>78</v>
      </c>
      <c r="C104">
        <v>1.52</v>
      </c>
      <c r="D104">
        <v>35</v>
      </c>
      <c r="F104" s="189" t="s">
        <v>228</v>
      </c>
      <c r="G104" s="24">
        <v>0.25</v>
      </c>
      <c r="I104" s="55">
        <v>99</v>
      </c>
      <c r="J104" s="33">
        <f t="shared" si="60"/>
        <v>0</v>
      </c>
      <c r="K104" s="33">
        <f t="shared" si="61"/>
        <v>0</v>
      </c>
      <c r="L104" s="33">
        <f t="shared" si="62"/>
        <v>0</v>
      </c>
      <c r="M104" s="33">
        <f t="shared" si="63"/>
        <v>0</v>
      </c>
      <c r="N104" s="33">
        <f t="shared" si="43"/>
        <v>0</v>
      </c>
      <c r="O104" s="34">
        <f t="shared" si="44"/>
        <v>0</v>
      </c>
      <c r="P104" s="55">
        <v>99</v>
      </c>
      <c r="Q104" s="33">
        <f t="shared" si="58"/>
        <v>0</v>
      </c>
      <c r="R104" s="33">
        <f t="shared" si="64"/>
        <v>0</v>
      </c>
      <c r="S104" s="33">
        <f t="shared" si="65"/>
        <v>0</v>
      </c>
      <c r="T104" s="33">
        <f t="shared" si="45"/>
        <v>0</v>
      </c>
      <c r="U104" s="33">
        <f t="shared" si="59"/>
        <v>0</v>
      </c>
      <c r="V104" s="33">
        <f t="shared" si="46"/>
        <v>0</v>
      </c>
      <c r="W104" s="33">
        <v>0</v>
      </c>
      <c r="X104" s="33">
        <f t="shared" si="47"/>
        <v>0</v>
      </c>
      <c r="Y104" s="38">
        <f t="shared" si="48"/>
        <v>0</v>
      </c>
      <c r="AA104" s="71">
        <v>99</v>
      </c>
      <c r="AB104" s="33">
        <f t="shared" si="49"/>
        <v>0</v>
      </c>
      <c r="AC104" s="305">
        <f t="shared" si="73"/>
        <v>0</v>
      </c>
      <c r="AD104" s="100">
        <f t="shared" si="50"/>
        <v>0</v>
      </c>
      <c r="AE104" s="100">
        <f t="shared" si="51"/>
        <v>0</v>
      </c>
      <c r="AF104" s="194">
        <f t="shared" si="69"/>
        <v>0</v>
      </c>
      <c r="AG104" s="194">
        <f t="shared" si="70"/>
        <v>0</v>
      </c>
      <c r="AH104" s="194">
        <f t="shared" si="71"/>
        <v>0</v>
      </c>
      <c r="AI104" s="199">
        <f t="shared" si="72"/>
        <v>0</v>
      </c>
      <c r="AK104" s="71">
        <v>99</v>
      </c>
      <c r="AL104" s="33">
        <f t="shared" si="52"/>
        <v>0</v>
      </c>
      <c r="AM104" s="33">
        <f t="shared" si="53"/>
        <v>0</v>
      </c>
      <c r="AN104" s="33">
        <f t="shared" si="54"/>
        <v>0</v>
      </c>
      <c r="AO104" s="33">
        <f t="shared" si="55"/>
        <v>0</v>
      </c>
      <c r="AP104" s="33">
        <f t="shared" si="56"/>
        <v>0</v>
      </c>
      <c r="AQ104" s="194">
        <f t="shared" si="57"/>
        <v>0</v>
      </c>
      <c r="AR104" s="194">
        <f t="shared" si="57"/>
        <v>0</v>
      </c>
      <c r="AS104" s="194">
        <f t="shared" si="57"/>
        <v>0</v>
      </c>
      <c r="AT104" s="194">
        <f t="shared" si="57"/>
        <v>0</v>
      </c>
      <c r="AU104" s="33"/>
      <c r="AV104" s="33"/>
      <c r="AW104" s="33"/>
      <c r="AX104" s="33"/>
      <c r="AY104" s="76"/>
    </row>
    <row r="105" spans="2:51" x14ac:dyDescent="0.3">
      <c r="B105" t="s">
        <v>80</v>
      </c>
      <c r="C105">
        <v>0</v>
      </c>
      <c r="D105">
        <v>2</v>
      </c>
      <c r="F105" s="189" t="s">
        <v>230</v>
      </c>
      <c r="G105" s="24">
        <v>1.03</v>
      </c>
      <c r="I105" s="55">
        <v>100</v>
      </c>
      <c r="J105" s="33">
        <f t="shared" si="60"/>
        <v>0</v>
      </c>
      <c r="K105" s="33">
        <f t="shared" si="61"/>
        <v>0</v>
      </c>
      <c r="L105" s="33">
        <f t="shared" si="62"/>
        <v>0</v>
      </c>
      <c r="M105" s="33">
        <f t="shared" si="63"/>
        <v>0</v>
      </c>
      <c r="N105" s="33">
        <f t="shared" si="43"/>
        <v>0</v>
      </c>
      <c r="O105" s="34">
        <f t="shared" si="44"/>
        <v>0</v>
      </c>
      <c r="P105" s="55">
        <v>100</v>
      </c>
      <c r="Q105" s="33">
        <f t="shared" si="58"/>
        <v>0</v>
      </c>
      <c r="R105" s="33">
        <f t="shared" si="64"/>
        <v>0</v>
      </c>
      <c r="S105" s="33">
        <f t="shared" si="65"/>
        <v>0</v>
      </c>
      <c r="T105" s="33">
        <f t="shared" si="45"/>
        <v>0</v>
      </c>
      <c r="U105" s="33">
        <f t="shared" si="59"/>
        <v>0</v>
      </c>
      <c r="V105" s="33">
        <f t="shared" si="46"/>
        <v>0</v>
      </c>
      <c r="W105" s="33">
        <v>0</v>
      </c>
      <c r="X105" s="33">
        <f t="shared" si="47"/>
        <v>0</v>
      </c>
      <c r="Y105" s="38">
        <f t="shared" si="48"/>
        <v>0</v>
      </c>
      <c r="AA105" s="71">
        <v>100</v>
      </c>
      <c r="AB105" s="33">
        <f t="shared" si="49"/>
        <v>0</v>
      </c>
      <c r="AC105" s="305">
        <f t="shared" si="73"/>
        <v>0</v>
      </c>
      <c r="AD105" s="100">
        <f t="shared" si="50"/>
        <v>0</v>
      </c>
      <c r="AE105" s="100">
        <f t="shared" si="51"/>
        <v>0</v>
      </c>
      <c r="AF105" s="194">
        <f t="shared" si="69"/>
        <v>0</v>
      </c>
      <c r="AG105" s="194">
        <f t="shared" si="70"/>
        <v>0</v>
      </c>
      <c r="AH105" s="194">
        <f t="shared" si="71"/>
        <v>0</v>
      </c>
      <c r="AI105" s="199">
        <f t="shared" si="72"/>
        <v>0</v>
      </c>
      <c r="AK105" s="71">
        <v>100</v>
      </c>
      <c r="AL105" s="33">
        <f t="shared" si="52"/>
        <v>0</v>
      </c>
      <c r="AM105" s="33">
        <f t="shared" si="53"/>
        <v>0</v>
      </c>
      <c r="AN105" s="33">
        <f t="shared" si="54"/>
        <v>0</v>
      </c>
      <c r="AO105" s="33">
        <f t="shared" si="55"/>
        <v>0</v>
      </c>
      <c r="AP105" s="33">
        <f t="shared" si="56"/>
        <v>0</v>
      </c>
      <c r="AQ105" s="194">
        <f t="shared" si="57"/>
        <v>0</v>
      </c>
      <c r="AR105" s="194">
        <f t="shared" si="57"/>
        <v>0</v>
      </c>
      <c r="AS105" s="194">
        <f t="shared" si="57"/>
        <v>0</v>
      </c>
      <c r="AT105" s="194">
        <f t="shared" si="57"/>
        <v>0</v>
      </c>
      <c r="AU105" s="33"/>
      <c r="AV105" s="33"/>
      <c r="AW105" s="33"/>
      <c r="AX105" s="33"/>
      <c r="AY105" s="76"/>
    </row>
    <row r="106" spans="2:51" ht="27.6" x14ac:dyDescent="0.3">
      <c r="B106" t="s">
        <v>81</v>
      </c>
      <c r="C106">
        <v>0.77</v>
      </c>
      <c r="D106">
        <v>25</v>
      </c>
      <c r="F106" s="189" t="s">
        <v>231</v>
      </c>
      <c r="G106" s="24">
        <v>0.59</v>
      </c>
      <c r="I106" s="55">
        <v>101</v>
      </c>
      <c r="J106" s="33">
        <f t="shared" si="60"/>
        <v>0</v>
      </c>
      <c r="K106" s="33">
        <f t="shared" si="61"/>
        <v>0</v>
      </c>
      <c r="L106" s="33">
        <f t="shared" si="62"/>
        <v>0</v>
      </c>
      <c r="M106" s="33">
        <f t="shared" si="63"/>
        <v>0</v>
      </c>
      <c r="N106" s="33">
        <f t="shared" si="43"/>
        <v>0</v>
      </c>
      <c r="O106" s="34">
        <f t="shared" si="44"/>
        <v>0</v>
      </c>
      <c r="P106" s="55">
        <v>101</v>
      </c>
      <c r="Q106" s="33">
        <f t="shared" si="58"/>
        <v>0</v>
      </c>
      <c r="R106" s="33">
        <f t="shared" si="64"/>
        <v>0</v>
      </c>
      <c r="S106" s="33">
        <f t="shared" si="65"/>
        <v>0</v>
      </c>
      <c r="T106" s="33">
        <f t="shared" si="45"/>
        <v>0</v>
      </c>
      <c r="U106" s="33">
        <f t="shared" si="59"/>
        <v>0</v>
      </c>
      <c r="V106" s="33">
        <f t="shared" si="46"/>
        <v>0</v>
      </c>
      <c r="W106" s="33">
        <v>0</v>
      </c>
      <c r="X106" s="33">
        <f t="shared" si="47"/>
        <v>0</v>
      </c>
      <c r="Y106" s="38">
        <f t="shared" si="48"/>
        <v>0</v>
      </c>
      <c r="AA106" s="71">
        <v>101</v>
      </c>
      <c r="AB106" s="33">
        <f t="shared" si="49"/>
        <v>0</v>
      </c>
      <c r="AC106" s="305">
        <f t="shared" si="73"/>
        <v>0</v>
      </c>
      <c r="AD106" s="100">
        <f t="shared" si="50"/>
        <v>0</v>
      </c>
      <c r="AE106" s="100">
        <f t="shared" si="51"/>
        <v>0</v>
      </c>
      <c r="AF106" s="194">
        <f t="shared" si="69"/>
        <v>0</v>
      </c>
      <c r="AG106" s="194">
        <f t="shared" si="70"/>
        <v>0</v>
      </c>
      <c r="AH106" s="194">
        <f t="shared" si="71"/>
        <v>0</v>
      </c>
      <c r="AI106" s="199">
        <f t="shared" si="72"/>
        <v>0</v>
      </c>
      <c r="AK106" s="71">
        <v>101</v>
      </c>
      <c r="AL106" s="33">
        <f t="shared" si="52"/>
        <v>0</v>
      </c>
      <c r="AM106" s="33">
        <f t="shared" si="53"/>
        <v>0</v>
      </c>
      <c r="AN106" s="33">
        <f t="shared" si="54"/>
        <v>0</v>
      </c>
      <c r="AO106" s="33">
        <f t="shared" si="55"/>
        <v>0</v>
      </c>
      <c r="AP106" s="33">
        <f t="shared" si="56"/>
        <v>0</v>
      </c>
      <c r="AQ106" s="194">
        <f t="shared" si="57"/>
        <v>0</v>
      </c>
      <c r="AR106" s="194">
        <f t="shared" si="57"/>
        <v>0</v>
      </c>
      <c r="AS106" s="194">
        <f t="shared" si="57"/>
        <v>0</v>
      </c>
      <c r="AT106" s="194">
        <f t="shared" si="57"/>
        <v>0</v>
      </c>
      <c r="AU106" s="33"/>
      <c r="AV106" s="33"/>
      <c r="AW106" s="33"/>
      <c r="AX106" s="33"/>
      <c r="AY106" s="76"/>
    </row>
    <row r="107" spans="2:51" x14ac:dyDescent="0.3">
      <c r="B107" t="s">
        <v>82</v>
      </c>
      <c r="C107">
        <f>44%*C105+56%*C106</f>
        <v>0.43120000000000003</v>
      </c>
      <c r="D107">
        <f>44%*D105+56%*D106</f>
        <v>14.880000000000003</v>
      </c>
      <c r="F107" s="189" t="s">
        <v>229</v>
      </c>
      <c r="G107" s="24">
        <v>0.43</v>
      </c>
      <c r="I107" s="55">
        <v>102</v>
      </c>
      <c r="J107" s="33">
        <f t="shared" si="60"/>
        <v>0</v>
      </c>
      <c r="K107" s="33">
        <f t="shared" si="61"/>
        <v>0</v>
      </c>
      <c r="L107" s="33">
        <f t="shared" si="62"/>
        <v>0</v>
      </c>
      <c r="M107" s="33">
        <f t="shared" si="63"/>
        <v>0</v>
      </c>
      <c r="N107" s="33">
        <f t="shared" si="43"/>
        <v>0</v>
      </c>
      <c r="O107" s="34">
        <f t="shared" si="44"/>
        <v>0</v>
      </c>
      <c r="P107" s="55">
        <v>102</v>
      </c>
      <c r="Q107" s="33">
        <f t="shared" si="58"/>
        <v>0</v>
      </c>
      <c r="R107" s="33">
        <f t="shared" si="64"/>
        <v>0</v>
      </c>
      <c r="S107" s="33">
        <f t="shared" si="65"/>
        <v>0</v>
      </c>
      <c r="T107" s="33">
        <f t="shared" si="45"/>
        <v>0</v>
      </c>
      <c r="U107" s="33">
        <f t="shared" si="59"/>
        <v>0</v>
      </c>
      <c r="V107" s="33">
        <f t="shared" si="46"/>
        <v>0</v>
      </c>
      <c r="W107" s="33">
        <v>0</v>
      </c>
      <c r="X107" s="33">
        <f t="shared" si="47"/>
        <v>0</v>
      </c>
      <c r="Y107" s="38">
        <f t="shared" si="48"/>
        <v>0</v>
      </c>
      <c r="AA107" s="71">
        <v>102</v>
      </c>
      <c r="AB107" s="33">
        <f t="shared" si="49"/>
        <v>0</v>
      </c>
      <c r="AC107" s="305">
        <f t="shared" si="73"/>
        <v>0</v>
      </c>
      <c r="AD107" s="100">
        <f t="shared" si="50"/>
        <v>0</v>
      </c>
      <c r="AE107" s="100">
        <f t="shared" si="51"/>
        <v>0</v>
      </c>
      <c r="AF107" s="194">
        <f t="shared" si="69"/>
        <v>0</v>
      </c>
      <c r="AG107" s="194">
        <f t="shared" si="70"/>
        <v>0</v>
      </c>
      <c r="AH107" s="194">
        <f t="shared" si="71"/>
        <v>0</v>
      </c>
      <c r="AI107" s="199">
        <f t="shared" si="72"/>
        <v>0</v>
      </c>
      <c r="AK107" s="71">
        <v>102</v>
      </c>
      <c r="AL107" s="33">
        <f t="shared" si="52"/>
        <v>0</v>
      </c>
      <c r="AM107" s="33">
        <f t="shared" si="53"/>
        <v>0</v>
      </c>
      <c r="AN107" s="33">
        <f t="shared" si="54"/>
        <v>0</v>
      </c>
      <c r="AO107" s="33">
        <f t="shared" si="55"/>
        <v>0</v>
      </c>
      <c r="AP107" s="33">
        <f t="shared" si="56"/>
        <v>0</v>
      </c>
      <c r="AQ107" s="194">
        <f t="shared" si="57"/>
        <v>0</v>
      </c>
      <c r="AR107" s="194">
        <f t="shared" si="57"/>
        <v>0</v>
      </c>
      <c r="AS107" s="194">
        <f t="shared" si="57"/>
        <v>0</v>
      </c>
      <c r="AT107" s="194">
        <f t="shared" si="57"/>
        <v>0</v>
      </c>
      <c r="AU107" s="33"/>
      <c r="AV107" s="33"/>
      <c r="AW107" s="33"/>
      <c r="AX107" s="33"/>
      <c r="AY107" s="76"/>
    </row>
    <row r="108" spans="2:51" x14ac:dyDescent="0.3">
      <c r="B108" t="s">
        <v>79</v>
      </c>
      <c r="C108">
        <v>0.25</v>
      </c>
      <c r="D108">
        <v>0</v>
      </c>
      <c r="F108" s="191" t="s">
        <v>233</v>
      </c>
      <c r="G108" s="346">
        <f>G107</f>
        <v>0.43</v>
      </c>
      <c r="I108" s="55">
        <v>103</v>
      </c>
      <c r="J108" s="33">
        <f t="shared" si="60"/>
        <v>0</v>
      </c>
      <c r="K108" s="33">
        <f t="shared" si="61"/>
        <v>0</v>
      </c>
      <c r="L108" s="33">
        <f t="shared" si="62"/>
        <v>0</v>
      </c>
      <c r="M108" s="33">
        <f t="shared" si="63"/>
        <v>0</v>
      </c>
      <c r="N108" s="33">
        <f t="shared" si="43"/>
        <v>0</v>
      </c>
      <c r="O108" s="34">
        <f t="shared" si="44"/>
        <v>0</v>
      </c>
      <c r="P108" s="55">
        <v>103</v>
      </c>
      <c r="Q108" s="33">
        <f t="shared" si="58"/>
        <v>0</v>
      </c>
      <c r="R108" s="33">
        <f t="shared" si="64"/>
        <v>0</v>
      </c>
      <c r="S108" s="33">
        <f t="shared" si="65"/>
        <v>0</v>
      </c>
      <c r="T108" s="33">
        <f t="shared" si="45"/>
        <v>0</v>
      </c>
      <c r="U108" s="33">
        <f t="shared" si="59"/>
        <v>0</v>
      </c>
      <c r="V108" s="33">
        <f t="shared" si="46"/>
        <v>0</v>
      </c>
      <c r="W108" s="33">
        <v>0</v>
      </c>
      <c r="X108" s="33">
        <f t="shared" si="47"/>
        <v>0</v>
      </c>
      <c r="Y108" s="38">
        <f t="shared" si="48"/>
        <v>0</v>
      </c>
      <c r="AA108" s="71">
        <v>103</v>
      </c>
      <c r="AB108" s="33">
        <f t="shared" si="49"/>
        <v>0</v>
      </c>
      <c r="AC108" s="305">
        <f t="shared" si="73"/>
        <v>0</v>
      </c>
      <c r="AD108" s="100">
        <f t="shared" si="50"/>
        <v>0</v>
      </c>
      <c r="AE108" s="100">
        <f t="shared" si="51"/>
        <v>0</v>
      </c>
      <c r="AF108" s="194">
        <f t="shared" si="69"/>
        <v>0</v>
      </c>
      <c r="AG108" s="194">
        <f t="shared" si="70"/>
        <v>0</v>
      </c>
      <c r="AH108" s="194">
        <f t="shared" si="71"/>
        <v>0</v>
      </c>
      <c r="AI108" s="199">
        <f t="shared" si="72"/>
        <v>0</v>
      </c>
      <c r="AK108" s="71">
        <v>103</v>
      </c>
      <c r="AL108" s="33">
        <f t="shared" si="52"/>
        <v>0</v>
      </c>
      <c r="AM108" s="33">
        <f t="shared" si="53"/>
        <v>0</v>
      </c>
      <c r="AN108" s="33">
        <f t="shared" si="54"/>
        <v>0</v>
      </c>
      <c r="AO108" s="33">
        <f t="shared" si="55"/>
        <v>0</v>
      </c>
      <c r="AP108" s="33">
        <f t="shared" si="56"/>
        <v>0</v>
      </c>
      <c r="AQ108" s="194">
        <f t="shared" si="57"/>
        <v>0</v>
      </c>
      <c r="AR108" s="194">
        <f t="shared" si="57"/>
        <v>0</v>
      </c>
      <c r="AS108" s="194">
        <f t="shared" si="57"/>
        <v>0</v>
      </c>
      <c r="AT108" s="194">
        <f t="shared" si="57"/>
        <v>0</v>
      </c>
      <c r="AU108" s="33"/>
      <c r="AV108" s="33"/>
      <c r="AW108" s="33"/>
      <c r="AX108" s="33"/>
      <c r="AY108" s="76"/>
    </row>
    <row r="109" spans="2:51" x14ac:dyDescent="0.3">
      <c r="I109" s="55">
        <v>104</v>
      </c>
      <c r="J109" s="33">
        <f t="shared" si="60"/>
        <v>0</v>
      </c>
      <c r="K109" s="33">
        <f t="shared" si="61"/>
        <v>0</v>
      </c>
      <c r="L109" s="33">
        <f t="shared" si="62"/>
        <v>0</v>
      </c>
      <c r="M109" s="33">
        <f t="shared" si="63"/>
        <v>0</v>
      </c>
      <c r="N109" s="33">
        <f t="shared" si="43"/>
        <v>0</v>
      </c>
      <c r="O109" s="34">
        <f t="shared" si="44"/>
        <v>0</v>
      </c>
      <c r="P109" s="55">
        <v>104</v>
      </c>
      <c r="Q109" s="33">
        <f t="shared" si="58"/>
        <v>0</v>
      </c>
      <c r="R109" s="33">
        <f t="shared" si="64"/>
        <v>0</v>
      </c>
      <c r="S109" s="33">
        <f t="shared" si="65"/>
        <v>0</v>
      </c>
      <c r="T109" s="33">
        <f t="shared" si="45"/>
        <v>0</v>
      </c>
      <c r="U109" s="33">
        <f t="shared" si="59"/>
        <v>0</v>
      </c>
      <c r="V109" s="33">
        <f t="shared" si="46"/>
        <v>0</v>
      </c>
      <c r="W109" s="33">
        <v>0</v>
      </c>
      <c r="X109" s="33">
        <f t="shared" si="47"/>
        <v>0</v>
      </c>
      <c r="Y109" s="38">
        <f t="shared" si="48"/>
        <v>0</v>
      </c>
      <c r="AA109" s="71">
        <v>104</v>
      </c>
      <c r="AB109" s="33">
        <f t="shared" si="49"/>
        <v>0</v>
      </c>
      <c r="AC109" s="305">
        <f t="shared" si="73"/>
        <v>0</v>
      </c>
      <c r="AD109" s="100">
        <f t="shared" si="50"/>
        <v>0</v>
      </c>
      <c r="AE109" s="100">
        <f t="shared" si="51"/>
        <v>0</v>
      </c>
      <c r="AF109" s="194">
        <f t="shared" si="69"/>
        <v>0</v>
      </c>
      <c r="AG109" s="194">
        <f t="shared" si="70"/>
        <v>0</v>
      </c>
      <c r="AH109" s="194">
        <f t="shared" si="71"/>
        <v>0</v>
      </c>
      <c r="AI109" s="199">
        <f t="shared" si="72"/>
        <v>0</v>
      </c>
      <c r="AK109" s="71">
        <v>104</v>
      </c>
      <c r="AL109" s="33">
        <f t="shared" si="52"/>
        <v>0</v>
      </c>
      <c r="AM109" s="33">
        <f t="shared" si="53"/>
        <v>0</v>
      </c>
      <c r="AN109" s="33">
        <f t="shared" si="54"/>
        <v>0</v>
      </c>
      <c r="AO109" s="33">
        <f t="shared" si="55"/>
        <v>0</v>
      </c>
      <c r="AP109" s="33">
        <f t="shared" si="56"/>
        <v>0</v>
      </c>
      <c r="AQ109" s="194">
        <f t="shared" si="57"/>
        <v>0</v>
      </c>
      <c r="AR109" s="194">
        <f t="shared" si="57"/>
        <v>0</v>
      </c>
      <c r="AS109" s="194">
        <f t="shared" si="57"/>
        <v>0</v>
      </c>
      <c r="AT109" s="194">
        <f t="shared" si="57"/>
        <v>0</v>
      </c>
      <c r="AU109" s="33"/>
      <c r="AV109" s="33"/>
      <c r="AW109" s="33"/>
      <c r="AX109" s="33"/>
      <c r="AY109" s="76"/>
    </row>
    <row r="110" spans="2:51" x14ac:dyDescent="0.3">
      <c r="I110" s="55">
        <v>105</v>
      </c>
      <c r="J110" s="33">
        <f t="shared" si="60"/>
        <v>0</v>
      </c>
      <c r="K110" s="33">
        <f t="shared" si="61"/>
        <v>0</v>
      </c>
      <c r="L110" s="33">
        <f t="shared" si="62"/>
        <v>0</v>
      </c>
      <c r="M110" s="33">
        <f t="shared" si="63"/>
        <v>0</v>
      </c>
      <c r="N110" s="33">
        <f t="shared" si="43"/>
        <v>0</v>
      </c>
      <c r="O110" s="34">
        <f t="shared" si="44"/>
        <v>0</v>
      </c>
      <c r="P110" s="55">
        <v>105</v>
      </c>
      <c r="Q110" s="33">
        <f t="shared" si="58"/>
        <v>0</v>
      </c>
      <c r="R110" s="33">
        <f t="shared" si="64"/>
        <v>0</v>
      </c>
      <c r="S110" s="33">
        <f t="shared" si="65"/>
        <v>0</v>
      </c>
      <c r="T110" s="33">
        <f t="shared" si="45"/>
        <v>0</v>
      </c>
      <c r="U110" s="33">
        <f t="shared" si="59"/>
        <v>0</v>
      </c>
      <c r="V110" s="33">
        <f t="shared" si="46"/>
        <v>0</v>
      </c>
      <c r="W110" s="33">
        <v>0</v>
      </c>
      <c r="X110" s="33">
        <f t="shared" si="47"/>
        <v>0</v>
      </c>
      <c r="Y110" s="38">
        <f t="shared" si="48"/>
        <v>0</v>
      </c>
      <c r="AA110" s="71">
        <v>105</v>
      </c>
      <c r="AB110" s="33">
        <f t="shared" si="49"/>
        <v>0</v>
      </c>
      <c r="AC110" s="305">
        <f t="shared" si="73"/>
        <v>0</v>
      </c>
      <c r="AD110" s="100">
        <f t="shared" si="50"/>
        <v>0</v>
      </c>
      <c r="AE110" s="100">
        <f t="shared" si="51"/>
        <v>0</v>
      </c>
      <c r="AF110" s="194">
        <f t="shared" si="69"/>
        <v>0</v>
      </c>
      <c r="AG110" s="194">
        <f t="shared" si="70"/>
        <v>0</v>
      </c>
      <c r="AH110" s="194">
        <f t="shared" si="71"/>
        <v>0</v>
      </c>
      <c r="AI110" s="199">
        <f t="shared" si="72"/>
        <v>0</v>
      </c>
      <c r="AK110" s="71">
        <v>105</v>
      </c>
      <c r="AL110" s="33">
        <f t="shared" si="52"/>
        <v>0</v>
      </c>
      <c r="AM110" s="33">
        <f t="shared" si="53"/>
        <v>0</v>
      </c>
      <c r="AN110" s="33">
        <f t="shared" si="54"/>
        <v>0</v>
      </c>
      <c r="AO110" s="33">
        <f t="shared" si="55"/>
        <v>0</v>
      </c>
      <c r="AP110" s="33">
        <f t="shared" si="56"/>
        <v>0</v>
      </c>
      <c r="AQ110" s="194">
        <f t="shared" si="57"/>
        <v>0</v>
      </c>
      <c r="AR110" s="194">
        <f t="shared" si="57"/>
        <v>0</v>
      </c>
      <c r="AS110" s="194">
        <f t="shared" si="57"/>
        <v>0</v>
      </c>
      <c r="AT110" s="194">
        <f t="shared" si="57"/>
        <v>0</v>
      </c>
      <c r="AU110" s="33"/>
      <c r="AV110" s="33"/>
      <c r="AW110" s="33"/>
      <c r="AX110" s="33"/>
      <c r="AY110" s="76"/>
    </row>
    <row r="111" spans="2:51" x14ac:dyDescent="0.3">
      <c r="C111" s="157" t="s">
        <v>169</v>
      </c>
      <c r="D111" s="157"/>
      <c r="E111" s="157"/>
      <c r="I111" s="55">
        <v>106</v>
      </c>
      <c r="J111" s="33">
        <f t="shared" si="60"/>
        <v>0</v>
      </c>
      <c r="K111" s="33">
        <f t="shared" si="61"/>
        <v>0</v>
      </c>
      <c r="L111" s="33">
        <f t="shared" si="62"/>
        <v>0</v>
      </c>
      <c r="M111" s="33">
        <f t="shared" si="63"/>
        <v>0</v>
      </c>
      <c r="N111" s="33">
        <f t="shared" si="43"/>
        <v>0</v>
      </c>
      <c r="O111" s="34">
        <f t="shared" si="44"/>
        <v>0</v>
      </c>
      <c r="P111" s="55">
        <v>106</v>
      </c>
      <c r="Q111" s="33">
        <f t="shared" si="58"/>
        <v>0</v>
      </c>
      <c r="R111" s="33">
        <f t="shared" si="64"/>
        <v>0</v>
      </c>
      <c r="S111" s="33">
        <f t="shared" si="65"/>
        <v>0</v>
      </c>
      <c r="T111" s="33">
        <f t="shared" si="45"/>
        <v>0</v>
      </c>
      <c r="U111" s="33">
        <f t="shared" si="59"/>
        <v>0</v>
      </c>
      <c r="V111" s="33">
        <f t="shared" si="46"/>
        <v>0</v>
      </c>
      <c r="W111" s="33">
        <v>0</v>
      </c>
      <c r="X111" s="33">
        <f t="shared" si="47"/>
        <v>0</v>
      </c>
      <c r="Y111" s="38">
        <f t="shared" si="48"/>
        <v>0</v>
      </c>
      <c r="AA111" s="71">
        <v>106</v>
      </c>
      <c r="AB111" s="33">
        <f t="shared" si="49"/>
        <v>0</v>
      </c>
      <c r="AC111" s="305">
        <f t="shared" si="73"/>
        <v>0</v>
      </c>
      <c r="AD111" s="100">
        <f t="shared" si="50"/>
        <v>0</v>
      </c>
      <c r="AE111" s="100">
        <f t="shared" si="51"/>
        <v>0</v>
      </c>
      <c r="AF111" s="194">
        <f t="shared" si="69"/>
        <v>0</v>
      </c>
      <c r="AG111" s="194">
        <f t="shared" si="70"/>
        <v>0</v>
      </c>
      <c r="AH111" s="194">
        <f t="shared" si="71"/>
        <v>0</v>
      </c>
      <c r="AI111" s="199">
        <f t="shared" si="72"/>
        <v>0</v>
      </c>
      <c r="AK111" s="71">
        <v>106</v>
      </c>
      <c r="AL111" s="33">
        <f t="shared" si="52"/>
        <v>0</v>
      </c>
      <c r="AM111" s="33">
        <f t="shared" si="53"/>
        <v>0</v>
      </c>
      <c r="AN111" s="33">
        <f t="shared" si="54"/>
        <v>0</v>
      </c>
      <c r="AO111" s="33">
        <f t="shared" si="55"/>
        <v>0</v>
      </c>
      <c r="AP111" s="33">
        <f t="shared" si="56"/>
        <v>0</v>
      </c>
      <c r="AQ111" s="194">
        <f t="shared" si="57"/>
        <v>0</v>
      </c>
      <c r="AR111" s="194">
        <f t="shared" si="57"/>
        <v>0</v>
      </c>
      <c r="AS111" s="194">
        <f t="shared" si="57"/>
        <v>0</v>
      </c>
      <c r="AT111" s="194">
        <f t="shared" si="57"/>
        <v>0</v>
      </c>
      <c r="AU111" s="33"/>
      <c r="AV111" s="33"/>
      <c r="AW111" s="33"/>
      <c r="AX111" s="33"/>
      <c r="AY111" s="76"/>
    </row>
    <row r="112" spans="2:51" x14ac:dyDescent="0.3">
      <c r="C112" s="74" t="s">
        <v>145</v>
      </c>
      <c r="D112" s="74" t="s">
        <v>72</v>
      </c>
      <c r="E112" s="74" t="s">
        <v>166</v>
      </c>
      <c r="I112" s="55">
        <v>107</v>
      </c>
      <c r="J112" s="33">
        <f t="shared" si="60"/>
        <v>0</v>
      </c>
      <c r="K112" s="33">
        <f t="shared" si="61"/>
        <v>0</v>
      </c>
      <c r="L112" s="33">
        <f t="shared" si="62"/>
        <v>0</v>
      </c>
      <c r="M112" s="33">
        <f t="shared" si="63"/>
        <v>0</v>
      </c>
      <c r="N112" s="33">
        <f t="shared" si="43"/>
        <v>0</v>
      </c>
      <c r="O112" s="34">
        <f t="shared" si="44"/>
        <v>0</v>
      </c>
      <c r="P112" s="55">
        <v>107</v>
      </c>
      <c r="Q112" s="33">
        <f t="shared" si="58"/>
        <v>0</v>
      </c>
      <c r="R112" s="33">
        <f t="shared" si="64"/>
        <v>0</v>
      </c>
      <c r="S112" s="33">
        <f t="shared" si="65"/>
        <v>0</v>
      </c>
      <c r="T112" s="33">
        <f t="shared" si="45"/>
        <v>0</v>
      </c>
      <c r="U112" s="33">
        <f t="shared" si="59"/>
        <v>0</v>
      </c>
      <c r="V112" s="33">
        <f t="shared" si="46"/>
        <v>0</v>
      </c>
      <c r="W112" s="33">
        <v>0</v>
      </c>
      <c r="X112" s="33">
        <f t="shared" si="47"/>
        <v>0</v>
      </c>
      <c r="Y112" s="38">
        <f t="shared" si="48"/>
        <v>0</v>
      </c>
      <c r="AA112" s="71">
        <v>107</v>
      </c>
      <c r="AB112" s="33">
        <f t="shared" si="49"/>
        <v>0</v>
      </c>
      <c r="AC112" s="305">
        <f t="shared" si="73"/>
        <v>0</v>
      </c>
      <c r="AD112" s="100">
        <f t="shared" si="50"/>
        <v>0</v>
      </c>
      <c r="AE112" s="100">
        <f t="shared" si="51"/>
        <v>0</v>
      </c>
      <c r="AF112" s="194">
        <f t="shared" si="69"/>
        <v>0</v>
      </c>
      <c r="AG112" s="194">
        <f t="shared" si="70"/>
        <v>0</v>
      </c>
      <c r="AH112" s="194">
        <f t="shared" si="71"/>
        <v>0</v>
      </c>
      <c r="AI112" s="199">
        <f t="shared" si="72"/>
        <v>0</v>
      </c>
      <c r="AK112" s="71">
        <v>107</v>
      </c>
      <c r="AL112" s="33">
        <f t="shared" si="52"/>
        <v>0</v>
      </c>
      <c r="AM112" s="33">
        <f t="shared" si="53"/>
        <v>0</v>
      </c>
      <c r="AN112" s="33">
        <f t="shared" si="54"/>
        <v>0</v>
      </c>
      <c r="AO112" s="33">
        <f t="shared" si="55"/>
        <v>0</v>
      </c>
      <c r="AP112" s="33">
        <f t="shared" si="56"/>
        <v>0</v>
      </c>
      <c r="AQ112" s="194">
        <f t="shared" si="57"/>
        <v>0</v>
      </c>
      <c r="AR112" s="194">
        <f t="shared" si="57"/>
        <v>0</v>
      </c>
      <c r="AS112" s="194">
        <f t="shared" si="57"/>
        <v>0</v>
      </c>
      <c r="AT112" s="194">
        <f t="shared" si="57"/>
        <v>0</v>
      </c>
      <c r="AU112" s="33"/>
      <c r="AV112" s="33"/>
      <c r="AW112" s="33"/>
      <c r="AX112" s="33"/>
      <c r="AY112" s="76"/>
    </row>
    <row r="113" spans="2:51" x14ac:dyDescent="0.3">
      <c r="B113" s="67" t="s">
        <v>167</v>
      </c>
      <c r="C113" s="79">
        <f>1/$F$18*SUM(X6:X205)</f>
        <v>547.78932328865665</v>
      </c>
      <c r="D113" s="79">
        <f>1/$F$10*SUM(O6:O205)</f>
        <v>324.56262814810941</v>
      </c>
      <c r="E113" s="78">
        <f>C113-D113</f>
        <v>223.22669514054724</v>
      </c>
      <c r="I113" s="55">
        <v>108</v>
      </c>
      <c r="J113" s="33">
        <f t="shared" si="60"/>
        <v>0</v>
      </c>
      <c r="K113" s="33">
        <f t="shared" si="61"/>
        <v>0</v>
      </c>
      <c r="L113" s="33">
        <f t="shared" si="62"/>
        <v>0</v>
      </c>
      <c r="M113" s="33">
        <f t="shared" si="63"/>
        <v>0</v>
      </c>
      <c r="N113" s="33">
        <f t="shared" si="43"/>
        <v>0</v>
      </c>
      <c r="O113" s="34">
        <f t="shared" si="44"/>
        <v>0</v>
      </c>
      <c r="P113" s="55">
        <v>108</v>
      </c>
      <c r="Q113" s="33">
        <f t="shared" si="58"/>
        <v>0</v>
      </c>
      <c r="R113" s="33">
        <f t="shared" si="64"/>
        <v>0</v>
      </c>
      <c r="S113" s="33">
        <f t="shared" si="65"/>
        <v>0</v>
      </c>
      <c r="T113" s="33">
        <f t="shared" si="45"/>
        <v>0</v>
      </c>
      <c r="U113" s="33">
        <f t="shared" si="59"/>
        <v>0</v>
      </c>
      <c r="V113" s="33">
        <f t="shared" si="46"/>
        <v>0</v>
      </c>
      <c r="W113" s="33">
        <v>0</v>
      </c>
      <c r="X113" s="33">
        <f t="shared" si="47"/>
        <v>0</v>
      </c>
      <c r="Y113" s="38">
        <f t="shared" si="48"/>
        <v>0</v>
      </c>
      <c r="AA113" s="71">
        <v>108</v>
      </c>
      <c r="AB113" s="33">
        <f t="shared" si="49"/>
        <v>0</v>
      </c>
      <c r="AC113" s="305">
        <f t="shared" si="73"/>
        <v>0</v>
      </c>
      <c r="AD113" s="100">
        <f t="shared" si="50"/>
        <v>0</v>
      </c>
      <c r="AE113" s="100">
        <f t="shared" si="51"/>
        <v>0</v>
      </c>
      <c r="AF113" s="194">
        <f t="shared" si="69"/>
        <v>0</v>
      </c>
      <c r="AG113" s="194">
        <f t="shared" si="70"/>
        <v>0</v>
      </c>
      <c r="AH113" s="194">
        <f t="shared" si="71"/>
        <v>0</v>
      </c>
      <c r="AI113" s="199">
        <f t="shared" si="72"/>
        <v>0</v>
      </c>
      <c r="AK113" s="71">
        <v>108</v>
      </c>
      <c r="AL113" s="33">
        <f t="shared" si="52"/>
        <v>0</v>
      </c>
      <c r="AM113" s="33">
        <f t="shared" si="53"/>
        <v>0</v>
      </c>
      <c r="AN113" s="33">
        <f t="shared" si="54"/>
        <v>0</v>
      </c>
      <c r="AO113" s="33">
        <f t="shared" si="55"/>
        <v>0</v>
      </c>
      <c r="AP113" s="33">
        <f t="shared" si="56"/>
        <v>0</v>
      </c>
      <c r="AQ113" s="194">
        <f t="shared" si="57"/>
        <v>0</v>
      </c>
      <c r="AR113" s="194">
        <f t="shared" si="57"/>
        <v>0</v>
      </c>
      <c r="AS113" s="194">
        <f t="shared" si="57"/>
        <v>0</v>
      </c>
      <c r="AT113" s="194">
        <f t="shared" si="57"/>
        <v>0</v>
      </c>
      <c r="AU113" s="33"/>
      <c r="AV113" s="33"/>
      <c r="AW113" s="33"/>
      <c r="AX113" s="33"/>
      <c r="AY113" s="76"/>
    </row>
    <row r="114" spans="2:51" x14ac:dyDescent="0.3">
      <c r="B114" s="67" t="s">
        <v>168</v>
      </c>
      <c r="C114" s="79">
        <f>X35</f>
        <v>572.00829759340172</v>
      </c>
      <c r="D114" s="79">
        <f>O35</f>
        <v>332.97845714169233</v>
      </c>
      <c r="E114" s="78">
        <f>VLOOKUP(30,I5:Y205,17,FALSE)</f>
        <v>239.02984045170939</v>
      </c>
      <c r="I114" s="55">
        <v>109</v>
      </c>
      <c r="J114" s="33">
        <f t="shared" si="60"/>
        <v>0</v>
      </c>
      <c r="K114" s="33">
        <f t="shared" si="61"/>
        <v>0</v>
      </c>
      <c r="L114" s="33">
        <f t="shared" si="62"/>
        <v>0</v>
      </c>
      <c r="M114" s="33">
        <f t="shared" si="63"/>
        <v>0</v>
      </c>
      <c r="N114" s="33">
        <f t="shared" si="43"/>
        <v>0</v>
      </c>
      <c r="O114" s="34">
        <f t="shared" si="44"/>
        <v>0</v>
      </c>
      <c r="P114" s="55">
        <v>109</v>
      </c>
      <c r="Q114" s="33">
        <f t="shared" si="58"/>
        <v>0</v>
      </c>
      <c r="R114" s="33">
        <f t="shared" si="64"/>
        <v>0</v>
      </c>
      <c r="S114" s="33">
        <f t="shared" si="65"/>
        <v>0</v>
      </c>
      <c r="T114" s="33">
        <f t="shared" si="45"/>
        <v>0</v>
      </c>
      <c r="U114" s="33">
        <f t="shared" si="59"/>
        <v>0</v>
      </c>
      <c r="V114" s="33">
        <f t="shared" si="46"/>
        <v>0</v>
      </c>
      <c r="W114" s="33">
        <v>0</v>
      </c>
      <c r="X114" s="33">
        <f t="shared" si="47"/>
        <v>0</v>
      </c>
      <c r="Y114" s="38">
        <f t="shared" si="48"/>
        <v>0</v>
      </c>
      <c r="AA114" s="71">
        <v>109</v>
      </c>
      <c r="AB114" s="33">
        <f t="shared" si="49"/>
        <v>0</v>
      </c>
      <c r="AC114" s="305">
        <f t="shared" si="73"/>
        <v>0</v>
      </c>
      <c r="AD114" s="100">
        <f t="shared" si="50"/>
        <v>0</v>
      </c>
      <c r="AE114" s="100">
        <f t="shared" si="51"/>
        <v>0</v>
      </c>
      <c r="AF114" s="194">
        <f t="shared" si="69"/>
        <v>0</v>
      </c>
      <c r="AG114" s="194">
        <f t="shared" si="70"/>
        <v>0</v>
      </c>
      <c r="AH114" s="194">
        <f t="shared" si="71"/>
        <v>0</v>
      </c>
      <c r="AI114" s="199">
        <f t="shared" si="72"/>
        <v>0</v>
      </c>
      <c r="AK114" s="71">
        <v>109</v>
      </c>
      <c r="AL114" s="33">
        <f t="shared" si="52"/>
        <v>0</v>
      </c>
      <c r="AM114" s="33">
        <f t="shared" si="53"/>
        <v>0</v>
      </c>
      <c r="AN114" s="33">
        <f t="shared" si="54"/>
        <v>0</v>
      </c>
      <c r="AO114" s="33">
        <f t="shared" si="55"/>
        <v>0</v>
      </c>
      <c r="AP114" s="33">
        <f t="shared" si="56"/>
        <v>0</v>
      </c>
      <c r="AQ114" s="194">
        <f t="shared" si="57"/>
        <v>0</v>
      </c>
      <c r="AR114" s="194">
        <f t="shared" si="57"/>
        <v>0</v>
      </c>
      <c r="AS114" s="194">
        <f t="shared" si="57"/>
        <v>0</v>
      </c>
      <c r="AT114" s="194">
        <f t="shared" si="57"/>
        <v>0</v>
      </c>
      <c r="AU114" s="33"/>
      <c r="AV114" s="33"/>
      <c r="AW114" s="33"/>
      <c r="AX114" s="33"/>
      <c r="AY114" s="76"/>
    </row>
    <row r="115" spans="2:51" x14ac:dyDescent="0.3">
      <c r="C115" s="80"/>
      <c r="D115" s="80"/>
      <c r="E115" s="80"/>
      <c r="I115" s="55">
        <v>110</v>
      </c>
      <c r="J115" s="33">
        <f t="shared" si="60"/>
        <v>0</v>
      </c>
      <c r="K115" s="33">
        <f t="shared" si="61"/>
        <v>0</v>
      </c>
      <c r="L115" s="33">
        <f t="shared" si="62"/>
        <v>0</v>
      </c>
      <c r="M115" s="33">
        <f t="shared" si="63"/>
        <v>0</v>
      </c>
      <c r="N115" s="33">
        <f t="shared" si="43"/>
        <v>0</v>
      </c>
      <c r="O115" s="34">
        <f t="shared" si="44"/>
        <v>0</v>
      </c>
      <c r="P115" s="55">
        <v>110</v>
      </c>
      <c r="Q115" s="33">
        <f t="shared" si="58"/>
        <v>0</v>
      </c>
      <c r="R115" s="33">
        <f t="shared" si="64"/>
        <v>0</v>
      </c>
      <c r="S115" s="33">
        <f t="shared" si="65"/>
        <v>0</v>
      </c>
      <c r="T115" s="33">
        <f t="shared" si="45"/>
        <v>0</v>
      </c>
      <c r="U115" s="33">
        <f t="shared" si="59"/>
        <v>0</v>
      </c>
      <c r="V115" s="33">
        <f t="shared" si="46"/>
        <v>0</v>
      </c>
      <c r="W115" s="33">
        <v>0</v>
      </c>
      <c r="X115" s="33">
        <f t="shared" si="47"/>
        <v>0</v>
      </c>
      <c r="Y115" s="38">
        <f t="shared" si="48"/>
        <v>0</v>
      </c>
      <c r="AA115" s="71">
        <v>110</v>
      </c>
      <c r="AB115" s="33">
        <f t="shared" si="49"/>
        <v>0</v>
      </c>
      <c r="AC115" s="305">
        <f t="shared" si="73"/>
        <v>0</v>
      </c>
      <c r="AD115" s="100">
        <f t="shared" si="50"/>
        <v>0</v>
      </c>
      <c r="AE115" s="100">
        <f t="shared" si="51"/>
        <v>0</v>
      </c>
      <c r="AF115" s="194">
        <f t="shared" si="69"/>
        <v>0</v>
      </c>
      <c r="AG115" s="194">
        <f t="shared" si="70"/>
        <v>0</v>
      </c>
      <c r="AH115" s="194">
        <f t="shared" si="71"/>
        <v>0</v>
      </c>
      <c r="AI115" s="199">
        <f t="shared" si="72"/>
        <v>0</v>
      </c>
      <c r="AK115" s="71">
        <v>110</v>
      </c>
      <c r="AL115" s="33">
        <f t="shared" si="52"/>
        <v>0</v>
      </c>
      <c r="AM115" s="33">
        <f t="shared" si="53"/>
        <v>0</v>
      </c>
      <c r="AN115" s="33">
        <f t="shared" si="54"/>
        <v>0</v>
      </c>
      <c r="AO115" s="33">
        <f t="shared" si="55"/>
        <v>0</v>
      </c>
      <c r="AP115" s="33">
        <f t="shared" si="56"/>
        <v>0</v>
      </c>
      <c r="AQ115" s="194">
        <f t="shared" si="57"/>
        <v>0</v>
      </c>
      <c r="AR115" s="194">
        <f t="shared" si="57"/>
        <v>0</v>
      </c>
      <c r="AS115" s="194">
        <f t="shared" si="57"/>
        <v>0</v>
      </c>
      <c r="AT115" s="194">
        <f t="shared" si="57"/>
        <v>0</v>
      </c>
      <c r="AU115" s="33"/>
      <c r="AV115" s="33"/>
      <c r="AW115" s="33"/>
      <c r="AX115" s="33"/>
      <c r="AY115" s="76"/>
    </row>
    <row r="116" spans="2:51" x14ac:dyDescent="0.3">
      <c r="C116" s="135" t="s">
        <v>125</v>
      </c>
      <c r="D116" s="135"/>
      <c r="E116" s="135"/>
      <c r="I116" s="55">
        <v>111</v>
      </c>
      <c r="J116" s="33">
        <f t="shared" si="60"/>
        <v>0</v>
      </c>
      <c r="K116" s="33">
        <f t="shared" si="61"/>
        <v>0</v>
      </c>
      <c r="L116" s="33">
        <f t="shared" si="62"/>
        <v>0</v>
      </c>
      <c r="M116" s="33">
        <f t="shared" si="63"/>
        <v>0</v>
      </c>
      <c r="N116" s="33">
        <f t="shared" si="43"/>
        <v>0</v>
      </c>
      <c r="O116" s="34">
        <f t="shared" si="44"/>
        <v>0</v>
      </c>
      <c r="P116" s="55">
        <v>111</v>
      </c>
      <c r="Q116" s="33">
        <f t="shared" si="58"/>
        <v>0</v>
      </c>
      <c r="R116" s="33">
        <f t="shared" si="64"/>
        <v>0</v>
      </c>
      <c r="S116" s="33">
        <f t="shared" si="65"/>
        <v>0</v>
      </c>
      <c r="T116" s="33">
        <f t="shared" si="45"/>
        <v>0</v>
      </c>
      <c r="U116" s="33">
        <f t="shared" si="59"/>
        <v>0</v>
      </c>
      <c r="V116" s="33">
        <f t="shared" si="46"/>
        <v>0</v>
      </c>
      <c r="W116" s="33">
        <v>0</v>
      </c>
      <c r="X116" s="33">
        <f t="shared" si="47"/>
        <v>0</v>
      </c>
      <c r="Y116" s="38">
        <f t="shared" si="48"/>
        <v>0</v>
      </c>
      <c r="AA116" s="71">
        <v>111</v>
      </c>
      <c r="AB116" s="33">
        <f t="shared" si="49"/>
        <v>0</v>
      </c>
      <c r="AC116" s="305">
        <f t="shared" si="73"/>
        <v>0</v>
      </c>
      <c r="AD116" s="100">
        <f t="shared" si="50"/>
        <v>0</v>
      </c>
      <c r="AE116" s="100">
        <f t="shared" si="51"/>
        <v>0</v>
      </c>
      <c r="AF116" s="194">
        <f t="shared" si="69"/>
        <v>0</v>
      </c>
      <c r="AG116" s="194">
        <f t="shared" si="70"/>
        <v>0</v>
      </c>
      <c r="AH116" s="194">
        <f t="shared" si="71"/>
        <v>0</v>
      </c>
      <c r="AI116" s="199">
        <f t="shared" si="72"/>
        <v>0</v>
      </c>
      <c r="AK116" s="71">
        <v>111</v>
      </c>
      <c r="AL116" s="33">
        <f t="shared" si="52"/>
        <v>0</v>
      </c>
      <c r="AM116" s="33">
        <f t="shared" si="53"/>
        <v>0</v>
      </c>
      <c r="AN116" s="33">
        <f t="shared" si="54"/>
        <v>0</v>
      </c>
      <c r="AO116" s="33">
        <f t="shared" si="55"/>
        <v>0</v>
      </c>
      <c r="AP116" s="33">
        <f t="shared" si="56"/>
        <v>0</v>
      </c>
      <c r="AQ116" s="194">
        <f t="shared" si="57"/>
        <v>0</v>
      </c>
      <c r="AR116" s="194">
        <f t="shared" si="57"/>
        <v>0</v>
      </c>
      <c r="AS116" s="194">
        <f t="shared" si="57"/>
        <v>0</v>
      </c>
      <c r="AT116" s="194">
        <f t="shared" si="57"/>
        <v>0</v>
      </c>
      <c r="AU116" s="33"/>
      <c r="AV116" s="33"/>
      <c r="AW116" s="33"/>
      <c r="AX116" s="33"/>
      <c r="AY116" s="76"/>
    </row>
    <row r="117" spans="2:51" x14ac:dyDescent="0.3">
      <c r="C117" s="135" t="s">
        <v>145</v>
      </c>
      <c r="D117" s="135" t="s">
        <v>72</v>
      </c>
      <c r="E117" s="81" t="s">
        <v>166</v>
      </c>
      <c r="I117" s="55">
        <v>112</v>
      </c>
      <c r="J117" s="33">
        <f t="shared" si="60"/>
        <v>0</v>
      </c>
      <c r="K117" s="33">
        <f t="shared" si="61"/>
        <v>0</v>
      </c>
      <c r="L117" s="33">
        <f t="shared" si="62"/>
        <v>0</v>
      </c>
      <c r="M117" s="33">
        <f t="shared" si="63"/>
        <v>0</v>
      </c>
      <c r="N117" s="33">
        <f t="shared" si="43"/>
        <v>0</v>
      </c>
      <c r="O117" s="34">
        <f t="shared" si="44"/>
        <v>0</v>
      </c>
      <c r="P117" s="55">
        <v>112</v>
      </c>
      <c r="Q117" s="33">
        <f t="shared" si="58"/>
        <v>0</v>
      </c>
      <c r="R117" s="33">
        <f t="shared" si="64"/>
        <v>0</v>
      </c>
      <c r="S117" s="33">
        <f t="shared" si="65"/>
        <v>0</v>
      </c>
      <c r="T117" s="33">
        <f t="shared" si="45"/>
        <v>0</v>
      </c>
      <c r="U117" s="33">
        <f t="shared" si="59"/>
        <v>0</v>
      </c>
      <c r="V117" s="33">
        <f t="shared" si="46"/>
        <v>0</v>
      </c>
      <c r="W117" s="33">
        <v>0</v>
      </c>
      <c r="X117" s="33">
        <f t="shared" si="47"/>
        <v>0</v>
      </c>
      <c r="Y117" s="38">
        <f t="shared" si="48"/>
        <v>0</v>
      </c>
      <c r="AA117" s="71">
        <v>112</v>
      </c>
      <c r="AB117" s="33">
        <f t="shared" si="49"/>
        <v>0</v>
      </c>
      <c r="AC117" s="305">
        <f t="shared" si="73"/>
        <v>0</v>
      </c>
      <c r="AD117" s="100">
        <f t="shared" si="50"/>
        <v>0</v>
      </c>
      <c r="AE117" s="100">
        <f t="shared" si="51"/>
        <v>0</v>
      </c>
      <c r="AF117" s="194">
        <f t="shared" si="69"/>
        <v>0</v>
      </c>
      <c r="AG117" s="194">
        <f t="shared" si="70"/>
        <v>0</v>
      </c>
      <c r="AH117" s="194">
        <f t="shared" si="71"/>
        <v>0</v>
      </c>
      <c r="AI117" s="199">
        <f t="shared" si="72"/>
        <v>0</v>
      </c>
      <c r="AK117" s="71">
        <v>112</v>
      </c>
      <c r="AL117" s="33">
        <f t="shared" si="52"/>
        <v>0</v>
      </c>
      <c r="AM117" s="33">
        <f t="shared" si="53"/>
        <v>0</v>
      </c>
      <c r="AN117" s="33">
        <f t="shared" si="54"/>
        <v>0</v>
      </c>
      <c r="AO117" s="33">
        <f t="shared" si="55"/>
        <v>0</v>
      </c>
      <c r="AP117" s="33">
        <f t="shared" si="56"/>
        <v>0</v>
      </c>
      <c r="AQ117" s="194">
        <f t="shared" si="57"/>
        <v>0</v>
      </c>
      <c r="AR117" s="194">
        <f t="shared" si="57"/>
        <v>0</v>
      </c>
      <c r="AS117" s="194">
        <f t="shared" si="57"/>
        <v>0</v>
      </c>
      <c r="AT117" s="194">
        <f t="shared" si="57"/>
        <v>0</v>
      </c>
      <c r="AU117" s="33"/>
      <c r="AV117" s="33"/>
      <c r="AW117" s="33"/>
      <c r="AX117" s="33"/>
      <c r="AY117" s="76"/>
    </row>
    <row r="118" spans="2:51" x14ac:dyDescent="0.3">
      <c r="B118" s="67" t="s">
        <v>261</v>
      </c>
      <c r="C118" s="303">
        <f>1/30*SUM(AI6:AI35)</f>
        <v>16.308248807012244</v>
      </c>
      <c r="D118" s="79">
        <v>0</v>
      </c>
      <c r="E118" s="78">
        <f>C118-D118</f>
        <v>16.308248807012244</v>
      </c>
      <c r="I118" s="55">
        <v>113</v>
      </c>
      <c r="J118" s="33">
        <f t="shared" si="60"/>
        <v>0</v>
      </c>
      <c r="K118" s="33">
        <f t="shared" si="61"/>
        <v>0</v>
      </c>
      <c r="L118" s="33">
        <f t="shared" si="62"/>
        <v>0</v>
      </c>
      <c r="M118" s="33">
        <f t="shared" si="63"/>
        <v>0</v>
      </c>
      <c r="N118" s="33">
        <f t="shared" si="43"/>
        <v>0</v>
      </c>
      <c r="O118" s="34">
        <f t="shared" si="44"/>
        <v>0</v>
      </c>
      <c r="P118" s="55">
        <v>113</v>
      </c>
      <c r="Q118" s="33">
        <f t="shared" si="58"/>
        <v>0</v>
      </c>
      <c r="R118" s="33">
        <f t="shared" si="64"/>
        <v>0</v>
      </c>
      <c r="S118" s="33">
        <f t="shared" si="65"/>
        <v>0</v>
      </c>
      <c r="T118" s="33">
        <f t="shared" si="45"/>
        <v>0</v>
      </c>
      <c r="U118" s="33">
        <f t="shared" si="59"/>
        <v>0</v>
      </c>
      <c r="V118" s="33">
        <f t="shared" si="46"/>
        <v>0</v>
      </c>
      <c r="W118" s="33">
        <v>0</v>
      </c>
      <c r="X118" s="33">
        <f t="shared" si="47"/>
        <v>0</v>
      </c>
      <c r="Y118" s="38">
        <f t="shared" si="48"/>
        <v>0</v>
      </c>
      <c r="AA118" s="71">
        <v>113</v>
      </c>
      <c r="AB118" s="33">
        <f t="shared" si="49"/>
        <v>0</v>
      </c>
      <c r="AC118" s="305">
        <f t="shared" si="73"/>
        <v>0</v>
      </c>
      <c r="AD118" s="100">
        <f t="shared" si="50"/>
        <v>0</v>
      </c>
      <c r="AE118" s="100">
        <f t="shared" si="51"/>
        <v>0</v>
      </c>
      <c r="AF118" s="194">
        <f t="shared" si="69"/>
        <v>0</v>
      </c>
      <c r="AG118" s="194">
        <f t="shared" si="70"/>
        <v>0</v>
      </c>
      <c r="AH118" s="194">
        <f t="shared" si="71"/>
        <v>0</v>
      </c>
      <c r="AI118" s="199">
        <f t="shared" si="72"/>
        <v>0</v>
      </c>
      <c r="AK118" s="71">
        <v>113</v>
      </c>
      <c r="AL118" s="33">
        <f t="shared" si="52"/>
        <v>0</v>
      </c>
      <c r="AM118" s="33">
        <f t="shared" si="53"/>
        <v>0</v>
      </c>
      <c r="AN118" s="33">
        <f t="shared" si="54"/>
        <v>0</v>
      </c>
      <c r="AO118" s="33">
        <f t="shared" si="55"/>
        <v>0</v>
      </c>
      <c r="AP118" s="33">
        <f t="shared" si="56"/>
        <v>0</v>
      </c>
      <c r="AQ118" s="194">
        <f t="shared" si="57"/>
        <v>0</v>
      </c>
      <c r="AR118" s="194">
        <f t="shared" si="57"/>
        <v>0</v>
      </c>
      <c r="AS118" s="194">
        <f t="shared" si="57"/>
        <v>0</v>
      </c>
      <c r="AT118" s="194">
        <f t="shared" si="57"/>
        <v>0</v>
      </c>
      <c r="AU118" s="33"/>
      <c r="AV118" s="33"/>
      <c r="AW118" s="33"/>
      <c r="AX118" s="33"/>
      <c r="AY118" s="76"/>
    </row>
    <row r="119" spans="2:51" x14ac:dyDescent="0.3">
      <c r="B119" s="67"/>
      <c r="C119" s="82"/>
      <c r="D119" s="79"/>
      <c r="E119" s="78"/>
      <c r="I119" s="55">
        <v>114</v>
      </c>
      <c r="J119" s="33">
        <f t="shared" si="60"/>
        <v>0</v>
      </c>
      <c r="K119" s="33">
        <f t="shared" si="61"/>
        <v>0</v>
      </c>
      <c r="L119" s="33">
        <f t="shared" si="62"/>
        <v>0</v>
      </c>
      <c r="M119" s="33">
        <f t="shared" si="63"/>
        <v>0</v>
      </c>
      <c r="N119" s="33">
        <f t="shared" si="43"/>
        <v>0</v>
      </c>
      <c r="O119" s="34">
        <f t="shared" si="44"/>
        <v>0</v>
      </c>
      <c r="P119" s="55">
        <v>114</v>
      </c>
      <c r="Q119" s="33">
        <f t="shared" si="58"/>
        <v>0</v>
      </c>
      <c r="R119" s="33">
        <f t="shared" si="64"/>
        <v>0</v>
      </c>
      <c r="S119" s="33">
        <f t="shared" si="65"/>
        <v>0</v>
      </c>
      <c r="T119" s="33">
        <f t="shared" si="45"/>
        <v>0</v>
      </c>
      <c r="U119" s="33">
        <f t="shared" si="59"/>
        <v>0</v>
      </c>
      <c r="V119" s="33">
        <f t="shared" si="46"/>
        <v>0</v>
      </c>
      <c r="W119" s="33">
        <v>0</v>
      </c>
      <c r="X119" s="33">
        <f t="shared" si="47"/>
        <v>0</v>
      </c>
      <c r="Y119" s="38">
        <f t="shared" si="48"/>
        <v>0</v>
      </c>
      <c r="AA119" s="71">
        <v>114</v>
      </c>
      <c r="AB119" s="33">
        <f t="shared" si="49"/>
        <v>0</v>
      </c>
      <c r="AC119" s="305">
        <f t="shared" si="73"/>
        <v>0</v>
      </c>
      <c r="AD119" s="100">
        <f t="shared" si="50"/>
        <v>0</v>
      </c>
      <c r="AE119" s="100">
        <f t="shared" si="51"/>
        <v>0</v>
      </c>
      <c r="AF119" s="194">
        <f t="shared" si="69"/>
        <v>0</v>
      </c>
      <c r="AG119" s="194">
        <f t="shared" si="70"/>
        <v>0</v>
      </c>
      <c r="AH119" s="194">
        <f t="shared" si="71"/>
        <v>0</v>
      </c>
      <c r="AI119" s="199">
        <f t="shared" si="72"/>
        <v>0</v>
      </c>
      <c r="AK119" s="71">
        <v>114</v>
      </c>
      <c r="AL119" s="33">
        <f t="shared" si="52"/>
        <v>0</v>
      </c>
      <c r="AM119" s="33">
        <f t="shared" si="53"/>
        <v>0</v>
      </c>
      <c r="AN119" s="33">
        <f t="shared" si="54"/>
        <v>0</v>
      </c>
      <c r="AO119" s="33">
        <f t="shared" si="55"/>
        <v>0</v>
      </c>
      <c r="AP119" s="33">
        <f t="shared" si="56"/>
        <v>0</v>
      </c>
      <c r="AQ119" s="194">
        <f t="shared" si="57"/>
        <v>0</v>
      </c>
      <c r="AR119" s="194">
        <f t="shared" si="57"/>
        <v>0</v>
      </c>
      <c r="AS119" s="194">
        <f t="shared" si="57"/>
        <v>0</v>
      </c>
      <c r="AT119" s="194">
        <f t="shared" si="57"/>
        <v>0</v>
      </c>
      <c r="AU119" s="33"/>
      <c r="AV119" s="33"/>
      <c r="AW119" s="33"/>
      <c r="AX119" s="33"/>
      <c r="AY119" s="76"/>
    </row>
    <row r="120" spans="2:51" x14ac:dyDescent="0.3">
      <c r="C120" s="80"/>
      <c r="D120" s="80"/>
      <c r="E120" s="83"/>
      <c r="I120" s="55">
        <v>115</v>
      </c>
      <c r="J120" s="33">
        <f t="shared" si="60"/>
        <v>0</v>
      </c>
      <c r="K120" s="33">
        <f t="shared" si="61"/>
        <v>0</v>
      </c>
      <c r="L120" s="33">
        <f t="shared" si="62"/>
        <v>0</v>
      </c>
      <c r="M120" s="33">
        <f t="shared" si="63"/>
        <v>0</v>
      </c>
      <c r="N120" s="33">
        <f t="shared" si="43"/>
        <v>0</v>
      </c>
      <c r="O120" s="34">
        <f t="shared" si="44"/>
        <v>0</v>
      </c>
      <c r="P120" s="55">
        <v>115</v>
      </c>
      <c r="Q120" s="33">
        <f t="shared" si="58"/>
        <v>0</v>
      </c>
      <c r="R120" s="33">
        <f t="shared" si="64"/>
        <v>0</v>
      </c>
      <c r="S120" s="33">
        <f t="shared" si="65"/>
        <v>0</v>
      </c>
      <c r="T120" s="33">
        <f t="shared" si="45"/>
        <v>0</v>
      </c>
      <c r="U120" s="33">
        <f t="shared" si="59"/>
        <v>0</v>
      </c>
      <c r="V120" s="33">
        <f t="shared" si="46"/>
        <v>0</v>
      </c>
      <c r="W120" s="33">
        <v>0</v>
      </c>
      <c r="X120" s="33">
        <f t="shared" si="47"/>
        <v>0</v>
      </c>
      <c r="Y120" s="38">
        <f t="shared" si="48"/>
        <v>0</v>
      </c>
      <c r="AA120" s="71">
        <v>115</v>
      </c>
      <c r="AB120" s="33">
        <f t="shared" si="49"/>
        <v>0</v>
      </c>
      <c r="AC120" s="305">
        <f t="shared" si="73"/>
        <v>0</v>
      </c>
      <c r="AD120" s="100">
        <f t="shared" si="50"/>
        <v>0</v>
      </c>
      <c r="AE120" s="100">
        <f t="shared" si="51"/>
        <v>0</v>
      </c>
      <c r="AF120" s="194">
        <f t="shared" si="69"/>
        <v>0</v>
      </c>
      <c r="AG120" s="194">
        <f t="shared" si="70"/>
        <v>0</v>
      </c>
      <c r="AH120" s="194">
        <f t="shared" si="71"/>
        <v>0</v>
      </c>
      <c r="AI120" s="199">
        <f t="shared" si="72"/>
        <v>0</v>
      </c>
      <c r="AK120" s="71">
        <v>115</v>
      </c>
      <c r="AL120" s="33">
        <f t="shared" si="52"/>
        <v>0</v>
      </c>
      <c r="AM120" s="33">
        <f t="shared" si="53"/>
        <v>0</v>
      </c>
      <c r="AN120" s="33">
        <f t="shared" si="54"/>
        <v>0</v>
      </c>
      <c r="AO120" s="33">
        <f t="shared" si="55"/>
        <v>0</v>
      </c>
      <c r="AP120" s="33">
        <f t="shared" si="56"/>
        <v>0</v>
      </c>
      <c r="AQ120" s="194">
        <f t="shared" si="57"/>
        <v>0</v>
      </c>
      <c r="AR120" s="194">
        <f t="shared" si="57"/>
        <v>0</v>
      </c>
      <c r="AS120" s="194">
        <f t="shared" si="57"/>
        <v>0</v>
      </c>
      <c r="AT120" s="194">
        <f t="shared" si="57"/>
        <v>0</v>
      </c>
      <c r="AU120" s="33"/>
      <c r="AV120" s="33"/>
      <c r="AW120" s="33"/>
      <c r="AX120" s="33"/>
      <c r="AY120" s="76"/>
    </row>
    <row r="121" spans="2:51" x14ac:dyDescent="0.3">
      <c r="C121" s="135" t="s">
        <v>160</v>
      </c>
      <c r="D121" s="135"/>
      <c r="E121" s="135"/>
      <c r="I121" s="55">
        <v>116</v>
      </c>
      <c r="J121" s="33">
        <f t="shared" si="60"/>
        <v>0</v>
      </c>
      <c r="K121" s="33">
        <f t="shared" si="61"/>
        <v>0</v>
      </c>
      <c r="L121" s="33">
        <f t="shared" si="62"/>
        <v>0</v>
      </c>
      <c r="M121" s="33">
        <f t="shared" si="63"/>
        <v>0</v>
      </c>
      <c r="N121" s="33">
        <f t="shared" si="43"/>
        <v>0</v>
      </c>
      <c r="O121" s="34">
        <f t="shared" si="44"/>
        <v>0</v>
      </c>
      <c r="P121" s="55">
        <v>116</v>
      </c>
      <c r="Q121" s="33">
        <f t="shared" si="58"/>
        <v>0</v>
      </c>
      <c r="R121" s="33">
        <f t="shared" si="64"/>
        <v>0</v>
      </c>
      <c r="S121" s="33">
        <f t="shared" si="65"/>
        <v>0</v>
      </c>
      <c r="T121" s="33">
        <f t="shared" si="45"/>
        <v>0</v>
      </c>
      <c r="U121" s="33">
        <f t="shared" si="59"/>
        <v>0</v>
      </c>
      <c r="V121" s="33">
        <f t="shared" si="46"/>
        <v>0</v>
      </c>
      <c r="W121" s="33">
        <v>0</v>
      </c>
      <c r="X121" s="33">
        <f t="shared" si="47"/>
        <v>0</v>
      </c>
      <c r="Y121" s="38">
        <f t="shared" si="48"/>
        <v>0</v>
      </c>
      <c r="AA121" s="71">
        <v>116</v>
      </c>
      <c r="AB121" s="33">
        <f t="shared" si="49"/>
        <v>0</v>
      </c>
      <c r="AC121" s="305">
        <f t="shared" si="73"/>
        <v>0</v>
      </c>
      <c r="AD121" s="100">
        <f t="shared" si="50"/>
        <v>0</v>
      </c>
      <c r="AE121" s="100">
        <f t="shared" si="51"/>
        <v>0</v>
      </c>
      <c r="AF121" s="194">
        <f t="shared" si="69"/>
        <v>0</v>
      </c>
      <c r="AG121" s="194">
        <f t="shared" si="70"/>
        <v>0</v>
      </c>
      <c r="AH121" s="194">
        <f t="shared" si="71"/>
        <v>0</v>
      </c>
      <c r="AI121" s="199">
        <f t="shared" si="72"/>
        <v>0</v>
      </c>
      <c r="AK121" s="71">
        <v>116</v>
      </c>
      <c r="AL121" s="33">
        <f t="shared" si="52"/>
        <v>0</v>
      </c>
      <c r="AM121" s="33">
        <f t="shared" si="53"/>
        <v>0</v>
      </c>
      <c r="AN121" s="33">
        <f t="shared" si="54"/>
        <v>0</v>
      </c>
      <c r="AO121" s="33">
        <f t="shared" si="55"/>
        <v>0</v>
      </c>
      <c r="AP121" s="33">
        <f t="shared" si="56"/>
        <v>0</v>
      </c>
      <c r="AQ121" s="194">
        <f t="shared" si="57"/>
        <v>0</v>
      </c>
      <c r="AR121" s="194">
        <f t="shared" si="57"/>
        <v>0</v>
      </c>
      <c r="AS121" s="194">
        <f t="shared" si="57"/>
        <v>0</v>
      </c>
      <c r="AT121" s="194">
        <f t="shared" si="57"/>
        <v>0</v>
      </c>
      <c r="AU121" s="33"/>
      <c r="AV121" s="33"/>
      <c r="AW121" s="33"/>
      <c r="AX121" s="33"/>
      <c r="AY121" s="76"/>
    </row>
    <row r="122" spans="2:51" x14ac:dyDescent="0.3">
      <c r="C122" s="135" t="s">
        <v>145</v>
      </c>
      <c r="D122" s="135" t="s">
        <v>72</v>
      </c>
      <c r="E122" s="81" t="s">
        <v>166</v>
      </c>
      <c r="I122" s="55">
        <v>117</v>
      </c>
      <c r="J122" s="33">
        <f t="shared" si="60"/>
        <v>0</v>
      </c>
      <c r="K122" s="33">
        <f t="shared" si="61"/>
        <v>0</v>
      </c>
      <c r="L122" s="33">
        <f t="shared" si="62"/>
        <v>0</v>
      </c>
      <c r="M122" s="33">
        <f t="shared" si="63"/>
        <v>0</v>
      </c>
      <c r="N122" s="33">
        <f t="shared" si="43"/>
        <v>0</v>
      </c>
      <c r="O122" s="34">
        <f t="shared" si="44"/>
        <v>0</v>
      </c>
      <c r="P122" s="55">
        <v>117</v>
      </c>
      <c r="Q122" s="33">
        <f t="shared" si="58"/>
        <v>0</v>
      </c>
      <c r="R122" s="33">
        <f t="shared" si="64"/>
        <v>0</v>
      </c>
      <c r="S122" s="33">
        <f t="shared" si="65"/>
        <v>0</v>
      </c>
      <c r="T122" s="33">
        <f t="shared" si="45"/>
        <v>0</v>
      </c>
      <c r="U122" s="33">
        <f t="shared" si="59"/>
        <v>0</v>
      </c>
      <c r="V122" s="33">
        <f t="shared" si="46"/>
        <v>0</v>
      </c>
      <c r="W122" s="33">
        <v>0</v>
      </c>
      <c r="X122" s="33">
        <f t="shared" si="47"/>
        <v>0</v>
      </c>
      <c r="Y122" s="38">
        <f t="shared" si="48"/>
        <v>0</v>
      </c>
      <c r="AA122" s="71">
        <v>117</v>
      </c>
      <c r="AB122" s="33">
        <f t="shared" si="49"/>
        <v>0</v>
      </c>
      <c r="AC122" s="305">
        <f t="shared" si="73"/>
        <v>0</v>
      </c>
      <c r="AD122" s="100">
        <f t="shared" si="50"/>
        <v>0</v>
      </c>
      <c r="AE122" s="100">
        <f t="shared" si="51"/>
        <v>0</v>
      </c>
      <c r="AF122" s="194">
        <f t="shared" si="69"/>
        <v>0</v>
      </c>
      <c r="AG122" s="194">
        <f t="shared" si="70"/>
        <v>0</v>
      </c>
      <c r="AH122" s="194">
        <f t="shared" si="71"/>
        <v>0</v>
      </c>
      <c r="AI122" s="199">
        <f t="shared" si="72"/>
        <v>0</v>
      </c>
      <c r="AK122" s="71">
        <v>117</v>
      </c>
      <c r="AL122" s="33">
        <f t="shared" si="52"/>
        <v>0</v>
      </c>
      <c r="AM122" s="33">
        <f t="shared" si="53"/>
        <v>0</v>
      </c>
      <c r="AN122" s="33">
        <f t="shared" si="54"/>
        <v>0</v>
      </c>
      <c r="AO122" s="33">
        <f t="shared" si="55"/>
        <v>0</v>
      </c>
      <c r="AP122" s="33">
        <f t="shared" si="56"/>
        <v>0</v>
      </c>
      <c r="AQ122" s="194">
        <f t="shared" si="57"/>
        <v>0</v>
      </c>
      <c r="AR122" s="194">
        <f t="shared" si="57"/>
        <v>0</v>
      </c>
      <c r="AS122" s="194">
        <f t="shared" si="57"/>
        <v>0</v>
      </c>
      <c r="AT122" s="194">
        <f t="shared" si="57"/>
        <v>0</v>
      </c>
      <c r="AU122" s="33"/>
      <c r="AV122" s="33"/>
      <c r="AW122" s="33"/>
      <c r="AX122" s="33"/>
      <c r="AY122" s="76"/>
    </row>
    <row r="123" spans="2:51" x14ac:dyDescent="0.3">
      <c r="B123" s="67" t="s">
        <v>168</v>
      </c>
      <c r="C123" s="82">
        <f>AY35</f>
        <v>46.079479853265482</v>
      </c>
      <c r="D123" s="304">
        <f>IF(AND(D8=B100,F12=C194),J34*50%*G107,0)</f>
        <v>0</v>
      </c>
      <c r="E123" s="78">
        <f>C123-D123</f>
        <v>46.079479853265482</v>
      </c>
      <c r="I123" s="55">
        <v>118</v>
      </c>
      <c r="J123" s="33">
        <f t="shared" si="60"/>
        <v>0</v>
      </c>
      <c r="K123" s="33">
        <f t="shared" si="61"/>
        <v>0</v>
      </c>
      <c r="L123" s="33">
        <f t="shared" si="62"/>
        <v>0</v>
      </c>
      <c r="M123" s="33">
        <f t="shared" si="63"/>
        <v>0</v>
      </c>
      <c r="N123" s="33">
        <f t="shared" si="43"/>
        <v>0</v>
      </c>
      <c r="O123" s="34">
        <f t="shared" si="44"/>
        <v>0</v>
      </c>
      <c r="P123" s="55">
        <v>118</v>
      </c>
      <c r="Q123" s="33">
        <f t="shared" si="58"/>
        <v>0</v>
      </c>
      <c r="R123" s="33">
        <f t="shared" si="64"/>
        <v>0</v>
      </c>
      <c r="S123" s="33">
        <f t="shared" si="65"/>
        <v>0</v>
      </c>
      <c r="T123" s="33">
        <f t="shared" si="45"/>
        <v>0</v>
      </c>
      <c r="U123" s="33">
        <f t="shared" si="59"/>
        <v>0</v>
      </c>
      <c r="V123" s="33">
        <f t="shared" si="46"/>
        <v>0</v>
      </c>
      <c r="W123" s="33">
        <v>0</v>
      </c>
      <c r="X123" s="33">
        <f t="shared" si="47"/>
        <v>0</v>
      </c>
      <c r="Y123" s="38">
        <f t="shared" si="48"/>
        <v>0</v>
      </c>
      <c r="AA123" s="71">
        <v>118</v>
      </c>
      <c r="AB123" s="33">
        <f t="shared" si="49"/>
        <v>0</v>
      </c>
      <c r="AC123" s="305">
        <f t="shared" si="73"/>
        <v>0</v>
      </c>
      <c r="AD123" s="100">
        <f t="shared" si="50"/>
        <v>0</v>
      </c>
      <c r="AE123" s="100">
        <f t="shared" si="51"/>
        <v>0</v>
      </c>
      <c r="AF123" s="194">
        <f t="shared" si="69"/>
        <v>0</v>
      </c>
      <c r="AG123" s="194">
        <f t="shared" si="70"/>
        <v>0</v>
      </c>
      <c r="AH123" s="194">
        <f t="shared" si="71"/>
        <v>0</v>
      </c>
      <c r="AI123" s="199">
        <f t="shared" si="72"/>
        <v>0</v>
      </c>
      <c r="AK123" s="71">
        <v>118</v>
      </c>
      <c r="AL123" s="33">
        <f t="shared" si="52"/>
        <v>0</v>
      </c>
      <c r="AM123" s="33">
        <f t="shared" si="53"/>
        <v>0</v>
      </c>
      <c r="AN123" s="33">
        <f t="shared" si="54"/>
        <v>0</v>
      </c>
      <c r="AO123" s="33">
        <f t="shared" si="55"/>
        <v>0</v>
      </c>
      <c r="AP123" s="33">
        <f t="shared" si="56"/>
        <v>0</v>
      </c>
      <c r="AQ123" s="194">
        <f t="shared" si="57"/>
        <v>0</v>
      </c>
      <c r="AR123" s="194">
        <f t="shared" si="57"/>
        <v>0</v>
      </c>
      <c r="AS123" s="194">
        <f t="shared" si="57"/>
        <v>0</v>
      </c>
      <c r="AT123" s="194">
        <f t="shared" si="57"/>
        <v>0</v>
      </c>
      <c r="AU123" s="33"/>
      <c r="AV123" s="33"/>
      <c r="AW123" s="33"/>
      <c r="AX123" s="33"/>
      <c r="AY123" s="76"/>
    </row>
    <row r="124" spans="2:51" x14ac:dyDescent="0.3">
      <c r="I124" s="55">
        <v>119</v>
      </c>
      <c r="J124" s="33">
        <f t="shared" si="60"/>
        <v>0</v>
      </c>
      <c r="K124" s="33">
        <f t="shared" si="61"/>
        <v>0</v>
      </c>
      <c r="L124" s="33">
        <f t="shared" si="62"/>
        <v>0</v>
      </c>
      <c r="M124" s="33">
        <f t="shared" si="63"/>
        <v>0</v>
      </c>
      <c r="N124" s="33">
        <f t="shared" si="43"/>
        <v>0</v>
      </c>
      <c r="O124" s="34">
        <f t="shared" si="44"/>
        <v>0</v>
      </c>
      <c r="P124" s="55">
        <v>119</v>
      </c>
      <c r="Q124" s="33">
        <f t="shared" si="58"/>
        <v>0</v>
      </c>
      <c r="R124" s="33">
        <f t="shared" si="64"/>
        <v>0</v>
      </c>
      <c r="S124" s="33">
        <f t="shared" si="65"/>
        <v>0</v>
      </c>
      <c r="T124" s="33">
        <f t="shared" si="45"/>
        <v>0</v>
      </c>
      <c r="U124" s="33">
        <f t="shared" si="59"/>
        <v>0</v>
      </c>
      <c r="V124" s="33">
        <f t="shared" si="46"/>
        <v>0</v>
      </c>
      <c r="W124" s="33">
        <v>0</v>
      </c>
      <c r="X124" s="33">
        <f t="shared" si="47"/>
        <v>0</v>
      </c>
      <c r="Y124" s="38">
        <f t="shared" si="48"/>
        <v>0</v>
      </c>
      <c r="AA124" s="71">
        <v>119</v>
      </c>
      <c r="AB124" s="33">
        <f t="shared" si="49"/>
        <v>0</v>
      </c>
      <c r="AC124" s="305">
        <f t="shared" si="73"/>
        <v>0</v>
      </c>
      <c r="AD124" s="100">
        <f t="shared" si="50"/>
        <v>0</v>
      </c>
      <c r="AE124" s="100">
        <f t="shared" si="51"/>
        <v>0</v>
      </c>
      <c r="AF124" s="194">
        <f t="shared" si="69"/>
        <v>0</v>
      </c>
      <c r="AG124" s="194">
        <f t="shared" si="70"/>
        <v>0</v>
      </c>
      <c r="AH124" s="194">
        <f t="shared" si="71"/>
        <v>0</v>
      </c>
      <c r="AI124" s="199">
        <f t="shared" si="72"/>
        <v>0</v>
      </c>
      <c r="AK124" s="71">
        <v>119</v>
      </c>
      <c r="AL124" s="33">
        <f t="shared" si="52"/>
        <v>0</v>
      </c>
      <c r="AM124" s="33">
        <f t="shared" si="53"/>
        <v>0</v>
      </c>
      <c r="AN124" s="33">
        <f t="shared" si="54"/>
        <v>0</v>
      </c>
      <c r="AO124" s="33">
        <f t="shared" si="55"/>
        <v>0</v>
      </c>
      <c r="AP124" s="33">
        <f t="shared" si="56"/>
        <v>0</v>
      </c>
      <c r="AQ124" s="194">
        <f t="shared" si="57"/>
        <v>0</v>
      </c>
      <c r="AR124" s="194">
        <f t="shared" si="57"/>
        <v>0</v>
      </c>
      <c r="AS124" s="194">
        <f t="shared" si="57"/>
        <v>0</v>
      </c>
      <c r="AT124" s="194">
        <f t="shared" si="57"/>
        <v>0</v>
      </c>
      <c r="AU124" s="33"/>
      <c r="AV124" s="33"/>
      <c r="AW124" s="33"/>
      <c r="AX124" s="33"/>
      <c r="AY124" s="76"/>
    </row>
    <row r="125" spans="2:51" x14ac:dyDescent="0.3">
      <c r="C125" s="80"/>
      <c r="D125" s="80"/>
      <c r="E125" s="83"/>
      <c r="I125" s="55">
        <v>120</v>
      </c>
      <c r="J125" s="33">
        <f t="shared" si="60"/>
        <v>0</v>
      </c>
      <c r="K125" s="33">
        <f t="shared" si="61"/>
        <v>0</v>
      </c>
      <c r="L125" s="33">
        <f t="shared" si="62"/>
        <v>0</v>
      </c>
      <c r="M125" s="33">
        <f t="shared" si="63"/>
        <v>0</v>
      </c>
      <c r="N125" s="33">
        <f t="shared" si="43"/>
        <v>0</v>
      </c>
      <c r="O125" s="34">
        <f t="shared" si="44"/>
        <v>0</v>
      </c>
      <c r="P125" s="55">
        <v>120</v>
      </c>
      <c r="Q125" s="33">
        <f t="shared" si="58"/>
        <v>0</v>
      </c>
      <c r="R125" s="33">
        <f t="shared" si="64"/>
        <v>0</v>
      </c>
      <c r="S125" s="33">
        <f t="shared" si="65"/>
        <v>0</v>
      </c>
      <c r="T125" s="33">
        <f t="shared" si="45"/>
        <v>0</v>
      </c>
      <c r="U125" s="33">
        <f t="shared" si="59"/>
        <v>0</v>
      </c>
      <c r="V125" s="33">
        <f t="shared" si="46"/>
        <v>0</v>
      </c>
      <c r="W125" s="33">
        <v>0</v>
      </c>
      <c r="X125" s="33">
        <f t="shared" si="47"/>
        <v>0</v>
      </c>
      <c r="Y125" s="38">
        <f t="shared" si="48"/>
        <v>0</v>
      </c>
      <c r="AA125" s="71">
        <v>120</v>
      </c>
      <c r="AB125" s="33">
        <f t="shared" si="49"/>
        <v>0</v>
      </c>
      <c r="AC125" s="305">
        <f t="shared" si="73"/>
        <v>0</v>
      </c>
      <c r="AD125" s="100">
        <f t="shared" si="50"/>
        <v>0</v>
      </c>
      <c r="AE125" s="100">
        <f t="shared" si="51"/>
        <v>0</v>
      </c>
      <c r="AF125" s="194">
        <f t="shared" si="69"/>
        <v>0</v>
      </c>
      <c r="AG125" s="194">
        <f t="shared" si="70"/>
        <v>0</v>
      </c>
      <c r="AH125" s="194">
        <f t="shared" si="71"/>
        <v>0</v>
      </c>
      <c r="AI125" s="199">
        <f t="shared" si="72"/>
        <v>0</v>
      </c>
      <c r="AK125" s="71">
        <v>120</v>
      </c>
      <c r="AL125" s="33">
        <f t="shared" si="52"/>
        <v>0</v>
      </c>
      <c r="AM125" s="33">
        <f t="shared" si="53"/>
        <v>0</v>
      </c>
      <c r="AN125" s="33">
        <f t="shared" si="54"/>
        <v>0</v>
      </c>
      <c r="AO125" s="33">
        <f t="shared" si="55"/>
        <v>0</v>
      </c>
      <c r="AP125" s="33">
        <f t="shared" si="56"/>
        <v>0</v>
      </c>
      <c r="AQ125" s="194">
        <f t="shared" si="57"/>
        <v>0</v>
      </c>
      <c r="AR125" s="194">
        <f t="shared" si="57"/>
        <v>0</v>
      </c>
      <c r="AS125" s="194">
        <f t="shared" si="57"/>
        <v>0</v>
      </c>
      <c r="AT125" s="194">
        <f t="shared" si="57"/>
        <v>0</v>
      </c>
      <c r="AU125" s="33"/>
      <c r="AV125" s="33"/>
      <c r="AW125" s="33"/>
      <c r="AX125" s="33"/>
      <c r="AY125" s="76"/>
    </row>
    <row r="126" spans="2:51" x14ac:dyDescent="0.3">
      <c r="C126" s="84" t="s">
        <v>129</v>
      </c>
      <c r="D126" s="84" t="s">
        <v>130</v>
      </c>
      <c r="E126" s="84" t="s">
        <v>160</v>
      </c>
      <c r="F126" s="157" t="s">
        <v>170</v>
      </c>
      <c r="I126" s="55">
        <v>121</v>
      </c>
      <c r="J126" s="33">
        <f t="shared" si="60"/>
        <v>0</v>
      </c>
      <c r="K126" s="33">
        <f t="shared" si="61"/>
        <v>0</v>
      </c>
      <c r="L126" s="33">
        <f t="shared" si="62"/>
        <v>0</v>
      </c>
      <c r="M126" s="33">
        <f t="shared" si="63"/>
        <v>0</v>
      </c>
      <c r="N126" s="33">
        <f t="shared" si="43"/>
        <v>0</v>
      </c>
      <c r="O126" s="34">
        <f t="shared" si="44"/>
        <v>0</v>
      </c>
      <c r="P126" s="55">
        <v>121</v>
      </c>
      <c r="Q126" s="33">
        <f t="shared" si="58"/>
        <v>0</v>
      </c>
      <c r="R126" s="33">
        <f t="shared" si="64"/>
        <v>0</v>
      </c>
      <c r="S126" s="33">
        <f t="shared" si="65"/>
        <v>0</v>
      </c>
      <c r="T126" s="33">
        <f t="shared" si="45"/>
        <v>0</v>
      </c>
      <c r="U126" s="33">
        <f t="shared" si="59"/>
        <v>0</v>
      </c>
      <c r="V126" s="33">
        <f t="shared" si="46"/>
        <v>0</v>
      </c>
      <c r="W126" s="33">
        <v>0</v>
      </c>
      <c r="X126" s="33">
        <f t="shared" si="47"/>
        <v>0</v>
      </c>
      <c r="Y126" s="38">
        <f t="shared" si="48"/>
        <v>0</v>
      </c>
      <c r="AA126" s="71">
        <v>121</v>
      </c>
      <c r="AB126" s="33">
        <f t="shared" si="49"/>
        <v>0</v>
      </c>
      <c r="AC126" s="305">
        <f t="shared" si="73"/>
        <v>0</v>
      </c>
      <c r="AD126" s="100">
        <f t="shared" si="50"/>
        <v>0</v>
      </c>
      <c r="AE126" s="100">
        <f t="shared" si="51"/>
        <v>0</v>
      </c>
      <c r="AF126" s="194">
        <f t="shared" si="69"/>
        <v>0</v>
      </c>
      <c r="AG126" s="194">
        <f t="shared" si="70"/>
        <v>0</v>
      </c>
      <c r="AH126" s="194">
        <f t="shared" si="71"/>
        <v>0</v>
      </c>
      <c r="AI126" s="199">
        <f t="shared" si="72"/>
        <v>0</v>
      </c>
      <c r="AK126" s="71">
        <v>121</v>
      </c>
      <c r="AL126" s="33">
        <f t="shared" si="52"/>
        <v>0</v>
      </c>
      <c r="AM126" s="33">
        <f t="shared" si="53"/>
        <v>0</v>
      </c>
      <c r="AN126" s="33">
        <f t="shared" si="54"/>
        <v>0</v>
      </c>
      <c r="AO126" s="33">
        <f t="shared" si="55"/>
        <v>0</v>
      </c>
      <c r="AP126" s="33">
        <f t="shared" si="56"/>
        <v>0</v>
      </c>
      <c r="AQ126" s="194">
        <f t="shared" si="57"/>
        <v>0</v>
      </c>
      <c r="AR126" s="194">
        <f t="shared" si="57"/>
        <v>0</v>
      </c>
      <c r="AS126" s="194">
        <f t="shared" si="57"/>
        <v>0</v>
      </c>
      <c r="AT126" s="194">
        <f t="shared" si="57"/>
        <v>0</v>
      </c>
      <c r="AU126" s="33"/>
      <c r="AV126" s="33"/>
      <c r="AW126" s="33"/>
      <c r="AX126" s="33"/>
      <c r="AY126" s="76"/>
    </row>
    <row r="127" spans="2:51" x14ac:dyDescent="0.3">
      <c r="C127" s="82">
        <f>IF(F18&gt;30,MIN(E113:E114),E113)</f>
        <v>223.22669514054724</v>
      </c>
      <c r="D127" s="82">
        <f>MIN(E118:E119)</f>
        <v>16.308248807012244</v>
      </c>
      <c r="E127" s="85">
        <f>E123</f>
        <v>46.079479853265482</v>
      </c>
      <c r="F127" s="86">
        <f>SUM(C127:E127)</f>
        <v>285.61442380082497</v>
      </c>
      <c r="I127" s="55">
        <v>122</v>
      </c>
      <c r="J127" s="33">
        <f t="shared" si="60"/>
        <v>0</v>
      </c>
      <c r="K127" s="33">
        <f t="shared" si="61"/>
        <v>0</v>
      </c>
      <c r="L127" s="33">
        <f t="shared" si="62"/>
        <v>0</v>
      </c>
      <c r="M127" s="33">
        <f t="shared" si="63"/>
        <v>0</v>
      </c>
      <c r="N127" s="33">
        <f t="shared" si="43"/>
        <v>0</v>
      </c>
      <c r="O127" s="34">
        <f t="shared" si="44"/>
        <v>0</v>
      </c>
      <c r="P127" s="55">
        <v>122</v>
      </c>
      <c r="Q127" s="33">
        <f t="shared" si="58"/>
        <v>0</v>
      </c>
      <c r="R127" s="33">
        <f t="shared" si="64"/>
        <v>0</v>
      </c>
      <c r="S127" s="33">
        <f t="shared" si="65"/>
        <v>0</v>
      </c>
      <c r="T127" s="33">
        <f t="shared" si="45"/>
        <v>0</v>
      </c>
      <c r="U127" s="33">
        <f t="shared" si="59"/>
        <v>0</v>
      </c>
      <c r="V127" s="33">
        <f t="shared" si="46"/>
        <v>0</v>
      </c>
      <c r="W127" s="33">
        <v>0</v>
      </c>
      <c r="X127" s="33">
        <f t="shared" si="47"/>
        <v>0</v>
      </c>
      <c r="Y127" s="38">
        <f t="shared" si="48"/>
        <v>0</v>
      </c>
      <c r="AA127" s="71">
        <v>122</v>
      </c>
      <c r="AB127" s="33">
        <f t="shared" si="49"/>
        <v>0</v>
      </c>
      <c r="AC127" s="305">
        <f t="shared" si="73"/>
        <v>0</v>
      </c>
      <c r="AD127" s="100">
        <f t="shared" si="50"/>
        <v>0</v>
      </c>
      <c r="AE127" s="100">
        <f t="shared" si="51"/>
        <v>0</v>
      </c>
      <c r="AF127" s="194">
        <f t="shared" si="69"/>
        <v>0</v>
      </c>
      <c r="AG127" s="194">
        <f t="shared" si="70"/>
        <v>0</v>
      </c>
      <c r="AH127" s="194">
        <f t="shared" si="71"/>
        <v>0</v>
      </c>
      <c r="AI127" s="199">
        <f t="shared" si="72"/>
        <v>0</v>
      </c>
      <c r="AK127" s="71">
        <v>122</v>
      </c>
      <c r="AL127" s="33">
        <f t="shared" si="52"/>
        <v>0</v>
      </c>
      <c r="AM127" s="33">
        <f t="shared" si="53"/>
        <v>0</v>
      </c>
      <c r="AN127" s="33">
        <f t="shared" si="54"/>
        <v>0</v>
      </c>
      <c r="AO127" s="33">
        <f t="shared" si="55"/>
        <v>0</v>
      </c>
      <c r="AP127" s="33">
        <f t="shared" si="56"/>
        <v>0</v>
      </c>
      <c r="AQ127" s="194">
        <f t="shared" si="57"/>
        <v>0</v>
      </c>
      <c r="AR127" s="194">
        <f t="shared" si="57"/>
        <v>0</v>
      </c>
      <c r="AS127" s="194">
        <f t="shared" si="57"/>
        <v>0</v>
      </c>
      <c r="AT127" s="194">
        <f t="shared" si="57"/>
        <v>0</v>
      </c>
      <c r="AU127" s="33"/>
      <c r="AV127" s="33"/>
      <c r="AW127" s="33"/>
      <c r="AX127" s="33"/>
      <c r="AY127" s="76"/>
    </row>
    <row r="128" spans="2:51" x14ac:dyDescent="0.3">
      <c r="E128" s="24"/>
      <c r="I128" s="55">
        <v>123</v>
      </c>
      <c r="J128" s="33">
        <f t="shared" si="60"/>
        <v>0</v>
      </c>
      <c r="K128" s="33">
        <f t="shared" si="61"/>
        <v>0</v>
      </c>
      <c r="L128" s="33">
        <f t="shared" si="62"/>
        <v>0</v>
      </c>
      <c r="M128" s="33">
        <f t="shared" si="63"/>
        <v>0</v>
      </c>
      <c r="N128" s="33">
        <f t="shared" si="43"/>
        <v>0</v>
      </c>
      <c r="O128" s="34">
        <f t="shared" si="44"/>
        <v>0</v>
      </c>
      <c r="P128" s="55">
        <v>123</v>
      </c>
      <c r="Q128" s="33">
        <f t="shared" si="58"/>
        <v>0</v>
      </c>
      <c r="R128" s="33">
        <f t="shared" si="64"/>
        <v>0</v>
      </c>
      <c r="S128" s="33">
        <f t="shared" si="65"/>
        <v>0</v>
      </c>
      <c r="T128" s="33">
        <f t="shared" si="45"/>
        <v>0</v>
      </c>
      <c r="U128" s="33">
        <f t="shared" si="59"/>
        <v>0</v>
      </c>
      <c r="V128" s="33">
        <f t="shared" si="46"/>
        <v>0</v>
      </c>
      <c r="W128" s="33">
        <v>0</v>
      </c>
      <c r="X128" s="33">
        <f t="shared" si="47"/>
        <v>0</v>
      </c>
      <c r="Y128" s="38">
        <f t="shared" si="48"/>
        <v>0</v>
      </c>
      <c r="AA128" s="71">
        <v>123</v>
      </c>
      <c r="AB128" s="33">
        <f t="shared" si="49"/>
        <v>0</v>
      </c>
      <c r="AC128" s="305">
        <f t="shared" si="73"/>
        <v>0</v>
      </c>
      <c r="AD128" s="100">
        <f t="shared" si="50"/>
        <v>0</v>
      </c>
      <c r="AE128" s="100">
        <f t="shared" si="51"/>
        <v>0</v>
      </c>
      <c r="AF128" s="194">
        <f t="shared" si="69"/>
        <v>0</v>
      </c>
      <c r="AG128" s="194">
        <f t="shared" si="70"/>
        <v>0</v>
      </c>
      <c r="AH128" s="194">
        <f t="shared" si="71"/>
        <v>0</v>
      </c>
      <c r="AI128" s="199">
        <f t="shared" si="72"/>
        <v>0</v>
      </c>
      <c r="AK128" s="71">
        <v>123</v>
      </c>
      <c r="AL128" s="33">
        <f t="shared" si="52"/>
        <v>0</v>
      </c>
      <c r="AM128" s="33">
        <f t="shared" si="53"/>
        <v>0</v>
      </c>
      <c r="AN128" s="33">
        <f t="shared" si="54"/>
        <v>0</v>
      </c>
      <c r="AO128" s="33">
        <f t="shared" si="55"/>
        <v>0</v>
      </c>
      <c r="AP128" s="33">
        <f t="shared" si="56"/>
        <v>0</v>
      </c>
      <c r="AQ128" s="194">
        <f t="shared" si="57"/>
        <v>0</v>
      </c>
      <c r="AR128" s="194">
        <f t="shared" si="57"/>
        <v>0</v>
      </c>
      <c r="AS128" s="194">
        <f t="shared" si="57"/>
        <v>0</v>
      </c>
      <c r="AT128" s="194">
        <f t="shared" si="57"/>
        <v>0</v>
      </c>
      <c r="AU128" s="33"/>
      <c r="AV128" s="33"/>
      <c r="AW128" s="33"/>
      <c r="AX128" s="33"/>
      <c r="AY128" s="76"/>
    </row>
    <row r="129" spans="3:51" x14ac:dyDescent="0.3">
      <c r="E129" s="24"/>
      <c r="I129" s="55">
        <v>124</v>
      </c>
      <c r="J129" s="33">
        <f t="shared" si="60"/>
        <v>0</v>
      </c>
      <c r="K129" s="33">
        <f t="shared" si="61"/>
        <v>0</v>
      </c>
      <c r="L129" s="33">
        <f t="shared" si="62"/>
        <v>0</v>
      </c>
      <c r="M129" s="33">
        <f t="shared" si="63"/>
        <v>0</v>
      </c>
      <c r="N129" s="33">
        <f t="shared" si="43"/>
        <v>0</v>
      </c>
      <c r="O129" s="34">
        <f t="shared" si="44"/>
        <v>0</v>
      </c>
      <c r="P129" s="55">
        <v>124</v>
      </c>
      <c r="Q129" s="33">
        <f t="shared" si="58"/>
        <v>0</v>
      </c>
      <c r="R129" s="33">
        <f t="shared" si="64"/>
        <v>0</v>
      </c>
      <c r="S129" s="33">
        <f t="shared" si="65"/>
        <v>0</v>
      </c>
      <c r="T129" s="33">
        <f t="shared" si="45"/>
        <v>0</v>
      </c>
      <c r="U129" s="33">
        <f t="shared" si="59"/>
        <v>0</v>
      </c>
      <c r="V129" s="33">
        <f t="shared" si="46"/>
        <v>0</v>
      </c>
      <c r="W129" s="33">
        <v>0</v>
      </c>
      <c r="X129" s="33">
        <f t="shared" si="47"/>
        <v>0</v>
      </c>
      <c r="Y129" s="38">
        <f t="shared" si="48"/>
        <v>0</v>
      </c>
      <c r="AA129" s="71">
        <v>124</v>
      </c>
      <c r="AB129" s="33">
        <f t="shared" si="49"/>
        <v>0</v>
      </c>
      <c r="AC129" s="305">
        <f t="shared" si="73"/>
        <v>0</v>
      </c>
      <c r="AD129" s="100">
        <f t="shared" si="50"/>
        <v>0</v>
      </c>
      <c r="AE129" s="100">
        <f t="shared" si="51"/>
        <v>0</v>
      </c>
      <c r="AF129" s="194">
        <f t="shared" si="69"/>
        <v>0</v>
      </c>
      <c r="AG129" s="194">
        <f t="shared" si="70"/>
        <v>0</v>
      </c>
      <c r="AH129" s="194">
        <f t="shared" si="71"/>
        <v>0</v>
      </c>
      <c r="AI129" s="199">
        <f t="shared" si="72"/>
        <v>0</v>
      </c>
      <c r="AK129" s="71">
        <v>124</v>
      </c>
      <c r="AL129" s="33">
        <f t="shared" si="52"/>
        <v>0</v>
      </c>
      <c r="AM129" s="33">
        <f t="shared" si="53"/>
        <v>0</v>
      </c>
      <c r="AN129" s="33">
        <f t="shared" si="54"/>
        <v>0</v>
      </c>
      <c r="AO129" s="33">
        <f t="shared" si="55"/>
        <v>0</v>
      </c>
      <c r="AP129" s="33">
        <f t="shared" si="56"/>
        <v>0</v>
      </c>
      <c r="AQ129" s="194">
        <f t="shared" si="57"/>
        <v>0</v>
      </c>
      <c r="AR129" s="194">
        <f t="shared" si="57"/>
        <v>0</v>
      </c>
      <c r="AS129" s="194">
        <f t="shared" si="57"/>
        <v>0</v>
      </c>
      <c r="AT129" s="194">
        <f t="shared" si="57"/>
        <v>0</v>
      </c>
      <c r="AU129" s="33"/>
      <c r="AV129" s="33"/>
      <c r="AW129" s="33"/>
      <c r="AX129" s="33"/>
      <c r="AY129" s="76"/>
    </row>
    <row r="130" spans="3:51" ht="41.4" x14ac:dyDescent="0.3">
      <c r="C130" s="3" t="s">
        <v>5</v>
      </c>
      <c r="D130" s="3" t="s">
        <v>6</v>
      </c>
      <c r="E130" s="188" t="s">
        <v>227</v>
      </c>
      <c r="F130" s="343" t="s">
        <v>266</v>
      </c>
      <c r="I130" s="55">
        <v>125</v>
      </c>
      <c r="J130" s="33">
        <f t="shared" si="60"/>
        <v>0</v>
      </c>
      <c r="K130" s="33">
        <f t="shared" si="61"/>
        <v>0</v>
      </c>
      <c r="L130" s="33">
        <f t="shared" si="62"/>
        <v>0</v>
      </c>
      <c r="M130" s="33">
        <f t="shared" si="63"/>
        <v>0</v>
      </c>
      <c r="N130" s="33">
        <f t="shared" si="43"/>
        <v>0</v>
      </c>
      <c r="O130" s="34">
        <f t="shared" si="44"/>
        <v>0</v>
      </c>
      <c r="P130" s="55">
        <v>125</v>
      </c>
      <c r="Q130" s="33">
        <f t="shared" si="58"/>
        <v>0</v>
      </c>
      <c r="R130" s="33">
        <f t="shared" si="64"/>
        <v>0</v>
      </c>
      <c r="S130" s="33">
        <f t="shared" si="65"/>
        <v>0</v>
      </c>
      <c r="T130" s="33">
        <f t="shared" si="45"/>
        <v>0</v>
      </c>
      <c r="U130" s="33">
        <f t="shared" si="59"/>
        <v>0</v>
      </c>
      <c r="V130" s="33">
        <f t="shared" si="46"/>
        <v>0</v>
      </c>
      <c r="W130" s="33">
        <v>0</v>
      </c>
      <c r="X130" s="33">
        <f t="shared" si="47"/>
        <v>0</v>
      </c>
      <c r="Y130" s="38">
        <f t="shared" si="48"/>
        <v>0</v>
      </c>
      <c r="AA130" s="71">
        <v>125</v>
      </c>
      <c r="AB130" s="33">
        <f t="shared" si="49"/>
        <v>0</v>
      </c>
      <c r="AC130" s="305">
        <f t="shared" si="73"/>
        <v>0</v>
      </c>
      <c r="AD130" s="100">
        <f t="shared" si="50"/>
        <v>0</v>
      </c>
      <c r="AE130" s="100">
        <f t="shared" si="51"/>
        <v>0</v>
      </c>
      <c r="AF130" s="194">
        <f t="shared" si="69"/>
        <v>0</v>
      </c>
      <c r="AG130" s="194">
        <f t="shared" si="70"/>
        <v>0</v>
      </c>
      <c r="AH130" s="194">
        <f t="shared" si="71"/>
        <v>0</v>
      </c>
      <c r="AI130" s="199">
        <f t="shared" si="72"/>
        <v>0</v>
      </c>
      <c r="AK130" s="71">
        <v>125</v>
      </c>
      <c r="AL130" s="33">
        <f t="shared" si="52"/>
        <v>0</v>
      </c>
      <c r="AM130" s="33">
        <f t="shared" si="53"/>
        <v>0</v>
      </c>
      <c r="AN130" s="33">
        <f t="shared" si="54"/>
        <v>0</v>
      </c>
      <c r="AO130" s="33">
        <f t="shared" si="55"/>
        <v>0</v>
      </c>
      <c r="AP130" s="33">
        <f t="shared" si="56"/>
        <v>0</v>
      </c>
      <c r="AQ130" s="194">
        <f t="shared" si="57"/>
        <v>0</v>
      </c>
      <c r="AR130" s="194">
        <f t="shared" si="57"/>
        <v>0</v>
      </c>
      <c r="AS130" s="194">
        <f t="shared" si="57"/>
        <v>0</v>
      </c>
      <c r="AT130" s="194">
        <f t="shared" si="57"/>
        <v>0</v>
      </c>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60"/>
        <v>0</v>
      </c>
      <c r="K131" s="33">
        <f t="shared" si="61"/>
        <v>0</v>
      </c>
      <c r="L131" s="33">
        <f t="shared" si="62"/>
        <v>0</v>
      </c>
      <c r="M131" s="33">
        <f t="shared" si="63"/>
        <v>0</v>
      </c>
      <c r="N131" s="33">
        <f t="shared" si="43"/>
        <v>0</v>
      </c>
      <c r="O131" s="34">
        <f t="shared" si="44"/>
        <v>0</v>
      </c>
      <c r="P131" s="55">
        <v>126</v>
      </c>
      <c r="Q131" s="33">
        <f t="shared" si="58"/>
        <v>0</v>
      </c>
      <c r="R131" s="33">
        <f t="shared" si="64"/>
        <v>0</v>
      </c>
      <c r="S131" s="33">
        <f t="shared" si="65"/>
        <v>0</v>
      </c>
      <c r="T131" s="33">
        <f t="shared" si="45"/>
        <v>0</v>
      </c>
      <c r="U131" s="33">
        <f t="shared" si="59"/>
        <v>0</v>
      </c>
      <c r="V131" s="33">
        <f t="shared" si="46"/>
        <v>0</v>
      </c>
      <c r="W131" s="33">
        <v>0</v>
      </c>
      <c r="X131" s="33">
        <f t="shared" si="47"/>
        <v>0</v>
      </c>
      <c r="Y131" s="38">
        <f t="shared" si="48"/>
        <v>0</v>
      </c>
      <c r="AA131" s="71">
        <v>126</v>
      </c>
      <c r="AB131" s="33">
        <f t="shared" si="49"/>
        <v>0</v>
      </c>
      <c r="AC131" s="305">
        <f t="shared" si="73"/>
        <v>0</v>
      </c>
      <c r="AD131" s="100">
        <f t="shared" si="50"/>
        <v>0</v>
      </c>
      <c r="AE131" s="100">
        <f t="shared" si="51"/>
        <v>0</v>
      </c>
      <c r="AF131" s="194">
        <f t="shared" si="69"/>
        <v>0</v>
      </c>
      <c r="AG131" s="194">
        <f t="shared" si="70"/>
        <v>0</v>
      </c>
      <c r="AH131" s="194">
        <f t="shared" si="71"/>
        <v>0</v>
      </c>
      <c r="AI131" s="199">
        <f t="shared" si="72"/>
        <v>0</v>
      </c>
      <c r="AK131" s="71">
        <v>126</v>
      </c>
      <c r="AL131" s="33">
        <f t="shared" si="52"/>
        <v>0</v>
      </c>
      <c r="AM131" s="33">
        <f t="shared" si="53"/>
        <v>0</v>
      </c>
      <c r="AN131" s="33">
        <f t="shared" si="54"/>
        <v>0</v>
      </c>
      <c r="AO131" s="33">
        <f t="shared" si="55"/>
        <v>0</v>
      </c>
      <c r="AP131" s="33">
        <f t="shared" si="56"/>
        <v>0</v>
      </c>
      <c r="AQ131" s="194">
        <f t="shared" si="57"/>
        <v>0</v>
      </c>
      <c r="AR131" s="194">
        <f t="shared" si="57"/>
        <v>0</v>
      </c>
      <c r="AS131" s="194">
        <f t="shared" si="57"/>
        <v>0</v>
      </c>
      <c r="AT131" s="194">
        <f t="shared" si="57"/>
        <v>0</v>
      </c>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60"/>
        <v>0</v>
      </c>
      <c r="K132" s="33">
        <f t="shared" si="61"/>
        <v>0</v>
      </c>
      <c r="L132" s="33">
        <f t="shared" si="62"/>
        <v>0</v>
      </c>
      <c r="M132" s="33">
        <f t="shared" si="63"/>
        <v>0</v>
      </c>
      <c r="N132" s="33">
        <f t="shared" si="43"/>
        <v>0</v>
      </c>
      <c r="O132" s="34">
        <f t="shared" si="44"/>
        <v>0</v>
      </c>
      <c r="P132" s="55">
        <v>127</v>
      </c>
      <c r="Q132" s="33">
        <f t="shared" si="58"/>
        <v>0</v>
      </c>
      <c r="R132" s="33">
        <f t="shared" si="64"/>
        <v>0</v>
      </c>
      <c r="S132" s="33">
        <f t="shared" si="65"/>
        <v>0</v>
      </c>
      <c r="T132" s="33">
        <f t="shared" si="45"/>
        <v>0</v>
      </c>
      <c r="U132" s="33">
        <f t="shared" si="59"/>
        <v>0</v>
      </c>
      <c r="V132" s="33">
        <f t="shared" si="46"/>
        <v>0</v>
      </c>
      <c r="W132" s="33">
        <v>0</v>
      </c>
      <c r="X132" s="33">
        <f t="shared" si="47"/>
        <v>0</v>
      </c>
      <c r="Y132" s="38">
        <f t="shared" si="48"/>
        <v>0</v>
      </c>
      <c r="AA132" s="71">
        <v>127</v>
      </c>
      <c r="AB132" s="33">
        <f t="shared" si="49"/>
        <v>0</v>
      </c>
      <c r="AC132" s="305">
        <f t="shared" si="73"/>
        <v>0</v>
      </c>
      <c r="AD132" s="100">
        <f t="shared" si="50"/>
        <v>0</v>
      </c>
      <c r="AE132" s="100">
        <f t="shared" si="51"/>
        <v>0</v>
      </c>
      <c r="AF132" s="194">
        <f t="shared" si="69"/>
        <v>0</v>
      </c>
      <c r="AG132" s="194">
        <f t="shared" si="70"/>
        <v>0</v>
      </c>
      <c r="AH132" s="194">
        <f t="shared" si="71"/>
        <v>0</v>
      </c>
      <c r="AI132" s="199">
        <f t="shared" si="72"/>
        <v>0</v>
      </c>
      <c r="AK132" s="71">
        <v>127</v>
      </c>
      <c r="AL132" s="33">
        <f t="shared" si="52"/>
        <v>0</v>
      </c>
      <c r="AM132" s="33">
        <f t="shared" si="53"/>
        <v>0</v>
      </c>
      <c r="AN132" s="33">
        <f t="shared" si="54"/>
        <v>0</v>
      </c>
      <c r="AO132" s="33">
        <f t="shared" si="55"/>
        <v>0</v>
      </c>
      <c r="AP132" s="33">
        <f t="shared" si="56"/>
        <v>0</v>
      </c>
      <c r="AQ132" s="194">
        <f t="shared" si="57"/>
        <v>0</v>
      </c>
      <c r="AR132" s="194">
        <f t="shared" si="57"/>
        <v>0</v>
      </c>
      <c r="AS132" s="194">
        <f t="shared" si="57"/>
        <v>0</v>
      </c>
      <c r="AT132" s="194">
        <f t="shared" ref="AT132:AT195" si="74">IF($AK132&lt;=$F$18,$AL132*AP132,)</f>
        <v>0</v>
      </c>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60"/>
        <v>0</v>
      </c>
      <c r="K133" s="33">
        <f t="shared" si="61"/>
        <v>0</v>
      </c>
      <c r="L133" s="33">
        <f t="shared" si="62"/>
        <v>0</v>
      </c>
      <c r="M133" s="33">
        <f t="shared" si="63"/>
        <v>0</v>
      </c>
      <c r="N133" s="33">
        <f t="shared" ref="N133:N196" si="75">IF(P134&lt;=$F$18,0,)</f>
        <v>0</v>
      </c>
      <c r="O133" s="34">
        <f t="shared" ref="O133:O196" si="76">((J133+K133)*0.475+L133+M133+N133)*44/12</f>
        <v>0</v>
      </c>
      <c r="P133" s="55">
        <v>128</v>
      </c>
      <c r="Q133" s="33">
        <f t="shared" si="58"/>
        <v>0</v>
      </c>
      <c r="R133" s="33">
        <f t="shared" si="64"/>
        <v>0</v>
      </c>
      <c r="S133" s="33">
        <f t="shared" si="65"/>
        <v>0</v>
      </c>
      <c r="T133" s="33">
        <f t="shared" ref="T133:T196" si="77">IF(S133=0,0,EXP(-1.0587+0.8836*LN(S133)+0.284))</f>
        <v>0</v>
      </c>
      <c r="U133" s="33">
        <f t="shared" si="59"/>
        <v>0</v>
      </c>
      <c r="V133" s="33">
        <f t="shared" ref="V133:V196" si="78">IF(P133&lt;=$F$18,IF(P133&lt;=30,P133*($F$16-$F$6)/30,$F$16-$F$6),)</f>
        <v>0</v>
      </c>
      <c r="W133" s="33">
        <v>0</v>
      </c>
      <c r="X133" s="33">
        <f t="shared" ref="X133:X196" si="79">((S133+T133)*0.475+U133+V133+W133)*44/12</f>
        <v>0</v>
      </c>
      <c r="Y133" s="38">
        <f t="shared" ref="Y133:Y196" si="80">IF(P133&lt;=$F$18,X133-O133,)</f>
        <v>0</v>
      </c>
      <c r="AA133" s="71">
        <v>128</v>
      </c>
      <c r="AB133" s="33">
        <f t="shared" ref="AB133:AB196" si="81">IF(AA133&lt;=$F$18,IFERROR(VLOOKUP($AA133,$B$82:$G$94,2,FALSE),0),)</f>
        <v>0</v>
      </c>
      <c r="AC133" s="305">
        <f t="shared" si="73"/>
        <v>0</v>
      </c>
      <c r="AD133" s="100">
        <f t="shared" ref="AD133:AD196" si="82">IF(AA133&lt;=$F$18,IFERROR(VLOOKUP($AA133,$B$82:$G$94,4,FALSE),0),)</f>
        <v>0</v>
      </c>
      <c r="AE133" s="100">
        <f t="shared" ref="AE133:AE196" si="83">IF(AA133&lt;=$F$18,IFERROR(VLOOKUP($AA133,$B$82:$G$94,5,FALSE),0),)</f>
        <v>0</v>
      </c>
      <c r="AF133" s="194">
        <f t="shared" si="69"/>
        <v>0</v>
      </c>
      <c r="AG133" s="194">
        <f t="shared" si="70"/>
        <v>0</v>
      </c>
      <c r="AH133" s="194">
        <f t="shared" si="71"/>
        <v>0</v>
      </c>
      <c r="AI133" s="199">
        <f t="shared" si="72"/>
        <v>0</v>
      </c>
      <c r="AK133" s="71">
        <v>128</v>
      </c>
      <c r="AL133" s="33">
        <f t="shared" ref="AL133:AL196" si="84">IF(AK133&lt;=$F$18,IFERROR(VLOOKUP($AA133,$B$82:$G$94,2,FALSE),0),)</f>
        <v>0</v>
      </c>
      <c r="AM133" s="33">
        <f t="shared" ref="AM133:AM196" si="85">IF(AK133&lt;=$F$18,IFERROR(VLOOKUP($AA133,$B$82:$G$94,3,FALSE),0),)</f>
        <v>0</v>
      </c>
      <c r="AN133" s="33">
        <f t="shared" ref="AN133:AN196" si="86">IF(AK133&lt;=$F$18,IFERROR(VLOOKUP($AA133,$B$82:$G$94,4,FALSE),0),)</f>
        <v>0</v>
      </c>
      <c r="AO133" s="33">
        <f t="shared" ref="AO133:AO196" si="87">IF(AK133&lt;=$F$18,IFERROR(VLOOKUP($AA133,$B$82:$G$94,5,FALSE),0),)</f>
        <v>0</v>
      </c>
      <c r="AP133" s="33">
        <f t="shared" ref="AP133:AP196" si="88">IF(AK133&lt;=$F$18,IFERROR(VLOOKUP($AA133,$B$82:$G$94,6,FALSE),0),)</f>
        <v>0</v>
      </c>
      <c r="AQ133" s="194">
        <f t="shared" ref="AQ133:AT196" si="89">IF($AK133&lt;=$F$18,$AL133*AM133,)</f>
        <v>0</v>
      </c>
      <c r="AR133" s="194">
        <f t="shared" si="89"/>
        <v>0</v>
      </c>
      <c r="AS133" s="194">
        <f t="shared" si="89"/>
        <v>0</v>
      </c>
      <c r="AT133" s="194">
        <f t="shared" si="74"/>
        <v>0</v>
      </c>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60"/>
        <v>0</v>
      </c>
      <c r="K134" s="33">
        <f t="shared" si="61"/>
        <v>0</v>
      </c>
      <c r="L134" s="33">
        <f t="shared" si="62"/>
        <v>0</v>
      </c>
      <c r="M134" s="33">
        <f t="shared" si="63"/>
        <v>0</v>
      </c>
      <c r="N134" s="33">
        <f t="shared" si="75"/>
        <v>0</v>
      </c>
      <c r="O134" s="34">
        <f t="shared" si="76"/>
        <v>0</v>
      </c>
      <c r="P134" s="55">
        <v>129</v>
      </c>
      <c r="Q134" s="33">
        <f t="shared" ref="Q134:Q197" si="90">IF(P134&lt;=$F$18,LOOKUP(P134-1,$B$25:$B$78,$G$25:$G$78),)</f>
        <v>0</v>
      </c>
      <c r="R134" s="33">
        <f t="shared" si="64"/>
        <v>0</v>
      </c>
      <c r="S134" s="33">
        <f t="shared" si="65"/>
        <v>0</v>
      </c>
      <c r="T134" s="33">
        <f t="shared" si="77"/>
        <v>0</v>
      </c>
      <c r="U134" s="33">
        <f t="shared" ref="U134:U197" si="91">IF(P134&lt;=$F$18,$F$5+($F$15-$F$5)*(1-EXP(-0.0175*P134)),)</f>
        <v>0</v>
      </c>
      <c r="V134" s="33">
        <f t="shared" si="78"/>
        <v>0</v>
      </c>
      <c r="W134" s="33">
        <v>0</v>
      </c>
      <c r="X134" s="33">
        <f t="shared" si="79"/>
        <v>0</v>
      </c>
      <c r="Y134" s="38">
        <f t="shared" si="80"/>
        <v>0</v>
      </c>
      <c r="AA134" s="71">
        <v>129</v>
      </c>
      <c r="AB134" s="33">
        <f t="shared" si="81"/>
        <v>0</v>
      </c>
      <c r="AC134" s="305">
        <f t="shared" si="73"/>
        <v>0</v>
      </c>
      <c r="AD134" s="100">
        <f t="shared" si="82"/>
        <v>0</v>
      </c>
      <c r="AE134" s="100">
        <f t="shared" si="83"/>
        <v>0</v>
      </c>
      <c r="AF134" s="194">
        <f t="shared" si="69"/>
        <v>0</v>
      </c>
      <c r="AG134" s="194">
        <f t="shared" si="70"/>
        <v>0</v>
      </c>
      <c r="AH134" s="194">
        <f t="shared" si="71"/>
        <v>0</v>
      </c>
      <c r="AI134" s="199">
        <f t="shared" si="72"/>
        <v>0</v>
      </c>
      <c r="AK134" s="71">
        <v>129</v>
      </c>
      <c r="AL134" s="33">
        <f t="shared" si="84"/>
        <v>0</v>
      </c>
      <c r="AM134" s="33">
        <f t="shared" si="85"/>
        <v>0</v>
      </c>
      <c r="AN134" s="33">
        <f t="shared" si="86"/>
        <v>0</v>
      </c>
      <c r="AO134" s="33">
        <f t="shared" si="87"/>
        <v>0</v>
      </c>
      <c r="AP134" s="33">
        <f t="shared" si="88"/>
        <v>0</v>
      </c>
      <c r="AQ134" s="194">
        <f t="shared" si="89"/>
        <v>0</v>
      </c>
      <c r="AR134" s="194">
        <f t="shared" si="89"/>
        <v>0</v>
      </c>
      <c r="AS134" s="194">
        <f t="shared" si="89"/>
        <v>0</v>
      </c>
      <c r="AT134" s="194">
        <f t="shared" si="74"/>
        <v>0</v>
      </c>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92">IF($I135&lt;=$F$10,$F$11*$F$13+J134,)</f>
        <v>0</v>
      </c>
      <c r="K135" s="33">
        <f t="shared" ref="K135:K198" si="93">IF(J135=0,0,EXP(-1.0587+0.8836*LN(J135)+0.284))</f>
        <v>0</v>
      </c>
      <c r="L135" s="33">
        <f t="shared" ref="L135:L198" si="94">IF(I135&lt;=$F$10,$F$5+($F$8-$F$5)*(1-EXP(-0.0175*I135)),)</f>
        <v>0</v>
      </c>
      <c r="M135" s="33">
        <f t="shared" ref="M135:M198" si="95">IF(I135&lt;=$F$10,IF(I135&lt;=30,I135*($F$9-$F$6)/30,$F$9-$F$6),)</f>
        <v>0</v>
      </c>
      <c r="N135" s="33">
        <f t="shared" si="75"/>
        <v>0</v>
      </c>
      <c r="O135" s="34">
        <f t="shared" si="76"/>
        <v>0</v>
      </c>
      <c r="P135" s="55">
        <v>130</v>
      </c>
      <c r="Q135" s="33">
        <f t="shared" si="90"/>
        <v>0</v>
      </c>
      <c r="R135" s="33">
        <f t="shared" ref="R135:R198" si="96">IF(P135&lt;=$F$18,Q135+R134,)</f>
        <v>0</v>
      </c>
      <c r="S135" s="33">
        <f t="shared" ref="S135:S198" si="97">$F$19*R135</f>
        <v>0</v>
      </c>
      <c r="T135" s="33">
        <f t="shared" si="77"/>
        <v>0</v>
      </c>
      <c r="U135" s="33">
        <f t="shared" si="91"/>
        <v>0</v>
      </c>
      <c r="V135" s="33">
        <f t="shared" si="78"/>
        <v>0</v>
      </c>
      <c r="W135" s="33">
        <v>0</v>
      </c>
      <c r="X135" s="33">
        <f t="shared" si="79"/>
        <v>0</v>
      </c>
      <c r="Y135" s="38">
        <f t="shared" si="80"/>
        <v>0</v>
      </c>
      <c r="AA135" s="71">
        <v>130</v>
      </c>
      <c r="AB135" s="33">
        <f t="shared" si="81"/>
        <v>0</v>
      </c>
      <c r="AC135" s="305">
        <f t="shared" si="73"/>
        <v>0</v>
      </c>
      <c r="AD135" s="100">
        <f t="shared" si="82"/>
        <v>0</v>
      </c>
      <c r="AE135" s="100">
        <f t="shared" si="83"/>
        <v>0</v>
      </c>
      <c r="AF135" s="194">
        <f t="shared" si="69"/>
        <v>0</v>
      </c>
      <c r="AG135" s="194">
        <f t="shared" si="70"/>
        <v>0</v>
      </c>
      <c r="AH135" s="194">
        <f t="shared" si="71"/>
        <v>0</v>
      </c>
      <c r="AI135" s="199">
        <f t="shared" si="72"/>
        <v>0</v>
      </c>
      <c r="AK135" s="71">
        <v>130</v>
      </c>
      <c r="AL135" s="33">
        <f t="shared" si="84"/>
        <v>0</v>
      </c>
      <c r="AM135" s="33">
        <f t="shared" si="85"/>
        <v>0</v>
      </c>
      <c r="AN135" s="33">
        <f t="shared" si="86"/>
        <v>0</v>
      </c>
      <c r="AO135" s="33">
        <f t="shared" si="87"/>
        <v>0</v>
      </c>
      <c r="AP135" s="33">
        <f t="shared" si="88"/>
        <v>0</v>
      </c>
      <c r="AQ135" s="194">
        <f t="shared" si="89"/>
        <v>0</v>
      </c>
      <c r="AR135" s="194">
        <f t="shared" si="89"/>
        <v>0</v>
      </c>
      <c r="AS135" s="194">
        <f t="shared" si="89"/>
        <v>0</v>
      </c>
      <c r="AT135" s="194">
        <f t="shared" si="74"/>
        <v>0</v>
      </c>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92"/>
        <v>0</v>
      </c>
      <c r="K136" s="33">
        <f t="shared" si="93"/>
        <v>0</v>
      </c>
      <c r="L136" s="33">
        <f t="shared" si="94"/>
        <v>0</v>
      </c>
      <c r="M136" s="33">
        <f t="shared" si="95"/>
        <v>0</v>
      </c>
      <c r="N136" s="33">
        <f t="shared" si="75"/>
        <v>0</v>
      </c>
      <c r="O136" s="34">
        <f t="shared" si="76"/>
        <v>0</v>
      </c>
      <c r="P136" s="55">
        <v>131</v>
      </c>
      <c r="Q136" s="33">
        <f t="shared" si="90"/>
        <v>0</v>
      </c>
      <c r="R136" s="33">
        <f t="shared" si="96"/>
        <v>0</v>
      </c>
      <c r="S136" s="33">
        <f t="shared" si="97"/>
        <v>0</v>
      </c>
      <c r="T136" s="33">
        <f t="shared" si="77"/>
        <v>0</v>
      </c>
      <c r="U136" s="33">
        <f t="shared" si="91"/>
        <v>0</v>
      </c>
      <c r="V136" s="33">
        <f t="shared" si="78"/>
        <v>0</v>
      </c>
      <c r="W136" s="33">
        <v>0</v>
      </c>
      <c r="X136" s="33">
        <f t="shared" si="79"/>
        <v>0</v>
      </c>
      <c r="Y136" s="38">
        <f t="shared" si="80"/>
        <v>0</v>
      </c>
      <c r="AA136" s="71">
        <v>131</v>
      </c>
      <c r="AB136" s="33">
        <f t="shared" si="81"/>
        <v>0</v>
      </c>
      <c r="AC136" s="305">
        <f t="shared" si="73"/>
        <v>0</v>
      </c>
      <c r="AD136" s="100">
        <f t="shared" si="82"/>
        <v>0</v>
      </c>
      <c r="AE136" s="100">
        <f t="shared" si="83"/>
        <v>0</v>
      </c>
      <c r="AF136" s="194">
        <f t="shared" si="69"/>
        <v>0</v>
      </c>
      <c r="AG136" s="194">
        <f t="shared" si="70"/>
        <v>0</v>
      </c>
      <c r="AH136" s="194">
        <f t="shared" si="71"/>
        <v>0</v>
      </c>
      <c r="AI136" s="199">
        <f t="shared" si="72"/>
        <v>0</v>
      </c>
      <c r="AK136" s="71">
        <v>131</v>
      </c>
      <c r="AL136" s="33">
        <f t="shared" si="84"/>
        <v>0</v>
      </c>
      <c r="AM136" s="33">
        <f t="shared" si="85"/>
        <v>0</v>
      </c>
      <c r="AN136" s="33">
        <f t="shared" si="86"/>
        <v>0</v>
      </c>
      <c r="AO136" s="33">
        <f t="shared" si="87"/>
        <v>0</v>
      </c>
      <c r="AP136" s="33">
        <f t="shared" si="88"/>
        <v>0</v>
      </c>
      <c r="AQ136" s="194">
        <f t="shared" si="89"/>
        <v>0</v>
      </c>
      <c r="AR136" s="194">
        <f t="shared" si="89"/>
        <v>0</v>
      </c>
      <c r="AS136" s="194">
        <f t="shared" si="89"/>
        <v>0</v>
      </c>
      <c r="AT136" s="194">
        <f t="shared" si="74"/>
        <v>0</v>
      </c>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92"/>
        <v>0</v>
      </c>
      <c r="K137" s="33">
        <f t="shared" si="93"/>
        <v>0</v>
      </c>
      <c r="L137" s="33">
        <f t="shared" si="94"/>
        <v>0</v>
      </c>
      <c r="M137" s="33">
        <f t="shared" si="95"/>
        <v>0</v>
      </c>
      <c r="N137" s="33">
        <f t="shared" si="75"/>
        <v>0</v>
      </c>
      <c r="O137" s="34">
        <f t="shared" si="76"/>
        <v>0</v>
      </c>
      <c r="P137" s="55">
        <v>132</v>
      </c>
      <c r="Q137" s="33">
        <f t="shared" si="90"/>
        <v>0</v>
      </c>
      <c r="R137" s="33">
        <f t="shared" si="96"/>
        <v>0</v>
      </c>
      <c r="S137" s="33">
        <f t="shared" si="97"/>
        <v>0</v>
      </c>
      <c r="T137" s="33">
        <f t="shared" si="77"/>
        <v>0</v>
      </c>
      <c r="U137" s="33">
        <f t="shared" si="91"/>
        <v>0</v>
      </c>
      <c r="V137" s="33">
        <f t="shared" si="78"/>
        <v>0</v>
      </c>
      <c r="W137" s="33">
        <v>0</v>
      </c>
      <c r="X137" s="33">
        <f t="shared" si="79"/>
        <v>0</v>
      </c>
      <c r="Y137" s="38">
        <f t="shared" si="80"/>
        <v>0</v>
      </c>
      <c r="AA137" s="71">
        <v>132</v>
      </c>
      <c r="AB137" s="33">
        <f t="shared" si="81"/>
        <v>0</v>
      </c>
      <c r="AC137" s="305">
        <f t="shared" si="73"/>
        <v>0</v>
      </c>
      <c r="AD137" s="100">
        <f t="shared" si="82"/>
        <v>0</v>
      </c>
      <c r="AE137" s="100">
        <f t="shared" si="83"/>
        <v>0</v>
      </c>
      <c r="AF137" s="194">
        <f t="shared" si="69"/>
        <v>0</v>
      </c>
      <c r="AG137" s="194">
        <f t="shared" si="70"/>
        <v>0</v>
      </c>
      <c r="AH137" s="194">
        <f t="shared" si="71"/>
        <v>0</v>
      </c>
      <c r="AI137" s="199">
        <f t="shared" si="72"/>
        <v>0</v>
      </c>
      <c r="AK137" s="71">
        <v>132</v>
      </c>
      <c r="AL137" s="33">
        <f t="shared" si="84"/>
        <v>0</v>
      </c>
      <c r="AM137" s="33">
        <f t="shared" si="85"/>
        <v>0</v>
      </c>
      <c r="AN137" s="33">
        <f t="shared" si="86"/>
        <v>0</v>
      </c>
      <c r="AO137" s="33">
        <f t="shared" si="87"/>
        <v>0</v>
      </c>
      <c r="AP137" s="33">
        <f t="shared" si="88"/>
        <v>0</v>
      </c>
      <c r="AQ137" s="194">
        <f t="shared" si="89"/>
        <v>0</v>
      </c>
      <c r="AR137" s="194">
        <f t="shared" si="89"/>
        <v>0</v>
      </c>
      <c r="AS137" s="194">
        <f t="shared" si="89"/>
        <v>0</v>
      </c>
      <c r="AT137" s="194">
        <f t="shared" si="74"/>
        <v>0</v>
      </c>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92"/>
        <v>0</v>
      </c>
      <c r="K138" s="33">
        <f t="shared" si="93"/>
        <v>0</v>
      </c>
      <c r="L138" s="33">
        <f t="shared" si="94"/>
        <v>0</v>
      </c>
      <c r="M138" s="33">
        <f t="shared" si="95"/>
        <v>0</v>
      </c>
      <c r="N138" s="33">
        <f t="shared" si="75"/>
        <v>0</v>
      </c>
      <c r="O138" s="34">
        <f t="shared" si="76"/>
        <v>0</v>
      </c>
      <c r="P138" s="55">
        <v>133</v>
      </c>
      <c r="Q138" s="33">
        <f t="shared" si="90"/>
        <v>0</v>
      </c>
      <c r="R138" s="33">
        <f t="shared" si="96"/>
        <v>0</v>
      </c>
      <c r="S138" s="33">
        <f t="shared" si="97"/>
        <v>0</v>
      </c>
      <c r="T138" s="33">
        <f t="shared" si="77"/>
        <v>0</v>
      </c>
      <c r="U138" s="33">
        <f t="shared" si="91"/>
        <v>0</v>
      </c>
      <c r="V138" s="33">
        <f t="shared" si="78"/>
        <v>0</v>
      </c>
      <c r="W138" s="33">
        <v>0</v>
      </c>
      <c r="X138" s="33">
        <f t="shared" si="79"/>
        <v>0</v>
      </c>
      <c r="Y138" s="38">
        <f t="shared" si="80"/>
        <v>0</v>
      </c>
      <c r="AA138" s="71">
        <v>133</v>
      </c>
      <c r="AB138" s="33">
        <f t="shared" si="81"/>
        <v>0</v>
      </c>
      <c r="AC138" s="305">
        <f t="shared" si="73"/>
        <v>0</v>
      </c>
      <c r="AD138" s="100">
        <f t="shared" si="82"/>
        <v>0</v>
      </c>
      <c r="AE138" s="100">
        <f t="shared" si="83"/>
        <v>0</v>
      </c>
      <c r="AF138" s="194">
        <f t="shared" si="69"/>
        <v>0</v>
      </c>
      <c r="AG138" s="194">
        <f t="shared" si="70"/>
        <v>0</v>
      </c>
      <c r="AH138" s="194">
        <f t="shared" si="71"/>
        <v>0</v>
      </c>
      <c r="AI138" s="199">
        <f t="shared" si="72"/>
        <v>0</v>
      </c>
      <c r="AK138" s="71">
        <v>133</v>
      </c>
      <c r="AL138" s="33">
        <f t="shared" si="84"/>
        <v>0</v>
      </c>
      <c r="AM138" s="33">
        <f t="shared" si="85"/>
        <v>0</v>
      </c>
      <c r="AN138" s="33">
        <f t="shared" si="86"/>
        <v>0</v>
      </c>
      <c r="AO138" s="33">
        <f t="shared" si="87"/>
        <v>0</v>
      </c>
      <c r="AP138" s="33">
        <f t="shared" si="88"/>
        <v>0</v>
      </c>
      <c r="AQ138" s="194">
        <f t="shared" si="89"/>
        <v>0</v>
      </c>
      <c r="AR138" s="194">
        <f t="shared" si="89"/>
        <v>0</v>
      </c>
      <c r="AS138" s="194">
        <f t="shared" si="89"/>
        <v>0</v>
      </c>
      <c r="AT138" s="194">
        <f t="shared" si="74"/>
        <v>0</v>
      </c>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92"/>
        <v>0</v>
      </c>
      <c r="K139" s="33">
        <f t="shared" si="93"/>
        <v>0</v>
      </c>
      <c r="L139" s="33">
        <f t="shared" si="94"/>
        <v>0</v>
      </c>
      <c r="M139" s="33">
        <f t="shared" si="95"/>
        <v>0</v>
      </c>
      <c r="N139" s="33">
        <f t="shared" si="75"/>
        <v>0</v>
      </c>
      <c r="O139" s="34">
        <f t="shared" si="76"/>
        <v>0</v>
      </c>
      <c r="P139" s="55">
        <v>134</v>
      </c>
      <c r="Q139" s="33">
        <f t="shared" si="90"/>
        <v>0</v>
      </c>
      <c r="R139" s="33">
        <f t="shared" si="96"/>
        <v>0</v>
      </c>
      <c r="S139" s="33">
        <f t="shared" si="97"/>
        <v>0</v>
      </c>
      <c r="T139" s="33">
        <f t="shared" si="77"/>
        <v>0</v>
      </c>
      <c r="U139" s="33">
        <f t="shared" si="91"/>
        <v>0</v>
      </c>
      <c r="V139" s="33">
        <f t="shared" si="78"/>
        <v>0</v>
      </c>
      <c r="W139" s="33">
        <v>0</v>
      </c>
      <c r="X139" s="33">
        <f t="shared" si="79"/>
        <v>0</v>
      </c>
      <c r="Y139" s="38">
        <f t="shared" si="80"/>
        <v>0</v>
      </c>
      <c r="AA139" s="71">
        <v>134</v>
      </c>
      <c r="AB139" s="33">
        <f t="shared" si="81"/>
        <v>0</v>
      </c>
      <c r="AC139" s="305">
        <f t="shared" si="73"/>
        <v>0</v>
      </c>
      <c r="AD139" s="100">
        <f t="shared" si="82"/>
        <v>0</v>
      </c>
      <c r="AE139" s="100">
        <f t="shared" si="83"/>
        <v>0</v>
      </c>
      <c r="AF139" s="194">
        <f t="shared" si="69"/>
        <v>0</v>
      </c>
      <c r="AG139" s="194">
        <f t="shared" si="70"/>
        <v>0</v>
      </c>
      <c r="AH139" s="194">
        <f t="shared" si="71"/>
        <v>0</v>
      </c>
      <c r="AI139" s="199">
        <f t="shared" si="72"/>
        <v>0</v>
      </c>
      <c r="AK139" s="71">
        <v>134</v>
      </c>
      <c r="AL139" s="33">
        <f t="shared" si="84"/>
        <v>0</v>
      </c>
      <c r="AM139" s="33">
        <f t="shared" si="85"/>
        <v>0</v>
      </c>
      <c r="AN139" s="33">
        <f t="shared" si="86"/>
        <v>0</v>
      </c>
      <c r="AO139" s="33">
        <f t="shared" si="87"/>
        <v>0</v>
      </c>
      <c r="AP139" s="33">
        <f t="shared" si="88"/>
        <v>0</v>
      </c>
      <c r="AQ139" s="194">
        <f t="shared" si="89"/>
        <v>0</v>
      </c>
      <c r="AR139" s="194">
        <f t="shared" si="89"/>
        <v>0</v>
      </c>
      <c r="AS139" s="194">
        <f t="shared" si="89"/>
        <v>0</v>
      </c>
      <c r="AT139" s="194">
        <f t="shared" si="74"/>
        <v>0</v>
      </c>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92"/>
        <v>0</v>
      </c>
      <c r="K140" s="33">
        <f t="shared" si="93"/>
        <v>0</v>
      </c>
      <c r="L140" s="33">
        <f t="shared" si="94"/>
        <v>0</v>
      </c>
      <c r="M140" s="33">
        <f t="shared" si="95"/>
        <v>0</v>
      </c>
      <c r="N140" s="33">
        <f t="shared" si="75"/>
        <v>0</v>
      </c>
      <c r="O140" s="34">
        <f t="shared" si="76"/>
        <v>0</v>
      </c>
      <c r="P140" s="55">
        <v>135</v>
      </c>
      <c r="Q140" s="33">
        <f t="shared" si="90"/>
        <v>0</v>
      </c>
      <c r="R140" s="33">
        <f t="shared" si="96"/>
        <v>0</v>
      </c>
      <c r="S140" s="33">
        <f t="shared" si="97"/>
        <v>0</v>
      </c>
      <c r="T140" s="33">
        <f t="shared" si="77"/>
        <v>0</v>
      </c>
      <c r="U140" s="33">
        <f t="shared" si="91"/>
        <v>0</v>
      </c>
      <c r="V140" s="33">
        <f t="shared" si="78"/>
        <v>0</v>
      </c>
      <c r="W140" s="33">
        <v>0</v>
      </c>
      <c r="X140" s="33">
        <f t="shared" si="79"/>
        <v>0</v>
      </c>
      <c r="Y140" s="38">
        <f t="shared" si="80"/>
        <v>0</v>
      </c>
      <c r="AA140" s="71">
        <v>135</v>
      </c>
      <c r="AB140" s="33">
        <f t="shared" si="81"/>
        <v>0</v>
      </c>
      <c r="AC140" s="305">
        <f t="shared" si="73"/>
        <v>0</v>
      </c>
      <c r="AD140" s="100">
        <f t="shared" si="82"/>
        <v>0</v>
      </c>
      <c r="AE140" s="100">
        <f t="shared" si="83"/>
        <v>0</v>
      </c>
      <c r="AF140" s="194">
        <f t="shared" si="69"/>
        <v>0</v>
      </c>
      <c r="AG140" s="194">
        <f t="shared" si="70"/>
        <v>0</v>
      </c>
      <c r="AH140" s="194">
        <f t="shared" si="71"/>
        <v>0</v>
      </c>
      <c r="AI140" s="199">
        <f t="shared" si="72"/>
        <v>0</v>
      </c>
      <c r="AK140" s="71">
        <v>135</v>
      </c>
      <c r="AL140" s="33">
        <f t="shared" si="84"/>
        <v>0</v>
      </c>
      <c r="AM140" s="33">
        <f t="shared" si="85"/>
        <v>0</v>
      </c>
      <c r="AN140" s="33">
        <f t="shared" si="86"/>
        <v>0</v>
      </c>
      <c r="AO140" s="33">
        <f t="shared" si="87"/>
        <v>0</v>
      </c>
      <c r="AP140" s="33">
        <f t="shared" si="88"/>
        <v>0</v>
      </c>
      <c r="AQ140" s="194">
        <f t="shared" si="89"/>
        <v>0</v>
      </c>
      <c r="AR140" s="194">
        <f t="shared" si="89"/>
        <v>0</v>
      </c>
      <c r="AS140" s="194">
        <f t="shared" si="89"/>
        <v>0</v>
      </c>
      <c r="AT140" s="194">
        <f t="shared" si="74"/>
        <v>0</v>
      </c>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92"/>
        <v>0</v>
      </c>
      <c r="K141" s="33">
        <f t="shared" si="93"/>
        <v>0</v>
      </c>
      <c r="L141" s="33">
        <f t="shared" si="94"/>
        <v>0</v>
      </c>
      <c r="M141" s="33">
        <f t="shared" si="95"/>
        <v>0</v>
      </c>
      <c r="N141" s="33">
        <f t="shared" si="75"/>
        <v>0</v>
      </c>
      <c r="O141" s="34">
        <f t="shared" si="76"/>
        <v>0</v>
      </c>
      <c r="P141" s="55">
        <v>136</v>
      </c>
      <c r="Q141" s="33">
        <f t="shared" si="90"/>
        <v>0</v>
      </c>
      <c r="R141" s="33">
        <f t="shared" si="96"/>
        <v>0</v>
      </c>
      <c r="S141" s="33">
        <f t="shared" si="97"/>
        <v>0</v>
      </c>
      <c r="T141" s="33">
        <f t="shared" si="77"/>
        <v>0</v>
      </c>
      <c r="U141" s="33">
        <f t="shared" si="91"/>
        <v>0</v>
      </c>
      <c r="V141" s="33">
        <f t="shared" si="78"/>
        <v>0</v>
      </c>
      <c r="W141" s="33">
        <v>0</v>
      </c>
      <c r="X141" s="33">
        <f t="shared" si="79"/>
        <v>0</v>
      </c>
      <c r="Y141" s="38">
        <f t="shared" si="80"/>
        <v>0</v>
      </c>
      <c r="AA141" s="71">
        <v>136</v>
      </c>
      <c r="AB141" s="33">
        <f t="shared" si="81"/>
        <v>0</v>
      </c>
      <c r="AC141" s="305">
        <f t="shared" si="73"/>
        <v>0</v>
      </c>
      <c r="AD141" s="100">
        <f t="shared" si="82"/>
        <v>0</v>
      </c>
      <c r="AE141" s="100">
        <f t="shared" si="83"/>
        <v>0</v>
      </c>
      <c r="AF141" s="194">
        <f t="shared" si="69"/>
        <v>0</v>
      </c>
      <c r="AG141" s="194">
        <f t="shared" si="70"/>
        <v>0</v>
      </c>
      <c r="AH141" s="194">
        <f t="shared" si="71"/>
        <v>0</v>
      </c>
      <c r="AI141" s="199">
        <f t="shared" si="72"/>
        <v>0</v>
      </c>
      <c r="AK141" s="71">
        <v>136</v>
      </c>
      <c r="AL141" s="33">
        <f t="shared" si="84"/>
        <v>0</v>
      </c>
      <c r="AM141" s="33">
        <f t="shared" si="85"/>
        <v>0</v>
      </c>
      <c r="AN141" s="33">
        <f t="shared" si="86"/>
        <v>0</v>
      </c>
      <c r="AO141" s="33">
        <f t="shared" si="87"/>
        <v>0</v>
      </c>
      <c r="AP141" s="33">
        <f t="shared" si="88"/>
        <v>0</v>
      </c>
      <c r="AQ141" s="194">
        <f t="shared" si="89"/>
        <v>0</v>
      </c>
      <c r="AR141" s="194">
        <f t="shared" si="89"/>
        <v>0</v>
      </c>
      <c r="AS141" s="194">
        <f t="shared" si="89"/>
        <v>0</v>
      </c>
      <c r="AT141" s="194">
        <f t="shared" si="74"/>
        <v>0</v>
      </c>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92"/>
        <v>0</v>
      </c>
      <c r="K142" s="33">
        <f t="shared" si="93"/>
        <v>0</v>
      </c>
      <c r="L142" s="33">
        <f t="shared" si="94"/>
        <v>0</v>
      </c>
      <c r="M142" s="33">
        <f t="shared" si="95"/>
        <v>0</v>
      </c>
      <c r="N142" s="33">
        <f t="shared" si="75"/>
        <v>0</v>
      </c>
      <c r="O142" s="34">
        <f t="shared" si="76"/>
        <v>0</v>
      </c>
      <c r="P142" s="55">
        <v>137</v>
      </c>
      <c r="Q142" s="33">
        <f t="shared" si="90"/>
        <v>0</v>
      </c>
      <c r="R142" s="33">
        <f t="shared" si="96"/>
        <v>0</v>
      </c>
      <c r="S142" s="33">
        <f t="shared" si="97"/>
        <v>0</v>
      </c>
      <c r="T142" s="33">
        <f t="shared" si="77"/>
        <v>0</v>
      </c>
      <c r="U142" s="33">
        <f t="shared" si="91"/>
        <v>0</v>
      </c>
      <c r="V142" s="33">
        <f t="shared" si="78"/>
        <v>0</v>
      </c>
      <c r="W142" s="33">
        <v>0</v>
      </c>
      <c r="X142" s="33">
        <f t="shared" si="79"/>
        <v>0</v>
      </c>
      <c r="Y142" s="38">
        <f t="shared" si="80"/>
        <v>0</v>
      </c>
      <c r="AA142" s="71">
        <v>137</v>
      </c>
      <c r="AB142" s="33">
        <f t="shared" si="81"/>
        <v>0</v>
      </c>
      <c r="AC142" s="305">
        <f t="shared" si="73"/>
        <v>0</v>
      </c>
      <c r="AD142" s="100">
        <f t="shared" si="82"/>
        <v>0</v>
      </c>
      <c r="AE142" s="100">
        <f t="shared" si="83"/>
        <v>0</v>
      </c>
      <c r="AF142" s="194">
        <f t="shared" si="69"/>
        <v>0</v>
      </c>
      <c r="AG142" s="194">
        <f t="shared" si="70"/>
        <v>0</v>
      </c>
      <c r="AH142" s="194">
        <f t="shared" si="71"/>
        <v>0</v>
      </c>
      <c r="AI142" s="199">
        <f t="shared" si="72"/>
        <v>0</v>
      </c>
      <c r="AK142" s="71">
        <v>137</v>
      </c>
      <c r="AL142" s="33">
        <f t="shared" si="84"/>
        <v>0</v>
      </c>
      <c r="AM142" s="33">
        <f t="shared" si="85"/>
        <v>0</v>
      </c>
      <c r="AN142" s="33">
        <f t="shared" si="86"/>
        <v>0</v>
      </c>
      <c r="AO142" s="33">
        <f t="shared" si="87"/>
        <v>0</v>
      </c>
      <c r="AP142" s="33">
        <f t="shared" si="88"/>
        <v>0</v>
      </c>
      <c r="AQ142" s="194">
        <f t="shared" si="89"/>
        <v>0</v>
      </c>
      <c r="AR142" s="194">
        <f t="shared" si="89"/>
        <v>0</v>
      </c>
      <c r="AS142" s="194">
        <f t="shared" si="89"/>
        <v>0</v>
      </c>
      <c r="AT142" s="194">
        <f t="shared" si="74"/>
        <v>0</v>
      </c>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92"/>
        <v>0</v>
      </c>
      <c r="K143" s="33">
        <f t="shared" si="93"/>
        <v>0</v>
      </c>
      <c r="L143" s="33">
        <f t="shared" si="94"/>
        <v>0</v>
      </c>
      <c r="M143" s="33">
        <f t="shared" si="95"/>
        <v>0</v>
      </c>
      <c r="N143" s="33">
        <f t="shared" si="75"/>
        <v>0</v>
      </c>
      <c r="O143" s="34">
        <f t="shared" si="76"/>
        <v>0</v>
      </c>
      <c r="P143" s="55">
        <v>138</v>
      </c>
      <c r="Q143" s="33">
        <f t="shared" si="90"/>
        <v>0</v>
      </c>
      <c r="R143" s="33">
        <f t="shared" si="96"/>
        <v>0</v>
      </c>
      <c r="S143" s="33">
        <f t="shared" si="97"/>
        <v>0</v>
      </c>
      <c r="T143" s="33">
        <f t="shared" si="77"/>
        <v>0</v>
      </c>
      <c r="U143" s="33">
        <f t="shared" si="91"/>
        <v>0</v>
      </c>
      <c r="V143" s="33">
        <f t="shared" si="78"/>
        <v>0</v>
      </c>
      <c r="W143" s="33">
        <v>0</v>
      </c>
      <c r="X143" s="33">
        <f t="shared" si="79"/>
        <v>0</v>
      </c>
      <c r="Y143" s="38">
        <f t="shared" si="80"/>
        <v>0</v>
      </c>
      <c r="AA143" s="71">
        <v>138</v>
      </c>
      <c r="AB143" s="33">
        <f t="shared" si="81"/>
        <v>0</v>
      </c>
      <c r="AC143" s="305">
        <f t="shared" si="73"/>
        <v>0</v>
      </c>
      <c r="AD143" s="100">
        <f t="shared" si="82"/>
        <v>0</v>
      </c>
      <c r="AE143" s="100">
        <f t="shared" si="83"/>
        <v>0</v>
      </c>
      <c r="AF143" s="194">
        <f t="shared" si="69"/>
        <v>0</v>
      </c>
      <c r="AG143" s="194">
        <f t="shared" si="70"/>
        <v>0</v>
      </c>
      <c r="AH143" s="194">
        <f t="shared" si="71"/>
        <v>0</v>
      </c>
      <c r="AI143" s="199">
        <f t="shared" si="72"/>
        <v>0</v>
      </c>
      <c r="AK143" s="71">
        <v>138</v>
      </c>
      <c r="AL143" s="33">
        <f t="shared" si="84"/>
        <v>0</v>
      </c>
      <c r="AM143" s="33">
        <f t="shared" si="85"/>
        <v>0</v>
      </c>
      <c r="AN143" s="33">
        <f t="shared" si="86"/>
        <v>0</v>
      </c>
      <c r="AO143" s="33">
        <f t="shared" si="87"/>
        <v>0</v>
      </c>
      <c r="AP143" s="33">
        <f t="shared" si="88"/>
        <v>0</v>
      </c>
      <c r="AQ143" s="194">
        <f t="shared" si="89"/>
        <v>0</v>
      </c>
      <c r="AR143" s="194">
        <f t="shared" si="89"/>
        <v>0</v>
      </c>
      <c r="AS143" s="194">
        <f t="shared" si="89"/>
        <v>0</v>
      </c>
      <c r="AT143" s="194">
        <f t="shared" si="74"/>
        <v>0</v>
      </c>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92"/>
        <v>0</v>
      </c>
      <c r="K144" s="33">
        <f t="shared" si="93"/>
        <v>0</v>
      </c>
      <c r="L144" s="33">
        <f t="shared" si="94"/>
        <v>0</v>
      </c>
      <c r="M144" s="33">
        <f t="shared" si="95"/>
        <v>0</v>
      </c>
      <c r="N144" s="33">
        <f t="shared" si="75"/>
        <v>0</v>
      </c>
      <c r="O144" s="34">
        <f t="shared" si="76"/>
        <v>0</v>
      </c>
      <c r="P144" s="55">
        <v>139</v>
      </c>
      <c r="Q144" s="33">
        <f t="shared" si="90"/>
        <v>0</v>
      </c>
      <c r="R144" s="33">
        <f t="shared" si="96"/>
        <v>0</v>
      </c>
      <c r="S144" s="33">
        <f t="shared" si="97"/>
        <v>0</v>
      </c>
      <c r="T144" s="33">
        <f t="shared" si="77"/>
        <v>0</v>
      </c>
      <c r="U144" s="33">
        <f t="shared" si="91"/>
        <v>0</v>
      </c>
      <c r="V144" s="33">
        <f t="shared" si="78"/>
        <v>0</v>
      </c>
      <c r="W144" s="33">
        <v>0</v>
      </c>
      <c r="X144" s="33">
        <f t="shared" si="79"/>
        <v>0</v>
      </c>
      <c r="Y144" s="38">
        <f t="shared" si="80"/>
        <v>0</v>
      </c>
      <c r="AA144" s="71">
        <v>139</v>
      </c>
      <c r="AB144" s="33">
        <f t="shared" si="81"/>
        <v>0</v>
      </c>
      <c r="AC144" s="305">
        <f t="shared" si="73"/>
        <v>0</v>
      </c>
      <c r="AD144" s="100">
        <f t="shared" si="82"/>
        <v>0</v>
      </c>
      <c r="AE144" s="100">
        <f t="shared" si="83"/>
        <v>0</v>
      </c>
      <c r="AF144" s="194">
        <f t="shared" si="69"/>
        <v>0</v>
      </c>
      <c r="AG144" s="194">
        <f t="shared" si="70"/>
        <v>0</v>
      </c>
      <c r="AH144" s="194">
        <f t="shared" si="71"/>
        <v>0</v>
      </c>
      <c r="AI144" s="199">
        <f t="shared" si="72"/>
        <v>0</v>
      </c>
      <c r="AK144" s="71">
        <v>139</v>
      </c>
      <c r="AL144" s="33">
        <f t="shared" si="84"/>
        <v>0</v>
      </c>
      <c r="AM144" s="33">
        <f t="shared" si="85"/>
        <v>0</v>
      </c>
      <c r="AN144" s="33">
        <f t="shared" si="86"/>
        <v>0</v>
      </c>
      <c r="AO144" s="33">
        <f t="shared" si="87"/>
        <v>0</v>
      </c>
      <c r="AP144" s="33">
        <f t="shared" si="88"/>
        <v>0</v>
      </c>
      <c r="AQ144" s="194">
        <f t="shared" si="89"/>
        <v>0</v>
      </c>
      <c r="AR144" s="194">
        <f t="shared" si="89"/>
        <v>0</v>
      </c>
      <c r="AS144" s="194">
        <f t="shared" si="89"/>
        <v>0</v>
      </c>
      <c r="AT144" s="194">
        <f t="shared" si="74"/>
        <v>0</v>
      </c>
      <c r="AU144" s="33"/>
      <c r="AV144" s="33"/>
      <c r="AW144" s="33"/>
      <c r="AX144" s="33"/>
      <c r="AY144" s="76"/>
    </row>
    <row r="145" spans="3:51" x14ac:dyDescent="0.3">
      <c r="C145" s="166" t="s">
        <v>20</v>
      </c>
      <c r="D145" s="4">
        <v>0.57999999999999996</v>
      </c>
      <c r="E145" s="188" t="s">
        <v>228</v>
      </c>
      <c r="F145" s="343">
        <f>IF(OR(Tableau145[[#This Row],[Type]]="Feuillus",Tableau145[[#This Row],[Type]]="Peupliers"),1.56,1.3)</f>
        <v>1.56</v>
      </c>
      <c r="I145" s="55">
        <v>140</v>
      </c>
      <c r="J145" s="33">
        <f t="shared" si="92"/>
        <v>0</v>
      </c>
      <c r="K145" s="33">
        <f t="shared" si="93"/>
        <v>0</v>
      </c>
      <c r="L145" s="33">
        <f t="shared" si="94"/>
        <v>0</v>
      </c>
      <c r="M145" s="33">
        <f t="shared" si="95"/>
        <v>0</v>
      </c>
      <c r="N145" s="33">
        <f t="shared" si="75"/>
        <v>0</v>
      </c>
      <c r="O145" s="34">
        <f t="shared" si="76"/>
        <v>0</v>
      </c>
      <c r="P145" s="55">
        <v>140</v>
      </c>
      <c r="Q145" s="33">
        <f t="shared" si="90"/>
        <v>0</v>
      </c>
      <c r="R145" s="33">
        <f t="shared" si="96"/>
        <v>0</v>
      </c>
      <c r="S145" s="33">
        <f t="shared" si="97"/>
        <v>0</v>
      </c>
      <c r="T145" s="33">
        <f t="shared" si="77"/>
        <v>0</v>
      </c>
      <c r="U145" s="33">
        <f t="shared" si="91"/>
        <v>0</v>
      </c>
      <c r="V145" s="33">
        <f t="shared" si="78"/>
        <v>0</v>
      </c>
      <c r="W145" s="33">
        <v>0</v>
      </c>
      <c r="X145" s="33">
        <f t="shared" si="79"/>
        <v>0</v>
      </c>
      <c r="Y145" s="38">
        <f t="shared" si="80"/>
        <v>0</v>
      </c>
      <c r="AA145" s="71">
        <v>140</v>
      </c>
      <c r="AB145" s="33">
        <f t="shared" si="81"/>
        <v>0</v>
      </c>
      <c r="AC145" s="305">
        <f t="shared" si="73"/>
        <v>0</v>
      </c>
      <c r="AD145" s="100">
        <f t="shared" si="82"/>
        <v>0</v>
      </c>
      <c r="AE145" s="100">
        <f t="shared" si="83"/>
        <v>0</v>
      </c>
      <c r="AF145" s="194">
        <f t="shared" si="69"/>
        <v>0</v>
      </c>
      <c r="AG145" s="194">
        <f t="shared" si="70"/>
        <v>0</v>
      </c>
      <c r="AH145" s="194">
        <f t="shared" si="71"/>
        <v>0</v>
      </c>
      <c r="AI145" s="199">
        <f t="shared" si="72"/>
        <v>0</v>
      </c>
      <c r="AK145" s="71">
        <v>140</v>
      </c>
      <c r="AL145" s="33">
        <f t="shared" si="84"/>
        <v>0</v>
      </c>
      <c r="AM145" s="33">
        <f t="shared" si="85"/>
        <v>0</v>
      </c>
      <c r="AN145" s="33">
        <f t="shared" si="86"/>
        <v>0</v>
      </c>
      <c r="AO145" s="33">
        <f t="shared" si="87"/>
        <v>0</v>
      </c>
      <c r="AP145" s="33">
        <f t="shared" si="88"/>
        <v>0</v>
      </c>
      <c r="AQ145" s="194">
        <f t="shared" si="89"/>
        <v>0</v>
      </c>
      <c r="AR145" s="194">
        <f t="shared" si="89"/>
        <v>0</v>
      </c>
      <c r="AS145" s="194">
        <f t="shared" si="89"/>
        <v>0</v>
      </c>
      <c r="AT145" s="194">
        <f t="shared" si="74"/>
        <v>0</v>
      </c>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92"/>
        <v>0</v>
      </c>
      <c r="K146" s="33">
        <f t="shared" si="93"/>
        <v>0</v>
      </c>
      <c r="L146" s="33">
        <f t="shared" si="94"/>
        <v>0</v>
      </c>
      <c r="M146" s="33">
        <f t="shared" si="95"/>
        <v>0</v>
      </c>
      <c r="N146" s="33">
        <f t="shared" si="75"/>
        <v>0</v>
      </c>
      <c r="O146" s="34">
        <f t="shared" si="76"/>
        <v>0</v>
      </c>
      <c r="P146" s="55">
        <v>141</v>
      </c>
      <c r="Q146" s="33">
        <f t="shared" si="90"/>
        <v>0</v>
      </c>
      <c r="R146" s="33">
        <f t="shared" si="96"/>
        <v>0</v>
      </c>
      <c r="S146" s="33">
        <f t="shared" si="97"/>
        <v>0</v>
      </c>
      <c r="T146" s="33">
        <f t="shared" si="77"/>
        <v>0</v>
      </c>
      <c r="U146" s="33">
        <f t="shared" si="91"/>
        <v>0</v>
      </c>
      <c r="V146" s="33">
        <f t="shared" si="78"/>
        <v>0</v>
      </c>
      <c r="W146" s="33">
        <v>0</v>
      </c>
      <c r="X146" s="33">
        <f t="shared" si="79"/>
        <v>0</v>
      </c>
      <c r="Y146" s="38">
        <f t="shared" si="80"/>
        <v>0</v>
      </c>
      <c r="AA146" s="71">
        <v>141</v>
      </c>
      <c r="AB146" s="33">
        <f t="shared" si="81"/>
        <v>0</v>
      </c>
      <c r="AC146" s="305">
        <f t="shared" si="73"/>
        <v>0</v>
      </c>
      <c r="AD146" s="100">
        <f t="shared" si="82"/>
        <v>0</v>
      </c>
      <c r="AE146" s="100">
        <f t="shared" si="83"/>
        <v>0</v>
      </c>
      <c r="AF146" s="194">
        <f t="shared" si="69"/>
        <v>0</v>
      </c>
      <c r="AG146" s="194">
        <f t="shared" si="70"/>
        <v>0</v>
      </c>
      <c r="AH146" s="194">
        <f t="shared" si="71"/>
        <v>0</v>
      </c>
      <c r="AI146" s="199">
        <f t="shared" si="72"/>
        <v>0</v>
      </c>
      <c r="AK146" s="71">
        <v>141</v>
      </c>
      <c r="AL146" s="33">
        <f t="shared" si="84"/>
        <v>0</v>
      </c>
      <c r="AM146" s="33">
        <f t="shared" si="85"/>
        <v>0</v>
      </c>
      <c r="AN146" s="33">
        <f t="shared" si="86"/>
        <v>0</v>
      </c>
      <c r="AO146" s="33">
        <f t="shared" si="87"/>
        <v>0</v>
      </c>
      <c r="AP146" s="33">
        <f t="shared" si="88"/>
        <v>0</v>
      </c>
      <c r="AQ146" s="194">
        <f t="shared" si="89"/>
        <v>0</v>
      </c>
      <c r="AR146" s="194">
        <f t="shared" si="89"/>
        <v>0</v>
      </c>
      <c r="AS146" s="194">
        <f t="shared" si="89"/>
        <v>0</v>
      </c>
      <c r="AT146" s="194">
        <f t="shared" si="74"/>
        <v>0</v>
      </c>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92"/>
        <v>0</v>
      </c>
      <c r="K147" s="33">
        <f t="shared" si="93"/>
        <v>0</v>
      </c>
      <c r="L147" s="33">
        <f t="shared" si="94"/>
        <v>0</v>
      </c>
      <c r="M147" s="33">
        <f t="shared" si="95"/>
        <v>0</v>
      </c>
      <c r="N147" s="33">
        <f t="shared" si="75"/>
        <v>0</v>
      </c>
      <c r="O147" s="34">
        <f t="shared" si="76"/>
        <v>0</v>
      </c>
      <c r="P147" s="55">
        <v>142</v>
      </c>
      <c r="Q147" s="33">
        <f t="shared" si="90"/>
        <v>0</v>
      </c>
      <c r="R147" s="33">
        <f t="shared" si="96"/>
        <v>0</v>
      </c>
      <c r="S147" s="33">
        <f t="shared" si="97"/>
        <v>0</v>
      </c>
      <c r="T147" s="33">
        <f t="shared" si="77"/>
        <v>0</v>
      </c>
      <c r="U147" s="33">
        <f t="shared" si="91"/>
        <v>0</v>
      </c>
      <c r="V147" s="33">
        <f t="shared" si="78"/>
        <v>0</v>
      </c>
      <c r="W147" s="33">
        <v>0</v>
      </c>
      <c r="X147" s="33">
        <f t="shared" si="79"/>
        <v>0</v>
      </c>
      <c r="Y147" s="38">
        <f t="shared" si="80"/>
        <v>0</v>
      </c>
      <c r="AA147" s="71">
        <v>142</v>
      </c>
      <c r="AB147" s="33">
        <f t="shared" si="81"/>
        <v>0</v>
      </c>
      <c r="AC147" s="305">
        <f t="shared" si="73"/>
        <v>0</v>
      </c>
      <c r="AD147" s="100">
        <f t="shared" si="82"/>
        <v>0</v>
      </c>
      <c r="AE147" s="100">
        <f t="shared" si="83"/>
        <v>0</v>
      </c>
      <c r="AF147" s="194">
        <f t="shared" si="69"/>
        <v>0</v>
      </c>
      <c r="AG147" s="194">
        <f t="shared" si="70"/>
        <v>0</v>
      </c>
      <c r="AH147" s="194">
        <f t="shared" si="71"/>
        <v>0</v>
      </c>
      <c r="AI147" s="199">
        <f t="shared" si="72"/>
        <v>0</v>
      </c>
      <c r="AK147" s="71">
        <v>142</v>
      </c>
      <c r="AL147" s="33">
        <f t="shared" si="84"/>
        <v>0</v>
      </c>
      <c r="AM147" s="33">
        <f t="shared" si="85"/>
        <v>0</v>
      </c>
      <c r="AN147" s="33">
        <f t="shared" si="86"/>
        <v>0</v>
      </c>
      <c r="AO147" s="33">
        <f t="shared" si="87"/>
        <v>0</v>
      </c>
      <c r="AP147" s="33">
        <f t="shared" si="88"/>
        <v>0</v>
      </c>
      <c r="AQ147" s="194">
        <f t="shared" si="89"/>
        <v>0</v>
      </c>
      <c r="AR147" s="194">
        <f t="shared" si="89"/>
        <v>0</v>
      </c>
      <c r="AS147" s="194">
        <f t="shared" si="89"/>
        <v>0</v>
      </c>
      <c r="AT147" s="194">
        <f t="shared" si="74"/>
        <v>0</v>
      </c>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92"/>
        <v>0</v>
      </c>
      <c r="K148" s="33">
        <f t="shared" si="93"/>
        <v>0</v>
      </c>
      <c r="L148" s="33">
        <f t="shared" si="94"/>
        <v>0</v>
      </c>
      <c r="M148" s="33">
        <f t="shared" si="95"/>
        <v>0</v>
      </c>
      <c r="N148" s="33">
        <f t="shared" si="75"/>
        <v>0</v>
      </c>
      <c r="O148" s="34">
        <f t="shared" si="76"/>
        <v>0</v>
      </c>
      <c r="P148" s="55">
        <v>143</v>
      </c>
      <c r="Q148" s="33">
        <f t="shared" si="90"/>
        <v>0</v>
      </c>
      <c r="R148" s="33">
        <f t="shared" si="96"/>
        <v>0</v>
      </c>
      <c r="S148" s="33">
        <f t="shared" si="97"/>
        <v>0</v>
      </c>
      <c r="T148" s="33">
        <f t="shared" si="77"/>
        <v>0</v>
      </c>
      <c r="U148" s="33">
        <f t="shared" si="91"/>
        <v>0</v>
      </c>
      <c r="V148" s="33">
        <f t="shared" si="78"/>
        <v>0</v>
      </c>
      <c r="W148" s="33">
        <v>0</v>
      </c>
      <c r="X148" s="33">
        <f t="shared" si="79"/>
        <v>0</v>
      </c>
      <c r="Y148" s="38">
        <f t="shared" si="80"/>
        <v>0</v>
      </c>
      <c r="AA148" s="71">
        <v>143</v>
      </c>
      <c r="AB148" s="33">
        <f t="shared" si="81"/>
        <v>0</v>
      </c>
      <c r="AC148" s="305">
        <f t="shared" si="73"/>
        <v>0</v>
      </c>
      <c r="AD148" s="100">
        <f t="shared" si="82"/>
        <v>0</v>
      </c>
      <c r="AE148" s="100">
        <f t="shared" si="83"/>
        <v>0</v>
      </c>
      <c r="AF148" s="194">
        <f t="shared" si="69"/>
        <v>0</v>
      </c>
      <c r="AG148" s="194">
        <f t="shared" si="70"/>
        <v>0</v>
      </c>
      <c r="AH148" s="194">
        <f t="shared" si="71"/>
        <v>0</v>
      </c>
      <c r="AI148" s="199">
        <f t="shared" si="72"/>
        <v>0</v>
      </c>
      <c r="AK148" s="71">
        <v>143</v>
      </c>
      <c r="AL148" s="33">
        <f t="shared" si="84"/>
        <v>0</v>
      </c>
      <c r="AM148" s="33">
        <f t="shared" si="85"/>
        <v>0</v>
      </c>
      <c r="AN148" s="33">
        <f t="shared" si="86"/>
        <v>0</v>
      </c>
      <c r="AO148" s="33">
        <f t="shared" si="87"/>
        <v>0</v>
      </c>
      <c r="AP148" s="33">
        <f t="shared" si="88"/>
        <v>0</v>
      </c>
      <c r="AQ148" s="194">
        <f t="shared" si="89"/>
        <v>0</v>
      </c>
      <c r="AR148" s="194">
        <f t="shared" si="89"/>
        <v>0</v>
      </c>
      <c r="AS148" s="194">
        <f t="shared" si="89"/>
        <v>0</v>
      </c>
      <c r="AT148" s="194">
        <f t="shared" si="74"/>
        <v>0</v>
      </c>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92"/>
        <v>0</v>
      </c>
      <c r="K149" s="33">
        <f t="shared" si="93"/>
        <v>0</v>
      </c>
      <c r="L149" s="33">
        <f t="shared" si="94"/>
        <v>0</v>
      </c>
      <c r="M149" s="33">
        <f t="shared" si="95"/>
        <v>0</v>
      </c>
      <c r="N149" s="33">
        <f t="shared" si="75"/>
        <v>0</v>
      </c>
      <c r="O149" s="34">
        <f t="shared" si="76"/>
        <v>0</v>
      </c>
      <c r="P149" s="55">
        <v>144</v>
      </c>
      <c r="Q149" s="33">
        <f t="shared" si="90"/>
        <v>0</v>
      </c>
      <c r="R149" s="33">
        <f t="shared" si="96"/>
        <v>0</v>
      </c>
      <c r="S149" s="33">
        <f t="shared" si="97"/>
        <v>0</v>
      </c>
      <c r="T149" s="33">
        <f t="shared" si="77"/>
        <v>0</v>
      </c>
      <c r="U149" s="33">
        <f t="shared" si="91"/>
        <v>0</v>
      </c>
      <c r="V149" s="33">
        <f t="shared" si="78"/>
        <v>0</v>
      </c>
      <c r="W149" s="33">
        <v>0</v>
      </c>
      <c r="X149" s="33">
        <f t="shared" si="79"/>
        <v>0</v>
      </c>
      <c r="Y149" s="38">
        <f t="shared" si="80"/>
        <v>0</v>
      </c>
      <c r="AA149" s="71">
        <v>144</v>
      </c>
      <c r="AB149" s="33">
        <f t="shared" si="81"/>
        <v>0</v>
      </c>
      <c r="AC149" s="305">
        <f t="shared" si="73"/>
        <v>0</v>
      </c>
      <c r="AD149" s="100">
        <f t="shared" si="82"/>
        <v>0</v>
      </c>
      <c r="AE149" s="100">
        <f t="shared" si="83"/>
        <v>0</v>
      </c>
      <c r="AF149" s="194">
        <f t="shared" si="69"/>
        <v>0</v>
      </c>
      <c r="AG149" s="194">
        <f t="shared" si="70"/>
        <v>0</v>
      </c>
      <c r="AH149" s="194">
        <f t="shared" si="71"/>
        <v>0</v>
      </c>
      <c r="AI149" s="199">
        <f t="shared" si="72"/>
        <v>0</v>
      </c>
      <c r="AK149" s="71">
        <v>144</v>
      </c>
      <c r="AL149" s="33">
        <f t="shared" si="84"/>
        <v>0</v>
      </c>
      <c r="AM149" s="33">
        <f t="shared" si="85"/>
        <v>0</v>
      </c>
      <c r="AN149" s="33">
        <f t="shared" si="86"/>
        <v>0</v>
      </c>
      <c r="AO149" s="33">
        <f t="shared" si="87"/>
        <v>0</v>
      </c>
      <c r="AP149" s="33">
        <f t="shared" si="88"/>
        <v>0</v>
      </c>
      <c r="AQ149" s="194">
        <f t="shared" si="89"/>
        <v>0</v>
      </c>
      <c r="AR149" s="194">
        <f t="shared" si="89"/>
        <v>0</v>
      </c>
      <c r="AS149" s="194">
        <f t="shared" si="89"/>
        <v>0</v>
      </c>
      <c r="AT149" s="194">
        <f t="shared" si="74"/>
        <v>0</v>
      </c>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92"/>
        <v>0</v>
      </c>
      <c r="K150" s="33">
        <f t="shared" si="93"/>
        <v>0</v>
      </c>
      <c r="L150" s="33">
        <f t="shared" si="94"/>
        <v>0</v>
      </c>
      <c r="M150" s="33">
        <f t="shared" si="95"/>
        <v>0</v>
      </c>
      <c r="N150" s="33">
        <f t="shared" si="75"/>
        <v>0</v>
      </c>
      <c r="O150" s="34">
        <f t="shared" si="76"/>
        <v>0</v>
      </c>
      <c r="P150" s="55">
        <v>145</v>
      </c>
      <c r="Q150" s="33">
        <f t="shared" si="90"/>
        <v>0</v>
      </c>
      <c r="R150" s="33">
        <f t="shared" si="96"/>
        <v>0</v>
      </c>
      <c r="S150" s="33">
        <f t="shared" si="97"/>
        <v>0</v>
      </c>
      <c r="T150" s="33">
        <f t="shared" si="77"/>
        <v>0</v>
      </c>
      <c r="U150" s="33">
        <f t="shared" si="91"/>
        <v>0</v>
      </c>
      <c r="V150" s="33">
        <f t="shared" si="78"/>
        <v>0</v>
      </c>
      <c r="W150" s="33">
        <v>0</v>
      </c>
      <c r="X150" s="33">
        <f t="shared" si="79"/>
        <v>0</v>
      </c>
      <c r="Y150" s="38">
        <f t="shared" si="80"/>
        <v>0</v>
      </c>
      <c r="AA150" s="71">
        <v>145</v>
      </c>
      <c r="AB150" s="33">
        <f t="shared" si="81"/>
        <v>0</v>
      </c>
      <c r="AC150" s="305">
        <f t="shared" si="73"/>
        <v>0</v>
      </c>
      <c r="AD150" s="100">
        <f t="shared" si="82"/>
        <v>0</v>
      </c>
      <c r="AE150" s="100">
        <f t="shared" si="83"/>
        <v>0</v>
      </c>
      <c r="AF150" s="194">
        <f t="shared" si="69"/>
        <v>0</v>
      </c>
      <c r="AG150" s="194">
        <f t="shared" si="70"/>
        <v>0</v>
      </c>
      <c r="AH150" s="194">
        <f t="shared" si="71"/>
        <v>0</v>
      </c>
      <c r="AI150" s="199">
        <f t="shared" si="72"/>
        <v>0</v>
      </c>
      <c r="AK150" s="71">
        <v>145</v>
      </c>
      <c r="AL150" s="33">
        <f t="shared" si="84"/>
        <v>0</v>
      </c>
      <c r="AM150" s="33">
        <f t="shared" si="85"/>
        <v>0</v>
      </c>
      <c r="AN150" s="33">
        <f t="shared" si="86"/>
        <v>0</v>
      </c>
      <c r="AO150" s="33">
        <f t="shared" si="87"/>
        <v>0</v>
      </c>
      <c r="AP150" s="33">
        <f t="shared" si="88"/>
        <v>0</v>
      </c>
      <c r="AQ150" s="194">
        <f t="shared" si="89"/>
        <v>0</v>
      </c>
      <c r="AR150" s="194">
        <f t="shared" si="89"/>
        <v>0</v>
      </c>
      <c r="AS150" s="194">
        <f t="shared" si="89"/>
        <v>0</v>
      </c>
      <c r="AT150" s="194">
        <f t="shared" si="74"/>
        <v>0</v>
      </c>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92"/>
        <v>0</v>
      </c>
      <c r="K151" s="33">
        <f t="shared" si="93"/>
        <v>0</v>
      </c>
      <c r="L151" s="33">
        <f t="shared" si="94"/>
        <v>0</v>
      </c>
      <c r="M151" s="33">
        <f t="shared" si="95"/>
        <v>0</v>
      </c>
      <c r="N151" s="33">
        <f t="shared" si="75"/>
        <v>0</v>
      </c>
      <c r="O151" s="34">
        <f t="shared" si="76"/>
        <v>0</v>
      </c>
      <c r="P151" s="55">
        <v>146</v>
      </c>
      <c r="Q151" s="33">
        <f t="shared" si="90"/>
        <v>0</v>
      </c>
      <c r="R151" s="33">
        <f t="shared" si="96"/>
        <v>0</v>
      </c>
      <c r="S151" s="33">
        <f t="shared" si="97"/>
        <v>0</v>
      </c>
      <c r="T151" s="33">
        <f t="shared" si="77"/>
        <v>0</v>
      </c>
      <c r="U151" s="33">
        <f t="shared" si="91"/>
        <v>0</v>
      </c>
      <c r="V151" s="33">
        <f t="shared" si="78"/>
        <v>0</v>
      </c>
      <c r="W151" s="33">
        <v>0</v>
      </c>
      <c r="X151" s="33">
        <f t="shared" si="79"/>
        <v>0</v>
      </c>
      <c r="Y151" s="38">
        <f t="shared" si="80"/>
        <v>0</v>
      </c>
      <c r="AA151" s="71">
        <v>146</v>
      </c>
      <c r="AB151" s="33">
        <f t="shared" si="81"/>
        <v>0</v>
      </c>
      <c r="AC151" s="305">
        <f t="shared" si="73"/>
        <v>0</v>
      </c>
      <c r="AD151" s="100">
        <f t="shared" si="82"/>
        <v>0</v>
      </c>
      <c r="AE151" s="100">
        <f t="shared" si="83"/>
        <v>0</v>
      </c>
      <c r="AF151" s="194">
        <f t="shared" si="69"/>
        <v>0</v>
      </c>
      <c r="AG151" s="194">
        <f t="shared" si="70"/>
        <v>0</v>
      </c>
      <c r="AH151" s="194">
        <f t="shared" si="71"/>
        <v>0</v>
      </c>
      <c r="AI151" s="199">
        <f t="shared" si="72"/>
        <v>0</v>
      </c>
      <c r="AK151" s="71">
        <v>146</v>
      </c>
      <c r="AL151" s="33">
        <f t="shared" si="84"/>
        <v>0</v>
      </c>
      <c r="AM151" s="33">
        <f t="shared" si="85"/>
        <v>0</v>
      </c>
      <c r="AN151" s="33">
        <f t="shared" si="86"/>
        <v>0</v>
      </c>
      <c r="AO151" s="33">
        <f t="shared" si="87"/>
        <v>0</v>
      </c>
      <c r="AP151" s="33">
        <f t="shared" si="88"/>
        <v>0</v>
      </c>
      <c r="AQ151" s="194">
        <f t="shared" si="89"/>
        <v>0</v>
      </c>
      <c r="AR151" s="194">
        <f t="shared" si="89"/>
        <v>0</v>
      </c>
      <c r="AS151" s="194">
        <f t="shared" si="89"/>
        <v>0</v>
      </c>
      <c r="AT151" s="194">
        <f t="shared" si="74"/>
        <v>0</v>
      </c>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92"/>
        <v>0</v>
      </c>
      <c r="K152" s="33">
        <f t="shared" si="93"/>
        <v>0</v>
      </c>
      <c r="L152" s="33">
        <f t="shared" si="94"/>
        <v>0</v>
      </c>
      <c r="M152" s="33">
        <f t="shared" si="95"/>
        <v>0</v>
      </c>
      <c r="N152" s="33">
        <f t="shared" si="75"/>
        <v>0</v>
      </c>
      <c r="O152" s="34">
        <f t="shared" si="76"/>
        <v>0</v>
      </c>
      <c r="P152" s="55">
        <v>147</v>
      </c>
      <c r="Q152" s="33">
        <f t="shared" si="90"/>
        <v>0</v>
      </c>
      <c r="R152" s="33">
        <f t="shared" si="96"/>
        <v>0</v>
      </c>
      <c r="S152" s="33">
        <f t="shared" si="97"/>
        <v>0</v>
      </c>
      <c r="T152" s="33">
        <f t="shared" si="77"/>
        <v>0</v>
      </c>
      <c r="U152" s="33">
        <f t="shared" si="91"/>
        <v>0</v>
      </c>
      <c r="V152" s="33">
        <f t="shared" si="78"/>
        <v>0</v>
      </c>
      <c r="W152" s="33">
        <v>0</v>
      </c>
      <c r="X152" s="33">
        <f t="shared" si="79"/>
        <v>0</v>
      </c>
      <c r="Y152" s="38">
        <f t="shared" si="80"/>
        <v>0</v>
      </c>
      <c r="AA152" s="71">
        <v>147</v>
      </c>
      <c r="AB152" s="33">
        <f t="shared" si="81"/>
        <v>0</v>
      </c>
      <c r="AC152" s="305">
        <f t="shared" si="73"/>
        <v>0</v>
      </c>
      <c r="AD152" s="100">
        <f t="shared" si="82"/>
        <v>0</v>
      </c>
      <c r="AE152" s="100">
        <f t="shared" si="83"/>
        <v>0</v>
      </c>
      <c r="AF152" s="194">
        <f t="shared" si="69"/>
        <v>0</v>
      </c>
      <c r="AG152" s="194">
        <f t="shared" si="70"/>
        <v>0</v>
      </c>
      <c r="AH152" s="194">
        <f t="shared" si="71"/>
        <v>0</v>
      </c>
      <c r="AI152" s="199">
        <f t="shared" si="72"/>
        <v>0</v>
      </c>
      <c r="AK152" s="71">
        <v>147</v>
      </c>
      <c r="AL152" s="33">
        <f t="shared" si="84"/>
        <v>0</v>
      </c>
      <c r="AM152" s="33">
        <f t="shared" si="85"/>
        <v>0</v>
      </c>
      <c r="AN152" s="33">
        <f t="shared" si="86"/>
        <v>0</v>
      </c>
      <c r="AO152" s="33">
        <f t="shared" si="87"/>
        <v>0</v>
      </c>
      <c r="AP152" s="33">
        <f t="shared" si="88"/>
        <v>0</v>
      </c>
      <c r="AQ152" s="194">
        <f t="shared" si="89"/>
        <v>0</v>
      </c>
      <c r="AR152" s="194">
        <f t="shared" si="89"/>
        <v>0</v>
      </c>
      <c r="AS152" s="194">
        <f t="shared" si="89"/>
        <v>0</v>
      </c>
      <c r="AT152" s="194">
        <f t="shared" si="74"/>
        <v>0</v>
      </c>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92"/>
        <v>0</v>
      </c>
      <c r="K153" s="33">
        <f t="shared" si="93"/>
        <v>0</v>
      </c>
      <c r="L153" s="33">
        <f t="shared" si="94"/>
        <v>0</v>
      </c>
      <c r="M153" s="33">
        <f t="shared" si="95"/>
        <v>0</v>
      </c>
      <c r="N153" s="33">
        <f t="shared" si="75"/>
        <v>0</v>
      </c>
      <c r="O153" s="34">
        <f t="shared" si="76"/>
        <v>0</v>
      </c>
      <c r="P153" s="55">
        <v>148</v>
      </c>
      <c r="Q153" s="33">
        <f t="shared" si="90"/>
        <v>0</v>
      </c>
      <c r="R153" s="33">
        <f t="shared" si="96"/>
        <v>0</v>
      </c>
      <c r="S153" s="33">
        <f t="shared" si="97"/>
        <v>0</v>
      </c>
      <c r="T153" s="33">
        <f t="shared" si="77"/>
        <v>0</v>
      </c>
      <c r="U153" s="33">
        <f t="shared" si="91"/>
        <v>0</v>
      </c>
      <c r="V153" s="33">
        <f t="shared" si="78"/>
        <v>0</v>
      </c>
      <c r="W153" s="33">
        <v>0</v>
      </c>
      <c r="X153" s="33">
        <f t="shared" si="79"/>
        <v>0</v>
      </c>
      <c r="Y153" s="38">
        <f t="shared" si="80"/>
        <v>0</v>
      </c>
      <c r="AA153" s="71">
        <v>148</v>
      </c>
      <c r="AB153" s="33">
        <f t="shared" si="81"/>
        <v>0</v>
      </c>
      <c r="AC153" s="305">
        <f t="shared" si="73"/>
        <v>0</v>
      </c>
      <c r="AD153" s="100">
        <f t="shared" si="82"/>
        <v>0</v>
      </c>
      <c r="AE153" s="100">
        <f t="shared" si="83"/>
        <v>0</v>
      </c>
      <c r="AF153" s="194">
        <f t="shared" si="69"/>
        <v>0</v>
      </c>
      <c r="AG153" s="194">
        <f t="shared" si="70"/>
        <v>0</v>
      </c>
      <c r="AH153" s="194">
        <f t="shared" si="71"/>
        <v>0</v>
      </c>
      <c r="AI153" s="199">
        <f t="shared" si="72"/>
        <v>0</v>
      </c>
      <c r="AK153" s="71">
        <v>148</v>
      </c>
      <c r="AL153" s="33">
        <f t="shared" si="84"/>
        <v>0</v>
      </c>
      <c r="AM153" s="33">
        <f t="shared" si="85"/>
        <v>0</v>
      </c>
      <c r="AN153" s="33">
        <f t="shared" si="86"/>
        <v>0</v>
      </c>
      <c r="AO153" s="33">
        <f t="shared" si="87"/>
        <v>0</v>
      </c>
      <c r="AP153" s="33">
        <f t="shared" si="88"/>
        <v>0</v>
      </c>
      <c r="AQ153" s="194">
        <f t="shared" si="89"/>
        <v>0</v>
      </c>
      <c r="AR153" s="194">
        <f t="shared" si="89"/>
        <v>0</v>
      </c>
      <c r="AS153" s="194">
        <f t="shared" si="89"/>
        <v>0</v>
      </c>
      <c r="AT153" s="194">
        <f t="shared" si="74"/>
        <v>0</v>
      </c>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92"/>
        <v>0</v>
      </c>
      <c r="K154" s="33">
        <f t="shared" si="93"/>
        <v>0</v>
      </c>
      <c r="L154" s="33">
        <f t="shared" si="94"/>
        <v>0</v>
      </c>
      <c r="M154" s="33">
        <f t="shared" si="95"/>
        <v>0</v>
      </c>
      <c r="N154" s="33">
        <f t="shared" si="75"/>
        <v>0</v>
      </c>
      <c r="O154" s="34">
        <f t="shared" si="76"/>
        <v>0</v>
      </c>
      <c r="P154" s="55">
        <v>149</v>
      </c>
      <c r="Q154" s="33">
        <f t="shared" si="90"/>
        <v>0</v>
      </c>
      <c r="R154" s="33">
        <f t="shared" si="96"/>
        <v>0</v>
      </c>
      <c r="S154" s="33">
        <f t="shared" si="97"/>
        <v>0</v>
      </c>
      <c r="T154" s="33">
        <f t="shared" si="77"/>
        <v>0</v>
      </c>
      <c r="U154" s="33">
        <f t="shared" si="91"/>
        <v>0</v>
      </c>
      <c r="V154" s="33">
        <f t="shared" si="78"/>
        <v>0</v>
      </c>
      <c r="W154" s="33">
        <v>0</v>
      </c>
      <c r="X154" s="33">
        <f t="shared" si="79"/>
        <v>0</v>
      </c>
      <c r="Y154" s="38">
        <f t="shared" si="80"/>
        <v>0</v>
      </c>
      <c r="AA154" s="71">
        <v>149</v>
      </c>
      <c r="AB154" s="33">
        <f t="shared" si="81"/>
        <v>0</v>
      </c>
      <c r="AC154" s="305">
        <f t="shared" si="73"/>
        <v>0</v>
      </c>
      <c r="AD154" s="100">
        <f t="shared" si="82"/>
        <v>0</v>
      </c>
      <c r="AE154" s="100">
        <f t="shared" si="83"/>
        <v>0</v>
      </c>
      <c r="AF154" s="194">
        <f t="shared" si="69"/>
        <v>0</v>
      </c>
      <c r="AG154" s="194">
        <f t="shared" si="70"/>
        <v>0</v>
      </c>
      <c r="AH154" s="194">
        <f t="shared" si="71"/>
        <v>0</v>
      </c>
      <c r="AI154" s="199">
        <f t="shared" si="72"/>
        <v>0</v>
      </c>
      <c r="AK154" s="71">
        <v>149</v>
      </c>
      <c r="AL154" s="33">
        <f t="shared" si="84"/>
        <v>0</v>
      </c>
      <c r="AM154" s="33">
        <f t="shared" si="85"/>
        <v>0</v>
      </c>
      <c r="AN154" s="33">
        <f t="shared" si="86"/>
        <v>0</v>
      </c>
      <c r="AO154" s="33">
        <f t="shared" si="87"/>
        <v>0</v>
      </c>
      <c r="AP154" s="33">
        <f t="shared" si="88"/>
        <v>0</v>
      </c>
      <c r="AQ154" s="194">
        <f t="shared" si="89"/>
        <v>0</v>
      </c>
      <c r="AR154" s="194">
        <f t="shared" si="89"/>
        <v>0</v>
      </c>
      <c r="AS154" s="194">
        <f t="shared" si="89"/>
        <v>0</v>
      </c>
      <c r="AT154" s="194">
        <f t="shared" si="74"/>
        <v>0</v>
      </c>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92"/>
        <v>0</v>
      </c>
      <c r="K155" s="33">
        <f t="shared" si="93"/>
        <v>0</v>
      </c>
      <c r="L155" s="33">
        <f t="shared" si="94"/>
        <v>0</v>
      </c>
      <c r="M155" s="33">
        <f t="shared" si="95"/>
        <v>0</v>
      </c>
      <c r="N155" s="33">
        <f t="shared" si="75"/>
        <v>0</v>
      </c>
      <c r="O155" s="34">
        <f t="shared" si="76"/>
        <v>0</v>
      </c>
      <c r="P155" s="55">
        <v>150</v>
      </c>
      <c r="Q155" s="33">
        <f t="shared" si="90"/>
        <v>0</v>
      </c>
      <c r="R155" s="33">
        <f t="shared" si="96"/>
        <v>0</v>
      </c>
      <c r="S155" s="33">
        <f t="shared" si="97"/>
        <v>0</v>
      </c>
      <c r="T155" s="33">
        <f t="shared" si="77"/>
        <v>0</v>
      </c>
      <c r="U155" s="33">
        <f t="shared" si="91"/>
        <v>0</v>
      </c>
      <c r="V155" s="33">
        <f t="shared" si="78"/>
        <v>0</v>
      </c>
      <c r="W155" s="33">
        <v>0</v>
      </c>
      <c r="X155" s="33">
        <f t="shared" si="79"/>
        <v>0</v>
      </c>
      <c r="Y155" s="38">
        <f t="shared" si="80"/>
        <v>0</v>
      </c>
      <c r="AA155" s="71">
        <v>150</v>
      </c>
      <c r="AB155" s="33">
        <f t="shared" si="81"/>
        <v>0</v>
      </c>
      <c r="AC155" s="305">
        <f t="shared" si="73"/>
        <v>0</v>
      </c>
      <c r="AD155" s="100">
        <f t="shared" si="82"/>
        <v>0</v>
      </c>
      <c r="AE155" s="100">
        <f t="shared" si="83"/>
        <v>0</v>
      </c>
      <c r="AF155" s="194">
        <f t="shared" ref="AF155:AF205" si="98">IF(OR(AA155&lt;=$F$18,AA155&lt;=30),EXP(-LN(2)/$D$104)*AF154+((1-EXP(-LN(2)/$D$104))/(LN(2)/$D$104))*$AB155*AC155*0.475*$F$19*44/12,)</f>
        <v>0</v>
      </c>
      <c r="AG155" s="194">
        <f t="shared" ref="AG155:AG205" si="99">IF(OR(AA155&lt;=$F$18,AA155&lt;=30),EXP(-LN(2)/$D$106)*AG154+((1-EXP(-LN(2)/$D$106))/(LN(2)/$D$106))*$AB155*AD155*0.475*$F$19*44/12,)</f>
        <v>0</v>
      </c>
      <c r="AH155" s="194">
        <f t="shared" ref="AH155:AH205" si="100">IF(OR(AA155&lt;=$F$18,AA155&lt;=30),EXP(-LN(2)/$D$105)*AH154+((1-EXP(-LN(2)/$D$105))/(LN(2)/$D$105))*$AB155*AE155*0.475*$F$19*44/12,)</f>
        <v>0</v>
      </c>
      <c r="AI155" s="199">
        <f t="shared" ref="AI155:AI205" si="101">IF(OR(AA155&lt;=$F$18,AA155&lt;=30),SUM(AF155:AH155),)</f>
        <v>0</v>
      </c>
      <c r="AK155" s="71">
        <v>150</v>
      </c>
      <c r="AL155" s="33">
        <f t="shared" si="84"/>
        <v>0</v>
      </c>
      <c r="AM155" s="33">
        <f t="shared" si="85"/>
        <v>0</v>
      </c>
      <c r="AN155" s="33">
        <f t="shared" si="86"/>
        <v>0</v>
      </c>
      <c r="AO155" s="33">
        <f t="shared" si="87"/>
        <v>0</v>
      </c>
      <c r="AP155" s="33">
        <f t="shared" si="88"/>
        <v>0</v>
      </c>
      <c r="AQ155" s="194">
        <f t="shared" si="89"/>
        <v>0</v>
      </c>
      <c r="AR155" s="194">
        <f t="shared" si="89"/>
        <v>0</v>
      </c>
      <c r="AS155" s="194">
        <f t="shared" si="89"/>
        <v>0</v>
      </c>
      <c r="AT155" s="194">
        <f t="shared" si="74"/>
        <v>0</v>
      </c>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92"/>
        <v>0</v>
      </c>
      <c r="K156" s="33">
        <f t="shared" si="93"/>
        <v>0</v>
      </c>
      <c r="L156" s="33">
        <f t="shared" si="94"/>
        <v>0</v>
      </c>
      <c r="M156" s="33">
        <f t="shared" si="95"/>
        <v>0</v>
      </c>
      <c r="N156" s="33">
        <f t="shared" si="75"/>
        <v>0</v>
      </c>
      <c r="O156" s="34">
        <f t="shared" si="76"/>
        <v>0</v>
      </c>
      <c r="P156" s="55">
        <v>151</v>
      </c>
      <c r="Q156" s="33">
        <f t="shared" si="90"/>
        <v>0</v>
      </c>
      <c r="R156" s="33">
        <f t="shared" si="96"/>
        <v>0</v>
      </c>
      <c r="S156" s="33">
        <f t="shared" si="97"/>
        <v>0</v>
      </c>
      <c r="T156" s="33">
        <f t="shared" si="77"/>
        <v>0</v>
      </c>
      <c r="U156" s="33">
        <f t="shared" si="91"/>
        <v>0</v>
      </c>
      <c r="V156" s="33">
        <f t="shared" si="78"/>
        <v>0</v>
      </c>
      <c r="W156" s="33">
        <v>0</v>
      </c>
      <c r="X156" s="33">
        <f t="shared" si="79"/>
        <v>0</v>
      </c>
      <c r="Y156" s="38">
        <f t="shared" si="80"/>
        <v>0</v>
      </c>
      <c r="AA156" s="71">
        <v>151</v>
      </c>
      <c r="AB156" s="33">
        <f t="shared" si="81"/>
        <v>0</v>
      </c>
      <c r="AC156" s="305">
        <f t="shared" si="73"/>
        <v>0</v>
      </c>
      <c r="AD156" s="100">
        <f t="shared" si="82"/>
        <v>0</v>
      </c>
      <c r="AE156" s="100">
        <f t="shared" si="83"/>
        <v>0</v>
      </c>
      <c r="AF156" s="194">
        <f t="shared" si="98"/>
        <v>0</v>
      </c>
      <c r="AG156" s="194">
        <f t="shared" si="99"/>
        <v>0</v>
      </c>
      <c r="AH156" s="194">
        <f t="shared" si="100"/>
        <v>0</v>
      </c>
      <c r="AI156" s="199">
        <f t="shared" si="101"/>
        <v>0</v>
      </c>
      <c r="AK156" s="71">
        <v>151</v>
      </c>
      <c r="AL156" s="33">
        <f t="shared" si="84"/>
        <v>0</v>
      </c>
      <c r="AM156" s="33">
        <f t="shared" si="85"/>
        <v>0</v>
      </c>
      <c r="AN156" s="33">
        <f t="shared" si="86"/>
        <v>0</v>
      </c>
      <c r="AO156" s="33">
        <f t="shared" si="87"/>
        <v>0</v>
      </c>
      <c r="AP156" s="33">
        <f t="shared" si="88"/>
        <v>0</v>
      </c>
      <c r="AQ156" s="194">
        <f t="shared" si="89"/>
        <v>0</v>
      </c>
      <c r="AR156" s="194">
        <f t="shared" si="89"/>
        <v>0</v>
      </c>
      <c r="AS156" s="194">
        <f t="shared" si="89"/>
        <v>0</v>
      </c>
      <c r="AT156" s="194">
        <f t="shared" si="74"/>
        <v>0</v>
      </c>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92"/>
        <v>0</v>
      </c>
      <c r="K157" s="33">
        <f t="shared" si="93"/>
        <v>0</v>
      </c>
      <c r="L157" s="33">
        <f t="shared" si="94"/>
        <v>0</v>
      </c>
      <c r="M157" s="33">
        <f t="shared" si="95"/>
        <v>0</v>
      </c>
      <c r="N157" s="33">
        <f t="shared" si="75"/>
        <v>0</v>
      </c>
      <c r="O157" s="34">
        <f t="shared" si="76"/>
        <v>0</v>
      </c>
      <c r="P157" s="55">
        <v>152</v>
      </c>
      <c r="Q157" s="33">
        <f t="shared" si="90"/>
        <v>0</v>
      </c>
      <c r="R157" s="33">
        <f t="shared" si="96"/>
        <v>0</v>
      </c>
      <c r="S157" s="33">
        <f t="shared" si="97"/>
        <v>0</v>
      </c>
      <c r="T157" s="33">
        <f t="shared" si="77"/>
        <v>0</v>
      </c>
      <c r="U157" s="33">
        <f t="shared" si="91"/>
        <v>0</v>
      </c>
      <c r="V157" s="33">
        <f t="shared" si="78"/>
        <v>0</v>
      </c>
      <c r="W157" s="33">
        <v>0</v>
      </c>
      <c r="X157" s="33">
        <f t="shared" si="79"/>
        <v>0</v>
      </c>
      <c r="Y157" s="38">
        <f t="shared" si="80"/>
        <v>0</v>
      </c>
      <c r="AA157" s="71">
        <v>152</v>
      </c>
      <c r="AB157" s="33">
        <f t="shared" si="81"/>
        <v>0</v>
      </c>
      <c r="AC157" s="305">
        <f t="shared" si="73"/>
        <v>0</v>
      </c>
      <c r="AD157" s="100">
        <f t="shared" si="82"/>
        <v>0</v>
      </c>
      <c r="AE157" s="100">
        <f t="shared" si="83"/>
        <v>0</v>
      </c>
      <c r="AF157" s="194">
        <f t="shared" si="98"/>
        <v>0</v>
      </c>
      <c r="AG157" s="194">
        <f t="shared" si="99"/>
        <v>0</v>
      </c>
      <c r="AH157" s="194">
        <f t="shared" si="100"/>
        <v>0</v>
      </c>
      <c r="AI157" s="199">
        <f t="shared" si="101"/>
        <v>0</v>
      </c>
      <c r="AK157" s="71">
        <v>152</v>
      </c>
      <c r="AL157" s="33">
        <f t="shared" si="84"/>
        <v>0</v>
      </c>
      <c r="AM157" s="33">
        <f t="shared" si="85"/>
        <v>0</v>
      </c>
      <c r="AN157" s="33">
        <f t="shared" si="86"/>
        <v>0</v>
      </c>
      <c r="AO157" s="33">
        <f t="shared" si="87"/>
        <v>0</v>
      </c>
      <c r="AP157" s="33">
        <f t="shared" si="88"/>
        <v>0</v>
      </c>
      <c r="AQ157" s="194">
        <f t="shared" si="89"/>
        <v>0</v>
      </c>
      <c r="AR157" s="194">
        <f t="shared" si="89"/>
        <v>0</v>
      </c>
      <c r="AS157" s="194">
        <f t="shared" si="89"/>
        <v>0</v>
      </c>
      <c r="AT157" s="194">
        <f t="shared" si="74"/>
        <v>0</v>
      </c>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92"/>
        <v>0</v>
      </c>
      <c r="K158" s="33">
        <f t="shared" si="93"/>
        <v>0</v>
      </c>
      <c r="L158" s="33">
        <f t="shared" si="94"/>
        <v>0</v>
      </c>
      <c r="M158" s="33">
        <f t="shared" si="95"/>
        <v>0</v>
      </c>
      <c r="N158" s="33">
        <f t="shared" si="75"/>
        <v>0</v>
      </c>
      <c r="O158" s="34">
        <f t="shared" si="76"/>
        <v>0</v>
      </c>
      <c r="P158" s="55">
        <v>153</v>
      </c>
      <c r="Q158" s="33">
        <f t="shared" si="90"/>
        <v>0</v>
      </c>
      <c r="R158" s="33">
        <f t="shared" si="96"/>
        <v>0</v>
      </c>
      <c r="S158" s="33">
        <f t="shared" si="97"/>
        <v>0</v>
      </c>
      <c r="T158" s="33">
        <f t="shared" si="77"/>
        <v>0</v>
      </c>
      <c r="U158" s="33">
        <f t="shared" si="91"/>
        <v>0</v>
      </c>
      <c r="V158" s="33">
        <f t="shared" si="78"/>
        <v>0</v>
      </c>
      <c r="W158" s="33">
        <v>0</v>
      </c>
      <c r="X158" s="33">
        <f t="shared" si="79"/>
        <v>0</v>
      </c>
      <c r="Y158" s="38">
        <f t="shared" si="80"/>
        <v>0</v>
      </c>
      <c r="AA158" s="71">
        <v>153</v>
      </c>
      <c r="AB158" s="33">
        <f t="shared" si="81"/>
        <v>0</v>
      </c>
      <c r="AC158" s="305">
        <f t="shared" si="73"/>
        <v>0</v>
      </c>
      <c r="AD158" s="100">
        <f t="shared" si="82"/>
        <v>0</v>
      </c>
      <c r="AE158" s="100">
        <f t="shared" si="83"/>
        <v>0</v>
      </c>
      <c r="AF158" s="194">
        <f t="shared" si="98"/>
        <v>0</v>
      </c>
      <c r="AG158" s="194">
        <f t="shared" si="99"/>
        <v>0</v>
      </c>
      <c r="AH158" s="194">
        <f t="shared" si="100"/>
        <v>0</v>
      </c>
      <c r="AI158" s="199">
        <f t="shared" si="101"/>
        <v>0</v>
      </c>
      <c r="AK158" s="71">
        <v>153</v>
      </c>
      <c r="AL158" s="33">
        <f t="shared" si="84"/>
        <v>0</v>
      </c>
      <c r="AM158" s="33">
        <f t="shared" si="85"/>
        <v>0</v>
      </c>
      <c r="AN158" s="33">
        <f t="shared" si="86"/>
        <v>0</v>
      </c>
      <c r="AO158" s="33">
        <f t="shared" si="87"/>
        <v>0</v>
      </c>
      <c r="AP158" s="33">
        <f t="shared" si="88"/>
        <v>0</v>
      </c>
      <c r="AQ158" s="194">
        <f t="shared" si="89"/>
        <v>0</v>
      </c>
      <c r="AR158" s="194">
        <f t="shared" si="89"/>
        <v>0</v>
      </c>
      <c r="AS158" s="194">
        <f t="shared" si="89"/>
        <v>0</v>
      </c>
      <c r="AT158" s="194">
        <f t="shared" si="74"/>
        <v>0</v>
      </c>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92"/>
        <v>0</v>
      </c>
      <c r="K159" s="33">
        <f t="shared" si="93"/>
        <v>0</v>
      </c>
      <c r="L159" s="33">
        <f t="shared" si="94"/>
        <v>0</v>
      </c>
      <c r="M159" s="33">
        <f t="shared" si="95"/>
        <v>0</v>
      </c>
      <c r="N159" s="33">
        <f t="shared" si="75"/>
        <v>0</v>
      </c>
      <c r="O159" s="34">
        <f t="shared" si="76"/>
        <v>0</v>
      </c>
      <c r="P159" s="55">
        <v>154</v>
      </c>
      <c r="Q159" s="33">
        <f t="shared" si="90"/>
        <v>0</v>
      </c>
      <c r="R159" s="33">
        <f t="shared" si="96"/>
        <v>0</v>
      </c>
      <c r="S159" s="33">
        <f t="shared" si="97"/>
        <v>0</v>
      </c>
      <c r="T159" s="33">
        <f t="shared" si="77"/>
        <v>0</v>
      </c>
      <c r="U159" s="33">
        <f t="shared" si="91"/>
        <v>0</v>
      </c>
      <c r="V159" s="33">
        <f t="shared" si="78"/>
        <v>0</v>
      </c>
      <c r="W159" s="33">
        <v>0</v>
      </c>
      <c r="X159" s="33">
        <f t="shared" si="79"/>
        <v>0</v>
      </c>
      <c r="Y159" s="38">
        <f t="shared" si="80"/>
        <v>0</v>
      </c>
      <c r="AA159" s="71">
        <v>154</v>
      </c>
      <c r="AB159" s="33">
        <f t="shared" si="81"/>
        <v>0</v>
      </c>
      <c r="AC159" s="305">
        <f t="shared" ref="AC159:AC205" si="102">IF(AA159&lt;=$F$18,IFERROR(VLOOKUP($AA159,$B$82:$G$94,3,FALSE),0),)*50%</f>
        <v>0</v>
      </c>
      <c r="AD159" s="100">
        <f t="shared" si="82"/>
        <v>0</v>
      </c>
      <c r="AE159" s="100">
        <f t="shared" si="83"/>
        <v>0</v>
      </c>
      <c r="AF159" s="194">
        <f t="shared" si="98"/>
        <v>0</v>
      </c>
      <c r="AG159" s="194">
        <f t="shared" si="99"/>
        <v>0</v>
      </c>
      <c r="AH159" s="194">
        <f t="shared" si="100"/>
        <v>0</v>
      </c>
      <c r="AI159" s="199">
        <f t="shared" si="101"/>
        <v>0</v>
      </c>
      <c r="AK159" s="71">
        <v>154</v>
      </c>
      <c r="AL159" s="33">
        <f t="shared" si="84"/>
        <v>0</v>
      </c>
      <c r="AM159" s="33">
        <f t="shared" si="85"/>
        <v>0</v>
      </c>
      <c r="AN159" s="33">
        <f t="shared" si="86"/>
        <v>0</v>
      </c>
      <c r="AO159" s="33">
        <f t="shared" si="87"/>
        <v>0</v>
      </c>
      <c r="AP159" s="33">
        <f t="shared" si="88"/>
        <v>0</v>
      </c>
      <c r="AQ159" s="194">
        <f t="shared" si="89"/>
        <v>0</v>
      </c>
      <c r="AR159" s="194">
        <f t="shared" si="89"/>
        <v>0</v>
      </c>
      <c r="AS159" s="194">
        <f t="shared" si="89"/>
        <v>0</v>
      </c>
      <c r="AT159" s="194">
        <f t="shared" si="74"/>
        <v>0</v>
      </c>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92"/>
        <v>0</v>
      </c>
      <c r="K160" s="33">
        <f t="shared" si="93"/>
        <v>0</v>
      </c>
      <c r="L160" s="33">
        <f t="shared" si="94"/>
        <v>0</v>
      </c>
      <c r="M160" s="33">
        <f t="shared" si="95"/>
        <v>0</v>
      </c>
      <c r="N160" s="33">
        <f t="shared" si="75"/>
        <v>0</v>
      </c>
      <c r="O160" s="34">
        <f t="shared" si="76"/>
        <v>0</v>
      </c>
      <c r="P160" s="55">
        <v>155</v>
      </c>
      <c r="Q160" s="33">
        <f t="shared" si="90"/>
        <v>0</v>
      </c>
      <c r="R160" s="33">
        <f t="shared" si="96"/>
        <v>0</v>
      </c>
      <c r="S160" s="33">
        <f t="shared" si="97"/>
        <v>0</v>
      </c>
      <c r="T160" s="33">
        <f t="shared" si="77"/>
        <v>0</v>
      </c>
      <c r="U160" s="33">
        <f t="shared" si="91"/>
        <v>0</v>
      </c>
      <c r="V160" s="33">
        <f t="shared" si="78"/>
        <v>0</v>
      </c>
      <c r="W160" s="33">
        <v>0</v>
      </c>
      <c r="X160" s="33">
        <f t="shared" si="79"/>
        <v>0</v>
      </c>
      <c r="Y160" s="38">
        <f t="shared" si="80"/>
        <v>0</v>
      </c>
      <c r="AA160" s="71">
        <v>155</v>
      </c>
      <c r="AB160" s="33">
        <f t="shared" si="81"/>
        <v>0</v>
      </c>
      <c r="AC160" s="305">
        <f t="shared" si="102"/>
        <v>0</v>
      </c>
      <c r="AD160" s="100">
        <f t="shared" si="82"/>
        <v>0</v>
      </c>
      <c r="AE160" s="100">
        <f t="shared" si="83"/>
        <v>0</v>
      </c>
      <c r="AF160" s="194">
        <f t="shared" si="98"/>
        <v>0</v>
      </c>
      <c r="AG160" s="194">
        <f t="shared" si="99"/>
        <v>0</v>
      </c>
      <c r="AH160" s="194">
        <f t="shared" si="100"/>
        <v>0</v>
      </c>
      <c r="AI160" s="199">
        <f t="shared" si="101"/>
        <v>0</v>
      </c>
      <c r="AK160" s="71">
        <v>155</v>
      </c>
      <c r="AL160" s="33">
        <f t="shared" si="84"/>
        <v>0</v>
      </c>
      <c r="AM160" s="33">
        <f t="shared" si="85"/>
        <v>0</v>
      </c>
      <c r="AN160" s="33">
        <f t="shared" si="86"/>
        <v>0</v>
      </c>
      <c r="AO160" s="33">
        <f t="shared" si="87"/>
        <v>0</v>
      </c>
      <c r="AP160" s="33">
        <f t="shared" si="88"/>
        <v>0</v>
      </c>
      <c r="AQ160" s="194">
        <f t="shared" si="89"/>
        <v>0</v>
      </c>
      <c r="AR160" s="194">
        <f t="shared" si="89"/>
        <v>0</v>
      </c>
      <c r="AS160" s="194">
        <f t="shared" si="89"/>
        <v>0</v>
      </c>
      <c r="AT160" s="194">
        <f t="shared" si="74"/>
        <v>0</v>
      </c>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92"/>
        <v>0</v>
      </c>
      <c r="K161" s="33">
        <f t="shared" si="93"/>
        <v>0</v>
      </c>
      <c r="L161" s="33">
        <f t="shared" si="94"/>
        <v>0</v>
      </c>
      <c r="M161" s="33">
        <f t="shared" si="95"/>
        <v>0</v>
      </c>
      <c r="N161" s="33">
        <f t="shared" si="75"/>
        <v>0</v>
      </c>
      <c r="O161" s="34">
        <f t="shared" si="76"/>
        <v>0</v>
      </c>
      <c r="P161" s="55">
        <v>156</v>
      </c>
      <c r="Q161" s="33">
        <f t="shared" si="90"/>
        <v>0</v>
      </c>
      <c r="R161" s="33">
        <f t="shared" si="96"/>
        <v>0</v>
      </c>
      <c r="S161" s="33">
        <f t="shared" si="97"/>
        <v>0</v>
      </c>
      <c r="T161" s="33">
        <f t="shared" si="77"/>
        <v>0</v>
      </c>
      <c r="U161" s="33">
        <f t="shared" si="91"/>
        <v>0</v>
      </c>
      <c r="V161" s="33">
        <f t="shared" si="78"/>
        <v>0</v>
      </c>
      <c r="W161" s="33">
        <v>0</v>
      </c>
      <c r="X161" s="33">
        <f t="shared" si="79"/>
        <v>0</v>
      </c>
      <c r="Y161" s="38">
        <f t="shared" si="80"/>
        <v>0</v>
      </c>
      <c r="AA161" s="71">
        <v>156</v>
      </c>
      <c r="AB161" s="33">
        <f t="shared" si="81"/>
        <v>0</v>
      </c>
      <c r="AC161" s="305">
        <f t="shared" si="102"/>
        <v>0</v>
      </c>
      <c r="AD161" s="100">
        <f t="shared" si="82"/>
        <v>0</v>
      </c>
      <c r="AE161" s="100">
        <f t="shared" si="83"/>
        <v>0</v>
      </c>
      <c r="AF161" s="194">
        <f t="shared" si="98"/>
        <v>0</v>
      </c>
      <c r="AG161" s="194">
        <f t="shared" si="99"/>
        <v>0</v>
      </c>
      <c r="AH161" s="194">
        <f t="shared" si="100"/>
        <v>0</v>
      </c>
      <c r="AI161" s="199">
        <f t="shared" si="101"/>
        <v>0</v>
      </c>
      <c r="AK161" s="71">
        <v>156</v>
      </c>
      <c r="AL161" s="33">
        <f t="shared" si="84"/>
        <v>0</v>
      </c>
      <c r="AM161" s="33">
        <f t="shared" si="85"/>
        <v>0</v>
      </c>
      <c r="AN161" s="33">
        <f t="shared" si="86"/>
        <v>0</v>
      </c>
      <c r="AO161" s="33">
        <f t="shared" si="87"/>
        <v>0</v>
      </c>
      <c r="AP161" s="33">
        <f t="shared" si="88"/>
        <v>0</v>
      </c>
      <c r="AQ161" s="194">
        <f t="shared" si="89"/>
        <v>0</v>
      </c>
      <c r="AR161" s="194">
        <f t="shared" si="89"/>
        <v>0</v>
      </c>
      <c r="AS161" s="194">
        <f t="shared" si="89"/>
        <v>0</v>
      </c>
      <c r="AT161" s="194">
        <f t="shared" si="74"/>
        <v>0</v>
      </c>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92"/>
        <v>0</v>
      </c>
      <c r="K162" s="33">
        <f t="shared" si="93"/>
        <v>0</v>
      </c>
      <c r="L162" s="33">
        <f t="shared" si="94"/>
        <v>0</v>
      </c>
      <c r="M162" s="33">
        <f t="shared" si="95"/>
        <v>0</v>
      </c>
      <c r="N162" s="33">
        <f t="shared" si="75"/>
        <v>0</v>
      </c>
      <c r="O162" s="34">
        <f t="shared" si="76"/>
        <v>0</v>
      </c>
      <c r="P162" s="55">
        <v>157</v>
      </c>
      <c r="Q162" s="33">
        <f t="shared" si="90"/>
        <v>0</v>
      </c>
      <c r="R162" s="33">
        <f t="shared" si="96"/>
        <v>0</v>
      </c>
      <c r="S162" s="33">
        <f t="shared" si="97"/>
        <v>0</v>
      </c>
      <c r="T162" s="33">
        <f t="shared" si="77"/>
        <v>0</v>
      </c>
      <c r="U162" s="33">
        <f t="shared" si="91"/>
        <v>0</v>
      </c>
      <c r="V162" s="33">
        <f t="shared" si="78"/>
        <v>0</v>
      </c>
      <c r="W162" s="33">
        <v>0</v>
      </c>
      <c r="X162" s="33">
        <f t="shared" si="79"/>
        <v>0</v>
      </c>
      <c r="Y162" s="38">
        <f t="shared" si="80"/>
        <v>0</v>
      </c>
      <c r="AA162" s="71">
        <v>157</v>
      </c>
      <c r="AB162" s="33">
        <f t="shared" si="81"/>
        <v>0</v>
      </c>
      <c r="AC162" s="305">
        <f t="shared" si="102"/>
        <v>0</v>
      </c>
      <c r="AD162" s="100">
        <f t="shared" si="82"/>
        <v>0</v>
      </c>
      <c r="AE162" s="100">
        <f t="shared" si="83"/>
        <v>0</v>
      </c>
      <c r="AF162" s="194">
        <f t="shared" si="98"/>
        <v>0</v>
      </c>
      <c r="AG162" s="194">
        <f t="shared" si="99"/>
        <v>0</v>
      </c>
      <c r="AH162" s="194">
        <f t="shared" si="100"/>
        <v>0</v>
      </c>
      <c r="AI162" s="199">
        <f t="shared" si="101"/>
        <v>0</v>
      </c>
      <c r="AK162" s="71">
        <v>157</v>
      </c>
      <c r="AL162" s="33">
        <f t="shared" si="84"/>
        <v>0</v>
      </c>
      <c r="AM162" s="33">
        <f t="shared" si="85"/>
        <v>0</v>
      </c>
      <c r="AN162" s="33">
        <f t="shared" si="86"/>
        <v>0</v>
      </c>
      <c r="AO162" s="33">
        <f t="shared" si="87"/>
        <v>0</v>
      </c>
      <c r="AP162" s="33">
        <f t="shared" si="88"/>
        <v>0</v>
      </c>
      <c r="AQ162" s="194">
        <f t="shared" si="89"/>
        <v>0</v>
      </c>
      <c r="AR162" s="194">
        <f t="shared" si="89"/>
        <v>0</v>
      </c>
      <c r="AS162" s="194">
        <f t="shared" si="89"/>
        <v>0</v>
      </c>
      <c r="AT162" s="194">
        <f t="shared" si="74"/>
        <v>0</v>
      </c>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92"/>
        <v>0</v>
      </c>
      <c r="K163" s="33">
        <f t="shared" si="93"/>
        <v>0</v>
      </c>
      <c r="L163" s="33">
        <f t="shared" si="94"/>
        <v>0</v>
      </c>
      <c r="M163" s="33">
        <f t="shared" si="95"/>
        <v>0</v>
      </c>
      <c r="N163" s="33">
        <f t="shared" si="75"/>
        <v>0</v>
      </c>
      <c r="O163" s="34">
        <f t="shared" si="76"/>
        <v>0</v>
      </c>
      <c r="P163" s="55">
        <v>158</v>
      </c>
      <c r="Q163" s="33">
        <f t="shared" si="90"/>
        <v>0</v>
      </c>
      <c r="R163" s="33">
        <f t="shared" si="96"/>
        <v>0</v>
      </c>
      <c r="S163" s="33">
        <f t="shared" si="97"/>
        <v>0</v>
      </c>
      <c r="T163" s="33">
        <f t="shared" si="77"/>
        <v>0</v>
      </c>
      <c r="U163" s="33">
        <f t="shared" si="91"/>
        <v>0</v>
      </c>
      <c r="V163" s="33">
        <f t="shared" si="78"/>
        <v>0</v>
      </c>
      <c r="W163" s="33">
        <v>0</v>
      </c>
      <c r="X163" s="33">
        <f t="shared" si="79"/>
        <v>0</v>
      </c>
      <c r="Y163" s="38">
        <f t="shared" si="80"/>
        <v>0</v>
      </c>
      <c r="AA163" s="71">
        <v>158</v>
      </c>
      <c r="AB163" s="33">
        <f t="shared" si="81"/>
        <v>0</v>
      </c>
      <c r="AC163" s="305">
        <f t="shared" si="102"/>
        <v>0</v>
      </c>
      <c r="AD163" s="100">
        <f t="shared" si="82"/>
        <v>0</v>
      </c>
      <c r="AE163" s="100">
        <f t="shared" si="83"/>
        <v>0</v>
      </c>
      <c r="AF163" s="194">
        <f t="shared" si="98"/>
        <v>0</v>
      </c>
      <c r="AG163" s="194">
        <f t="shared" si="99"/>
        <v>0</v>
      </c>
      <c r="AH163" s="194">
        <f t="shared" si="100"/>
        <v>0</v>
      </c>
      <c r="AI163" s="199">
        <f t="shared" si="101"/>
        <v>0</v>
      </c>
      <c r="AK163" s="71">
        <v>158</v>
      </c>
      <c r="AL163" s="33">
        <f t="shared" si="84"/>
        <v>0</v>
      </c>
      <c r="AM163" s="33">
        <f t="shared" si="85"/>
        <v>0</v>
      </c>
      <c r="AN163" s="33">
        <f t="shared" si="86"/>
        <v>0</v>
      </c>
      <c r="AO163" s="33">
        <f t="shared" si="87"/>
        <v>0</v>
      </c>
      <c r="AP163" s="33">
        <f t="shared" si="88"/>
        <v>0</v>
      </c>
      <c r="AQ163" s="194">
        <f t="shared" si="89"/>
        <v>0</v>
      </c>
      <c r="AR163" s="194">
        <f t="shared" si="89"/>
        <v>0</v>
      </c>
      <c r="AS163" s="194">
        <f t="shared" si="89"/>
        <v>0</v>
      </c>
      <c r="AT163" s="194">
        <f t="shared" si="74"/>
        <v>0</v>
      </c>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92"/>
        <v>0</v>
      </c>
      <c r="K164" s="33">
        <f t="shared" si="93"/>
        <v>0</v>
      </c>
      <c r="L164" s="33">
        <f t="shared" si="94"/>
        <v>0</v>
      </c>
      <c r="M164" s="33">
        <f t="shared" si="95"/>
        <v>0</v>
      </c>
      <c r="N164" s="33">
        <f t="shared" si="75"/>
        <v>0</v>
      </c>
      <c r="O164" s="34">
        <f t="shared" si="76"/>
        <v>0</v>
      </c>
      <c r="P164" s="55">
        <v>159</v>
      </c>
      <c r="Q164" s="33">
        <f t="shared" si="90"/>
        <v>0</v>
      </c>
      <c r="R164" s="33">
        <f t="shared" si="96"/>
        <v>0</v>
      </c>
      <c r="S164" s="33">
        <f t="shared" si="97"/>
        <v>0</v>
      </c>
      <c r="T164" s="33">
        <f t="shared" si="77"/>
        <v>0</v>
      </c>
      <c r="U164" s="33">
        <f t="shared" si="91"/>
        <v>0</v>
      </c>
      <c r="V164" s="33">
        <f t="shared" si="78"/>
        <v>0</v>
      </c>
      <c r="W164" s="33">
        <v>0</v>
      </c>
      <c r="X164" s="33">
        <f t="shared" si="79"/>
        <v>0</v>
      </c>
      <c r="Y164" s="38">
        <f t="shared" si="80"/>
        <v>0</v>
      </c>
      <c r="AA164" s="71">
        <v>159</v>
      </c>
      <c r="AB164" s="33">
        <f t="shared" si="81"/>
        <v>0</v>
      </c>
      <c r="AC164" s="305">
        <f t="shared" si="102"/>
        <v>0</v>
      </c>
      <c r="AD164" s="100">
        <f t="shared" si="82"/>
        <v>0</v>
      </c>
      <c r="AE164" s="100">
        <f t="shared" si="83"/>
        <v>0</v>
      </c>
      <c r="AF164" s="194">
        <f t="shared" si="98"/>
        <v>0</v>
      </c>
      <c r="AG164" s="194">
        <f t="shared" si="99"/>
        <v>0</v>
      </c>
      <c r="AH164" s="194">
        <f t="shared" si="100"/>
        <v>0</v>
      </c>
      <c r="AI164" s="199">
        <f t="shared" si="101"/>
        <v>0</v>
      </c>
      <c r="AK164" s="71">
        <v>159</v>
      </c>
      <c r="AL164" s="33">
        <f t="shared" si="84"/>
        <v>0</v>
      </c>
      <c r="AM164" s="33">
        <f t="shared" si="85"/>
        <v>0</v>
      </c>
      <c r="AN164" s="33">
        <f t="shared" si="86"/>
        <v>0</v>
      </c>
      <c r="AO164" s="33">
        <f t="shared" si="87"/>
        <v>0</v>
      </c>
      <c r="AP164" s="33">
        <f t="shared" si="88"/>
        <v>0</v>
      </c>
      <c r="AQ164" s="194">
        <f t="shared" si="89"/>
        <v>0</v>
      </c>
      <c r="AR164" s="194">
        <f t="shared" si="89"/>
        <v>0</v>
      </c>
      <c r="AS164" s="194">
        <f t="shared" si="89"/>
        <v>0</v>
      </c>
      <c r="AT164" s="194">
        <f t="shared" si="74"/>
        <v>0</v>
      </c>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92"/>
        <v>0</v>
      </c>
      <c r="K165" s="33">
        <f t="shared" si="93"/>
        <v>0</v>
      </c>
      <c r="L165" s="33">
        <f t="shared" si="94"/>
        <v>0</v>
      </c>
      <c r="M165" s="33">
        <f t="shared" si="95"/>
        <v>0</v>
      </c>
      <c r="N165" s="33">
        <f t="shared" si="75"/>
        <v>0</v>
      </c>
      <c r="O165" s="34">
        <f t="shared" si="76"/>
        <v>0</v>
      </c>
      <c r="P165" s="55">
        <v>160</v>
      </c>
      <c r="Q165" s="33">
        <f t="shared" si="90"/>
        <v>0</v>
      </c>
      <c r="R165" s="33">
        <f t="shared" si="96"/>
        <v>0</v>
      </c>
      <c r="S165" s="33">
        <f t="shared" si="97"/>
        <v>0</v>
      </c>
      <c r="T165" s="33">
        <f t="shared" si="77"/>
        <v>0</v>
      </c>
      <c r="U165" s="33">
        <f t="shared" si="91"/>
        <v>0</v>
      </c>
      <c r="V165" s="33">
        <f t="shared" si="78"/>
        <v>0</v>
      </c>
      <c r="W165" s="33">
        <v>0</v>
      </c>
      <c r="X165" s="33">
        <f t="shared" si="79"/>
        <v>0</v>
      </c>
      <c r="Y165" s="38">
        <f t="shared" si="80"/>
        <v>0</v>
      </c>
      <c r="AA165" s="71">
        <v>160</v>
      </c>
      <c r="AB165" s="33">
        <f t="shared" si="81"/>
        <v>0</v>
      </c>
      <c r="AC165" s="305">
        <f t="shared" si="102"/>
        <v>0</v>
      </c>
      <c r="AD165" s="100">
        <f t="shared" si="82"/>
        <v>0</v>
      </c>
      <c r="AE165" s="100">
        <f t="shared" si="83"/>
        <v>0</v>
      </c>
      <c r="AF165" s="194">
        <f t="shared" si="98"/>
        <v>0</v>
      </c>
      <c r="AG165" s="194">
        <f t="shared" si="99"/>
        <v>0</v>
      </c>
      <c r="AH165" s="194">
        <f t="shared" si="100"/>
        <v>0</v>
      </c>
      <c r="AI165" s="199">
        <f t="shared" si="101"/>
        <v>0</v>
      </c>
      <c r="AK165" s="71">
        <v>160</v>
      </c>
      <c r="AL165" s="33">
        <f t="shared" si="84"/>
        <v>0</v>
      </c>
      <c r="AM165" s="33">
        <f t="shared" si="85"/>
        <v>0</v>
      </c>
      <c r="AN165" s="33">
        <f t="shared" si="86"/>
        <v>0</v>
      </c>
      <c r="AO165" s="33">
        <f t="shared" si="87"/>
        <v>0</v>
      </c>
      <c r="AP165" s="33">
        <f t="shared" si="88"/>
        <v>0</v>
      </c>
      <c r="AQ165" s="194">
        <f t="shared" si="89"/>
        <v>0</v>
      </c>
      <c r="AR165" s="194">
        <f t="shared" si="89"/>
        <v>0</v>
      </c>
      <c r="AS165" s="194">
        <f t="shared" si="89"/>
        <v>0</v>
      </c>
      <c r="AT165" s="194">
        <f t="shared" si="74"/>
        <v>0</v>
      </c>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92"/>
        <v>0</v>
      </c>
      <c r="K166" s="33">
        <f t="shared" si="93"/>
        <v>0</v>
      </c>
      <c r="L166" s="33">
        <f t="shared" si="94"/>
        <v>0</v>
      </c>
      <c r="M166" s="33">
        <f t="shared" si="95"/>
        <v>0</v>
      </c>
      <c r="N166" s="33">
        <f t="shared" si="75"/>
        <v>0</v>
      </c>
      <c r="O166" s="34">
        <f t="shared" si="76"/>
        <v>0</v>
      </c>
      <c r="P166" s="55">
        <v>161</v>
      </c>
      <c r="Q166" s="33">
        <f t="shared" si="90"/>
        <v>0</v>
      </c>
      <c r="R166" s="33">
        <f t="shared" si="96"/>
        <v>0</v>
      </c>
      <c r="S166" s="33">
        <f t="shared" si="97"/>
        <v>0</v>
      </c>
      <c r="T166" s="33">
        <f t="shared" si="77"/>
        <v>0</v>
      </c>
      <c r="U166" s="33">
        <f t="shared" si="91"/>
        <v>0</v>
      </c>
      <c r="V166" s="33">
        <f t="shared" si="78"/>
        <v>0</v>
      </c>
      <c r="W166" s="33">
        <v>0</v>
      </c>
      <c r="X166" s="33">
        <f t="shared" si="79"/>
        <v>0</v>
      </c>
      <c r="Y166" s="38">
        <f t="shared" si="80"/>
        <v>0</v>
      </c>
      <c r="AA166" s="71">
        <v>161</v>
      </c>
      <c r="AB166" s="33">
        <f t="shared" si="81"/>
        <v>0</v>
      </c>
      <c r="AC166" s="305">
        <f t="shared" si="102"/>
        <v>0</v>
      </c>
      <c r="AD166" s="100">
        <f t="shared" si="82"/>
        <v>0</v>
      </c>
      <c r="AE166" s="100">
        <f t="shared" si="83"/>
        <v>0</v>
      </c>
      <c r="AF166" s="194">
        <f t="shared" si="98"/>
        <v>0</v>
      </c>
      <c r="AG166" s="194">
        <f t="shared" si="99"/>
        <v>0</v>
      </c>
      <c r="AH166" s="194">
        <f t="shared" si="100"/>
        <v>0</v>
      </c>
      <c r="AI166" s="199">
        <f t="shared" si="101"/>
        <v>0</v>
      </c>
      <c r="AK166" s="71">
        <v>161</v>
      </c>
      <c r="AL166" s="33">
        <f t="shared" si="84"/>
        <v>0</v>
      </c>
      <c r="AM166" s="33">
        <f t="shared" si="85"/>
        <v>0</v>
      </c>
      <c r="AN166" s="33">
        <f t="shared" si="86"/>
        <v>0</v>
      </c>
      <c r="AO166" s="33">
        <f t="shared" si="87"/>
        <v>0</v>
      </c>
      <c r="AP166" s="33">
        <f t="shared" si="88"/>
        <v>0</v>
      </c>
      <c r="AQ166" s="194">
        <f t="shared" si="89"/>
        <v>0</v>
      </c>
      <c r="AR166" s="194">
        <f t="shared" si="89"/>
        <v>0</v>
      </c>
      <c r="AS166" s="194">
        <f t="shared" si="89"/>
        <v>0</v>
      </c>
      <c r="AT166" s="194">
        <f t="shared" si="74"/>
        <v>0</v>
      </c>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92"/>
        <v>0</v>
      </c>
      <c r="K167" s="33">
        <f t="shared" si="93"/>
        <v>0</v>
      </c>
      <c r="L167" s="33">
        <f t="shared" si="94"/>
        <v>0</v>
      </c>
      <c r="M167" s="33">
        <f t="shared" si="95"/>
        <v>0</v>
      </c>
      <c r="N167" s="33">
        <f t="shared" si="75"/>
        <v>0</v>
      </c>
      <c r="O167" s="34">
        <f t="shared" si="76"/>
        <v>0</v>
      </c>
      <c r="P167" s="55">
        <v>162</v>
      </c>
      <c r="Q167" s="33">
        <f t="shared" si="90"/>
        <v>0</v>
      </c>
      <c r="R167" s="33">
        <f t="shared" si="96"/>
        <v>0</v>
      </c>
      <c r="S167" s="33">
        <f t="shared" si="97"/>
        <v>0</v>
      </c>
      <c r="T167" s="33">
        <f t="shared" si="77"/>
        <v>0</v>
      </c>
      <c r="U167" s="33">
        <f t="shared" si="91"/>
        <v>0</v>
      </c>
      <c r="V167" s="33">
        <f t="shared" si="78"/>
        <v>0</v>
      </c>
      <c r="W167" s="33">
        <v>0</v>
      </c>
      <c r="X167" s="33">
        <f t="shared" si="79"/>
        <v>0</v>
      </c>
      <c r="Y167" s="38">
        <f t="shared" si="80"/>
        <v>0</v>
      </c>
      <c r="AA167" s="71">
        <v>162</v>
      </c>
      <c r="AB167" s="33">
        <f t="shared" si="81"/>
        <v>0</v>
      </c>
      <c r="AC167" s="305">
        <f t="shared" si="102"/>
        <v>0</v>
      </c>
      <c r="AD167" s="100">
        <f t="shared" si="82"/>
        <v>0</v>
      </c>
      <c r="AE167" s="100">
        <f t="shared" si="83"/>
        <v>0</v>
      </c>
      <c r="AF167" s="194">
        <f t="shared" si="98"/>
        <v>0</v>
      </c>
      <c r="AG167" s="194">
        <f t="shared" si="99"/>
        <v>0</v>
      </c>
      <c r="AH167" s="194">
        <f t="shared" si="100"/>
        <v>0</v>
      </c>
      <c r="AI167" s="199">
        <f t="shared" si="101"/>
        <v>0</v>
      </c>
      <c r="AK167" s="71">
        <v>162</v>
      </c>
      <c r="AL167" s="33">
        <f t="shared" si="84"/>
        <v>0</v>
      </c>
      <c r="AM167" s="33">
        <f t="shared" si="85"/>
        <v>0</v>
      </c>
      <c r="AN167" s="33">
        <f t="shared" si="86"/>
        <v>0</v>
      </c>
      <c r="AO167" s="33">
        <f t="shared" si="87"/>
        <v>0</v>
      </c>
      <c r="AP167" s="33">
        <f t="shared" si="88"/>
        <v>0</v>
      </c>
      <c r="AQ167" s="194">
        <f t="shared" si="89"/>
        <v>0</v>
      </c>
      <c r="AR167" s="194">
        <f t="shared" si="89"/>
        <v>0</v>
      </c>
      <c r="AS167" s="194">
        <f t="shared" si="89"/>
        <v>0</v>
      </c>
      <c r="AT167" s="194">
        <f t="shared" si="74"/>
        <v>0</v>
      </c>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92"/>
        <v>0</v>
      </c>
      <c r="K168" s="33">
        <f t="shared" si="93"/>
        <v>0</v>
      </c>
      <c r="L168" s="33">
        <f t="shared" si="94"/>
        <v>0</v>
      </c>
      <c r="M168" s="33">
        <f t="shared" si="95"/>
        <v>0</v>
      </c>
      <c r="N168" s="33">
        <f t="shared" si="75"/>
        <v>0</v>
      </c>
      <c r="O168" s="34">
        <f t="shared" si="76"/>
        <v>0</v>
      </c>
      <c r="P168" s="55">
        <v>163</v>
      </c>
      <c r="Q168" s="33">
        <f t="shared" si="90"/>
        <v>0</v>
      </c>
      <c r="R168" s="33">
        <f t="shared" si="96"/>
        <v>0</v>
      </c>
      <c r="S168" s="33">
        <f t="shared" si="97"/>
        <v>0</v>
      </c>
      <c r="T168" s="33">
        <f t="shared" si="77"/>
        <v>0</v>
      </c>
      <c r="U168" s="33">
        <f t="shared" si="91"/>
        <v>0</v>
      </c>
      <c r="V168" s="33">
        <f t="shared" si="78"/>
        <v>0</v>
      </c>
      <c r="W168" s="33">
        <v>0</v>
      </c>
      <c r="X168" s="33">
        <f t="shared" si="79"/>
        <v>0</v>
      </c>
      <c r="Y168" s="38">
        <f t="shared" si="80"/>
        <v>0</v>
      </c>
      <c r="AA168" s="71">
        <v>163</v>
      </c>
      <c r="AB168" s="33">
        <f t="shared" si="81"/>
        <v>0</v>
      </c>
      <c r="AC168" s="305">
        <f t="shared" si="102"/>
        <v>0</v>
      </c>
      <c r="AD168" s="100">
        <f t="shared" si="82"/>
        <v>0</v>
      </c>
      <c r="AE168" s="100">
        <f t="shared" si="83"/>
        <v>0</v>
      </c>
      <c r="AF168" s="194">
        <f t="shared" si="98"/>
        <v>0</v>
      </c>
      <c r="AG168" s="194">
        <f t="shared" si="99"/>
        <v>0</v>
      </c>
      <c r="AH168" s="194">
        <f t="shared" si="100"/>
        <v>0</v>
      </c>
      <c r="AI168" s="199">
        <f t="shared" si="101"/>
        <v>0</v>
      </c>
      <c r="AK168" s="71">
        <v>163</v>
      </c>
      <c r="AL168" s="33">
        <f t="shared" si="84"/>
        <v>0</v>
      </c>
      <c r="AM168" s="33">
        <f t="shared" si="85"/>
        <v>0</v>
      </c>
      <c r="AN168" s="33">
        <f t="shared" si="86"/>
        <v>0</v>
      </c>
      <c r="AO168" s="33">
        <f t="shared" si="87"/>
        <v>0</v>
      </c>
      <c r="AP168" s="33">
        <f t="shared" si="88"/>
        <v>0</v>
      </c>
      <c r="AQ168" s="194">
        <f t="shared" si="89"/>
        <v>0</v>
      </c>
      <c r="AR168" s="194">
        <f t="shared" si="89"/>
        <v>0</v>
      </c>
      <c r="AS168" s="194">
        <f t="shared" si="89"/>
        <v>0</v>
      </c>
      <c r="AT168" s="194">
        <f t="shared" si="74"/>
        <v>0</v>
      </c>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92"/>
        <v>0</v>
      </c>
      <c r="K169" s="33">
        <f t="shared" si="93"/>
        <v>0</v>
      </c>
      <c r="L169" s="33">
        <f t="shared" si="94"/>
        <v>0</v>
      </c>
      <c r="M169" s="33">
        <f t="shared" si="95"/>
        <v>0</v>
      </c>
      <c r="N169" s="33">
        <f t="shared" si="75"/>
        <v>0</v>
      </c>
      <c r="O169" s="34">
        <f t="shared" si="76"/>
        <v>0</v>
      </c>
      <c r="P169" s="55">
        <v>164</v>
      </c>
      <c r="Q169" s="33">
        <f t="shared" si="90"/>
        <v>0</v>
      </c>
      <c r="R169" s="33">
        <f t="shared" si="96"/>
        <v>0</v>
      </c>
      <c r="S169" s="33">
        <f t="shared" si="97"/>
        <v>0</v>
      </c>
      <c r="T169" s="33">
        <f t="shared" si="77"/>
        <v>0</v>
      </c>
      <c r="U169" s="33">
        <f t="shared" si="91"/>
        <v>0</v>
      </c>
      <c r="V169" s="33">
        <f t="shared" si="78"/>
        <v>0</v>
      </c>
      <c r="W169" s="33">
        <v>0</v>
      </c>
      <c r="X169" s="33">
        <f t="shared" si="79"/>
        <v>0</v>
      </c>
      <c r="Y169" s="38">
        <f t="shared" si="80"/>
        <v>0</v>
      </c>
      <c r="AA169" s="71">
        <v>164</v>
      </c>
      <c r="AB169" s="33">
        <f t="shared" si="81"/>
        <v>0</v>
      </c>
      <c r="AC169" s="305">
        <f t="shared" si="102"/>
        <v>0</v>
      </c>
      <c r="AD169" s="100">
        <f t="shared" si="82"/>
        <v>0</v>
      </c>
      <c r="AE169" s="100">
        <f t="shared" si="83"/>
        <v>0</v>
      </c>
      <c r="AF169" s="194">
        <f t="shared" si="98"/>
        <v>0</v>
      </c>
      <c r="AG169" s="194">
        <f t="shared" si="99"/>
        <v>0</v>
      </c>
      <c r="AH169" s="194">
        <f t="shared" si="100"/>
        <v>0</v>
      </c>
      <c r="AI169" s="199">
        <f t="shared" si="101"/>
        <v>0</v>
      </c>
      <c r="AK169" s="71">
        <v>164</v>
      </c>
      <c r="AL169" s="33">
        <f t="shared" si="84"/>
        <v>0</v>
      </c>
      <c r="AM169" s="33">
        <f t="shared" si="85"/>
        <v>0</v>
      </c>
      <c r="AN169" s="33">
        <f t="shared" si="86"/>
        <v>0</v>
      </c>
      <c r="AO169" s="33">
        <f t="shared" si="87"/>
        <v>0</v>
      </c>
      <c r="AP169" s="33">
        <f t="shared" si="88"/>
        <v>0</v>
      </c>
      <c r="AQ169" s="194">
        <f t="shared" si="89"/>
        <v>0</v>
      </c>
      <c r="AR169" s="194">
        <f t="shared" si="89"/>
        <v>0</v>
      </c>
      <c r="AS169" s="194">
        <f t="shared" si="89"/>
        <v>0</v>
      </c>
      <c r="AT169" s="194">
        <f t="shared" si="74"/>
        <v>0</v>
      </c>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92"/>
        <v>0</v>
      </c>
      <c r="K170" s="33">
        <f t="shared" si="93"/>
        <v>0</v>
      </c>
      <c r="L170" s="33">
        <f t="shared" si="94"/>
        <v>0</v>
      </c>
      <c r="M170" s="33">
        <f t="shared" si="95"/>
        <v>0</v>
      </c>
      <c r="N170" s="33">
        <f t="shared" si="75"/>
        <v>0</v>
      </c>
      <c r="O170" s="34">
        <f t="shared" si="76"/>
        <v>0</v>
      </c>
      <c r="P170" s="55">
        <v>165</v>
      </c>
      <c r="Q170" s="33">
        <f t="shared" si="90"/>
        <v>0</v>
      </c>
      <c r="R170" s="33">
        <f t="shared" si="96"/>
        <v>0</v>
      </c>
      <c r="S170" s="33">
        <f t="shared" si="97"/>
        <v>0</v>
      </c>
      <c r="T170" s="33">
        <f t="shared" si="77"/>
        <v>0</v>
      </c>
      <c r="U170" s="33">
        <f t="shared" si="91"/>
        <v>0</v>
      </c>
      <c r="V170" s="33">
        <f t="shared" si="78"/>
        <v>0</v>
      </c>
      <c r="W170" s="33">
        <v>0</v>
      </c>
      <c r="X170" s="33">
        <f t="shared" si="79"/>
        <v>0</v>
      </c>
      <c r="Y170" s="38">
        <f t="shared" si="80"/>
        <v>0</v>
      </c>
      <c r="AA170" s="71">
        <v>165</v>
      </c>
      <c r="AB170" s="33">
        <f t="shared" si="81"/>
        <v>0</v>
      </c>
      <c r="AC170" s="305">
        <f t="shared" si="102"/>
        <v>0</v>
      </c>
      <c r="AD170" s="100">
        <f t="shared" si="82"/>
        <v>0</v>
      </c>
      <c r="AE170" s="100">
        <f t="shared" si="83"/>
        <v>0</v>
      </c>
      <c r="AF170" s="194">
        <f t="shared" si="98"/>
        <v>0</v>
      </c>
      <c r="AG170" s="194">
        <f t="shared" si="99"/>
        <v>0</v>
      </c>
      <c r="AH170" s="194">
        <f t="shared" si="100"/>
        <v>0</v>
      </c>
      <c r="AI170" s="199">
        <f t="shared" si="101"/>
        <v>0</v>
      </c>
      <c r="AK170" s="71">
        <v>165</v>
      </c>
      <c r="AL170" s="33">
        <f t="shared" si="84"/>
        <v>0</v>
      </c>
      <c r="AM170" s="33">
        <f t="shared" si="85"/>
        <v>0</v>
      </c>
      <c r="AN170" s="33">
        <f t="shared" si="86"/>
        <v>0</v>
      </c>
      <c r="AO170" s="33">
        <f t="shared" si="87"/>
        <v>0</v>
      </c>
      <c r="AP170" s="33">
        <f t="shared" si="88"/>
        <v>0</v>
      </c>
      <c r="AQ170" s="194">
        <f t="shared" si="89"/>
        <v>0</v>
      </c>
      <c r="AR170" s="194">
        <f t="shared" si="89"/>
        <v>0</v>
      </c>
      <c r="AS170" s="194">
        <f t="shared" si="89"/>
        <v>0</v>
      </c>
      <c r="AT170" s="194">
        <f t="shared" si="74"/>
        <v>0</v>
      </c>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92"/>
        <v>0</v>
      </c>
      <c r="K171" s="33">
        <f t="shared" si="93"/>
        <v>0</v>
      </c>
      <c r="L171" s="33">
        <f t="shared" si="94"/>
        <v>0</v>
      </c>
      <c r="M171" s="33">
        <f t="shared" si="95"/>
        <v>0</v>
      </c>
      <c r="N171" s="33">
        <f t="shared" si="75"/>
        <v>0</v>
      </c>
      <c r="O171" s="34">
        <f t="shared" si="76"/>
        <v>0</v>
      </c>
      <c r="P171" s="55">
        <v>166</v>
      </c>
      <c r="Q171" s="33">
        <f t="shared" si="90"/>
        <v>0</v>
      </c>
      <c r="R171" s="33">
        <f t="shared" si="96"/>
        <v>0</v>
      </c>
      <c r="S171" s="33">
        <f t="shared" si="97"/>
        <v>0</v>
      </c>
      <c r="T171" s="33">
        <f t="shared" si="77"/>
        <v>0</v>
      </c>
      <c r="U171" s="33">
        <f t="shared" si="91"/>
        <v>0</v>
      </c>
      <c r="V171" s="33">
        <f t="shared" si="78"/>
        <v>0</v>
      </c>
      <c r="W171" s="33">
        <v>0</v>
      </c>
      <c r="X171" s="33">
        <f t="shared" si="79"/>
        <v>0</v>
      </c>
      <c r="Y171" s="38">
        <f t="shared" si="80"/>
        <v>0</v>
      </c>
      <c r="AA171" s="71">
        <v>166</v>
      </c>
      <c r="AB171" s="33">
        <f t="shared" si="81"/>
        <v>0</v>
      </c>
      <c r="AC171" s="305">
        <f t="shared" si="102"/>
        <v>0</v>
      </c>
      <c r="AD171" s="100">
        <f t="shared" si="82"/>
        <v>0</v>
      </c>
      <c r="AE171" s="100">
        <f t="shared" si="83"/>
        <v>0</v>
      </c>
      <c r="AF171" s="194">
        <f t="shared" si="98"/>
        <v>0</v>
      </c>
      <c r="AG171" s="194">
        <f t="shared" si="99"/>
        <v>0</v>
      </c>
      <c r="AH171" s="194">
        <f t="shared" si="100"/>
        <v>0</v>
      </c>
      <c r="AI171" s="199">
        <f t="shared" si="101"/>
        <v>0</v>
      </c>
      <c r="AK171" s="71">
        <v>166</v>
      </c>
      <c r="AL171" s="33">
        <f t="shared" si="84"/>
        <v>0</v>
      </c>
      <c r="AM171" s="33">
        <f t="shared" si="85"/>
        <v>0</v>
      </c>
      <c r="AN171" s="33">
        <f t="shared" si="86"/>
        <v>0</v>
      </c>
      <c r="AO171" s="33">
        <f t="shared" si="87"/>
        <v>0</v>
      </c>
      <c r="AP171" s="33">
        <f t="shared" si="88"/>
        <v>0</v>
      </c>
      <c r="AQ171" s="194">
        <f t="shared" si="89"/>
        <v>0</v>
      </c>
      <c r="AR171" s="194">
        <f t="shared" si="89"/>
        <v>0</v>
      </c>
      <c r="AS171" s="194">
        <f t="shared" si="89"/>
        <v>0</v>
      </c>
      <c r="AT171" s="194">
        <f t="shared" si="74"/>
        <v>0</v>
      </c>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92"/>
        <v>0</v>
      </c>
      <c r="K172" s="33">
        <f t="shared" si="93"/>
        <v>0</v>
      </c>
      <c r="L172" s="33">
        <f t="shared" si="94"/>
        <v>0</v>
      </c>
      <c r="M172" s="33">
        <f t="shared" si="95"/>
        <v>0</v>
      </c>
      <c r="N172" s="33">
        <f t="shared" si="75"/>
        <v>0</v>
      </c>
      <c r="O172" s="34">
        <f t="shared" si="76"/>
        <v>0</v>
      </c>
      <c r="P172" s="55">
        <v>167</v>
      </c>
      <c r="Q172" s="33">
        <f t="shared" si="90"/>
        <v>0</v>
      </c>
      <c r="R172" s="33">
        <f t="shared" si="96"/>
        <v>0</v>
      </c>
      <c r="S172" s="33">
        <f t="shared" si="97"/>
        <v>0</v>
      </c>
      <c r="T172" s="33">
        <f t="shared" si="77"/>
        <v>0</v>
      </c>
      <c r="U172" s="33">
        <f t="shared" si="91"/>
        <v>0</v>
      </c>
      <c r="V172" s="33">
        <f t="shared" si="78"/>
        <v>0</v>
      </c>
      <c r="W172" s="33">
        <v>0</v>
      </c>
      <c r="X172" s="33">
        <f t="shared" si="79"/>
        <v>0</v>
      </c>
      <c r="Y172" s="38">
        <f t="shared" si="80"/>
        <v>0</v>
      </c>
      <c r="AA172" s="71">
        <v>167</v>
      </c>
      <c r="AB172" s="33">
        <f t="shared" si="81"/>
        <v>0</v>
      </c>
      <c r="AC172" s="305">
        <f t="shared" si="102"/>
        <v>0</v>
      </c>
      <c r="AD172" s="100">
        <f t="shared" si="82"/>
        <v>0</v>
      </c>
      <c r="AE172" s="100">
        <f t="shared" si="83"/>
        <v>0</v>
      </c>
      <c r="AF172" s="194">
        <f t="shared" si="98"/>
        <v>0</v>
      </c>
      <c r="AG172" s="194">
        <f t="shared" si="99"/>
        <v>0</v>
      </c>
      <c r="AH172" s="194">
        <f t="shared" si="100"/>
        <v>0</v>
      </c>
      <c r="AI172" s="199">
        <f t="shared" si="101"/>
        <v>0</v>
      </c>
      <c r="AK172" s="71">
        <v>167</v>
      </c>
      <c r="AL172" s="33">
        <f t="shared" si="84"/>
        <v>0</v>
      </c>
      <c r="AM172" s="33">
        <f t="shared" si="85"/>
        <v>0</v>
      </c>
      <c r="AN172" s="33">
        <f t="shared" si="86"/>
        <v>0</v>
      </c>
      <c r="AO172" s="33">
        <f t="shared" si="87"/>
        <v>0</v>
      </c>
      <c r="AP172" s="33">
        <f t="shared" si="88"/>
        <v>0</v>
      </c>
      <c r="AQ172" s="194">
        <f t="shared" si="89"/>
        <v>0</v>
      </c>
      <c r="AR172" s="194">
        <f t="shared" si="89"/>
        <v>0</v>
      </c>
      <c r="AS172" s="194">
        <f t="shared" si="89"/>
        <v>0</v>
      </c>
      <c r="AT172" s="194">
        <f t="shared" si="74"/>
        <v>0</v>
      </c>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92"/>
        <v>0</v>
      </c>
      <c r="K173" s="33">
        <f t="shared" si="93"/>
        <v>0</v>
      </c>
      <c r="L173" s="33">
        <f t="shared" si="94"/>
        <v>0</v>
      </c>
      <c r="M173" s="33">
        <f t="shared" si="95"/>
        <v>0</v>
      </c>
      <c r="N173" s="33">
        <f t="shared" si="75"/>
        <v>0</v>
      </c>
      <c r="O173" s="34">
        <f t="shared" si="76"/>
        <v>0</v>
      </c>
      <c r="P173" s="55">
        <v>168</v>
      </c>
      <c r="Q173" s="33">
        <f t="shared" si="90"/>
        <v>0</v>
      </c>
      <c r="R173" s="33">
        <f t="shared" si="96"/>
        <v>0</v>
      </c>
      <c r="S173" s="33">
        <f t="shared" si="97"/>
        <v>0</v>
      </c>
      <c r="T173" s="33">
        <f t="shared" si="77"/>
        <v>0</v>
      </c>
      <c r="U173" s="33">
        <f t="shared" si="91"/>
        <v>0</v>
      </c>
      <c r="V173" s="33">
        <f t="shared" si="78"/>
        <v>0</v>
      </c>
      <c r="W173" s="33">
        <v>0</v>
      </c>
      <c r="X173" s="33">
        <f t="shared" si="79"/>
        <v>0</v>
      </c>
      <c r="Y173" s="38">
        <f t="shared" si="80"/>
        <v>0</v>
      </c>
      <c r="AA173" s="71">
        <v>168</v>
      </c>
      <c r="AB173" s="33">
        <f t="shared" si="81"/>
        <v>0</v>
      </c>
      <c r="AC173" s="305">
        <f t="shared" si="102"/>
        <v>0</v>
      </c>
      <c r="AD173" s="100">
        <f t="shared" si="82"/>
        <v>0</v>
      </c>
      <c r="AE173" s="100">
        <f t="shared" si="83"/>
        <v>0</v>
      </c>
      <c r="AF173" s="194">
        <f t="shared" si="98"/>
        <v>0</v>
      </c>
      <c r="AG173" s="194">
        <f t="shared" si="99"/>
        <v>0</v>
      </c>
      <c r="AH173" s="194">
        <f t="shared" si="100"/>
        <v>0</v>
      </c>
      <c r="AI173" s="199">
        <f t="shared" si="101"/>
        <v>0</v>
      </c>
      <c r="AK173" s="71">
        <v>168</v>
      </c>
      <c r="AL173" s="33">
        <f t="shared" si="84"/>
        <v>0</v>
      </c>
      <c r="AM173" s="33">
        <f t="shared" si="85"/>
        <v>0</v>
      </c>
      <c r="AN173" s="33">
        <f t="shared" si="86"/>
        <v>0</v>
      </c>
      <c r="AO173" s="33">
        <f t="shared" si="87"/>
        <v>0</v>
      </c>
      <c r="AP173" s="33">
        <f t="shared" si="88"/>
        <v>0</v>
      </c>
      <c r="AQ173" s="194">
        <f t="shared" si="89"/>
        <v>0</v>
      </c>
      <c r="AR173" s="194">
        <f t="shared" si="89"/>
        <v>0</v>
      </c>
      <c r="AS173" s="194">
        <f t="shared" si="89"/>
        <v>0</v>
      </c>
      <c r="AT173" s="194">
        <f t="shared" si="74"/>
        <v>0</v>
      </c>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92"/>
        <v>0</v>
      </c>
      <c r="K174" s="33">
        <f t="shared" si="93"/>
        <v>0</v>
      </c>
      <c r="L174" s="33">
        <f t="shared" si="94"/>
        <v>0</v>
      </c>
      <c r="M174" s="33">
        <f t="shared" si="95"/>
        <v>0</v>
      </c>
      <c r="N174" s="33">
        <f t="shared" si="75"/>
        <v>0</v>
      </c>
      <c r="O174" s="34">
        <f t="shared" si="76"/>
        <v>0</v>
      </c>
      <c r="P174" s="55">
        <v>169</v>
      </c>
      <c r="Q174" s="33">
        <f t="shared" si="90"/>
        <v>0</v>
      </c>
      <c r="R174" s="33">
        <f t="shared" si="96"/>
        <v>0</v>
      </c>
      <c r="S174" s="33">
        <f t="shared" si="97"/>
        <v>0</v>
      </c>
      <c r="T174" s="33">
        <f t="shared" si="77"/>
        <v>0</v>
      </c>
      <c r="U174" s="33">
        <f t="shared" si="91"/>
        <v>0</v>
      </c>
      <c r="V174" s="33">
        <f t="shared" si="78"/>
        <v>0</v>
      </c>
      <c r="W174" s="33">
        <v>0</v>
      </c>
      <c r="X174" s="33">
        <f t="shared" si="79"/>
        <v>0</v>
      </c>
      <c r="Y174" s="38">
        <f t="shared" si="80"/>
        <v>0</v>
      </c>
      <c r="AA174" s="71">
        <v>169</v>
      </c>
      <c r="AB174" s="33">
        <f t="shared" si="81"/>
        <v>0</v>
      </c>
      <c r="AC174" s="305">
        <f t="shared" si="102"/>
        <v>0</v>
      </c>
      <c r="AD174" s="100">
        <f t="shared" si="82"/>
        <v>0</v>
      </c>
      <c r="AE174" s="100">
        <f t="shared" si="83"/>
        <v>0</v>
      </c>
      <c r="AF174" s="194">
        <f t="shared" si="98"/>
        <v>0</v>
      </c>
      <c r="AG174" s="194">
        <f t="shared" si="99"/>
        <v>0</v>
      </c>
      <c r="AH174" s="194">
        <f t="shared" si="100"/>
        <v>0</v>
      </c>
      <c r="AI174" s="199">
        <f t="shared" si="101"/>
        <v>0</v>
      </c>
      <c r="AK174" s="71">
        <v>169</v>
      </c>
      <c r="AL174" s="33">
        <f t="shared" si="84"/>
        <v>0</v>
      </c>
      <c r="AM174" s="33">
        <f t="shared" si="85"/>
        <v>0</v>
      </c>
      <c r="AN174" s="33">
        <f t="shared" si="86"/>
        <v>0</v>
      </c>
      <c r="AO174" s="33">
        <f t="shared" si="87"/>
        <v>0</v>
      </c>
      <c r="AP174" s="33">
        <f t="shared" si="88"/>
        <v>0</v>
      </c>
      <c r="AQ174" s="194">
        <f t="shared" si="89"/>
        <v>0</v>
      </c>
      <c r="AR174" s="194">
        <f t="shared" si="89"/>
        <v>0</v>
      </c>
      <c r="AS174" s="194">
        <f t="shared" si="89"/>
        <v>0</v>
      </c>
      <c r="AT174" s="194">
        <f t="shared" si="74"/>
        <v>0</v>
      </c>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92"/>
        <v>0</v>
      </c>
      <c r="K175" s="33">
        <f t="shared" si="93"/>
        <v>0</v>
      </c>
      <c r="L175" s="33">
        <f t="shared" si="94"/>
        <v>0</v>
      </c>
      <c r="M175" s="33">
        <f t="shared" si="95"/>
        <v>0</v>
      </c>
      <c r="N175" s="33">
        <f t="shared" si="75"/>
        <v>0</v>
      </c>
      <c r="O175" s="34">
        <f t="shared" si="76"/>
        <v>0</v>
      </c>
      <c r="P175" s="55">
        <v>170</v>
      </c>
      <c r="Q175" s="33">
        <f t="shared" si="90"/>
        <v>0</v>
      </c>
      <c r="R175" s="33">
        <f t="shared" si="96"/>
        <v>0</v>
      </c>
      <c r="S175" s="33">
        <f t="shared" si="97"/>
        <v>0</v>
      </c>
      <c r="T175" s="33">
        <f t="shared" si="77"/>
        <v>0</v>
      </c>
      <c r="U175" s="33">
        <f t="shared" si="91"/>
        <v>0</v>
      </c>
      <c r="V175" s="33">
        <f t="shared" si="78"/>
        <v>0</v>
      </c>
      <c r="W175" s="33">
        <v>0</v>
      </c>
      <c r="X175" s="33">
        <f t="shared" si="79"/>
        <v>0</v>
      </c>
      <c r="Y175" s="38">
        <f t="shared" si="80"/>
        <v>0</v>
      </c>
      <c r="AA175" s="71">
        <v>170</v>
      </c>
      <c r="AB175" s="33">
        <f t="shared" si="81"/>
        <v>0</v>
      </c>
      <c r="AC175" s="305">
        <f t="shared" si="102"/>
        <v>0</v>
      </c>
      <c r="AD175" s="100">
        <f t="shared" si="82"/>
        <v>0</v>
      </c>
      <c r="AE175" s="100">
        <f t="shared" si="83"/>
        <v>0</v>
      </c>
      <c r="AF175" s="194">
        <f t="shared" si="98"/>
        <v>0</v>
      </c>
      <c r="AG175" s="194">
        <f t="shared" si="99"/>
        <v>0</v>
      </c>
      <c r="AH175" s="194">
        <f t="shared" si="100"/>
        <v>0</v>
      </c>
      <c r="AI175" s="199">
        <f t="shared" si="101"/>
        <v>0</v>
      </c>
      <c r="AK175" s="71">
        <v>170</v>
      </c>
      <c r="AL175" s="33">
        <f t="shared" si="84"/>
        <v>0</v>
      </c>
      <c r="AM175" s="33">
        <f t="shared" si="85"/>
        <v>0</v>
      </c>
      <c r="AN175" s="33">
        <f t="shared" si="86"/>
        <v>0</v>
      </c>
      <c r="AO175" s="33">
        <f t="shared" si="87"/>
        <v>0</v>
      </c>
      <c r="AP175" s="33">
        <f t="shared" si="88"/>
        <v>0</v>
      </c>
      <c r="AQ175" s="194">
        <f t="shared" si="89"/>
        <v>0</v>
      </c>
      <c r="AR175" s="194">
        <f t="shared" si="89"/>
        <v>0</v>
      </c>
      <c r="AS175" s="194">
        <f t="shared" si="89"/>
        <v>0</v>
      </c>
      <c r="AT175" s="194">
        <f t="shared" si="74"/>
        <v>0</v>
      </c>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92"/>
        <v>0</v>
      </c>
      <c r="K176" s="33">
        <f t="shared" si="93"/>
        <v>0</v>
      </c>
      <c r="L176" s="33">
        <f t="shared" si="94"/>
        <v>0</v>
      </c>
      <c r="M176" s="33">
        <f t="shared" si="95"/>
        <v>0</v>
      </c>
      <c r="N176" s="33">
        <f t="shared" si="75"/>
        <v>0</v>
      </c>
      <c r="O176" s="34">
        <f t="shared" si="76"/>
        <v>0</v>
      </c>
      <c r="P176" s="55">
        <v>171</v>
      </c>
      <c r="Q176" s="33">
        <f t="shared" si="90"/>
        <v>0</v>
      </c>
      <c r="R176" s="33">
        <f t="shared" si="96"/>
        <v>0</v>
      </c>
      <c r="S176" s="33">
        <f t="shared" si="97"/>
        <v>0</v>
      </c>
      <c r="T176" s="33">
        <f t="shared" si="77"/>
        <v>0</v>
      </c>
      <c r="U176" s="33">
        <f t="shared" si="91"/>
        <v>0</v>
      </c>
      <c r="V176" s="33">
        <f t="shared" si="78"/>
        <v>0</v>
      </c>
      <c r="W176" s="33">
        <v>0</v>
      </c>
      <c r="X176" s="33">
        <f t="shared" si="79"/>
        <v>0</v>
      </c>
      <c r="Y176" s="38">
        <f t="shared" si="80"/>
        <v>0</v>
      </c>
      <c r="AA176" s="71">
        <v>171</v>
      </c>
      <c r="AB176" s="33">
        <f t="shared" si="81"/>
        <v>0</v>
      </c>
      <c r="AC176" s="305">
        <f t="shared" si="102"/>
        <v>0</v>
      </c>
      <c r="AD176" s="100">
        <f t="shared" si="82"/>
        <v>0</v>
      </c>
      <c r="AE176" s="100">
        <f t="shared" si="83"/>
        <v>0</v>
      </c>
      <c r="AF176" s="194">
        <f t="shared" si="98"/>
        <v>0</v>
      </c>
      <c r="AG176" s="194">
        <f t="shared" si="99"/>
        <v>0</v>
      </c>
      <c r="AH176" s="194">
        <f t="shared" si="100"/>
        <v>0</v>
      </c>
      <c r="AI176" s="199">
        <f t="shared" si="101"/>
        <v>0</v>
      </c>
      <c r="AK176" s="71">
        <v>171</v>
      </c>
      <c r="AL176" s="33">
        <f t="shared" si="84"/>
        <v>0</v>
      </c>
      <c r="AM176" s="33">
        <f t="shared" si="85"/>
        <v>0</v>
      </c>
      <c r="AN176" s="33">
        <f t="shared" si="86"/>
        <v>0</v>
      </c>
      <c r="AO176" s="33">
        <f t="shared" si="87"/>
        <v>0</v>
      </c>
      <c r="AP176" s="33">
        <f t="shared" si="88"/>
        <v>0</v>
      </c>
      <c r="AQ176" s="194">
        <f t="shared" si="89"/>
        <v>0</v>
      </c>
      <c r="AR176" s="194">
        <f t="shared" si="89"/>
        <v>0</v>
      </c>
      <c r="AS176" s="194">
        <f t="shared" si="89"/>
        <v>0</v>
      </c>
      <c r="AT176" s="194">
        <f t="shared" si="74"/>
        <v>0</v>
      </c>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92"/>
        <v>0</v>
      </c>
      <c r="K177" s="33">
        <f t="shared" si="93"/>
        <v>0</v>
      </c>
      <c r="L177" s="33">
        <f t="shared" si="94"/>
        <v>0</v>
      </c>
      <c r="M177" s="33">
        <f t="shared" si="95"/>
        <v>0</v>
      </c>
      <c r="N177" s="33">
        <f t="shared" si="75"/>
        <v>0</v>
      </c>
      <c r="O177" s="34">
        <f t="shared" si="76"/>
        <v>0</v>
      </c>
      <c r="P177" s="55">
        <v>172</v>
      </c>
      <c r="Q177" s="33">
        <f t="shared" si="90"/>
        <v>0</v>
      </c>
      <c r="R177" s="33">
        <f t="shared" si="96"/>
        <v>0</v>
      </c>
      <c r="S177" s="33">
        <f t="shared" si="97"/>
        <v>0</v>
      </c>
      <c r="T177" s="33">
        <f t="shared" si="77"/>
        <v>0</v>
      </c>
      <c r="U177" s="33">
        <f t="shared" si="91"/>
        <v>0</v>
      </c>
      <c r="V177" s="33">
        <f t="shared" si="78"/>
        <v>0</v>
      </c>
      <c r="W177" s="33">
        <v>0</v>
      </c>
      <c r="X177" s="33">
        <f t="shared" si="79"/>
        <v>0</v>
      </c>
      <c r="Y177" s="38">
        <f t="shared" si="80"/>
        <v>0</v>
      </c>
      <c r="AA177" s="71">
        <v>172</v>
      </c>
      <c r="AB177" s="33">
        <f t="shared" si="81"/>
        <v>0</v>
      </c>
      <c r="AC177" s="305">
        <f t="shared" si="102"/>
        <v>0</v>
      </c>
      <c r="AD177" s="100">
        <f t="shared" si="82"/>
        <v>0</v>
      </c>
      <c r="AE177" s="100">
        <f t="shared" si="83"/>
        <v>0</v>
      </c>
      <c r="AF177" s="194">
        <f t="shared" si="98"/>
        <v>0</v>
      </c>
      <c r="AG177" s="194">
        <f t="shared" si="99"/>
        <v>0</v>
      </c>
      <c r="AH177" s="194">
        <f t="shared" si="100"/>
        <v>0</v>
      </c>
      <c r="AI177" s="199">
        <f t="shared" si="101"/>
        <v>0</v>
      </c>
      <c r="AK177" s="71">
        <v>172</v>
      </c>
      <c r="AL177" s="33">
        <f t="shared" si="84"/>
        <v>0</v>
      </c>
      <c r="AM177" s="33">
        <f t="shared" si="85"/>
        <v>0</v>
      </c>
      <c r="AN177" s="33">
        <f t="shared" si="86"/>
        <v>0</v>
      </c>
      <c r="AO177" s="33">
        <f t="shared" si="87"/>
        <v>0</v>
      </c>
      <c r="AP177" s="33">
        <f t="shared" si="88"/>
        <v>0</v>
      </c>
      <c r="AQ177" s="194">
        <f t="shared" si="89"/>
        <v>0</v>
      </c>
      <c r="AR177" s="194">
        <f t="shared" si="89"/>
        <v>0</v>
      </c>
      <c r="AS177" s="194">
        <f t="shared" si="89"/>
        <v>0</v>
      </c>
      <c r="AT177" s="194">
        <f t="shared" si="74"/>
        <v>0</v>
      </c>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92"/>
        <v>0</v>
      </c>
      <c r="K178" s="33">
        <f t="shared" si="93"/>
        <v>0</v>
      </c>
      <c r="L178" s="33">
        <f t="shared" si="94"/>
        <v>0</v>
      </c>
      <c r="M178" s="33">
        <f t="shared" si="95"/>
        <v>0</v>
      </c>
      <c r="N178" s="33">
        <f t="shared" si="75"/>
        <v>0</v>
      </c>
      <c r="O178" s="34">
        <f t="shared" si="76"/>
        <v>0</v>
      </c>
      <c r="P178" s="55">
        <v>173</v>
      </c>
      <c r="Q178" s="33">
        <f t="shared" si="90"/>
        <v>0</v>
      </c>
      <c r="R178" s="33">
        <f t="shared" si="96"/>
        <v>0</v>
      </c>
      <c r="S178" s="33">
        <f t="shared" si="97"/>
        <v>0</v>
      </c>
      <c r="T178" s="33">
        <f t="shared" si="77"/>
        <v>0</v>
      </c>
      <c r="U178" s="33">
        <f t="shared" si="91"/>
        <v>0</v>
      </c>
      <c r="V178" s="33">
        <f t="shared" si="78"/>
        <v>0</v>
      </c>
      <c r="W178" s="33">
        <v>0</v>
      </c>
      <c r="X178" s="33">
        <f t="shared" si="79"/>
        <v>0</v>
      </c>
      <c r="Y178" s="38">
        <f t="shared" si="80"/>
        <v>0</v>
      </c>
      <c r="AA178" s="71">
        <v>173</v>
      </c>
      <c r="AB178" s="33">
        <f t="shared" si="81"/>
        <v>0</v>
      </c>
      <c r="AC178" s="305">
        <f t="shared" si="102"/>
        <v>0</v>
      </c>
      <c r="AD178" s="100">
        <f t="shared" si="82"/>
        <v>0</v>
      </c>
      <c r="AE178" s="100">
        <f t="shared" si="83"/>
        <v>0</v>
      </c>
      <c r="AF178" s="194">
        <f t="shared" si="98"/>
        <v>0</v>
      </c>
      <c r="AG178" s="194">
        <f t="shared" si="99"/>
        <v>0</v>
      </c>
      <c r="AH178" s="194">
        <f t="shared" si="100"/>
        <v>0</v>
      </c>
      <c r="AI178" s="199">
        <f t="shared" si="101"/>
        <v>0</v>
      </c>
      <c r="AK178" s="71">
        <v>173</v>
      </c>
      <c r="AL178" s="33">
        <f t="shared" si="84"/>
        <v>0</v>
      </c>
      <c r="AM178" s="33">
        <f t="shared" si="85"/>
        <v>0</v>
      </c>
      <c r="AN178" s="33">
        <f t="shared" si="86"/>
        <v>0</v>
      </c>
      <c r="AO178" s="33">
        <f t="shared" si="87"/>
        <v>0</v>
      </c>
      <c r="AP178" s="33">
        <f t="shared" si="88"/>
        <v>0</v>
      </c>
      <c r="AQ178" s="194">
        <f t="shared" si="89"/>
        <v>0</v>
      </c>
      <c r="AR178" s="194">
        <f t="shared" si="89"/>
        <v>0</v>
      </c>
      <c r="AS178" s="194">
        <f t="shared" si="89"/>
        <v>0</v>
      </c>
      <c r="AT178" s="194">
        <f t="shared" si="74"/>
        <v>0</v>
      </c>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92"/>
        <v>0</v>
      </c>
      <c r="K179" s="33">
        <f t="shared" si="93"/>
        <v>0</v>
      </c>
      <c r="L179" s="33">
        <f t="shared" si="94"/>
        <v>0</v>
      </c>
      <c r="M179" s="33">
        <f t="shared" si="95"/>
        <v>0</v>
      </c>
      <c r="N179" s="33">
        <f t="shared" si="75"/>
        <v>0</v>
      </c>
      <c r="O179" s="34">
        <f t="shared" si="76"/>
        <v>0</v>
      </c>
      <c r="P179" s="55">
        <v>174</v>
      </c>
      <c r="Q179" s="33">
        <f t="shared" si="90"/>
        <v>0</v>
      </c>
      <c r="R179" s="33">
        <f t="shared" si="96"/>
        <v>0</v>
      </c>
      <c r="S179" s="33">
        <f t="shared" si="97"/>
        <v>0</v>
      </c>
      <c r="T179" s="33">
        <f t="shared" si="77"/>
        <v>0</v>
      </c>
      <c r="U179" s="33">
        <f t="shared" si="91"/>
        <v>0</v>
      </c>
      <c r="V179" s="33">
        <f t="shared" si="78"/>
        <v>0</v>
      </c>
      <c r="W179" s="33">
        <v>0</v>
      </c>
      <c r="X179" s="33">
        <f t="shared" si="79"/>
        <v>0</v>
      </c>
      <c r="Y179" s="38">
        <f t="shared" si="80"/>
        <v>0</v>
      </c>
      <c r="AA179" s="71">
        <v>174</v>
      </c>
      <c r="AB179" s="33">
        <f t="shared" si="81"/>
        <v>0</v>
      </c>
      <c r="AC179" s="305">
        <f t="shared" si="102"/>
        <v>0</v>
      </c>
      <c r="AD179" s="100">
        <f t="shared" si="82"/>
        <v>0</v>
      </c>
      <c r="AE179" s="100">
        <f t="shared" si="83"/>
        <v>0</v>
      </c>
      <c r="AF179" s="194">
        <f t="shared" si="98"/>
        <v>0</v>
      </c>
      <c r="AG179" s="194">
        <f t="shared" si="99"/>
        <v>0</v>
      </c>
      <c r="AH179" s="194">
        <f t="shared" si="100"/>
        <v>0</v>
      </c>
      <c r="AI179" s="199">
        <f t="shared" si="101"/>
        <v>0</v>
      </c>
      <c r="AK179" s="71">
        <v>174</v>
      </c>
      <c r="AL179" s="33">
        <f t="shared" si="84"/>
        <v>0</v>
      </c>
      <c r="AM179" s="33">
        <f t="shared" si="85"/>
        <v>0</v>
      </c>
      <c r="AN179" s="33">
        <f t="shared" si="86"/>
        <v>0</v>
      </c>
      <c r="AO179" s="33">
        <f t="shared" si="87"/>
        <v>0</v>
      </c>
      <c r="AP179" s="33">
        <f t="shared" si="88"/>
        <v>0</v>
      </c>
      <c r="AQ179" s="194">
        <f t="shared" si="89"/>
        <v>0</v>
      </c>
      <c r="AR179" s="194">
        <f t="shared" si="89"/>
        <v>0</v>
      </c>
      <c r="AS179" s="194">
        <f t="shared" si="89"/>
        <v>0</v>
      </c>
      <c r="AT179" s="194">
        <f t="shared" si="74"/>
        <v>0</v>
      </c>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92"/>
        <v>0</v>
      </c>
      <c r="K180" s="33">
        <f t="shared" si="93"/>
        <v>0</v>
      </c>
      <c r="L180" s="33">
        <f t="shared" si="94"/>
        <v>0</v>
      </c>
      <c r="M180" s="33">
        <f t="shared" si="95"/>
        <v>0</v>
      </c>
      <c r="N180" s="33">
        <f t="shared" si="75"/>
        <v>0</v>
      </c>
      <c r="O180" s="34">
        <f t="shared" si="76"/>
        <v>0</v>
      </c>
      <c r="P180" s="55">
        <v>175</v>
      </c>
      <c r="Q180" s="33">
        <f t="shared" si="90"/>
        <v>0</v>
      </c>
      <c r="R180" s="33">
        <f t="shared" si="96"/>
        <v>0</v>
      </c>
      <c r="S180" s="33">
        <f t="shared" si="97"/>
        <v>0</v>
      </c>
      <c r="T180" s="33">
        <f t="shared" si="77"/>
        <v>0</v>
      </c>
      <c r="U180" s="33">
        <f t="shared" si="91"/>
        <v>0</v>
      </c>
      <c r="V180" s="33">
        <f t="shared" si="78"/>
        <v>0</v>
      </c>
      <c r="W180" s="33">
        <v>0</v>
      </c>
      <c r="X180" s="33">
        <f t="shared" si="79"/>
        <v>0</v>
      </c>
      <c r="Y180" s="38">
        <f t="shared" si="80"/>
        <v>0</v>
      </c>
      <c r="AA180" s="71">
        <v>175</v>
      </c>
      <c r="AB180" s="33">
        <f t="shared" si="81"/>
        <v>0</v>
      </c>
      <c r="AC180" s="305">
        <f t="shared" si="102"/>
        <v>0</v>
      </c>
      <c r="AD180" s="100">
        <f t="shared" si="82"/>
        <v>0</v>
      </c>
      <c r="AE180" s="100">
        <f t="shared" si="83"/>
        <v>0</v>
      </c>
      <c r="AF180" s="194">
        <f t="shared" si="98"/>
        <v>0</v>
      </c>
      <c r="AG180" s="194">
        <f t="shared" si="99"/>
        <v>0</v>
      </c>
      <c r="AH180" s="194">
        <f t="shared" si="100"/>
        <v>0</v>
      </c>
      <c r="AI180" s="199">
        <f t="shared" si="101"/>
        <v>0</v>
      </c>
      <c r="AK180" s="71">
        <v>175</v>
      </c>
      <c r="AL180" s="33">
        <f t="shared" si="84"/>
        <v>0</v>
      </c>
      <c r="AM180" s="33">
        <f t="shared" si="85"/>
        <v>0</v>
      </c>
      <c r="AN180" s="33">
        <f t="shared" si="86"/>
        <v>0</v>
      </c>
      <c r="AO180" s="33">
        <f t="shared" si="87"/>
        <v>0</v>
      </c>
      <c r="AP180" s="33">
        <f t="shared" si="88"/>
        <v>0</v>
      </c>
      <c r="AQ180" s="194">
        <f t="shared" si="89"/>
        <v>0</v>
      </c>
      <c r="AR180" s="194">
        <f t="shared" si="89"/>
        <v>0</v>
      </c>
      <c r="AS180" s="194">
        <f t="shared" si="89"/>
        <v>0</v>
      </c>
      <c r="AT180" s="194">
        <f t="shared" si="74"/>
        <v>0</v>
      </c>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92"/>
        <v>0</v>
      </c>
      <c r="K181" s="33">
        <f t="shared" si="93"/>
        <v>0</v>
      </c>
      <c r="L181" s="33">
        <f t="shared" si="94"/>
        <v>0</v>
      </c>
      <c r="M181" s="33">
        <f t="shared" si="95"/>
        <v>0</v>
      </c>
      <c r="N181" s="33">
        <f t="shared" si="75"/>
        <v>0</v>
      </c>
      <c r="O181" s="34">
        <f t="shared" si="76"/>
        <v>0</v>
      </c>
      <c r="P181" s="55">
        <v>176</v>
      </c>
      <c r="Q181" s="33">
        <f t="shared" si="90"/>
        <v>0</v>
      </c>
      <c r="R181" s="33">
        <f t="shared" si="96"/>
        <v>0</v>
      </c>
      <c r="S181" s="33">
        <f t="shared" si="97"/>
        <v>0</v>
      </c>
      <c r="T181" s="33">
        <f t="shared" si="77"/>
        <v>0</v>
      </c>
      <c r="U181" s="33">
        <f t="shared" si="91"/>
        <v>0</v>
      </c>
      <c r="V181" s="33">
        <f t="shared" si="78"/>
        <v>0</v>
      </c>
      <c r="W181" s="33">
        <v>0</v>
      </c>
      <c r="X181" s="33">
        <f t="shared" si="79"/>
        <v>0</v>
      </c>
      <c r="Y181" s="38">
        <f t="shared" si="80"/>
        <v>0</v>
      </c>
      <c r="AA181" s="71">
        <v>176</v>
      </c>
      <c r="AB181" s="33">
        <f t="shared" si="81"/>
        <v>0</v>
      </c>
      <c r="AC181" s="305">
        <f t="shared" si="102"/>
        <v>0</v>
      </c>
      <c r="AD181" s="100">
        <f t="shared" si="82"/>
        <v>0</v>
      </c>
      <c r="AE181" s="100">
        <f t="shared" si="83"/>
        <v>0</v>
      </c>
      <c r="AF181" s="194">
        <f t="shared" si="98"/>
        <v>0</v>
      </c>
      <c r="AG181" s="194">
        <f t="shared" si="99"/>
        <v>0</v>
      </c>
      <c r="AH181" s="194">
        <f t="shared" si="100"/>
        <v>0</v>
      </c>
      <c r="AI181" s="199">
        <f t="shared" si="101"/>
        <v>0</v>
      </c>
      <c r="AK181" s="71">
        <v>176</v>
      </c>
      <c r="AL181" s="33">
        <f t="shared" si="84"/>
        <v>0</v>
      </c>
      <c r="AM181" s="33">
        <f t="shared" si="85"/>
        <v>0</v>
      </c>
      <c r="AN181" s="33">
        <f t="shared" si="86"/>
        <v>0</v>
      </c>
      <c r="AO181" s="33">
        <f t="shared" si="87"/>
        <v>0</v>
      </c>
      <c r="AP181" s="33">
        <f t="shared" si="88"/>
        <v>0</v>
      </c>
      <c r="AQ181" s="194">
        <f t="shared" si="89"/>
        <v>0</v>
      </c>
      <c r="AR181" s="194">
        <f t="shared" si="89"/>
        <v>0</v>
      </c>
      <c r="AS181" s="194">
        <f t="shared" si="89"/>
        <v>0</v>
      </c>
      <c r="AT181" s="194">
        <f t="shared" si="74"/>
        <v>0</v>
      </c>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92"/>
        <v>0</v>
      </c>
      <c r="K182" s="33">
        <f t="shared" si="93"/>
        <v>0</v>
      </c>
      <c r="L182" s="33">
        <f t="shared" si="94"/>
        <v>0</v>
      </c>
      <c r="M182" s="33">
        <f t="shared" si="95"/>
        <v>0</v>
      </c>
      <c r="N182" s="33">
        <f t="shared" si="75"/>
        <v>0</v>
      </c>
      <c r="O182" s="34">
        <f t="shared" si="76"/>
        <v>0</v>
      </c>
      <c r="P182" s="55">
        <v>177</v>
      </c>
      <c r="Q182" s="33">
        <f t="shared" si="90"/>
        <v>0</v>
      </c>
      <c r="R182" s="33">
        <f t="shared" si="96"/>
        <v>0</v>
      </c>
      <c r="S182" s="33">
        <f t="shared" si="97"/>
        <v>0</v>
      </c>
      <c r="T182" s="33">
        <f t="shared" si="77"/>
        <v>0</v>
      </c>
      <c r="U182" s="33">
        <f t="shared" si="91"/>
        <v>0</v>
      </c>
      <c r="V182" s="33">
        <f t="shared" si="78"/>
        <v>0</v>
      </c>
      <c r="W182" s="33">
        <v>0</v>
      </c>
      <c r="X182" s="33">
        <f t="shared" si="79"/>
        <v>0</v>
      </c>
      <c r="Y182" s="38">
        <f t="shared" si="80"/>
        <v>0</v>
      </c>
      <c r="AA182" s="71">
        <v>177</v>
      </c>
      <c r="AB182" s="33">
        <f t="shared" si="81"/>
        <v>0</v>
      </c>
      <c r="AC182" s="305">
        <f t="shared" si="102"/>
        <v>0</v>
      </c>
      <c r="AD182" s="100">
        <f t="shared" si="82"/>
        <v>0</v>
      </c>
      <c r="AE182" s="100">
        <f t="shared" si="83"/>
        <v>0</v>
      </c>
      <c r="AF182" s="194">
        <f t="shared" si="98"/>
        <v>0</v>
      </c>
      <c r="AG182" s="194">
        <f t="shared" si="99"/>
        <v>0</v>
      </c>
      <c r="AH182" s="194">
        <f t="shared" si="100"/>
        <v>0</v>
      </c>
      <c r="AI182" s="199">
        <f t="shared" si="101"/>
        <v>0</v>
      </c>
      <c r="AK182" s="71">
        <v>177</v>
      </c>
      <c r="AL182" s="33">
        <f t="shared" si="84"/>
        <v>0</v>
      </c>
      <c r="AM182" s="33">
        <f t="shared" si="85"/>
        <v>0</v>
      </c>
      <c r="AN182" s="33">
        <f t="shared" si="86"/>
        <v>0</v>
      </c>
      <c r="AO182" s="33">
        <f t="shared" si="87"/>
        <v>0</v>
      </c>
      <c r="AP182" s="33">
        <f t="shared" si="88"/>
        <v>0</v>
      </c>
      <c r="AQ182" s="194">
        <f t="shared" si="89"/>
        <v>0</v>
      </c>
      <c r="AR182" s="194">
        <f t="shared" si="89"/>
        <v>0</v>
      </c>
      <c r="AS182" s="194">
        <f t="shared" si="89"/>
        <v>0</v>
      </c>
      <c r="AT182" s="194">
        <f t="shared" si="74"/>
        <v>0</v>
      </c>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92"/>
        <v>0</v>
      </c>
      <c r="K183" s="33">
        <f t="shared" si="93"/>
        <v>0</v>
      </c>
      <c r="L183" s="33">
        <f t="shared" si="94"/>
        <v>0</v>
      </c>
      <c r="M183" s="33">
        <f t="shared" si="95"/>
        <v>0</v>
      </c>
      <c r="N183" s="33">
        <f t="shared" si="75"/>
        <v>0</v>
      </c>
      <c r="O183" s="34">
        <f t="shared" si="76"/>
        <v>0</v>
      </c>
      <c r="P183" s="55">
        <v>178</v>
      </c>
      <c r="Q183" s="33">
        <f t="shared" si="90"/>
        <v>0</v>
      </c>
      <c r="R183" s="33">
        <f t="shared" si="96"/>
        <v>0</v>
      </c>
      <c r="S183" s="33">
        <f t="shared" si="97"/>
        <v>0</v>
      </c>
      <c r="T183" s="33">
        <f t="shared" si="77"/>
        <v>0</v>
      </c>
      <c r="U183" s="33">
        <f t="shared" si="91"/>
        <v>0</v>
      </c>
      <c r="V183" s="33">
        <f t="shared" si="78"/>
        <v>0</v>
      </c>
      <c r="W183" s="33">
        <v>0</v>
      </c>
      <c r="X183" s="33">
        <f t="shared" si="79"/>
        <v>0</v>
      </c>
      <c r="Y183" s="38">
        <f t="shared" si="80"/>
        <v>0</v>
      </c>
      <c r="AA183" s="71">
        <v>178</v>
      </c>
      <c r="AB183" s="33">
        <f t="shared" si="81"/>
        <v>0</v>
      </c>
      <c r="AC183" s="305">
        <f t="shared" si="102"/>
        <v>0</v>
      </c>
      <c r="AD183" s="100">
        <f t="shared" si="82"/>
        <v>0</v>
      </c>
      <c r="AE183" s="100">
        <f t="shared" si="83"/>
        <v>0</v>
      </c>
      <c r="AF183" s="194">
        <f t="shared" si="98"/>
        <v>0</v>
      </c>
      <c r="AG183" s="194">
        <f t="shared" si="99"/>
        <v>0</v>
      </c>
      <c r="AH183" s="194">
        <f t="shared" si="100"/>
        <v>0</v>
      </c>
      <c r="AI183" s="199">
        <f t="shared" si="101"/>
        <v>0</v>
      </c>
      <c r="AK183" s="71">
        <v>178</v>
      </c>
      <c r="AL183" s="33">
        <f t="shared" si="84"/>
        <v>0</v>
      </c>
      <c r="AM183" s="33">
        <f t="shared" si="85"/>
        <v>0</v>
      </c>
      <c r="AN183" s="33">
        <f t="shared" si="86"/>
        <v>0</v>
      </c>
      <c r="AO183" s="33">
        <f t="shared" si="87"/>
        <v>0</v>
      </c>
      <c r="AP183" s="33">
        <f t="shared" si="88"/>
        <v>0</v>
      </c>
      <c r="AQ183" s="194">
        <f t="shared" si="89"/>
        <v>0</v>
      </c>
      <c r="AR183" s="194">
        <f t="shared" si="89"/>
        <v>0</v>
      </c>
      <c r="AS183" s="194">
        <f t="shared" si="89"/>
        <v>0</v>
      </c>
      <c r="AT183" s="194">
        <f t="shared" si="74"/>
        <v>0</v>
      </c>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92"/>
        <v>0</v>
      </c>
      <c r="K184" s="33">
        <f t="shared" si="93"/>
        <v>0</v>
      </c>
      <c r="L184" s="33">
        <f t="shared" si="94"/>
        <v>0</v>
      </c>
      <c r="M184" s="33">
        <f t="shared" si="95"/>
        <v>0</v>
      </c>
      <c r="N184" s="33">
        <f t="shared" si="75"/>
        <v>0</v>
      </c>
      <c r="O184" s="34">
        <f t="shared" si="76"/>
        <v>0</v>
      </c>
      <c r="P184" s="55">
        <v>179</v>
      </c>
      <c r="Q184" s="33">
        <f t="shared" si="90"/>
        <v>0</v>
      </c>
      <c r="R184" s="33">
        <f t="shared" si="96"/>
        <v>0</v>
      </c>
      <c r="S184" s="33">
        <f t="shared" si="97"/>
        <v>0</v>
      </c>
      <c r="T184" s="33">
        <f t="shared" si="77"/>
        <v>0</v>
      </c>
      <c r="U184" s="33">
        <f t="shared" si="91"/>
        <v>0</v>
      </c>
      <c r="V184" s="33">
        <f t="shared" si="78"/>
        <v>0</v>
      </c>
      <c r="W184" s="33">
        <v>0</v>
      </c>
      <c r="X184" s="33">
        <f t="shared" si="79"/>
        <v>0</v>
      </c>
      <c r="Y184" s="38">
        <f t="shared" si="80"/>
        <v>0</v>
      </c>
      <c r="AA184" s="71">
        <v>179</v>
      </c>
      <c r="AB184" s="33">
        <f t="shared" si="81"/>
        <v>0</v>
      </c>
      <c r="AC184" s="305">
        <f t="shared" si="102"/>
        <v>0</v>
      </c>
      <c r="AD184" s="100">
        <f t="shared" si="82"/>
        <v>0</v>
      </c>
      <c r="AE184" s="100">
        <f t="shared" si="83"/>
        <v>0</v>
      </c>
      <c r="AF184" s="194">
        <f t="shared" si="98"/>
        <v>0</v>
      </c>
      <c r="AG184" s="194">
        <f t="shared" si="99"/>
        <v>0</v>
      </c>
      <c r="AH184" s="194">
        <f t="shared" si="100"/>
        <v>0</v>
      </c>
      <c r="AI184" s="199">
        <f t="shared" si="101"/>
        <v>0</v>
      </c>
      <c r="AK184" s="71">
        <v>179</v>
      </c>
      <c r="AL184" s="33">
        <f t="shared" si="84"/>
        <v>0</v>
      </c>
      <c r="AM184" s="33">
        <f t="shared" si="85"/>
        <v>0</v>
      </c>
      <c r="AN184" s="33">
        <f t="shared" si="86"/>
        <v>0</v>
      </c>
      <c r="AO184" s="33">
        <f t="shared" si="87"/>
        <v>0</v>
      </c>
      <c r="AP184" s="33">
        <f t="shared" si="88"/>
        <v>0</v>
      </c>
      <c r="AQ184" s="194">
        <f t="shared" si="89"/>
        <v>0</v>
      </c>
      <c r="AR184" s="194">
        <f t="shared" si="89"/>
        <v>0</v>
      </c>
      <c r="AS184" s="194">
        <f t="shared" si="89"/>
        <v>0</v>
      </c>
      <c r="AT184" s="194">
        <f t="shared" si="74"/>
        <v>0</v>
      </c>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92"/>
        <v>0</v>
      </c>
      <c r="K185" s="33">
        <f t="shared" si="93"/>
        <v>0</v>
      </c>
      <c r="L185" s="33">
        <f t="shared" si="94"/>
        <v>0</v>
      </c>
      <c r="M185" s="33">
        <f t="shared" si="95"/>
        <v>0</v>
      </c>
      <c r="N185" s="33">
        <f t="shared" si="75"/>
        <v>0</v>
      </c>
      <c r="O185" s="34">
        <f t="shared" si="76"/>
        <v>0</v>
      </c>
      <c r="P185" s="55">
        <v>180</v>
      </c>
      <c r="Q185" s="33">
        <f t="shared" si="90"/>
        <v>0</v>
      </c>
      <c r="R185" s="33">
        <f t="shared" si="96"/>
        <v>0</v>
      </c>
      <c r="S185" s="33">
        <f t="shared" si="97"/>
        <v>0</v>
      </c>
      <c r="T185" s="33">
        <f t="shared" si="77"/>
        <v>0</v>
      </c>
      <c r="U185" s="33">
        <f t="shared" si="91"/>
        <v>0</v>
      </c>
      <c r="V185" s="33">
        <f t="shared" si="78"/>
        <v>0</v>
      </c>
      <c r="W185" s="33">
        <v>0</v>
      </c>
      <c r="X185" s="33">
        <f t="shared" si="79"/>
        <v>0</v>
      </c>
      <c r="Y185" s="38">
        <f t="shared" si="80"/>
        <v>0</v>
      </c>
      <c r="AA185" s="71">
        <v>180</v>
      </c>
      <c r="AB185" s="33">
        <f t="shared" si="81"/>
        <v>0</v>
      </c>
      <c r="AC185" s="305">
        <f t="shared" si="102"/>
        <v>0</v>
      </c>
      <c r="AD185" s="100">
        <f t="shared" si="82"/>
        <v>0</v>
      </c>
      <c r="AE185" s="100">
        <f t="shared" si="83"/>
        <v>0</v>
      </c>
      <c r="AF185" s="194">
        <f t="shared" si="98"/>
        <v>0</v>
      </c>
      <c r="AG185" s="194">
        <f t="shared" si="99"/>
        <v>0</v>
      </c>
      <c r="AH185" s="194">
        <f t="shared" si="100"/>
        <v>0</v>
      </c>
      <c r="AI185" s="199">
        <f t="shared" si="101"/>
        <v>0</v>
      </c>
      <c r="AK185" s="71">
        <v>180</v>
      </c>
      <c r="AL185" s="33">
        <f t="shared" si="84"/>
        <v>0</v>
      </c>
      <c r="AM185" s="33">
        <f t="shared" si="85"/>
        <v>0</v>
      </c>
      <c r="AN185" s="33">
        <f t="shared" si="86"/>
        <v>0</v>
      </c>
      <c r="AO185" s="33">
        <f t="shared" si="87"/>
        <v>0</v>
      </c>
      <c r="AP185" s="33">
        <f t="shared" si="88"/>
        <v>0</v>
      </c>
      <c r="AQ185" s="194">
        <f t="shared" si="89"/>
        <v>0</v>
      </c>
      <c r="AR185" s="194">
        <f t="shared" si="89"/>
        <v>0</v>
      </c>
      <c r="AS185" s="194">
        <f t="shared" si="89"/>
        <v>0</v>
      </c>
      <c r="AT185" s="194">
        <f t="shared" si="74"/>
        <v>0</v>
      </c>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92"/>
        <v>0</v>
      </c>
      <c r="K186" s="33">
        <f t="shared" si="93"/>
        <v>0</v>
      </c>
      <c r="L186" s="33">
        <f t="shared" si="94"/>
        <v>0</v>
      </c>
      <c r="M186" s="33">
        <f t="shared" si="95"/>
        <v>0</v>
      </c>
      <c r="N186" s="33">
        <f t="shared" si="75"/>
        <v>0</v>
      </c>
      <c r="O186" s="34">
        <f t="shared" si="76"/>
        <v>0</v>
      </c>
      <c r="P186" s="55">
        <v>181</v>
      </c>
      <c r="Q186" s="33">
        <f t="shared" si="90"/>
        <v>0</v>
      </c>
      <c r="R186" s="33">
        <f t="shared" si="96"/>
        <v>0</v>
      </c>
      <c r="S186" s="33">
        <f t="shared" si="97"/>
        <v>0</v>
      </c>
      <c r="T186" s="33">
        <f t="shared" si="77"/>
        <v>0</v>
      </c>
      <c r="U186" s="33">
        <f t="shared" si="91"/>
        <v>0</v>
      </c>
      <c r="V186" s="33">
        <f t="shared" si="78"/>
        <v>0</v>
      </c>
      <c r="W186" s="33">
        <v>0</v>
      </c>
      <c r="X186" s="33">
        <f t="shared" si="79"/>
        <v>0</v>
      </c>
      <c r="Y186" s="38">
        <f t="shared" si="80"/>
        <v>0</v>
      </c>
      <c r="AA186" s="71">
        <v>181</v>
      </c>
      <c r="AB186" s="33">
        <f t="shared" si="81"/>
        <v>0</v>
      </c>
      <c r="AC186" s="305">
        <f t="shared" si="102"/>
        <v>0</v>
      </c>
      <c r="AD186" s="100">
        <f t="shared" si="82"/>
        <v>0</v>
      </c>
      <c r="AE186" s="100">
        <f t="shared" si="83"/>
        <v>0</v>
      </c>
      <c r="AF186" s="194">
        <f t="shared" si="98"/>
        <v>0</v>
      </c>
      <c r="AG186" s="194">
        <f t="shared" si="99"/>
        <v>0</v>
      </c>
      <c r="AH186" s="194">
        <f t="shared" si="100"/>
        <v>0</v>
      </c>
      <c r="AI186" s="199">
        <f t="shared" si="101"/>
        <v>0</v>
      </c>
      <c r="AK186" s="71">
        <v>181</v>
      </c>
      <c r="AL186" s="33">
        <f t="shared" si="84"/>
        <v>0</v>
      </c>
      <c r="AM186" s="33">
        <f t="shared" si="85"/>
        <v>0</v>
      </c>
      <c r="AN186" s="33">
        <f t="shared" si="86"/>
        <v>0</v>
      </c>
      <c r="AO186" s="33">
        <f t="shared" si="87"/>
        <v>0</v>
      </c>
      <c r="AP186" s="33">
        <f t="shared" si="88"/>
        <v>0</v>
      </c>
      <c r="AQ186" s="194">
        <f t="shared" si="89"/>
        <v>0</v>
      </c>
      <c r="AR186" s="194">
        <f t="shared" si="89"/>
        <v>0</v>
      </c>
      <c r="AS186" s="194">
        <f t="shared" si="89"/>
        <v>0</v>
      </c>
      <c r="AT186" s="194">
        <f t="shared" si="74"/>
        <v>0</v>
      </c>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92"/>
        <v>0</v>
      </c>
      <c r="K187" s="33">
        <f t="shared" si="93"/>
        <v>0</v>
      </c>
      <c r="L187" s="33">
        <f t="shared" si="94"/>
        <v>0</v>
      </c>
      <c r="M187" s="33">
        <f t="shared" si="95"/>
        <v>0</v>
      </c>
      <c r="N187" s="33">
        <f t="shared" si="75"/>
        <v>0</v>
      </c>
      <c r="O187" s="34">
        <f t="shared" si="76"/>
        <v>0</v>
      </c>
      <c r="P187" s="55">
        <v>182</v>
      </c>
      <c r="Q187" s="33">
        <f t="shared" si="90"/>
        <v>0</v>
      </c>
      <c r="R187" s="33">
        <f t="shared" si="96"/>
        <v>0</v>
      </c>
      <c r="S187" s="33">
        <f t="shared" si="97"/>
        <v>0</v>
      </c>
      <c r="T187" s="33">
        <f t="shared" si="77"/>
        <v>0</v>
      </c>
      <c r="U187" s="33">
        <f t="shared" si="91"/>
        <v>0</v>
      </c>
      <c r="V187" s="33">
        <f t="shared" si="78"/>
        <v>0</v>
      </c>
      <c r="W187" s="33">
        <v>0</v>
      </c>
      <c r="X187" s="33">
        <f t="shared" si="79"/>
        <v>0</v>
      </c>
      <c r="Y187" s="38">
        <f t="shared" si="80"/>
        <v>0</v>
      </c>
      <c r="AA187" s="71">
        <v>182</v>
      </c>
      <c r="AB187" s="33">
        <f t="shared" si="81"/>
        <v>0</v>
      </c>
      <c r="AC187" s="305">
        <f t="shared" si="102"/>
        <v>0</v>
      </c>
      <c r="AD187" s="100">
        <f t="shared" si="82"/>
        <v>0</v>
      </c>
      <c r="AE187" s="100">
        <f t="shared" si="83"/>
        <v>0</v>
      </c>
      <c r="AF187" s="194">
        <f t="shared" si="98"/>
        <v>0</v>
      </c>
      <c r="AG187" s="194">
        <f t="shared" si="99"/>
        <v>0</v>
      </c>
      <c r="AH187" s="194">
        <f t="shared" si="100"/>
        <v>0</v>
      </c>
      <c r="AI187" s="199">
        <f t="shared" si="101"/>
        <v>0</v>
      </c>
      <c r="AK187" s="71">
        <v>182</v>
      </c>
      <c r="AL187" s="33">
        <f t="shared" si="84"/>
        <v>0</v>
      </c>
      <c r="AM187" s="33">
        <f t="shared" si="85"/>
        <v>0</v>
      </c>
      <c r="AN187" s="33">
        <f t="shared" si="86"/>
        <v>0</v>
      </c>
      <c r="AO187" s="33">
        <f t="shared" si="87"/>
        <v>0</v>
      </c>
      <c r="AP187" s="33">
        <f t="shared" si="88"/>
        <v>0</v>
      </c>
      <c r="AQ187" s="194">
        <f t="shared" si="89"/>
        <v>0</v>
      </c>
      <c r="AR187" s="194">
        <f t="shared" si="89"/>
        <v>0</v>
      </c>
      <c r="AS187" s="194">
        <f t="shared" si="89"/>
        <v>0</v>
      </c>
      <c r="AT187" s="194">
        <f t="shared" si="74"/>
        <v>0</v>
      </c>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92"/>
        <v>0</v>
      </c>
      <c r="K188" s="33">
        <f t="shared" si="93"/>
        <v>0</v>
      </c>
      <c r="L188" s="33">
        <f t="shared" si="94"/>
        <v>0</v>
      </c>
      <c r="M188" s="33">
        <f t="shared" si="95"/>
        <v>0</v>
      </c>
      <c r="N188" s="33">
        <f t="shared" si="75"/>
        <v>0</v>
      </c>
      <c r="O188" s="34">
        <f t="shared" si="76"/>
        <v>0</v>
      </c>
      <c r="P188" s="55">
        <v>183</v>
      </c>
      <c r="Q188" s="33">
        <f t="shared" si="90"/>
        <v>0</v>
      </c>
      <c r="R188" s="33">
        <f t="shared" si="96"/>
        <v>0</v>
      </c>
      <c r="S188" s="33">
        <f t="shared" si="97"/>
        <v>0</v>
      </c>
      <c r="T188" s="33">
        <f t="shared" si="77"/>
        <v>0</v>
      </c>
      <c r="U188" s="33">
        <f t="shared" si="91"/>
        <v>0</v>
      </c>
      <c r="V188" s="33">
        <f t="shared" si="78"/>
        <v>0</v>
      </c>
      <c r="W188" s="33">
        <v>0</v>
      </c>
      <c r="X188" s="33">
        <f t="shared" si="79"/>
        <v>0</v>
      </c>
      <c r="Y188" s="38">
        <f t="shared" si="80"/>
        <v>0</v>
      </c>
      <c r="AA188" s="71">
        <v>183</v>
      </c>
      <c r="AB188" s="33">
        <f t="shared" si="81"/>
        <v>0</v>
      </c>
      <c r="AC188" s="305">
        <f t="shared" si="102"/>
        <v>0</v>
      </c>
      <c r="AD188" s="100">
        <f t="shared" si="82"/>
        <v>0</v>
      </c>
      <c r="AE188" s="100">
        <f t="shared" si="83"/>
        <v>0</v>
      </c>
      <c r="AF188" s="194">
        <f t="shared" si="98"/>
        <v>0</v>
      </c>
      <c r="AG188" s="194">
        <f t="shared" si="99"/>
        <v>0</v>
      </c>
      <c r="AH188" s="194">
        <f t="shared" si="100"/>
        <v>0</v>
      </c>
      <c r="AI188" s="199">
        <f t="shared" si="101"/>
        <v>0</v>
      </c>
      <c r="AK188" s="71">
        <v>183</v>
      </c>
      <c r="AL188" s="33">
        <f t="shared" si="84"/>
        <v>0</v>
      </c>
      <c r="AM188" s="33">
        <f t="shared" si="85"/>
        <v>0</v>
      </c>
      <c r="AN188" s="33">
        <f t="shared" si="86"/>
        <v>0</v>
      </c>
      <c r="AO188" s="33">
        <f t="shared" si="87"/>
        <v>0</v>
      </c>
      <c r="AP188" s="33">
        <f t="shared" si="88"/>
        <v>0</v>
      </c>
      <c r="AQ188" s="194">
        <f t="shared" si="89"/>
        <v>0</v>
      </c>
      <c r="AR188" s="194">
        <f t="shared" si="89"/>
        <v>0</v>
      </c>
      <c r="AS188" s="194">
        <f t="shared" si="89"/>
        <v>0</v>
      </c>
      <c r="AT188" s="194">
        <f t="shared" si="74"/>
        <v>0</v>
      </c>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92"/>
        <v>0</v>
      </c>
      <c r="K189" s="33">
        <f t="shared" si="93"/>
        <v>0</v>
      </c>
      <c r="L189" s="33">
        <f t="shared" si="94"/>
        <v>0</v>
      </c>
      <c r="M189" s="33">
        <f t="shared" si="95"/>
        <v>0</v>
      </c>
      <c r="N189" s="33">
        <f t="shared" si="75"/>
        <v>0</v>
      </c>
      <c r="O189" s="34">
        <f t="shared" si="76"/>
        <v>0</v>
      </c>
      <c r="P189" s="55">
        <v>184</v>
      </c>
      <c r="Q189" s="33">
        <f t="shared" si="90"/>
        <v>0</v>
      </c>
      <c r="R189" s="33">
        <f t="shared" si="96"/>
        <v>0</v>
      </c>
      <c r="S189" s="33">
        <f t="shared" si="97"/>
        <v>0</v>
      </c>
      <c r="T189" s="33">
        <f t="shared" si="77"/>
        <v>0</v>
      </c>
      <c r="U189" s="33">
        <f t="shared" si="91"/>
        <v>0</v>
      </c>
      <c r="V189" s="33">
        <f t="shared" si="78"/>
        <v>0</v>
      </c>
      <c r="W189" s="33">
        <v>0</v>
      </c>
      <c r="X189" s="33">
        <f t="shared" si="79"/>
        <v>0</v>
      </c>
      <c r="Y189" s="38">
        <f t="shared" si="80"/>
        <v>0</v>
      </c>
      <c r="AA189" s="71">
        <v>184</v>
      </c>
      <c r="AB189" s="33">
        <f t="shared" si="81"/>
        <v>0</v>
      </c>
      <c r="AC189" s="305">
        <f t="shared" si="102"/>
        <v>0</v>
      </c>
      <c r="AD189" s="100">
        <f t="shared" si="82"/>
        <v>0</v>
      </c>
      <c r="AE189" s="100">
        <f t="shared" si="83"/>
        <v>0</v>
      </c>
      <c r="AF189" s="194">
        <f t="shared" si="98"/>
        <v>0</v>
      </c>
      <c r="AG189" s="194">
        <f t="shared" si="99"/>
        <v>0</v>
      </c>
      <c r="AH189" s="194">
        <f t="shared" si="100"/>
        <v>0</v>
      </c>
      <c r="AI189" s="199">
        <f t="shared" si="101"/>
        <v>0</v>
      </c>
      <c r="AK189" s="71">
        <v>184</v>
      </c>
      <c r="AL189" s="33">
        <f t="shared" si="84"/>
        <v>0</v>
      </c>
      <c r="AM189" s="33">
        <f t="shared" si="85"/>
        <v>0</v>
      </c>
      <c r="AN189" s="33">
        <f t="shared" si="86"/>
        <v>0</v>
      </c>
      <c r="AO189" s="33">
        <f t="shared" si="87"/>
        <v>0</v>
      </c>
      <c r="AP189" s="33">
        <f t="shared" si="88"/>
        <v>0</v>
      </c>
      <c r="AQ189" s="194">
        <f t="shared" si="89"/>
        <v>0</v>
      </c>
      <c r="AR189" s="194">
        <f t="shared" si="89"/>
        <v>0</v>
      </c>
      <c r="AS189" s="194">
        <f t="shared" si="89"/>
        <v>0</v>
      </c>
      <c r="AT189" s="194">
        <f t="shared" si="74"/>
        <v>0</v>
      </c>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92"/>
        <v>0</v>
      </c>
      <c r="K190" s="33">
        <f t="shared" si="93"/>
        <v>0</v>
      </c>
      <c r="L190" s="33">
        <f t="shared" si="94"/>
        <v>0</v>
      </c>
      <c r="M190" s="33">
        <f t="shared" si="95"/>
        <v>0</v>
      </c>
      <c r="N190" s="33">
        <f t="shared" si="75"/>
        <v>0</v>
      </c>
      <c r="O190" s="34">
        <f t="shared" si="76"/>
        <v>0</v>
      </c>
      <c r="P190" s="55">
        <v>185</v>
      </c>
      <c r="Q190" s="33">
        <f t="shared" si="90"/>
        <v>0</v>
      </c>
      <c r="R190" s="33">
        <f t="shared" si="96"/>
        <v>0</v>
      </c>
      <c r="S190" s="33">
        <f t="shared" si="97"/>
        <v>0</v>
      </c>
      <c r="T190" s="33">
        <f t="shared" si="77"/>
        <v>0</v>
      </c>
      <c r="U190" s="33">
        <f t="shared" si="91"/>
        <v>0</v>
      </c>
      <c r="V190" s="33">
        <f t="shared" si="78"/>
        <v>0</v>
      </c>
      <c r="W190" s="33">
        <v>0</v>
      </c>
      <c r="X190" s="33">
        <f t="shared" si="79"/>
        <v>0</v>
      </c>
      <c r="Y190" s="38">
        <f t="shared" si="80"/>
        <v>0</v>
      </c>
      <c r="AA190" s="71">
        <v>185</v>
      </c>
      <c r="AB190" s="33">
        <f t="shared" si="81"/>
        <v>0</v>
      </c>
      <c r="AC190" s="305">
        <f t="shared" si="102"/>
        <v>0</v>
      </c>
      <c r="AD190" s="100">
        <f t="shared" si="82"/>
        <v>0</v>
      </c>
      <c r="AE190" s="100">
        <f t="shared" si="83"/>
        <v>0</v>
      </c>
      <c r="AF190" s="194">
        <f t="shared" si="98"/>
        <v>0</v>
      </c>
      <c r="AG190" s="194">
        <f t="shared" si="99"/>
        <v>0</v>
      </c>
      <c r="AH190" s="194">
        <f t="shared" si="100"/>
        <v>0</v>
      </c>
      <c r="AI190" s="199">
        <f t="shared" si="101"/>
        <v>0</v>
      </c>
      <c r="AK190" s="71">
        <v>185</v>
      </c>
      <c r="AL190" s="33">
        <f t="shared" si="84"/>
        <v>0</v>
      </c>
      <c r="AM190" s="33">
        <f t="shared" si="85"/>
        <v>0</v>
      </c>
      <c r="AN190" s="33">
        <f t="shared" si="86"/>
        <v>0</v>
      </c>
      <c r="AO190" s="33">
        <f t="shared" si="87"/>
        <v>0</v>
      </c>
      <c r="AP190" s="33">
        <f t="shared" si="88"/>
        <v>0</v>
      </c>
      <c r="AQ190" s="194">
        <f t="shared" si="89"/>
        <v>0</v>
      </c>
      <c r="AR190" s="194">
        <f t="shared" si="89"/>
        <v>0</v>
      </c>
      <c r="AS190" s="194">
        <f t="shared" si="89"/>
        <v>0</v>
      </c>
      <c r="AT190" s="194">
        <f t="shared" si="74"/>
        <v>0</v>
      </c>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92"/>
        <v>0</v>
      </c>
      <c r="K191" s="33">
        <f t="shared" si="93"/>
        <v>0</v>
      </c>
      <c r="L191" s="33">
        <f t="shared" si="94"/>
        <v>0</v>
      </c>
      <c r="M191" s="33">
        <f t="shared" si="95"/>
        <v>0</v>
      </c>
      <c r="N191" s="33">
        <f t="shared" si="75"/>
        <v>0</v>
      </c>
      <c r="O191" s="34">
        <f t="shared" si="76"/>
        <v>0</v>
      </c>
      <c r="P191" s="55">
        <v>186</v>
      </c>
      <c r="Q191" s="33">
        <f t="shared" si="90"/>
        <v>0</v>
      </c>
      <c r="R191" s="33">
        <f t="shared" si="96"/>
        <v>0</v>
      </c>
      <c r="S191" s="33">
        <f t="shared" si="97"/>
        <v>0</v>
      </c>
      <c r="T191" s="33">
        <f t="shared" si="77"/>
        <v>0</v>
      </c>
      <c r="U191" s="33">
        <f t="shared" si="91"/>
        <v>0</v>
      </c>
      <c r="V191" s="33">
        <f t="shared" si="78"/>
        <v>0</v>
      </c>
      <c r="W191" s="33">
        <v>0</v>
      </c>
      <c r="X191" s="33">
        <f t="shared" si="79"/>
        <v>0</v>
      </c>
      <c r="Y191" s="38">
        <f t="shared" si="80"/>
        <v>0</v>
      </c>
      <c r="AA191" s="71">
        <v>186</v>
      </c>
      <c r="AB191" s="33">
        <f t="shared" si="81"/>
        <v>0</v>
      </c>
      <c r="AC191" s="305">
        <f t="shared" si="102"/>
        <v>0</v>
      </c>
      <c r="AD191" s="100">
        <f t="shared" si="82"/>
        <v>0</v>
      </c>
      <c r="AE191" s="100">
        <f t="shared" si="83"/>
        <v>0</v>
      </c>
      <c r="AF191" s="194">
        <f t="shared" si="98"/>
        <v>0</v>
      </c>
      <c r="AG191" s="194">
        <f t="shared" si="99"/>
        <v>0</v>
      </c>
      <c r="AH191" s="194">
        <f t="shared" si="100"/>
        <v>0</v>
      </c>
      <c r="AI191" s="199">
        <f t="shared" si="101"/>
        <v>0</v>
      </c>
      <c r="AK191" s="71">
        <v>186</v>
      </c>
      <c r="AL191" s="33">
        <f t="shared" si="84"/>
        <v>0</v>
      </c>
      <c r="AM191" s="33">
        <f t="shared" si="85"/>
        <v>0</v>
      </c>
      <c r="AN191" s="33">
        <f t="shared" si="86"/>
        <v>0</v>
      </c>
      <c r="AO191" s="33">
        <f t="shared" si="87"/>
        <v>0</v>
      </c>
      <c r="AP191" s="33">
        <f t="shared" si="88"/>
        <v>0</v>
      </c>
      <c r="AQ191" s="194">
        <f t="shared" si="89"/>
        <v>0</v>
      </c>
      <c r="AR191" s="194">
        <f t="shared" si="89"/>
        <v>0</v>
      </c>
      <c r="AS191" s="194">
        <f t="shared" si="89"/>
        <v>0</v>
      </c>
      <c r="AT191" s="194">
        <f t="shared" si="74"/>
        <v>0</v>
      </c>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92"/>
        <v>0</v>
      </c>
      <c r="K192" s="33">
        <f t="shared" si="93"/>
        <v>0</v>
      </c>
      <c r="L192" s="33">
        <f t="shared" si="94"/>
        <v>0</v>
      </c>
      <c r="M192" s="33">
        <f t="shared" si="95"/>
        <v>0</v>
      </c>
      <c r="N192" s="33">
        <f t="shared" si="75"/>
        <v>0</v>
      </c>
      <c r="O192" s="34">
        <f t="shared" si="76"/>
        <v>0</v>
      </c>
      <c r="P192" s="55">
        <v>187</v>
      </c>
      <c r="Q192" s="33">
        <f t="shared" si="90"/>
        <v>0</v>
      </c>
      <c r="R192" s="33">
        <f t="shared" si="96"/>
        <v>0</v>
      </c>
      <c r="S192" s="33">
        <f t="shared" si="97"/>
        <v>0</v>
      </c>
      <c r="T192" s="33">
        <f t="shared" si="77"/>
        <v>0</v>
      </c>
      <c r="U192" s="33">
        <f t="shared" si="91"/>
        <v>0</v>
      </c>
      <c r="V192" s="33">
        <f t="shared" si="78"/>
        <v>0</v>
      </c>
      <c r="W192" s="33">
        <v>0</v>
      </c>
      <c r="X192" s="33">
        <f t="shared" si="79"/>
        <v>0</v>
      </c>
      <c r="Y192" s="38">
        <f t="shared" si="80"/>
        <v>0</v>
      </c>
      <c r="AA192" s="71">
        <v>187</v>
      </c>
      <c r="AB192" s="33">
        <f t="shared" si="81"/>
        <v>0</v>
      </c>
      <c r="AC192" s="305">
        <f t="shared" si="102"/>
        <v>0</v>
      </c>
      <c r="AD192" s="100">
        <f t="shared" si="82"/>
        <v>0</v>
      </c>
      <c r="AE192" s="100">
        <f t="shared" si="83"/>
        <v>0</v>
      </c>
      <c r="AF192" s="194">
        <f t="shared" si="98"/>
        <v>0</v>
      </c>
      <c r="AG192" s="194">
        <f t="shared" si="99"/>
        <v>0</v>
      </c>
      <c r="AH192" s="194">
        <f t="shared" si="100"/>
        <v>0</v>
      </c>
      <c r="AI192" s="199">
        <f t="shared" si="101"/>
        <v>0</v>
      </c>
      <c r="AK192" s="71">
        <v>187</v>
      </c>
      <c r="AL192" s="33">
        <f t="shared" si="84"/>
        <v>0</v>
      </c>
      <c r="AM192" s="33">
        <f t="shared" si="85"/>
        <v>0</v>
      </c>
      <c r="AN192" s="33">
        <f t="shared" si="86"/>
        <v>0</v>
      </c>
      <c r="AO192" s="33">
        <f t="shared" si="87"/>
        <v>0</v>
      </c>
      <c r="AP192" s="33">
        <f t="shared" si="88"/>
        <v>0</v>
      </c>
      <c r="AQ192" s="194">
        <f t="shared" si="89"/>
        <v>0</v>
      </c>
      <c r="AR192" s="194">
        <f t="shared" si="89"/>
        <v>0</v>
      </c>
      <c r="AS192" s="194">
        <f t="shared" si="89"/>
        <v>0</v>
      </c>
      <c r="AT192" s="194">
        <f t="shared" si="74"/>
        <v>0</v>
      </c>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92"/>
        <v>0</v>
      </c>
      <c r="K193" s="33">
        <f t="shared" si="93"/>
        <v>0</v>
      </c>
      <c r="L193" s="33">
        <f t="shared" si="94"/>
        <v>0</v>
      </c>
      <c r="M193" s="33">
        <f t="shared" si="95"/>
        <v>0</v>
      </c>
      <c r="N193" s="33">
        <f t="shared" si="75"/>
        <v>0</v>
      </c>
      <c r="O193" s="34">
        <f t="shared" si="76"/>
        <v>0</v>
      </c>
      <c r="P193" s="55">
        <v>188</v>
      </c>
      <c r="Q193" s="33">
        <f t="shared" si="90"/>
        <v>0</v>
      </c>
      <c r="R193" s="33">
        <f t="shared" si="96"/>
        <v>0</v>
      </c>
      <c r="S193" s="33">
        <f t="shared" si="97"/>
        <v>0</v>
      </c>
      <c r="T193" s="33">
        <f t="shared" si="77"/>
        <v>0</v>
      </c>
      <c r="U193" s="33">
        <f t="shared" si="91"/>
        <v>0</v>
      </c>
      <c r="V193" s="33">
        <f t="shared" si="78"/>
        <v>0</v>
      </c>
      <c r="W193" s="33">
        <v>0</v>
      </c>
      <c r="X193" s="33">
        <f t="shared" si="79"/>
        <v>0</v>
      </c>
      <c r="Y193" s="38">
        <f t="shared" si="80"/>
        <v>0</v>
      </c>
      <c r="AA193" s="71">
        <v>188</v>
      </c>
      <c r="AB193" s="33">
        <f t="shared" si="81"/>
        <v>0</v>
      </c>
      <c r="AC193" s="305">
        <f t="shared" si="102"/>
        <v>0</v>
      </c>
      <c r="AD193" s="100">
        <f t="shared" si="82"/>
        <v>0</v>
      </c>
      <c r="AE193" s="100">
        <f t="shared" si="83"/>
        <v>0</v>
      </c>
      <c r="AF193" s="194">
        <f t="shared" si="98"/>
        <v>0</v>
      </c>
      <c r="AG193" s="194">
        <f t="shared" si="99"/>
        <v>0</v>
      </c>
      <c r="AH193" s="194">
        <f t="shared" si="100"/>
        <v>0</v>
      </c>
      <c r="AI193" s="199">
        <f t="shared" si="101"/>
        <v>0</v>
      </c>
      <c r="AK193" s="71">
        <v>188</v>
      </c>
      <c r="AL193" s="33">
        <f t="shared" si="84"/>
        <v>0</v>
      </c>
      <c r="AM193" s="33">
        <f t="shared" si="85"/>
        <v>0</v>
      </c>
      <c r="AN193" s="33">
        <f t="shared" si="86"/>
        <v>0</v>
      </c>
      <c r="AO193" s="33">
        <f t="shared" si="87"/>
        <v>0</v>
      </c>
      <c r="AP193" s="33">
        <f t="shared" si="88"/>
        <v>0</v>
      </c>
      <c r="AQ193" s="194">
        <f t="shared" si="89"/>
        <v>0</v>
      </c>
      <c r="AR193" s="194">
        <f t="shared" si="89"/>
        <v>0</v>
      </c>
      <c r="AS193" s="194">
        <f t="shared" si="89"/>
        <v>0</v>
      </c>
      <c r="AT193" s="194">
        <f t="shared" si="74"/>
        <v>0</v>
      </c>
      <c r="AU193" s="33"/>
      <c r="AV193" s="33"/>
      <c r="AW193" s="33"/>
      <c r="AX193" s="33"/>
      <c r="AY193" s="76"/>
    </row>
    <row r="194" spans="3:51" x14ac:dyDescent="0.3">
      <c r="C194" s="166" t="s">
        <v>69</v>
      </c>
      <c r="D194" s="4">
        <v>0.42</v>
      </c>
      <c r="E194" s="188" t="s">
        <v>229</v>
      </c>
      <c r="F194" s="343">
        <f>IF(OR(Tableau145[[#This Row],[Type]]="Feuillus",Tableau145[[#This Row],[Type]]="Peupliers"),1.56,1.3)</f>
        <v>1.3</v>
      </c>
      <c r="I194" s="55">
        <v>189</v>
      </c>
      <c r="J194" s="33">
        <f t="shared" si="92"/>
        <v>0</v>
      </c>
      <c r="K194" s="33">
        <f t="shared" si="93"/>
        <v>0</v>
      </c>
      <c r="L194" s="33">
        <f t="shared" si="94"/>
        <v>0</v>
      </c>
      <c r="M194" s="33">
        <f t="shared" si="95"/>
        <v>0</v>
      </c>
      <c r="N194" s="33">
        <f t="shared" si="75"/>
        <v>0</v>
      </c>
      <c r="O194" s="34">
        <f t="shared" si="76"/>
        <v>0</v>
      </c>
      <c r="P194" s="55">
        <v>189</v>
      </c>
      <c r="Q194" s="33">
        <f t="shared" si="90"/>
        <v>0</v>
      </c>
      <c r="R194" s="33">
        <f t="shared" si="96"/>
        <v>0</v>
      </c>
      <c r="S194" s="33">
        <f t="shared" si="97"/>
        <v>0</v>
      </c>
      <c r="T194" s="33">
        <f t="shared" si="77"/>
        <v>0</v>
      </c>
      <c r="U194" s="33">
        <f t="shared" si="91"/>
        <v>0</v>
      </c>
      <c r="V194" s="33">
        <f t="shared" si="78"/>
        <v>0</v>
      </c>
      <c r="W194" s="33">
        <v>0</v>
      </c>
      <c r="X194" s="33">
        <f t="shared" si="79"/>
        <v>0</v>
      </c>
      <c r="Y194" s="38">
        <f t="shared" si="80"/>
        <v>0</v>
      </c>
      <c r="AA194" s="71">
        <v>189</v>
      </c>
      <c r="AB194" s="33">
        <f t="shared" si="81"/>
        <v>0</v>
      </c>
      <c r="AC194" s="305">
        <f t="shared" si="102"/>
        <v>0</v>
      </c>
      <c r="AD194" s="100">
        <f t="shared" si="82"/>
        <v>0</v>
      </c>
      <c r="AE194" s="100">
        <f t="shared" si="83"/>
        <v>0</v>
      </c>
      <c r="AF194" s="194">
        <f t="shared" si="98"/>
        <v>0</v>
      </c>
      <c r="AG194" s="194">
        <f t="shared" si="99"/>
        <v>0</v>
      </c>
      <c r="AH194" s="194">
        <f t="shared" si="100"/>
        <v>0</v>
      </c>
      <c r="AI194" s="199">
        <f t="shared" si="101"/>
        <v>0</v>
      </c>
      <c r="AK194" s="71">
        <v>189</v>
      </c>
      <c r="AL194" s="33">
        <f t="shared" si="84"/>
        <v>0</v>
      </c>
      <c r="AM194" s="33">
        <f t="shared" si="85"/>
        <v>0</v>
      </c>
      <c r="AN194" s="33">
        <f t="shared" si="86"/>
        <v>0</v>
      </c>
      <c r="AO194" s="33">
        <f t="shared" si="87"/>
        <v>0</v>
      </c>
      <c r="AP194" s="33">
        <f t="shared" si="88"/>
        <v>0</v>
      </c>
      <c r="AQ194" s="194">
        <f t="shared" si="89"/>
        <v>0</v>
      </c>
      <c r="AR194" s="194">
        <f t="shared" si="89"/>
        <v>0</v>
      </c>
      <c r="AS194" s="194">
        <f t="shared" si="89"/>
        <v>0</v>
      </c>
      <c r="AT194" s="194">
        <f t="shared" si="74"/>
        <v>0</v>
      </c>
      <c r="AU194" s="33"/>
      <c r="AV194" s="33"/>
      <c r="AW194" s="33"/>
      <c r="AX194" s="33"/>
      <c r="AY194" s="76"/>
    </row>
    <row r="195" spans="3:51" x14ac:dyDescent="0.3">
      <c r="C195" s="166" t="s">
        <v>70</v>
      </c>
      <c r="D195" s="4">
        <v>0.56999999999999995</v>
      </c>
      <c r="E195" s="188" t="s">
        <v>228</v>
      </c>
      <c r="F195" s="343">
        <f>IF(OR(Tableau145[[#This Row],[Type]]="Feuillus",Tableau145[[#This Row],[Type]]="Peupliers"),1.56,1.3)</f>
        <v>1.56</v>
      </c>
      <c r="I195" s="55">
        <v>190</v>
      </c>
      <c r="J195" s="33">
        <f t="shared" si="92"/>
        <v>0</v>
      </c>
      <c r="K195" s="33">
        <f t="shared" si="93"/>
        <v>0</v>
      </c>
      <c r="L195" s="33">
        <f t="shared" si="94"/>
        <v>0</v>
      </c>
      <c r="M195" s="33">
        <f t="shared" si="95"/>
        <v>0</v>
      </c>
      <c r="N195" s="33">
        <f t="shared" si="75"/>
        <v>0</v>
      </c>
      <c r="O195" s="34">
        <f t="shared" si="76"/>
        <v>0</v>
      </c>
      <c r="P195" s="55">
        <v>190</v>
      </c>
      <c r="Q195" s="33">
        <f t="shared" si="90"/>
        <v>0</v>
      </c>
      <c r="R195" s="33">
        <f t="shared" si="96"/>
        <v>0</v>
      </c>
      <c r="S195" s="33">
        <f t="shared" si="97"/>
        <v>0</v>
      </c>
      <c r="T195" s="33">
        <f t="shared" si="77"/>
        <v>0</v>
      </c>
      <c r="U195" s="33">
        <f t="shared" si="91"/>
        <v>0</v>
      </c>
      <c r="V195" s="33">
        <f t="shared" si="78"/>
        <v>0</v>
      </c>
      <c r="W195" s="33">
        <v>0</v>
      </c>
      <c r="X195" s="33">
        <f t="shared" si="79"/>
        <v>0</v>
      </c>
      <c r="Y195" s="38">
        <f t="shared" si="80"/>
        <v>0</v>
      </c>
      <c r="AA195" s="71">
        <v>190</v>
      </c>
      <c r="AB195" s="33">
        <f t="shared" si="81"/>
        <v>0</v>
      </c>
      <c r="AC195" s="305">
        <f t="shared" si="102"/>
        <v>0</v>
      </c>
      <c r="AD195" s="100">
        <f t="shared" si="82"/>
        <v>0</v>
      </c>
      <c r="AE195" s="100">
        <f t="shared" si="83"/>
        <v>0</v>
      </c>
      <c r="AF195" s="194">
        <f t="shared" si="98"/>
        <v>0</v>
      </c>
      <c r="AG195" s="194">
        <f t="shared" si="99"/>
        <v>0</v>
      </c>
      <c r="AH195" s="194">
        <f t="shared" si="100"/>
        <v>0</v>
      </c>
      <c r="AI195" s="199">
        <f t="shared" si="101"/>
        <v>0</v>
      </c>
      <c r="AK195" s="71">
        <v>190</v>
      </c>
      <c r="AL195" s="33">
        <f t="shared" si="84"/>
        <v>0</v>
      </c>
      <c r="AM195" s="33">
        <f t="shared" si="85"/>
        <v>0</v>
      </c>
      <c r="AN195" s="33">
        <f t="shared" si="86"/>
        <v>0</v>
      </c>
      <c r="AO195" s="33">
        <f t="shared" si="87"/>
        <v>0</v>
      </c>
      <c r="AP195" s="33">
        <f t="shared" si="88"/>
        <v>0</v>
      </c>
      <c r="AQ195" s="194">
        <f t="shared" si="89"/>
        <v>0</v>
      </c>
      <c r="AR195" s="194">
        <f t="shared" si="89"/>
        <v>0</v>
      </c>
      <c r="AS195" s="194">
        <f t="shared" si="89"/>
        <v>0</v>
      </c>
      <c r="AT195" s="194">
        <f t="shared" si="74"/>
        <v>0</v>
      </c>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92"/>
        <v>0</v>
      </c>
      <c r="K196" s="33">
        <f t="shared" si="93"/>
        <v>0</v>
      </c>
      <c r="L196" s="33">
        <f t="shared" si="94"/>
        <v>0</v>
      </c>
      <c r="M196" s="33">
        <f t="shared" si="95"/>
        <v>0</v>
      </c>
      <c r="N196" s="33">
        <f t="shared" si="75"/>
        <v>0</v>
      </c>
      <c r="O196" s="34">
        <f t="shared" si="76"/>
        <v>0</v>
      </c>
      <c r="P196" s="55">
        <v>191</v>
      </c>
      <c r="Q196" s="33">
        <f t="shared" si="90"/>
        <v>0</v>
      </c>
      <c r="R196" s="33">
        <f t="shared" si="96"/>
        <v>0</v>
      </c>
      <c r="S196" s="33">
        <f t="shared" si="97"/>
        <v>0</v>
      </c>
      <c r="T196" s="33">
        <f t="shared" si="77"/>
        <v>0</v>
      </c>
      <c r="U196" s="33">
        <f t="shared" si="91"/>
        <v>0</v>
      </c>
      <c r="V196" s="33">
        <f t="shared" si="78"/>
        <v>0</v>
      </c>
      <c r="W196" s="33">
        <v>0</v>
      </c>
      <c r="X196" s="33">
        <f t="shared" si="79"/>
        <v>0</v>
      </c>
      <c r="Y196" s="38">
        <f t="shared" si="80"/>
        <v>0</v>
      </c>
      <c r="AA196" s="71">
        <v>191</v>
      </c>
      <c r="AB196" s="33">
        <f t="shared" si="81"/>
        <v>0</v>
      </c>
      <c r="AC196" s="305">
        <f t="shared" si="102"/>
        <v>0</v>
      </c>
      <c r="AD196" s="100">
        <f t="shared" si="82"/>
        <v>0</v>
      </c>
      <c r="AE196" s="100">
        <f t="shared" si="83"/>
        <v>0</v>
      </c>
      <c r="AF196" s="194">
        <f t="shared" si="98"/>
        <v>0</v>
      </c>
      <c r="AG196" s="194">
        <f t="shared" si="99"/>
        <v>0</v>
      </c>
      <c r="AH196" s="194">
        <f t="shared" si="100"/>
        <v>0</v>
      </c>
      <c r="AI196" s="199">
        <f t="shared" si="101"/>
        <v>0</v>
      </c>
      <c r="AK196" s="71">
        <v>191</v>
      </c>
      <c r="AL196" s="33">
        <f t="shared" si="84"/>
        <v>0</v>
      </c>
      <c r="AM196" s="33">
        <f t="shared" si="85"/>
        <v>0</v>
      </c>
      <c r="AN196" s="33">
        <f t="shared" si="86"/>
        <v>0</v>
      </c>
      <c r="AO196" s="33">
        <f t="shared" si="87"/>
        <v>0</v>
      </c>
      <c r="AP196" s="33">
        <f t="shared" si="88"/>
        <v>0</v>
      </c>
      <c r="AQ196" s="194">
        <f t="shared" si="89"/>
        <v>0</v>
      </c>
      <c r="AR196" s="194">
        <f t="shared" si="89"/>
        <v>0</v>
      </c>
      <c r="AS196" s="194">
        <f t="shared" si="89"/>
        <v>0</v>
      </c>
      <c r="AT196" s="194">
        <f t="shared" si="89"/>
        <v>0</v>
      </c>
      <c r="AU196" s="33"/>
      <c r="AV196" s="33"/>
      <c r="AW196" s="33"/>
      <c r="AX196" s="33"/>
      <c r="AY196" s="76"/>
    </row>
    <row r="197" spans="3:51" x14ac:dyDescent="0.3">
      <c r="E197" s="24"/>
      <c r="I197" s="55">
        <v>192</v>
      </c>
      <c r="J197" s="33">
        <f t="shared" si="92"/>
        <v>0</v>
      </c>
      <c r="K197" s="33">
        <f t="shared" si="93"/>
        <v>0</v>
      </c>
      <c r="L197" s="33">
        <f t="shared" si="94"/>
        <v>0</v>
      </c>
      <c r="M197" s="33">
        <f t="shared" si="95"/>
        <v>0</v>
      </c>
      <c r="N197" s="33">
        <f t="shared" ref="N197:N204" si="103">IF(P198&lt;=$F$18,0,)</f>
        <v>0</v>
      </c>
      <c r="O197" s="34">
        <f t="shared" ref="O197:O205" si="104">((J197+K197)*0.475+L197+M197+N197)*44/12</f>
        <v>0</v>
      </c>
      <c r="P197" s="55">
        <v>192</v>
      </c>
      <c r="Q197" s="33">
        <f t="shared" si="90"/>
        <v>0</v>
      </c>
      <c r="R197" s="33">
        <f t="shared" si="96"/>
        <v>0</v>
      </c>
      <c r="S197" s="33">
        <f t="shared" si="97"/>
        <v>0</v>
      </c>
      <c r="T197" s="33">
        <f t="shared" ref="T197:T205" si="105">IF(S197=0,0,EXP(-1.0587+0.8836*LN(S197)+0.284))</f>
        <v>0</v>
      </c>
      <c r="U197" s="33">
        <f t="shared" si="91"/>
        <v>0</v>
      </c>
      <c r="V197" s="33">
        <f t="shared" ref="V197:V205" si="106">IF(P197&lt;=$F$18,IF(P197&lt;=30,P197*($F$16-$F$6)/30,$F$16-$F$6),)</f>
        <v>0</v>
      </c>
      <c r="W197" s="33">
        <v>0</v>
      </c>
      <c r="X197" s="33">
        <f t="shared" ref="X197:X205" si="107">((S197+T197)*0.475+U197+V197+W197)*44/12</f>
        <v>0</v>
      </c>
      <c r="Y197" s="38">
        <f t="shared" ref="Y197:Y205" si="108">IF(P197&lt;=$F$18,X197-O197,)</f>
        <v>0</v>
      </c>
      <c r="AA197" s="71">
        <v>192</v>
      </c>
      <c r="AB197" s="33">
        <f t="shared" ref="AB197:AB205" si="109">IF(AA197&lt;=$F$18,IFERROR(VLOOKUP($AA197,$B$82:$G$94,2,FALSE),0),)</f>
        <v>0</v>
      </c>
      <c r="AC197" s="305">
        <f t="shared" si="102"/>
        <v>0</v>
      </c>
      <c r="AD197" s="100">
        <f t="shared" ref="AD197:AD205" si="110">IF(AA197&lt;=$F$18,IFERROR(VLOOKUP($AA197,$B$82:$G$94,4,FALSE),0),)</f>
        <v>0</v>
      </c>
      <c r="AE197" s="100">
        <f t="shared" ref="AE197:AE205" si="111">IF(AA197&lt;=$F$18,IFERROR(VLOOKUP($AA197,$B$82:$G$94,5,FALSE),0),)</f>
        <v>0</v>
      </c>
      <c r="AF197" s="194">
        <f t="shared" si="98"/>
        <v>0</v>
      </c>
      <c r="AG197" s="194">
        <f t="shared" si="99"/>
        <v>0</v>
      </c>
      <c r="AH197" s="194">
        <f t="shared" si="100"/>
        <v>0</v>
      </c>
      <c r="AI197" s="199">
        <f t="shared" si="101"/>
        <v>0</v>
      </c>
      <c r="AK197" s="71">
        <v>192</v>
      </c>
      <c r="AL197" s="33">
        <f t="shared" ref="AL197:AL205" si="112">IF(AK197&lt;=$F$18,IFERROR(VLOOKUP($AA197,$B$82:$G$94,2,FALSE),0),)</f>
        <v>0</v>
      </c>
      <c r="AM197" s="33">
        <f t="shared" ref="AM197:AM205" si="113">IF(AK197&lt;=$F$18,IFERROR(VLOOKUP($AA197,$B$82:$G$94,3,FALSE),0),)</f>
        <v>0</v>
      </c>
      <c r="AN197" s="33">
        <f t="shared" ref="AN197:AN205" si="114">IF(AK197&lt;=$F$18,IFERROR(VLOOKUP($AA197,$B$82:$G$94,4,FALSE),0),)</f>
        <v>0</v>
      </c>
      <c r="AO197" s="33">
        <f t="shared" ref="AO197:AO205" si="115">IF(AK197&lt;=$F$18,IFERROR(VLOOKUP($AA197,$B$82:$G$94,5,FALSE),0),)</f>
        <v>0</v>
      </c>
      <c r="AP197" s="33">
        <f t="shared" ref="AP197:AP205" si="116">IF(AK197&lt;=$F$18,IFERROR(VLOOKUP($AA197,$B$82:$G$94,6,FALSE),0),)</f>
        <v>0</v>
      </c>
      <c r="AQ197" s="194">
        <f t="shared" ref="AQ197:AT205" si="117">IF($AK197&lt;=$F$18,$AL197*AM197,)</f>
        <v>0</v>
      </c>
      <c r="AR197" s="194">
        <f t="shared" si="117"/>
        <v>0</v>
      </c>
      <c r="AS197" s="194">
        <f t="shared" si="117"/>
        <v>0</v>
      </c>
      <c r="AT197" s="194">
        <f t="shared" si="117"/>
        <v>0</v>
      </c>
      <c r="AU197" s="33"/>
      <c r="AV197" s="33"/>
      <c r="AW197" s="33"/>
      <c r="AX197" s="33"/>
      <c r="AY197" s="76"/>
    </row>
    <row r="198" spans="3:51" x14ac:dyDescent="0.3">
      <c r="E198" s="24"/>
      <c r="I198" s="55">
        <v>193</v>
      </c>
      <c r="J198" s="33">
        <f t="shared" si="92"/>
        <v>0</v>
      </c>
      <c r="K198" s="33">
        <f t="shared" si="93"/>
        <v>0</v>
      </c>
      <c r="L198" s="33">
        <f t="shared" si="94"/>
        <v>0</v>
      </c>
      <c r="M198" s="33">
        <f t="shared" si="95"/>
        <v>0</v>
      </c>
      <c r="N198" s="33">
        <f t="shared" si="103"/>
        <v>0</v>
      </c>
      <c r="O198" s="34">
        <f t="shared" si="104"/>
        <v>0</v>
      </c>
      <c r="P198" s="55">
        <v>193</v>
      </c>
      <c r="Q198" s="33">
        <f t="shared" ref="Q198:Q205" si="118">IF(P198&lt;=$F$18,LOOKUP(P198-1,$B$25:$B$78,$G$25:$G$78),)</f>
        <v>0</v>
      </c>
      <c r="R198" s="33">
        <f t="shared" si="96"/>
        <v>0</v>
      </c>
      <c r="S198" s="33">
        <f t="shared" si="97"/>
        <v>0</v>
      </c>
      <c r="T198" s="33">
        <f t="shared" si="105"/>
        <v>0</v>
      </c>
      <c r="U198" s="33">
        <f t="shared" ref="U198:U205" si="119">IF(P198&lt;=$F$18,$F$5+($F$15-$F$5)*(1-EXP(-0.0175*P198)),)</f>
        <v>0</v>
      </c>
      <c r="V198" s="33">
        <f t="shared" si="106"/>
        <v>0</v>
      </c>
      <c r="W198" s="33">
        <v>0</v>
      </c>
      <c r="X198" s="33">
        <f t="shared" si="107"/>
        <v>0</v>
      </c>
      <c r="Y198" s="38">
        <f t="shared" si="108"/>
        <v>0</v>
      </c>
      <c r="AA198" s="71">
        <v>193</v>
      </c>
      <c r="AB198" s="33">
        <f t="shared" si="109"/>
        <v>0</v>
      </c>
      <c r="AC198" s="305">
        <f t="shared" si="102"/>
        <v>0</v>
      </c>
      <c r="AD198" s="100">
        <f t="shared" si="110"/>
        <v>0</v>
      </c>
      <c r="AE198" s="100">
        <f t="shared" si="111"/>
        <v>0</v>
      </c>
      <c r="AF198" s="194">
        <f t="shared" si="98"/>
        <v>0</v>
      </c>
      <c r="AG198" s="194">
        <f t="shared" si="99"/>
        <v>0</v>
      </c>
      <c r="AH198" s="194">
        <f t="shared" si="100"/>
        <v>0</v>
      </c>
      <c r="AI198" s="199">
        <f t="shared" si="101"/>
        <v>0</v>
      </c>
      <c r="AK198" s="71">
        <v>193</v>
      </c>
      <c r="AL198" s="33">
        <f t="shared" si="112"/>
        <v>0</v>
      </c>
      <c r="AM198" s="33">
        <f t="shared" si="113"/>
        <v>0</v>
      </c>
      <c r="AN198" s="33">
        <f t="shared" si="114"/>
        <v>0</v>
      </c>
      <c r="AO198" s="33">
        <f t="shared" si="115"/>
        <v>0</v>
      </c>
      <c r="AP198" s="33">
        <f t="shared" si="116"/>
        <v>0</v>
      </c>
      <c r="AQ198" s="194">
        <f t="shared" si="117"/>
        <v>0</v>
      </c>
      <c r="AR198" s="194">
        <f t="shared" si="117"/>
        <v>0</v>
      </c>
      <c r="AS198" s="194">
        <f t="shared" si="117"/>
        <v>0</v>
      </c>
      <c r="AT198" s="194">
        <f t="shared" si="117"/>
        <v>0</v>
      </c>
      <c r="AU198" s="33"/>
      <c r="AV198" s="33"/>
      <c r="AW198" s="33"/>
      <c r="AX198" s="33"/>
      <c r="AY198" s="76"/>
    </row>
    <row r="199" spans="3:51" x14ac:dyDescent="0.3">
      <c r="E199" s="24"/>
      <c r="I199" s="55">
        <v>194</v>
      </c>
      <c r="J199" s="33">
        <f t="shared" ref="J199:J205" si="120">IF($I199&lt;=$F$10,$F$11*$F$13+J198,)</f>
        <v>0</v>
      </c>
      <c r="K199" s="33">
        <f t="shared" ref="K199:K205" si="121">IF(J199=0,0,EXP(-1.0587+0.8836*LN(J199)+0.284))</f>
        <v>0</v>
      </c>
      <c r="L199" s="33">
        <f t="shared" ref="L199:L205" si="122">IF(I199&lt;=$F$10,$F$5+($F$8-$F$5)*(1-EXP(-0.0175*I199)),)</f>
        <v>0</v>
      </c>
      <c r="M199" s="33">
        <f t="shared" ref="M199:M205" si="123">IF(I199&lt;=$F$10,IF(I199&lt;=30,I199*($F$9-$F$6)/30,$F$9-$F$6),)</f>
        <v>0</v>
      </c>
      <c r="N199" s="33">
        <f t="shared" si="103"/>
        <v>0</v>
      </c>
      <c r="O199" s="34">
        <f t="shared" si="104"/>
        <v>0</v>
      </c>
      <c r="P199" s="55">
        <v>194</v>
      </c>
      <c r="Q199" s="33">
        <f t="shared" si="118"/>
        <v>0</v>
      </c>
      <c r="R199" s="33">
        <f t="shared" ref="R199:R205" si="124">IF(P199&lt;=$F$18,Q199+R198,)</f>
        <v>0</v>
      </c>
      <c r="S199" s="33">
        <f t="shared" ref="S199:S205" si="125">$F$19*R199</f>
        <v>0</v>
      </c>
      <c r="T199" s="33">
        <f t="shared" si="105"/>
        <v>0</v>
      </c>
      <c r="U199" s="33">
        <f t="shared" si="119"/>
        <v>0</v>
      </c>
      <c r="V199" s="33">
        <f t="shared" si="106"/>
        <v>0</v>
      </c>
      <c r="W199" s="33">
        <v>0</v>
      </c>
      <c r="X199" s="33">
        <f t="shared" si="107"/>
        <v>0</v>
      </c>
      <c r="Y199" s="38">
        <f t="shared" si="108"/>
        <v>0</v>
      </c>
      <c r="AA199" s="71">
        <v>194</v>
      </c>
      <c r="AB199" s="33">
        <f t="shared" si="109"/>
        <v>0</v>
      </c>
      <c r="AC199" s="305">
        <f t="shared" si="102"/>
        <v>0</v>
      </c>
      <c r="AD199" s="100">
        <f t="shared" si="110"/>
        <v>0</v>
      </c>
      <c r="AE199" s="100">
        <f t="shared" si="111"/>
        <v>0</v>
      </c>
      <c r="AF199" s="194">
        <f t="shared" si="98"/>
        <v>0</v>
      </c>
      <c r="AG199" s="194">
        <f t="shared" si="99"/>
        <v>0</v>
      </c>
      <c r="AH199" s="194">
        <f t="shared" si="100"/>
        <v>0</v>
      </c>
      <c r="AI199" s="199">
        <f t="shared" si="101"/>
        <v>0</v>
      </c>
      <c r="AK199" s="71">
        <v>194</v>
      </c>
      <c r="AL199" s="33">
        <f t="shared" si="112"/>
        <v>0</v>
      </c>
      <c r="AM199" s="33">
        <f t="shared" si="113"/>
        <v>0</v>
      </c>
      <c r="AN199" s="33">
        <f t="shared" si="114"/>
        <v>0</v>
      </c>
      <c r="AO199" s="33">
        <f t="shared" si="115"/>
        <v>0</v>
      </c>
      <c r="AP199" s="33">
        <f t="shared" si="116"/>
        <v>0</v>
      </c>
      <c r="AQ199" s="194">
        <f t="shared" si="117"/>
        <v>0</v>
      </c>
      <c r="AR199" s="194">
        <f t="shared" si="117"/>
        <v>0</v>
      </c>
      <c r="AS199" s="194">
        <f t="shared" si="117"/>
        <v>0</v>
      </c>
      <c r="AT199" s="194">
        <f t="shared" si="117"/>
        <v>0</v>
      </c>
      <c r="AU199" s="33"/>
      <c r="AV199" s="33"/>
      <c r="AW199" s="33"/>
      <c r="AX199" s="33"/>
      <c r="AY199" s="76"/>
    </row>
    <row r="200" spans="3:51" x14ac:dyDescent="0.3">
      <c r="E200" s="24"/>
      <c r="I200" s="55">
        <v>195</v>
      </c>
      <c r="J200" s="33">
        <f t="shared" si="120"/>
        <v>0</v>
      </c>
      <c r="K200" s="33">
        <f t="shared" si="121"/>
        <v>0</v>
      </c>
      <c r="L200" s="33">
        <f t="shared" si="122"/>
        <v>0</v>
      </c>
      <c r="M200" s="33">
        <f t="shared" si="123"/>
        <v>0</v>
      </c>
      <c r="N200" s="33">
        <f t="shared" si="103"/>
        <v>0</v>
      </c>
      <c r="O200" s="34">
        <f t="shared" si="104"/>
        <v>0</v>
      </c>
      <c r="P200" s="55">
        <v>195</v>
      </c>
      <c r="Q200" s="33">
        <f t="shared" si="118"/>
        <v>0</v>
      </c>
      <c r="R200" s="33">
        <f t="shared" si="124"/>
        <v>0</v>
      </c>
      <c r="S200" s="33">
        <f t="shared" si="125"/>
        <v>0</v>
      </c>
      <c r="T200" s="33">
        <f t="shared" si="105"/>
        <v>0</v>
      </c>
      <c r="U200" s="33">
        <f t="shared" si="119"/>
        <v>0</v>
      </c>
      <c r="V200" s="33">
        <f t="shared" si="106"/>
        <v>0</v>
      </c>
      <c r="W200" s="33">
        <v>0</v>
      </c>
      <c r="X200" s="33">
        <f t="shared" si="107"/>
        <v>0</v>
      </c>
      <c r="Y200" s="38">
        <f t="shared" si="108"/>
        <v>0</v>
      </c>
      <c r="AA200" s="71">
        <v>195</v>
      </c>
      <c r="AB200" s="33">
        <f t="shared" si="109"/>
        <v>0</v>
      </c>
      <c r="AC200" s="305">
        <f t="shared" si="102"/>
        <v>0</v>
      </c>
      <c r="AD200" s="100">
        <f t="shared" si="110"/>
        <v>0</v>
      </c>
      <c r="AE200" s="100">
        <f t="shared" si="111"/>
        <v>0</v>
      </c>
      <c r="AF200" s="194">
        <f t="shared" si="98"/>
        <v>0</v>
      </c>
      <c r="AG200" s="194">
        <f t="shared" si="99"/>
        <v>0</v>
      </c>
      <c r="AH200" s="194">
        <f t="shared" si="100"/>
        <v>0</v>
      </c>
      <c r="AI200" s="199">
        <f t="shared" si="101"/>
        <v>0</v>
      </c>
      <c r="AK200" s="71">
        <v>195</v>
      </c>
      <c r="AL200" s="33">
        <f t="shared" si="112"/>
        <v>0</v>
      </c>
      <c r="AM200" s="33">
        <f t="shared" si="113"/>
        <v>0</v>
      </c>
      <c r="AN200" s="33">
        <f t="shared" si="114"/>
        <v>0</v>
      </c>
      <c r="AO200" s="33">
        <f t="shared" si="115"/>
        <v>0</v>
      </c>
      <c r="AP200" s="33">
        <f t="shared" si="116"/>
        <v>0</v>
      </c>
      <c r="AQ200" s="194">
        <f t="shared" si="117"/>
        <v>0</v>
      </c>
      <c r="AR200" s="194">
        <f t="shared" si="117"/>
        <v>0</v>
      </c>
      <c r="AS200" s="194">
        <f t="shared" si="117"/>
        <v>0</v>
      </c>
      <c r="AT200" s="194">
        <f t="shared" si="117"/>
        <v>0</v>
      </c>
      <c r="AU200" s="33"/>
      <c r="AV200" s="33"/>
      <c r="AW200" s="33"/>
      <c r="AX200" s="33"/>
      <c r="AY200" s="76"/>
    </row>
    <row r="201" spans="3:51" x14ac:dyDescent="0.3">
      <c r="E201" s="24"/>
      <c r="I201" s="55">
        <v>196</v>
      </c>
      <c r="J201" s="33">
        <f t="shared" si="120"/>
        <v>0</v>
      </c>
      <c r="K201" s="33">
        <f t="shared" si="121"/>
        <v>0</v>
      </c>
      <c r="L201" s="33">
        <f t="shared" si="122"/>
        <v>0</v>
      </c>
      <c r="M201" s="33">
        <f t="shared" si="123"/>
        <v>0</v>
      </c>
      <c r="N201" s="33">
        <f t="shared" si="103"/>
        <v>0</v>
      </c>
      <c r="O201" s="34">
        <f t="shared" si="104"/>
        <v>0</v>
      </c>
      <c r="P201" s="55">
        <v>196</v>
      </c>
      <c r="Q201" s="33">
        <f t="shared" si="118"/>
        <v>0</v>
      </c>
      <c r="R201" s="33">
        <f t="shared" si="124"/>
        <v>0</v>
      </c>
      <c r="S201" s="33">
        <f t="shared" si="125"/>
        <v>0</v>
      </c>
      <c r="T201" s="33">
        <f t="shared" si="105"/>
        <v>0</v>
      </c>
      <c r="U201" s="33">
        <f t="shared" si="119"/>
        <v>0</v>
      </c>
      <c r="V201" s="33">
        <f t="shared" si="106"/>
        <v>0</v>
      </c>
      <c r="W201" s="33">
        <v>0</v>
      </c>
      <c r="X201" s="33">
        <f t="shared" si="107"/>
        <v>0</v>
      </c>
      <c r="Y201" s="38">
        <f t="shared" si="108"/>
        <v>0</v>
      </c>
      <c r="AA201" s="71">
        <v>196</v>
      </c>
      <c r="AB201" s="33">
        <f t="shared" si="109"/>
        <v>0</v>
      </c>
      <c r="AC201" s="305">
        <f t="shared" si="102"/>
        <v>0</v>
      </c>
      <c r="AD201" s="100">
        <f t="shared" si="110"/>
        <v>0</v>
      </c>
      <c r="AE201" s="100">
        <f t="shared" si="111"/>
        <v>0</v>
      </c>
      <c r="AF201" s="194">
        <f t="shared" si="98"/>
        <v>0</v>
      </c>
      <c r="AG201" s="194">
        <f t="shared" si="99"/>
        <v>0</v>
      </c>
      <c r="AH201" s="194">
        <f t="shared" si="100"/>
        <v>0</v>
      </c>
      <c r="AI201" s="199">
        <f t="shared" si="101"/>
        <v>0</v>
      </c>
      <c r="AK201" s="71">
        <v>196</v>
      </c>
      <c r="AL201" s="33">
        <f t="shared" si="112"/>
        <v>0</v>
      </c>
      <c r="AM201" s="33">
        <f t="shared" si="113"/>
        <v>0</v>
      </c>
      <c r="AN201" s="33">
        <f t="shared" si="114"/>
        <v>0</v>
      </c>
      <c r="AO201" s="33">
        <f t="shared" si="115"/>
        <v>0</v>
      </c>
      <c r="AP201" s="33">
        <f t="shared" si="116"/>
        <v>0</v>
      </c>
      <c r="AQ201" s="194">
        <f t="shared" si="117"/>
        <v>0</v>
      </c>
      <c r="AR201" s="194">
        <f t="shared" si="117"/>
        <v>0</v>
      </c>
      <c r="AS201" s="194">
        <f t="shared" si="117"/>
        <v>0</v>
      </c>
      <c r="AT201" s="194">
        <f t="shared" si="117"/>
        <v>0</v>
      </c>
      <c r="AU201" s="33"/>
      <c r="AV201" s="33"/>
      <c r="AW201" s="33"/>
      <c r="AX201" s="33"/>
      <c r="AY201" s="76"/>
    </row>
    <row r="202" spans="3:51" x14ac:dyDescent="0.3">
      <c r="E202" s="24"/>
      <c r="I202" s="55">
        <v>197</v>
      </c>
      <c r="J202" s="33">
        <f t="shared" si="120"/>
        <v>0</v>
      </c>
      <c r="K202" s="33">
        <f t="shared" si="121"/>
        <v>0</v>
      </c>
      <c r="L202" s="33">
        <f t="shared" si="122"/>
        <v>0</v>
      </c>
      <c r="M202" s="33">
        <f t="shared" si="123"/>
        <v>0</v>
      </c>
      <c r="N202" s="33">
        <f t="shared" si="103"/>
        <v>0</v>
      </c>
      <c r="O202" s="34">
        <f t="shared" si="104"/>
        <v>0</v>
      </c>
      <c r="P202" s="55">
        <v>197</v>
      </c>
      <c r="Q202" s="33">
        <f t="shared" si="118"/>
        <v>0</v>
      </c>
      <c r="R202" s="33">
        <f t="shared" si="124"/>
        <v>0</v>
      </c>
      <c r="S202" s="33">
        <f t="shared" si="125"/>
        <v>0</v>
      </c>
      <c r="T202" s="33">
        <f t="shared" si="105"/>
        <v>0</v>
      </c>
      <c r="U202" s="33">
        <f t="shared" si="119"/>
        <v>0</v>
      </c>
      <c r="V202" s="33">
        <f t="shared" si="106"/>
        <v>0</v>
      </c>
      <c r="W202" s="33">
        <v>0</v>
      </c>
      <c r="X202" s="33">
        <f t="shared" si="107"/>
        <v>0</v>
      </c>
      <c r="Y202" s="38">
        <f t="shared" si="108"/>
        <v>0</v>
      </c>
      <c r="AA202" s="71">
        <v>197</v>
      </c>
      <c r="AB202" s="33">
        <f t="shared" si="109"/>
        <v>0</v>
      </c>
      <c r="AC202" s="305">
        <f t="shared" si="102"/>
        <v>0</v>
      </c>
      <c r="AD202" s="100">
        <f t="shared" si="110"/>
        <v>0</v>
      </c>
      <c r="AE202" s="100">
        <f t="shared" si="111"/>
        <v>0</v>
      </c>
      <c r="AF202" s="194">
        <f t="shared" si="98"/>
        <v>0</v>
      </c>
      <c r="AG202" s="194">
        <f t="shared" si="99"/>
        <v>0</v>
      </c>
      <c r="AH202" s="194">
        <f t="shared" si="100"/>
        <v>0</v>
      </c>
      <c r="AI202" s="199">
        <f t="shared" si="101"/>
        <v>0</v>
      </c>
      <c r="AK202" s="71">
        <v>197</v>
      </c>
      <c r="AL202" s="33">
        <f t="shared" si="112"/>
        <v>0</v>
      </c>
      <c r="AM202" s="33">
        <f t="shared" si="113"/>
        <v>0</v>
      </c>
      <c r="AN202" s="33">
        <f t="shared" si="114"/>
        <v>0</v>
      </c>
      <c r="AO202" s="33">
        <f t="shared" si="115"/>
        <v>0</v>
      </c>
      <c r="AP202" s="33">
        <f t="shared" si="116"/>
        <v>0</v>
      </c>
      <c r="AQ202" s="194">
        <f t="shared" si="117"/>
        <v>0</v>
      </c>
      <c r="AR202" s="194">
        <f t="shared" si="117"/>
        <v>0</v>
      </c>
      <c r="AS202" s="194">
        <f t="shared" si="117"/>
        <v>0</v>
      </c>
      <c r="AT202" s="194">
        <f t="shared" si="117"/>
        <v>0</v>
      </c>
      <c r="AU202" s="33"/>
      <c r="AV202" s="33"/>
      <c r="AW202" s="33"/>
      <c r="AX202" s="33"/>
      <c r="AY202" s="76"/>
    </row>
    <row r="203" spans="3:51" x14ac:dyDescent="0.3">
      <c r="E203" s="24"/>
      <c r="I203" s="55">
        <v>198</v>
      </c>
      <c r="J203" s="33">
        <f t="shared" si="120"/>
        <v>0</v>
      </c>
      <c r="K203" s="33">
        <f t="shared" si="121"/>
        <v>0</v>
      </c>
      <c r="L203" s="33">
        <f t="shared" si="122"/>
        <v>0</v>
      </c>
      <c r="M203" s="33">
        <f t="shared" si="123"/>
        <v>0</v>
      </c>
      <c r="N203" s="33">
        <f t="shared" si="103"/>
        <v>0</v>
      </c>
      <c r="O203" s="34">
        <f t="shared" si="104"/>
        <v>0</v>
      </c>
      <c r="P203" s="55">
        <v>198</v>
      </c>
      <c r="Q203" s="33">
        <f t="shared" si="118"/>
        <v>0</v>
      </c>
      <c r="R203" s="33">
        <f t="shared" si="124"/>
        <v>0</v>
      </c>
      <c r="S203" s="33">
        <f t="shared" si="125"/>
        <v>0</v>
      </c>
      <c r="T203" s="33">
        <f t="shared" si="105"/>
        <v>0</v>
      </c>
      <c r="U203" s="33">
        <f t="shared" si="119"/>
        <v>0</v>
      </c>
      <c r="V203" s="33">
        <f t="shared" si="106"/>
        <v>0</v>
      </c>
      <c r="W203" s="33">
        <v>0</v>
      </c>
      <c r="X203" s="33">
        <f t="shared" si="107"/>
        <v>0</v>
      </c>
      <c r="Y203" s="38">
        <f t="shared" si="108"/>
        <v>0</v>
      </c>
      <c r="AA203" s="71">
        <v>198</v>
      </c>
      <c r="AB203" s="33">
        <f t="shared" si="109"/>
        <v>0</v>
      </c>
      <c r="AC203" s="305">
        <f t="shared" si="102"/>
        <v>0</v>
      </c>
      <c r="AD203" s="100">
        <f t="shared" si="110"/>
        <v>0</v>
      </c>
      <c r="AE203" s="100">
        <f t="shared" si="111"/>
        <v>0</v>
      </c>
      <c r="AF203" s="194">
        <f t="shared" si="98"/>
        <v>0</v>
      </c>
      <c r="AG203" s="194">
        <f t="shared" si="99"/>
        <v>0</v>
      </c>
      <c r="AH203" s="194">
        <f t="shared" si="100"/>
        <v>0</v>
      </c>
      <c r="AI203" s="199">
        <f t="shared" si="101"/>
        <v>0</v>
      </c>
      <c r="AK203" s="71">
        <v>198</v>
      </c>
      <c r="AL203" s="33">
        <f t="shared" si="112"/>
        <v>0</v>
      </c>
      <c r="AM203" s="33">
        <f t="shared" si="113"/>
        <v>0</v>
      </c>
      <c r="AN203" s="33">
        <f t="shared" si="114"/>
        <v>0</v>
      </c>
      <c r="AO203" s="33">
        <f t="shared" si="115"/>
        <v>0</v>
      </c>
      <c r="AP203" s="33">
        <f t="shared" si="116"/>
        <v>0</v>
      </c>
      <c r="AQ203" s="194">
        <f t="shared" si="117"/>
        <v>0</v>
      </c>
      <c r="AR203" s="194">
        <f t="shared" si="117"/>
        <v>0</v>
      </c>
      <c r="AS203" s="194">
        <f t="shared" si="117"/>
        <v>0</v>
      </c>
      <c r="AT203" s="194">
        <f t="shared" si="117"/>
        <v>0</v>
      </c>
      <c r="AU203" s="33"/>
      <c r="AV203" s="33"/>
      <c r="AW203" s="33"/>
      <c r="AX203" s="33"/>
      <c r="AY203" s="76"/>
    </row>
    <row r="204" spans="3:51" x14ac:dyDescent="0.3">
      <c r="E204" s="24"/>
      <c r="I204" s="55">
        <v>199</v>
      </c>
      <c r="J204" s="33">
        <f t="shared" si="120"/>
        <v>0</v>
      </c>
      <c r="K204" s="33">
        <f t="shared" si="121"/>
        <v>0</v>
      </c>
      <c r="L204" s="33">
        <f t="shared" si="122"/>
        <v>0</v>
      </c>
      <c r="M204" s="33">
        <f t="shared" si="123"/>
        <v>0</v>
      </c>
      <c r="N204" s="33">
        <f t="shared" si="103"/>
        <v>0</v>
      </c>
      <c r="O204" s="34">
        <f t="shared" si="104"/>
        <v>0</v>
      </c>
      <c r="P204" s="55">
        <v>199</v>
      </c>
      <c r="Q204" s="33">
        <f t="shared" si="118"/>
        <v>0</v>
      </c>
      <c r="R204" s="33">
        <f t="shared" si="124"/>
        <v>0</v>
      </c>
      <c r="S204" s="33">
        <f t="shared" si="125"/>
        <v>0</v>
      </c>
      <c r="T204" s="33">
        <f t="shared" si="105"/>
        <v>0</v>
      </c>
      <c r="U204" s="33">
        <f t="shared" si="119"/>
        <v>0</v>
      </c>
      <c r="V204" s="33">
        <f t="shared" si="106"/>
        <v>0</v>
      </c>
      <c r="W204" s="33">
        <v>0</v>
      </c>
      <c r="X204" s="33">
        <f t="shared" si="107"/>
        <v>0</v>
      </c>
      <c r="Y204" s="38">
        <f t="shared" si="108"/>
        <v>0</v>
      </c>
      <c r="AA204" s="71">
        <v>199</v>
      </c>
      <c r="AB204" s="33">
        <f t="shared" si="109"/>
        <v>0</v>
      </c>
      <c r="AC204" s="305">
        <f t="shared" si="102"/>
        <v>0</v>
      </c>
      <c r="AD204" s="100">
        <f t="shared" si="110"/>
        <v>0</v>
      </c>
      <c r="AE204" s="100">
        <f t="shared" si="111"/>
        <v>0</v>
      </c>
      <c r="AF204" s="194">
        <f t="shared" si="98"/>
        <v>0</v>
      </c>
      <c r="AG204" s="194">
        <f t="shared" si="99"/>
        <v>0</v>
      </c>
      <c r="AH204" s="194">
        <f t="shared" si="100"/>
        <v>0</v>
      </c>
      <c r="AI204" s="199">
        <f t="shared" si="101"/>
        <v>0</v>
      </c>
      <c r="AK204" s="71">
        <v>199</v>
      </c>
      <c r="AL204" s="33">
        <f t="shared" si="112"/>
        <v>0</v>
      </c>
      <c r="AM204" s="33">
        <f t="shared" si="113"/>
        <v>0</v>
      </c>
      <c r="AN204" s="33">
        <f t="shared" si="114"/>
        <v>0</v>
      </c>
      <c r="AO204" s="33">
        <f t="shared" si="115"/>
        <v>0</v>
      </c>
      <c r="AP204" s="33">
        <f t="shared" si="116"/>
        <v>0</v>
      </c>
      <c r="AQ204" s="194">
        <f t="shared" si="117"/>
        <v>0</v>
      </c>
      <c r="AR204" s="194">
        <f t="shared" si="117"/>
        <v>0</v>
      </c>
      <c r="AS204" s="194">
        <f t="shared" si="117"/>
        <v>0</v>
      </c>
      <c r="AT204" s="194">
        <f t="shared" si="117"/>
        <v>0</v>
      </c>
      <c r="AU204" s="33"/>
      <c r="AV204" s="33"/>
      <c r="AW204" s="33"/>
      <c r="AX204" s="33"/>
      <c r="AY204" s="76"/>
    </row>
    <row r="205" spans="3:51" x14ac:dyDescent="0.3">
      <c r="E205" s="24"/>
      <c r="I205" s="56">
        <v>200</v>
      </c>
      <c r="J205" s="33">
        <f t="shared" si="120"/>
        <v>0</v>
      </c>
      <c r="K205" s="33">
        <f t="shared" si="121"/>
        <v>0</v>
      </c>
      <c r="L205" s="33">
        <f t="shared" si="122"/>
        <v>0</v>
      </c>
      <c r="M205" s="33">
        <f t="shared" si="123"/>
        <v>0</v>
      </c>
      <c r="N205" s="35">
        <f>IF(F208&lt;=$F$18,0,)</f>
        <v>0</v>
      </c>
      <c r="O205" s="34">
        <f t="shared" si="104"/>
        <v>0</v>
      </c>
      <c r="P205" s="56">
        <v>200</v>
      </c>
      <c r="Q205" s="35">
        <f t="shared" si="118"/>
        <v>0</v>
      </c>
      <c r="R205" s="35">
        <f t="shared" si="124"/>
        <v>0</v>
      </c>
      <c r="S205" s="35">
        <f t="shared" si="125"/>
        <v>0</v>
      </c>
      <c r="T205" s="35">
        <f t="shared" si="105"/>
        <v>0</v>
      </c>
      <c r="U205" s="35">
        <f t="shared" si="119"/>
        <v>0</v>
      </c>
      <c r="V205" s="35">
        <f t="shared" si="106"/>
        <v>0</v>
      </c>
      <c r="W205" s="35">
        <v>0</v>
      </c>
      <c r="X205" s="155">
        <f t="shared" si="107"/>
        <v>0</v>
      </c>
      <c r="Y205" s="39">
        <f t="shared" si="108"/>
        <v>0</v>
      </c>
      <c r="AA205" s="72">
        <v>200</v>
      </c>
      <c r="AB205" s="143">
        <f t="shared" si="109"/>
        <v>0</v>
      </c>
      <c r="AC205" s="305">
        <f t="shared" si="102"/>
        <v>0</v>
      </c>
      <c r="AD205" s="101">
        <f t="shared" si="110"/>
        <v>0</v>
      </c>
      <c r="AE205" s="101">
        <f t="shared" si="111"/>
        <v>0</v>
      </c>
      <c r="AF205" s="196">
        <f t="shared" si="98"/>
        <v>0</v>
      </c>
      <c r="AG205" s="196">
        <f t="shared" si="99"/>
        <v>0</v>
      </c>
      <c r="AH205" s="196">
        <f t="shared" si="100"/>
        <v>0</v>
      </c>
      <c r="AI205" s="203">
        <f t="shared" si="101"/>
        <v>0</v>
      </c>
      <c r="AK205" s="72">
        <v>200</v>
      </c>
      <c r="AL205" s="143">
        <f t="shared" si="112"/>
        <v>0</v>
      </c>
      <c r="AM205" s="35">
        <f t="shared" si="113"/>
        <v>0</v>
      </c>
      <c r="AN205" s="35">
        <f t="shared" si="114"/>
        <v>0</v>
      </c>
      <c r="AO205" s="35">
        <f t="shared" si="115"/>
        <v>0</v>
      </c>
      <c r="AP205" s="35">
        <f t="shared" si="116"/>
        <v>0</v>
      </c>
      <c r="AQ205" s="196">
        <f t="shared" si="117"/>
        <v>0</v>
      </c>
      <c r="AR205" s="196">
        <f t="shared" si="117"/>
        <v>0</v>
      </c>
      <c r="AS205" s="196">
        <f t="shared" si="117"/>
        <v>0</v>
      </c>
      <c r="AT205" s="196">
        <f t="shared" si="117"/>
        <v>0</v>
      </c>
      <c r="AU205" s="35"/>
      <c r="AV205" s="35"/>
      <c r="AW205" s="35"/>
      <c r="AX205" s="35"/>
      <c r="AY205" s="77"/>
    </row>
    <row r="206" spans="3:51" x14ac:dyDescent="0.3">
      <c r="E206" s="24"/>
    </row>
    <row r="207" spans="3:51" x14ac:dyDescent="0.3">
      <c r="E207" s="24"/>
    </row>
  </sheetData>
  <mergeCells count="29">
    <mergeCell ref="P3:X3"/>
    <mergeCell ref="AA3:AI3"/>
    <mergeCell ref="AK3:AY3"/>
    <mergeCell ref="B5:B6"/>
    <mergeCell ref="D5:E5"/>
    <mergeCell ref="D6:E6"/>
    <mergeCell ref="D10:E10"/>
    <mergeCell ref="D11:E11"/>
    <mergeCell ref="D12:E12"/>
    <mergeCell ref="D13:E13"/>
    <mergeCell ref="I3:O3"/>
    <mergeCell ref="B4:F4"/>
    <mergeCell ref="B7:B13"/>
    <mergeCell ref="C7:F7"/>
    <mergeCell ref="D8:E8"/>
    <mergeCell ref="D9:E9"/>
    <mergeCell ref="C10:C13"/>
    <mergeCell ref="B23:G23"/>
    <mergeCell ref="B80:G80"/>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D81:G81">
      <formula1>$B$104:$B$108</formula1>
    </dataValidation>
    <dataValidation type="list" allowBlank="1" showInputMessage="1" showErrorMessage="1" sqref="D8:E8 D5:E5 D15">
      <formula1>$B$97:$B$100</formula1>
    </dataValidation>
    <dataValidation type="list" allowBlank="1" showInputMessage="1" showErrorMessage="1" sqref="F12">
      <formula1>$C$194:$C$195</formula1>
    </dataValidation>
    <dataValidation type="list" allowBlank="1" showInputMessage="1" showErrorMessage="1" sqref="F17">
      <formula1>$C$130:$C$195</formula1>
    </dataValidation>
  </dataValidations>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3:BC207"/>
  <sheetViews>
    <sheetView zoomScale="77" zoomScaleNormal="85" workbookViewId="0">
      <selection activeCell="F18" sqref="F18"/>
    </sheetView>
  </sheetViews>
  <sheetFormatPr baseColWidth="10" defaultRowHeight="14.4" x14ac:dyDescent="0.3"/>
  <cols>
    <col min="3" max="5" width="13.6640625" customWidth="1"/>
    <col min="6" max="6" width="16.5546875" style="26" customWidth="1"/>
    <col min="7" max="7" width="14.44140625" style="24" customWidth="1"/>
    <col min="8" max="8" width="11.4414062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2" max="52" width="11.44140625" style="160"/>
    <col min="54" max="54" width="19.33203125" customWidth="1"/>
  </cols>
  <sheetData>
    <row r="3" spans="2:52"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2" ht="45" customHeight="1" x14ac:dyDescent="0.3">
      <c r="B4" s="374" t="s">
        <v>173</v>
      </c>
      <c r="C4" s="374"/>
      <c r="D4" s="374"/>
      <c r="E4" s="374"/>
      <c r="F4" s="374"/>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c r="AZ4" s="197"/>
    </row>
    <row r="5" spans="2:52" x14ac:dyDescent="0.3">
      <c r="B5" s="363" t="s">
        <v>133</v>
      </c>
      <c r="C5" s="91" t="s">
        <v>73</v>
      </c>
      <c r="D5" s="375" t="s">
        <v>135</v>
      </c>
      <c r="E5" s="37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5">
        <f t="shared" ref="AC5:AC29" si="7">IF(AA5&lt;=$F$18,IFERROR(VLOOKUP($AA5,$B$82:$G$94,3,FALSE),0),)*50%</f>
        <v>0.47499999999999998</v>
      </c>
      <c r="AD5" s="100">
        <f t="shared" ref="AD5:AD68" si="8">IF(AA5&lt;=$F$18,IFERROR(VLOOKUP($AA5,$B$82:$G$94,4,FALSE),0),)</f>
        <v>2.8000000000000028E-2</v>
      </c>
      <c r="AE5" s="100">
        <f t="shared" ref="AE5:AE68" si="9">IF(AA5&lt;=$F$18,IFERROR(VLOOKUP($AA5,$B$82:$G$94,5,FALSE),0),)</f>
        <v>2.200000000000002E-2</v>
      </c>
      <c r="AF5" s="33">
        <v>0</v>
      </c>
      <c r="AG5" s="33">
        <v>0</v>
      </c>
      <c r="AH5" s="33">
        <v>0</v>
      </c>
      <c r="AI5" s="76">
        <f>SUM(AF5:AH5)</f>
        <v>0</v>
      </c>
      <c r="AK5" s="71">
        <v>0</v>
      </c>
      <c r="AL5" s="33">
        <f t="shared" ref="AL5:AL68" si="10">IF(AK5&lt;=$F$18,IFERROR(VLOOKUP($AA5,$B$82:$G$94,2,FALSE),0),)</f>
        <v>0</v>
      </c>
      <c r="AM5" s="33">
        <f t="shared" ref="AM5:AM68" si="11">IF(AK5&lt;=$F$18,IFERROR(VLOOKUP($AA5,$B$82:$G$94,3,FALSE),0),)</f>
        <v>0.95</v>
      </c>
      <c r="AN5" s="33">
        <f t="shared" ref="AN5:AN68" si="12">IF(AK5&lt;=$F$18,IFERROR(VLOOKUP($AA5,$B$82:$G$94,4,FALSE),0),)</f>
        <v>2.8000000000000028E-2</v>
      </c>
      <c r="AO5" s="33">
        <f t="shared" ref="AO5:AO68" si="13">IF(AK5&lt;=$F$18,IFERROR(VLOOKUP($AA5,$B$82:$G$94,5,FALSE),0),)</f>
        <v>2.200000000000002E-2</v>
      </c>
      <c r="AP5" s="33">
        <f t="shared" ref="AP5:AP68" si="14">IF(AK5&lt;=$F$18,IFERROR(VLOOKUP($AA5,$B$82:$G$94,6,FALSE),0),)</f>
        <v>0</v>
      </c>
      <c r="AQ5" s="194">
        <v>0</v>
      </c>
      <c r="AR5" s="194">
        <v>0</v>
      </c>
      <c r="AS5" s="194">
        <v>0</v>
      </c>
      <c r="AT5" s="194">
        <v>0</v>
      </c>
      <c r="AU5" s="33"/>
      <c r="AV5" s="33"/>
      <c r="AW5" s="33"/>
      <c r="AX5" s="33"/>
      <c r="AY5" s="164">
        <v>0</v>
      </c>
    </row>
    <row r="6" spans="2:52" x14ac:dyDescent="0.3">
      <c r="B6" s="364"/>
      <c r="C6" s="98" t="s">
        <v>74</v>
      </c>
      <c r="D6" s="366" t="s">
        <v>260</v>
      </c>
      <c r="E6" s="366"/>
      <c r="F6" s="99">
        <f>VLOOKUP(D5,$B$97:$D$100,3,FALSE)</f>
        <v>0</v>
      </c>
      <c r="I6" s="55">
        <v>1</v>
      </c>
      <c r="J6" s="33">
        <f>IF(D8&lt;&gt;"Cultures",IF($I6&lt;=$F$10,$F$11*$F$13+J5,),5)</f>
        <v>0</v>
      </c>
      <c r="K6" s="33">
        <f>IF(J6=0,0,EXP(-1.0587+0.8836*LN(J6)+0.284))</f>
        <v>0</v>
      </c>
      <c r="L6" s="33">
        <f>IF(I6&lt;=$F$10,$F$5+($F$8-$F$5)*(1-EXP(-0.0175*I6)),)</f>
        <v>0</v>
      </c>
      <c r="M6" s="33">
        <f>IF(I6&lt;=$F$10,IF(I6&lt;=30,I6*($F$9-$F$6)/30,$F$9-$F$6),)</f>
        <v>0</v>
      </c>
      <c r="N6" s="33">
        <f t="shared" si="0"/>
        <v>0</v>
      </c>
      <c r="O6" s="34">
        <f t="shared" si="1"/>
        <v>0</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5">
        <f t="shared" si="7"/>
        <v>0</v>
      </c>
      <c r="AD6" s="100">
        <f t="shared" si="8"/>
        <v>0</v>
      </c>
      <c r="AE6" s="100">
        <f t="shared" si="9"/>
        <v>0</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v>
      </c>
      <c r="AN6" s="33">
        <f t="shared" si="12"/>
        <v>0</v>
      </c>
      <c r="AO6" s="33">
        <f t="shared" si="13"/>
        <v>0</v>
      </c>
      <c r="AP6" s="33">
        <f t="shared" si="14"/>
        <v>0</v>
      </c>
      <c r="AQ6" s="194">
        <f t="shared" ref="AQ6:AT24" si="17">IF($AK6&lt;=$F$18,$AL6*AM6,)</f>
        <v>0</v>
      </c>
      <c r="AR6" s="194">
        <f t="shared" si="17"/>
        <v>0</v>
      </c>
      <c r="AS6" s="194">
        <f t="shared" si="17"/>
        <v>0</v>
      </c>
      <c r="AT6" s="194">
        <f t="shared" si="17"/>
        <v>0</v>
      </c>
      <c r="AU6" s="33"/>
      <c r="AV6" s="33"/>
      <c r="AW6" s="33"/>
      <c r="AX6" s="33"/>
      <c r="AY6" s="164">
        <f>IF(AK6&lt;=$F$18,AL6*$G$108+AY5,)</f>
        <v>0</v>
      </c>
      <c r="AZ6" s="198"/>
    </row>
    <row r="7" spans="2:52" x14ac:dyDescent="0.3">
      <c r="B7" s="363" t="s">
        <v>134</v>
      </c>
      <c r="C7" s="376"/>
      <c r="D7" s="377"/>
      <c r="E7" s="377"/>
      <c r="F7" s="378"/>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7"/>
        <v>0</v>
      </c>
      <c r="AR7" s="194">
        <f t="shared" si="17"/>
        <v>0</v>
      </c>
      <c r="AS7" s="194">
        <f t="shared" si="17"/>
        <v>0</v>
      </c>
      <c r="AT7" s="194">
        <f t="shared" si="17"/>
        <v>0</v>
      </c>
      <c r="AU7" s="33"/>
      <c r="AV7" s="33"/>
      <c r="AW7" s="33"/>
      <c r="AX7" s="33"/>
      <c r="AY7" s="164">
        <f t="shared" ref="AY7:AY35" si="24">IF(AK7&lt;=$F$18,AL7*$G$108+AY6,)</f>
        <v>0</v>
      </c>
      <c r="AZ7" s="198"/>
    </row>
    <row r="8" spans="2:52" x14ac:dyDescent="0.3">
      <c r="B8" s="373"/>
      <c r="C8" s="93" t="s">
        <v>73</v>
      </c>
      <c r="D8" s="369" t="s">
        <v>135</v>
      </c>
      <c r="E8" s="369"/>
      <c r="F8" s="94">
        <f>IF(D8="","",VLOOKUP(D8,$B$97:$C$100,2,0))</f>
        <v>70</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7"/>
        <v>0</v>
      </c>
      <c r="AR8" s="194">
        <f t="shared" si="17"/>
        <v>0</v>
      </c>
      <c r="AS8" s="194">
        <f t="shared" si="17"/>
        <v>0</v>
      </c>
      <c r="AT8" s="194">
        <f t="shared" si="17"/>
        <v>0</v>
      </c>
      <c r="AU8" s="33"/>
      <c r="AV8" s="33"/>
      <c r="AW8" s="33"/>
      <c r="AX8" s="33"/>
      <c r="AY8" s="164">
        <f t="shared" si="24"/>
        <v>0</v>
      </c>
      <c r="AZ8" s="198"/>
    </row>
    <row r="9" spans="2:52" x14ac:dyDescent="0.3">
      <c r="B9" s="373"/>
      <c r="C9" s="93" t="s">
        <v>74</v>
      </c>
      <c r="D9" s="365" t="str">
        <f>IF(D8=$B$100,"totale","néant")</f>
        <v>totale</v>
      </c>
      <c r="E9" s="365"/>
      <c r="F9" s="94">
        <f>IF(D8=B100,10,VLOOKUP(D8,$B$97:$D$100,3,FALSE))</f>
        <v>10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7"/>
        <v>0</v>
      </c>
      <c r="AR9" s="194">
        <f t="shared" si="17"/>
        <v>0</v>
      </c>
      <c r="AS9" s="194">
        <f t="shared" si="17"/>
        <v>0</v>
      </c>
      <c r="AT9" s="194">
        <f t="shared" si="17"/>
        <v>0</v>
      </c>
      <c r="AU9" s="33"/>
      <c r="AV9" s="33"/>
      <c r="AW9" s="33"/>
      <c r="AX9" s="33"/>
      <c r="AY9" s="164">
        <f t="shared" si="24"/>
        <v>0</v>
      </c>
      <c r="AZ9" s="198"/>
    </row>
    <row r="10" spans="2:52" x14ac:dyDescent="0.3">
      <c r="B10" s="373"/>
      <c r="C10" s="367" t="s">
        <v>124</v>
      </c>
      <c r="D10" s="362" t="s">
        <v>136</v>
      </c>
      <c r="E10" s="362"/>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5">
        <f t="shared" si="7"/>
        <v>0</v>
      </c>
      <c r="AD10" s="100">
        <f t="shared" si="8"/>
        <v>0</v>
      </c>
      <c r="AE10" s="100">
        <f t="shared" si="9"/>
        <v>0</v>
      </c>
      <c r="AF10" s="194">
        <f t="shared" ref="AF10:AF24" si="25">IF(OR(AA10&lt;=$F$18,AA10&lt;=30),EXP(-LN(2)/$D$104)*AF9+((1-EXP(-LN(2)/$D$104))/(LN(2)/$D$104))*$AB10*AC10*0.475*$F$19*44/12,)</f>
        <v>0</v>
      </c>
      <c r="AG10" s="194">
        <f t="shared" ref="AG10:AG24" si="26">IF(OR(AA10&lt;=$F$18,AA10&lt;=30),EXP(-LN(2)/$D$106)*AG9+((1-EXP(-LN(2)/$D$106))/(LN(2)/$D$106))*$AB10*AD10*0.475*$F$19*44/12,)</f>
        <v>0</v>
      </c>
      <c r="AH10" s="194">
        <f t="shared" ref="AH10:AH24" si="27">IF(OR(AA10&lt;=$F$18,AA10&lt;=30),EXP(-LN(2)/$D$105)*AH9+((1-EXP(-LN(2)/$D$105))/(LN(2)/$D$105))*$AB10*AE10*0.475*$F$19*44/12,)</f>
        <v>0</v>
      </c>
      <c r="AI10" s="199">
        <f t="shared" ref="AI10:AI24" si="28">IF(OR(AA10&lt;=$F$18,AA10&lt;=30),SUM(AF10:AH10),)</f>
        <v>0</v>
      </c>
      <c r="AK10" s="71">
        <v>5</v>
      </c>
      <c r="AL10" s="33">
        <f t="shared" si="10"/>
        <v>0</v>
      </c>
      <c r="AM10" s="33">
        <f t="shared" si="11"/>
        <v>0</v>
      </c>
      <c r="AN10" s="33">
        <f t="shared" si="12"/>
        <v>0</v>
      </c>
      <c r="AO10" s="33">
        <f t="shared" si="13"/>
        <v>0</v>
      </c>
      <c r="AP10" s="33">
        <f t="shared" si="14"/>
        <v>0</v>
      </c>
      <c r="AQ10" s="194">
        <f t="shared" si="17"/>
        <v>0</v>
      </c>
      <c r="AR10" s="194">
        <f t="shared" si="17"/>
        <v>0</v>
      </c>
      <c r="AS10" s="194">
        <f t="shared" si="17"/>
        <v>0</v>
      </c>
      <c r="AT10" s="194">
        <f t="shared" si="17"/>
        <v>0</v>
      </c>
      <c r="AU10" s="33"/>
      <c r="AV10" s="33"/>
      <c r="AW10" s="33"/>
      <c r="AX10" s="33"/>
      <c r="AY10" s="164">
        <f t="shared" si="24"/>
        <v>0</v>
      </c>
      <c r="AZ10" s="198"/>
    </row>
    <row r="11" spans="2:52" x14ac:dyDescent="0.3">
      <c r="B11" s="373"/>
      <c r="C11" s="367"/>
      <c r="D11" s="365" t="s">
        <v>139</v>
      </c>
      <c r="E11" s="365"/>
      <c r="F11" s="36">
        <f>IF(D8=$B$100,1,0)</f>
        <v>1</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5">
        <f t="shared" si="7"/>
        <v>0</v>
      </c>
      <c r="AD11" s="100">
        <f t="shared" si="8"/>
        <v>0</v>
      </c>
      <c r="AE11" s="100">
        <f t="shared" si="9"/>
        <v>0</v>
      </c>
      <c r="AF11" s="194">
        <f t="shared" si="25"/>
        <v>0</v>
      </c>
      <c r="AG11" s="194">
        <f t="shared" si="26"/>
        <v>0</v>
      </c>
      <c r="AH11" s="194">
        <f t="shared" si="27"/>
        <v>0</v>
      </c>
      <c r="AI11" s="199">
        <f t="shared" si="28"/>
        <v>0</v>
      </c>
      <c r="AK11" s="71">
        <v>6</v>
      </c>
      <c r="AL11" s="33">
        <f t="shared" si="10"/>
        <v>0</v>
      </c>
      <c r="AM11" s="33">
        <f t="shared" si="11"/>
        <v>0</v>
      </c>
      <c r="AN11" s="33">
        <f t="shared" si="12"/>
        <v>0</v>
      </c>
      <c r="AO11" s="33">
        <f t="shared" si="13"/>
        <v>0</v>
      </c>
      <c r="AP11" s="33">
        <f t="shared" si="14"/>
        <v>0</v>
      </c>
      <c r="AQ11" s="194">
        <f t="shared" si="17"/>
        <v>0</v>
      </c>
      <c r="AR11" s="194">
        <f t="shared" si="17"/>
        <v>0</v>
      </c>
      <c r="AS11" s="194">
        <f t="shared" si="17"/>
        <v>0</v>
      </c>
      <c r="AT11" s="194">
        <f t="shared" si="17"/>
        <v>0</v>
      </c>
      <c r="AU11" s="33"/>
      <c r="AV11" s="33"/>
      <c r="AW11" s="33"/>
      <c r="AX11" s="33"/>
      <c r="AY11" s="164">
        <f t="shared" si="24"/>
        <v>0</v>
      </c>
      <c r="AZ11" s="198"/>
    </row>
    <row r="12" spans="2:52" x14ac:dyDescent="0.3">
      <c r="B12" s="373"/>
      <c r="C12" s="367"/>
      <c r="D12" s="362" t="s">
        <v>131</v>
      </c>
      <c r="E12" s="362"/>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5">
        <f t="shared" si="7"/>
        <v>0</v>
      </c>
      <c r="AD12" s="100">
        <f t="shared" si="8"/>
        <v>0</v>
      </c>
      <c r="AE12" s="100">
        <f t="shared" si="9"/>
        <v>0</v>
      </c>
      <c r="AF12" s="194">
        <f t="shared" si="25"/>
        <v>0</v>
      </c>
      <c r="AG12" s="194">
        <f t="shared" si="26"/>
        <v>0</v>
      </c>
      <c r="AH12" s="194">
        <f t="shared" si="27"/>
        <v>0</v>
      </c>
      <c r="AI12" s="199">
        <f t="shared" si="28"/>
        <v>0</v>
      </c>
      <c r="AK12" s="71">
        <v>7</v>
      </c>
      <c r="AL12" s="33">
        <f t="shared" si="10"/>
        <v>0</v>
      </c>
      <c r="AM12" s="33">
        <f t="shared" si="11"/>
        <v>0</v>
      </c>
      <c r="AN12" s="33">
        <f t="shared" si="12"/>
        <v>0</v>
      </c>
      <c r="AO12" s="33">
        <f t="shared" si="13"/>
        <v>0</v>
      </c>
      <c r="AP12" s="33">
        <f t="shared" si="14"/>
        <v>0</v>
      </c>
      <c r="AQ12" s="194">
        <f t="shared" si="17"/>
        <v>0</v>
      </c>
      <c r="AR12" s="194">
        <f t="shared" si="17"/>
        <v>0</v>
      </c>
      <c r="AS12" s="194">
        <f t="shared" si="17"/>
        <v>0</v>
      </c>
      <c r="AT12" s="194">
        <f t="shared" si="17"/>
        <v>0</v>
      </c>
      <c r="AU12" s="33"/>
      <c r="AV12" s="33"/>
      <c r="AW12" s="33"/>
      <c r="AX12" s="33"/>
      <c r="AY12" s="164">
        <f t="shared" si="24"/>
        <v>0</v>
      </c>
      <c r="AZ12" s="198"/>
    </row>
    <row r="13" spans="2:52" x14ac:dyDescent="0.3">
      <c r="B13" s="364"/>
      <c r="C13" s="368"/>
      <c r="D13" s="366" t="s">
        <v>155</v>
      </c>
      <c r="E13" s="366"/>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5">
        <f t="shared" si="7"/>
        <v>0</v>
      </c>
      <c r="AD13" s="100">
        <f t="shared" si="8"/>
        <v>0</v>
      </c>
      <c r="AE13" s="100">
        <f t="shared" si="9"/>
        <v>0</v>
      </c>
      <c r="AF13" s="194">
        <f t="shared" si="25"/>
        <v>0</v>
      </c>
      <c r="AG13" s="194">
        <f t="shared" si="26"/>
        <v>0</v>
      </c>
      <c r="AH13" s="194">
        <f t="shared" si="27"/>
        <v>0</v>
      </c>
      <c r="AI13" s="199">
        <f t="shared" si="28"/>
        <v>0</v>
      </c>
      <c r="AK13" s="71">
        <v>8</v>
      </c>
      <c r="AL13" s="33">
        <f t="shared" si="10"/>
        <v>0</v>
      </c>
      <c r="AM13" s="33">
        <f t="shared" si="11"/>
        <v>0</v>
      </c>
      <c r="AN13" s="33">
        <f t="shared" si="12"/>
        <v>0</v>
      </c>
      <c r="AO13" s="33">
        <f t="shared" si="13"/>
        <v>0</v>
      </c>
      <c r="AP13" s="33">
        <f t="shared" si="14"/>
        <v>0</v>
      </c>
      <c r="AQ13" s="194">
        <f t="shared" si="17"/>
        <v>0</v>
      </c>
      <c r="AR13" s="194">
        <f t="shared" si="17"/>
        <v>0</v>
      </c>
      <c r="AS13" s="194">
        <f t="shared" si="17"/>
        <v>0</v>
      </c>
      <c r="AT13" s="194">
        <f t="shared" si="17"/>
        <v>0</v>
      </c>
      <c r="AU13" s="33"/>
      <c r="AV13" s="33"/>
      <c r="AW13" s="33"/>
      <c r="AX13" s="33"/>
      <c r="AY13" s="164">
        <f t="shared" si="24"/>
        <v>0</v>
      </c>
      <c r="AZ13" s="198"/>
    </row>
    <row r="14" spans="2:52" x14ac:dyDescent="0.3">
      <c r="B14" s="363" t="s">
        <v>132</v>
      </c>
      <c r="C14" s="359"/>
      <c r="D14" s="360"/>
      <c r="E14" s="360"/>
      <c r="F14" s="361"/>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5">
        <f t="shared" si="7"/>
        <v>0</v>
      </c>
      <c r="AD14" s="100">
        <f t="shared" si="8"/>
        <v>0</v>
      </c>
      <c r="AE14" s="100">
        <f t="shared" si="9"/>
        <v>0</v>
      </c>
      <c r="AF14" s="194">
        <f t="shared" si="25"/>
        <v>0</v>
      </c>
      <c r="AG14" s="194">
        <f t="shared" si="26"/>
        <v>0</v>
      </c>
      <c r="AH14" s="194">
        <f t="shared" si="27"/>
        <v>0</v>
      </c>
      <c r="AI14" s="199">
        <f t="shared" si="28"/>
        <v>0</v>
      </c>
      <c r="AK14" s="71">
        <v>9</v>
      </c>
      <c r="AL14" s="33">
        <f t="shared" si="10"/>
        <v>0</v>
      </c>
      <c r="AM14" s="33">
        <f t="shared" si="11"/>
        <v>0</v>
      </c>
      <c r="AN14" s="33">
        <f t="shared" si="12"/>
        <v>0</v>
      </c>
      <c r="AO14" s="33">
        <f t="shared" si="13"/>
        <v>0</v>
      </c>
      <c r="AP14" s="33">
        <f t="shared" si="14"/>
        <v>0</v>
      </c>
      <c r="AQ14" s="194">
        <f t="shared" si="17"/>
        <v>0</v>
      </c>
      <c r="AR14" s="194">
        <f t="shared" si="17"/>
        <v>0</v>
      </c>
      <c r="AS14" s="194">
        <f t="shared" si="17"/>
        <v>0</v>
      </c>
      <c r="AT14" s="194">
        <f t="shared" si="17"/>
        <v>0</v>
      </c>
      <c r="AU14" s="33"/>
      <c r="AV14" s="33"/>
      <c r="AW14" s="33"/>
      <c r="AX14" s="33"/>
      <c r="AY14" s="164">
        <f t="shared" si="24"/>
        <v>0</v>
      </c>
      <c r="AZ14" s="198"/>
    </row>
    <row r="15" spans="2:52" x14ac:dyDescent="0.3">
      <c r="B15" s="373"/>
      <c r="C15" s="93" t="s">
        <v>73</v>
      </c>
      <c r="D15" s="369" t="s">
        <v>135</v>
      </c>
      <c r="E15" s="369"/>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5">
        <f t="shared" si="7"/>
        <v>0</v>
      </c>
      <c r="AD15" s="100">
        <f t="shared" si="8"/>
        <v>0</v>
      </c>
      <c r="AE15" s="100">
        <f t="shared" si="9"/>
        <v>0</v>
      </c>
      <c r="AF15" s="194">
        <f t="shared" si="25"/>
        <v>0</v>
      </c>
      <c r="AG15" s="194">
        <f t="shared" si="26"/>
        <v>0</v>
      </c>
      <c r="AH15" s="194">
        <f t="shared" si="27"/>
        <v>0</v>
      </c>
      <c r="AI15" s="199">
        <f t="shared" si="28"/>
        <v>0</v>
      </c>
      <c r="AK15" s="71">
        <v>10</v>
      </c>
      <c r="AL15" s="33">
        <f t="shared" si="10"/>
        <v>0</v>
      </c>
      <c r="AM15" s="33">
        <f t="shared" si="11"/>
        <v>0</v>
      </c>
      <c r="AN15" s="33">
        <f t="shared" si="12"/>
        <v>0</v>
      </c>
      <c r="AO15" s="33">
        <f t="shared" si="13"/>
        <v>0</v>
      </c>
      <c r="AP15" s="33">
        <f t="shared" si="14"/>
        <v>0</v>
      </c>
      <c r="AQ15" s="194">
        <f t="shared" si="17"/>
        <v>0</v>
      </c>
      <c r="AR15" s="194">
        <f t="shared" si="17"/>
        <v>0</v>
      </c>
      <c r="AS15" s="194">
        <f t="shared" si="17"/>
        <v>0</v>
      </c>
      <c r="AT15" s="194">
        <f t="shared" si="17"/>
        <v>0</v>
      </c>
      <c r="AU15" s="33"/>
      <c r="AV15" s="33"/>
      <c r="AW15" s="33"/>
      <c r="AX15" s="33"/>
      <c r="AY15" s="164">
        <f t="shared" si="24"/>
        <v>0</v>
      </c>
      <c r="AZ15" s="198"/>
    </row>
    <row r="16" spans="2:52" x14ac:dyDescent="0.3">
      <c r="B16" s="373"/>
      <c r="C16" s="93" t="s">
        <v>74</v>
      </c>
      <c r="D16" s="365" t="s">
        <v>138</v>
      </c>
      <c r="E16" s="365"/>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5">
        <f t="shared" si="7"/>
        <v>0</v>
      </c>
      <c r="AD16" s="100">
        <f t="shared" si="8"/>
        <v>0</v>
      </c>
      <c r="AE16" s="100">
        <f t="shared" si="9"/>
        <v>0</v>
      </c>
      <c r="AF16" s="194">
        <f t="shared" si="25"/>
        <v>0</v>
      </c>
      <c r="AG16" s="194">
        <f t="shared" si="26"/>
        <v>0</v>
      </c>
      <c r="AH16" s="194">
        <f t="shared" si="27"/>
        <v>0</v>
      </c>
      <c r="AI16" s="199">
        <f t="shared" si="28"/>
        <v>0</v>
      </c>
      <c r="AK16" s="71">
        <v>11</v>
      </c>
      <c r="AL16" s="33">
        <f t="shared" si="10"/>
        <v>0</v>
      </c>
      <c r="AM16" s="33">
        <f t="shared" si="11"/>
        <v>0</v>
      </c>
      <c r="AN16" s="33">
        <f t="shared" si="12"/>
        <v>0</v>
      </c>
      <c r="AO16" s="33">
        <f t="shared" si="13"/>
        <v>0</v>
      </c>
      <c r="AP16" s="33">
        <f t="shared" si="14"/>
        <v>0</v>
      </c>
      <c r="AQ16" s="194">
        <f t="shared" si="17"/>
        <v>0</v>
      </c>
      <c r="AR16" s="194">
        <f t="shared" si="17"/>
        <v>0</v>
      </c>
      <c r="AS16" s="194">
        <f t="shared" si="17"/>
        <v>0</v>
      </c>
      <c r="AT16" s="194">
        <f t="shared" si="17"/>
        <v>0</v>
      </c>
      <c r="AU16" s="33"/>
      <c r="AV16" s="33"/>
      <c r="AW16" s="33"/>
      <c r="AX16" s="33"/>
      <c r="AY16" s="164">
        <f t="shared" si="24"/>
        <v>0</v>
      </c>
      <c r="AZ16" s="198"/>
    </row>
    <row r="17" spans="2:55" x14ac:dyDescent="0.3">
      <c r="B17" s="373"/>
      <c r="C17" s="367" t="s">
        <v>124</v>
      </c>
      <c r="D17" s="362" t="s">
        <v>131</v>
      </c>
      <c r="E17" s="362"/>
      <c r="F17" s="96" t="s">
        <v>53</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5">
        <f t="shared" si="7"/>
        <v>0</v>
      </c>
      <c r="AD17" s="100">
        <f t="shared" si="8"/>
        <v>0</v>
      </c>
      <c r="AE17" s="100">
        <f t="shared" si="9"/>
        <v>0</v>
      </c>
      <c r="AF17" s="194">
        <f t="shared" si="25"/>
        <v>0</v>
      </c>
      <c r="AG17" s="194">
        <f t="shared" si="26"/>
        <v>0</v>
      </c>
      <c r="AH17" s="194">
        <f t="shared" si="27"/>
        <v>0</v>
      </c>
      <c r="AI17" s="199">
        <f t="shared" si="28"/>
        <v>0</v>
      </c>
      <c r="AK17" s="71">
        <v>12</v>
      </c>
      <c r="AL17" s="33">
        <f t="shared" si="10"/>
        <v>0</v>
      </c>
      <c r="AM17" s="33">
        <f t="shared" si="11"/>
        <v>0</v>
      </c>
      <c r="AN17" s="33">
        <f t="shared" si="12"/>
        <v>0</v>
      </c>
      <c r="AO17" s="33">
        <f t="shared" si="13"/>
        <v>0</v>
      </c>
      <c r="AP17" s="33">
        <f t="shared" si="14"/>
        <v>0</v>
      </c>
      <c r="AQ17" s="194">
        <f t="shared" si="17"/>
        <v>0</v>
      </c>
      <c r="AR17" s="194">
        <f t="shared" si="17"/>
        <v>0</v>
      </c>
      <c r="AS17" s="194">
        <f t="shared" si="17"/>
        <v>0</v>
      </c>
      <c r="AT17" s="194">
        <f t="shared" si="17"/>
        <v>0</v>
      </c>
      <c r="AU17" s="33"/>
      <c r="AV17" s="33"/>
      <c r="AW17" s="33"/>
      <c r="AX17" s="33"/>
      <c r="AY17" s="164">
        <f t="shared" si="24"/>
        <v>0</v>
      </c>
      <c r="AZ17" s="198"/>
    </row>
    <row r="18" spans="2:55" x14ac:dyDescent="0.3">
      <c r="B18" s="373"/>
      <c r="C18" s="367"/>
      <c r="D18" s="362" t="s">
        <v>136</v>
      </c>
      <c r="E18" s="362"/>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5">
        <f t="shared" si="7"/>
        <v>0</v>
      </c>
      <c r="AD18" s="100">
        <f t="shared" si="8"/>
        <v>0</v>
      </c>
      <c r="AE18" s="100">
        <f t="shared" si="9"/>
        <v>0</v>
      </c>
      <c r="AF18" s="194">
        <f t="shared" si="25"/>
        <v>0</v>
      </c>
      <c r="AG18" s="194">
        <f t="shared" si="26"/>
        <v>0</v>
      </c>
      <c r="AH18" s="194">
        <f t="shared" si="27"/>
        <v>0</v>
      </c>
      <c r="AI18" s="199">
        <f t="shared" si="28"/>
        <v>0</v>
      </c>
      <c r="AK18" s="71">
        <v>13</v>
      </c>
      <c r="AL18" s="33">
        <f t="shared" si="10"/>
        <v>0</v>
      </c>
      <c r="AM18" s="33">
        <f t="shared" si="11"/>
        <v>0</v>
      </c>
      <c r="AN18" s="33">
        <f t="shared" si="12"/>
        <v>0</v>
      </c>
      <c r="AO18" s="33">
        <f t="shared" si="13"/>
        <v>0</v>
      </c>
      <c r="AP18" s="33">
        <f t="shared" si="14"/>
        <v>0</v>
      </c>
      <c r="AQ18" s="194">
        <f t="shared" si="17"/>
        <v>0</v>
      </c>
      <c r="AR18" s="194">
        <f t="shared" si="17"/>
        <v>0</v>
      </c>
      <c r="AS18" s="194">
        <f t="shared" si="17"/>
        <v>0</v>
      </c>
      <c r="AT18" s="194">
        <f t="shared" si="17"/>
        <v>0</v>
      </c>
      <c r="AU18" s="33"/>
      <c r="AV18" s="33"/>
      <c r="AW18" s="33"/>
      <c r="AX18" s="33"/>
      <c r="AY18" s="164">
        <f t="shared" si="24"/>
        <v>0</v>
      </c>
      <c r="AZ18" s="198"/>
    </row>
    <row r="19" spans="2:55" x14ac:dyDescent="0.3">
      <c r="B19" s="373"/>
      <c r="C19" s="367"/>
      <c r="D19" s="365" t="s">
        <v>155</v>
      </c>
      <c r="E19" s="365"/>
      <c r="F19" s="36">
        <f>IF(ISBLANK(F$17),,VLOOKUP(F$17,C131:D195,2,FALSE))</f>
        <v>0.46</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5">
        <f t="shared" si="7"/>
        <v>0</v>
      </c>
      <c r="AD19" s="100">
        <f t="shared" si="8"/>
        <v>0</v>
      </c>
      <c r="AE19" s="100">
        <f t="shared" si="9"/>
        <v>0</v>
      </c>
      <c r="AF19" s="194">
        <f t="shared" si="25"/>
        <v>0</v>
      </c>
      <c r="AG19" s="194">
        <f t="shared" si="26"/>
        <v>0</v>
      </c>
      <c r="AH19" s="194">
        <f t="shared" si="27"/>
        <v>0</v>
      </c>
      <c r="AI19" s="199">
        <f t="shared" si="28"/>
        <v>0</v>
      </c>
      <c r="AK19" s="71">
        <v>14</v>
      </c>
      <c r="AL19" s="33">
        <f t="shared" si="10"/>
        <v>0</v>
      </c>
      <c r="AM19" s="33">
        <f t="shared" si="11"/>
        <v>0</v>
      </c>
      <c r="AN19" s="33">
        <f t="shared" si="12"/>
        <v>0</v>
      </c>
      <c r="AO19" s="33">
        <f t="shared" si="13"/>
        <v>0</v>
      </c>
      <c r="AP19" s="33">
        <f t="shared" si="14"/>
        <v>0</v>
      </c>
      <c r="AQ19" s="194">
        <f t="shared" si="17"/>
        <v>0</v>
      </c>
      <c r="AR19" s="194">
        <f t="shared" si="17"/>
        <v>0</v>
      </c>
      <c r="AS19" s="194">
        <f t="shared" si="17"/>
        <v>0</v>
      </c>
      <c r="AT19" s="194">
        <f t="shared" si="17"/>
        <v>0</v>
      </c>
      <c r="AU19" s="33"/>
      <c r="AV19" s="33"/>
      <c r="AW19" s="33"/>
      <c r="AX19" s="33"/>
      <c r="AY19" s="164">
        <f t="shared" si="24"/>
        <v>0</v>
      </c>
      <c r="AZ19" s="198"/>
    </row>
    <row r="20" spans="2:55" x14ac:dyDescent="0.3">
      <c r="B20" s="373"/>
      <c r="C20" s="367"/>
      <c r="D20" s="365" t="s">
        <v>140</v>
      </c>
      <c r="E20" s="365"/>
      <c r="F20" s="36">
        <f>IF(ISBLANK(F$17),,VLOOKUP(F17,Tableau1457[#All],4,FALSE))</f>
        <v>1.3</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5">
        <f t="shared" si="7"/>
        <v>0</v>
      </c>
      <c r="AD20" s="100">
        <f t="shared" si="8"/>
        <v>0</v>
      </c>
      <c r="AE20" s="100">
        <f t="shared" si="9"/>
        <v>0</v>
      </c>
      <c r="AF20" s="194">
        <f t="shared" si="25"/>
        <v>0</v>
      </c>
      <c r="AG20" s="194">
        <f t="shared" si="26"/>
        <v>0</v>
      </c>
      <c r="AH20" s="194">
        <f t="shared" si="27"/>
        <v>0</v>
      </c>
      <c r="AI20" s="199">
        <f t="shared" si="28"/>
        <v>0</v>
      </c>
      <c r="AK20" s="71">
        <v>15</v>
      </c>
      <c r="AL20" s="33">
        <f t="shared" si="10"/>
        <v>0</v>
      </c>
      <c r="AM20" s="33">
        <f t="shared" si="11"/>
        <v>0</v>
      </c>
      <c r="AN20" s="33">
        <f t="shared" si="12"/>
        <v>0</v>
      </c>
      <c r="AO20" s="33">
        <f t="shared" si="13"/>
        <v>0</v>
      </c>
      <c r="AP20" s="33">
        <f t="shared" si="14"/>
        <v>0</v>
      </c>
      <c r="AQ20" s="194">
        <f t="shared" si="17"/>
        <v>0</v>
      </c>
      <c r="AR20" s="194">
        <f t="shared" si="17"/>
        <v>0</v>
      </c>
      <c r="AS20" s="194">
        <f t="shared" si="17"/>
        <v>0</v>
      </c>
      <c r="AT20" s="194">
        <f t="shared" si="17"/>
        <v>0</v>
      </c>
      <c r="AU20" s="33"/>
      <c r="AV20" s="33"/>
      <c r="AW20" s="33"/>
      <c r="AX20" s="33"/>
      <c r="AY20" s="164">
        <f t="shared" si="24"/>
        <v>0</v>
      </c>
      <c r="AZ20" s="198"/>
    </row>
    <row r="21" spans="2:55" x14ac:dyDescent="0.3">
      <c r="B21" s="364"/>
      <c r="C21" s="368"/>
      <c r="D21" s="366" t="s">
        <v>143</v>
      </c>
      <c r="E21" s="366"/>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5">
        <f t="shared" si="7"/>
        <v>0</v>
      </c>
      <c r="AD21" s="100">
        <f t="shared" si="8"/>
        <v>0</v>
      </c>
      <c r="AE21" s="100">
        <f t="shared" si="9"/>
        <v>0</v>
      </c>
      <c r="AF21" s="194">
        <f t="shared" si="25"/>
        <v>0</v>
      </c>
      <c r="AG21" s="194">
        <f t="shared" si="26"/>
        <v>0</v>
      </c>
      <c r="AH21" s="194">
        <f t="shared" si="27"/>
        <v>0</v>
      </c>
      <c r="AI21" s="199">
        <f t="shared" si="28"/>
        <v>0</v>
      </c>
      <c r="AK21" s="71">
        <v>16</v>
      </c>
      <c r="AL21" s="33">
        <f t="shared" si="10"/>
        <v>0</v>
      </c>
      <c r="AM21" s="33">
        <f t="shared" si="11"/>
        <v>0</v>
      </c>
      <c r="AN21" s="33">
        <f t="shared" si="12"/>
        <v>0</v>
      </c>
      <c r="AO21" s="33">
        <f t="shared" si="13"/>
        <v>0</v>
      </c>
      <c r="AP21" s="33">
        <f t="shared" si="14"/>
        <v>0</v>
      </c>
      <c r="AQ21" s="194">
        <f t="shared" si="17"/>
        <v>0</v>
      </c>
      <c r="AR21" s="194">
        <f t="shared" si="17"/>
        <v>0</v>
      </c>
      <c r="AS21" s="194">
        <f t="shared" si="17"/>
        <v>0</v>
      </c>
      <c r="AT21" s="194">
        <f t="shared" si="17"/>
        <v>0</v>
      </c>
      <c r="AU21" s="33"/>
      <c r="AV21" s="33"/>
      <c r="AW21" s="33"/>
      <c r="AX21" s="33"/>
      <c r="AY21" s="164">
        <f t="shared" si="24"/>
        <v>0</v>
      </c>
      <c r="AZ21" s="198"/>
    </row>
    <row r="22" spans="2:55" x14ac:dyDescent="0.3">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5">
        <f t="shared" si="7"/>
        <v>0</v>
      </c>
      <c r="AD22" s="100">
        <f t="shared" si="8"/>
        <v>0</v>
      </c>
      <c r="AE22" s="100">
        <f t="shared" si="9"/>
        <v>0</v>
      </c>
      <c r="AF22" s="194">
        <f t="shared" si="25"/>
        <v>0</v>
      </c>
      <c r="AG22" s="194">
        <f t="shared" si="26"/>
        <v>0</v>
      </c>
      <c r="AH22" s="194">
        <f t="shared" si="27"/>
        <v>0</v>
      </c>
      <c r="AI22" s="199">
        <f t="shared" si="28"/>
        <v>0</v>
      </c>
      <c r="AK22" s="71">
        <v>17</v>
      </c>
      <c r="AL22" s="33">
        <f t="shared" si="10"/>
        <v>0</v>
      </c>
      <c r="AM22" s="33">
        <f t="shared" si="11"/>
        <v>0</v>
      </c>
      <c r="AN22" s="33">
        <f t="shared" si="12"/>
        <v>0</v>
      </c>
      <c r="AO22" s="33">
        <f t="shared" si="13"/>
        <v>0</v>
      </c>
      <c r="AP22" s="33">
        <f t="shared" si="14"/>
        <v>0</v>
      </c>
      <c r="AQ22" s="194">
        <f t="shared" si="17"/>
        <v>0</v>
      </c>
      <c r="AR22" s="194">
        <f t="shared" si="17"/>
        <v>0</v>
      </c>
      <c r="AS22" s="194">
        <f t="shared" si="17"/>
        <v>0</v>
      </c>
      <c r="AT22" s="194">
        <f t="shared" si="17"/>
        <v>0</v>
      </c>
      <c r="AU22" s="33"/>
      <c r="AV22" s="33"/>
      <c r="AW22" s="33"/>
      <c r="AX22" s="33"/>
      <c r="AY22" s="164">
        <f t="shared" si="24"/>
        <v>0</v>
      </c>
      <c r="AZ22" s="198"/>
    </row>
    <row r="23" spans="2:55" x14ac:dyDescent="0.3">
      <c r="B23" s="385" t="s">
        <v>142</v>
      </c>
      <c r="C23" s="386"/>
      <c r="D23" s="386"/>
      <c r="E23" s="386"/>
      <c r="F23" s="386"/>
      <c r="G23" s="387"/>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5">
        <f t="shared" si="7"/>
        <v>0</v>
      </c>
      <c r="AD23" s="100">
        <f t="shared" si="8"/>
        <v>0</v>
      </c>
      <c r="AE23" s="100">
        <f t="shared" si="9"/>
        <v>0</v>
      </c>
      <c r="AF23" s="194">
        <f t="shared" si="25"/>
        <v>0</v>
      </c>
      <c r="AG23" s="194">
        <f t="shared" si="26"/>
        <v>0</v>
      </c>
      <c r="AH23" s="194">
        <f t="shared" si="27"/>
        <v>0</v>
      </c>
      <c r="AI23" s="199">
        <f t="shared" si="28"/>
        <v>0</v>
      </c>
      <c r="AK23" s="71">
        <v>18</v>
      </c>
      <c r="AL23" s="33">
        <f t="shared" si="10"/>
        <v>0</v>
      </c>
      <c r="AM23" s="33">
        <f t="shared" si="11"/>
        <v>0</v>
      </c>
      <c r="AN23" s="33">
        <f t="shared" si="12"/>
        <v>0</v>
      </c>
      <c r="AO23" s="33">
        <f t="shared" si="13"/>
        <v>0</v>
      </c>
      <c r="AP23" s="33">
        <f t="shared" si="14"/>
        <v>0</v>
      </c>
      <c r="AQ23" s="194">
        <f t="shared" si="17"/>
        <v>0</v>
      </c>
      <c r="AR23" s="194">
        <f t="shared" si="17"/>
        <v>0</v>
      </c>
      <c r="AS23" s="194">
        <f t="shared" si="17"/>
        <v>0</v>
      </c>
      <c r="AT23" s="194">
        <f t="shared" si="17"/>
        <v>0</v>
      </c>
      <c r="AU23" s="33"/>
      <c r="AV23" s="33"/>
      <c r="AW23" s="33"/>
      <c r="AX23" s="33"/>
      <c r="AY23" s="164">
        <f t="shared" si="24"/>
        <v>0</v>
      </c>
      <c r="AZ23" s="198"/>
    </row>
    <row r="24" spans="2:55" x14ac:dyDescent="0.3">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5">
        <f t="shared" si="7"/>
        <v>0</v>
      </c>
      <c r="AD24" s="100">
        <f t="shared" si="8"/>
        <v>0</v>
      </c>
      <c r="AE24" s="100">
        <f t="shared" si="9"/>
        <v>0</v>
      </c>
      <c r="AF24" s="194">
        <f t="shared" si="25"/>
        <v>0</v>
      </c>
      <c r="AG24" s="194">
        <f t="shared" si="26"/>
        <v>0</v>
      </c>
      <c r="AH24" s="194">
        <f t="shared" si="27"/>
        <v>0</v>
      </c>
      <c r="AI24" s="199">
        <f t="shared" si="28"/>
        <v>0</v>
      </c>
      <c r="AK24" s="71">
        <v>19</v>
      </c>
      <c r="AL24" s="33">
        <f t="shared" si="10"/>
        <v>0</v>
      </c>
      <c r="AM24" s="33">
        <f t="shared" si="11"/>
        <v>0</v>
      </c>
      <c r="AN24" s="33">
        <f t="shared" si="12"/>
        <v>0</v>
      </c>
      <c r="AO24" s="33">
        <f t="shared" si="13"/>
        <v>0</v>
      </c>
      <c r="AP24" s="33">
        <f t="shared" si="14"/>
        <v>0</v>
      </c>
      <c r="AQ24" s="194">
        <f t="shared" si="17"/>
        <v>0</v>
      </c>
      <c r="AR24" s="194">
        <f t="shared" si="17"/>
        <v>0</v>
      </c>
      <c r="AS24" s="194">
        <f t="shared" si="17"/>
        <v>0</v>
      </c>
      <c r="AT24" s="194">
        <f t="shared" si="17"/>
        <v>0</v>
      </c>
      <c r="AU24" s="33"/>
      <c r="AV24" s="33"/>
      <c r="AW24" s="33"/>
      <c r="AX24" s="33"/>
      <c r="AY24" s="164">
        <f t="shared" si="24"/>
        <v>0</v>
      </c>
      <c r="AZ24" s="198"/>
      <c r="BA24" s="5"/>
      <c r="BB24" s="5"/>
      <c r="BC24" s="5"/>
    </row>
    <row r="25" spans="2:55" x14ac:dyDescent="0.3">
      <c r="B25" s="45">
        <v>0</v>
      </c>
      <c r="C25" s="334">
        <v>15</v>
      </c>
      <c r="D25" s="344">
        <v>104.5542294737272</v>
      </c>
      <c r="E25" s="140">
        <f t="shared" ref="E25:E44" si="29">$F$20</f>
        <v>1.3</v>
      </c>
      <c r="F25" s="46">
        <f t="shared" ref="F25:F32" si="30">D25*E25</f>
        <v>135.92049831584538</v>
      </c>
      <c r="G25" s="50">
        <f>F25/(C25-B25)</f>
        <v>9.0613665543896911</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0</v>
      </c>
      <c r="AH25" s="194">
        <f>IF(OR(AA25&lt;=$F$18,AA25&lt;=30),EXP(-LN(2)/$D$105)*AH24+((1-EXP(-LN(2)/$D$105))/(LN(2)/$D$105))*$AB25*AE25*0.475*$F$19*44/12,)</f>
        <v>0</v>
      </c>
      <c r="AI25" s="199">
        <f>IF(OR(AA25&lt;=$F$18,AA25&lt;=30),SUM(AF25:AH25),)</f>
        <v>0</v>
      </c>
      <c r="AK25" s="71">
        <v>20</v>
      </c>
      <c r="AL25" s="33">
        <f t="shared" si="10"/>
        <v>0</v>
      </c>
      <c r="AM25" s="33">
        <f t="shared" si="11"/>
        <v>0</v>
      </c>
      <c r="AN25" s="33">
        <f t="shared" si="12"/>
        <v>0</v>
      </c>
      <c r="AO25" s="33">
        <f t="shared" si="13"/>
        <v>0</v>
      </c>
      <c r="AP25" s="33">
        <f t="shared" si="14"/>
        <v>0</v>
      </c>
      <c r="AQ25" s="194">
        <f>IF($AK25&lt;=$F$18,$AL25*AM25,)</f>
        <v>0</v>
      </c>
      <c r="AR25" s="194">
        <f>IF($AK25&lt;=$F$18,$AL25*AN25,)</f>
        <v>0</v>
      </c>
      <c r="AS25" s="194">
        <f>IF($AK25&lt;=$F$18,$AL25*AO25,)</f>
        <v>0</v>
      </c>
      <c r="AT25" s="194">
        <f>IF($AK25&lt;=$F$18,$AL25*AP25,)</f>
        <v>0</v>
      </c>
      <c r="AU25" s="33"/>
      <c r="AV25" s="33"/>
      <c r="AW25" s="33"/>
      <c r="AX25" s="33"/>
      <c r="AY25" s="164">
        <f t="shared" si="24"/>
        <v>0</v>
      </c>
      <c r="AZ25" s="198"/>
      <c r="BA25" s="5"/>
      <c r="BB25" s="5"/>
      <c r="BC25" s="5"/>
    </row>
    <row r="26" spans="2:55" x14ac:dyDescent="0.3">
      <c r="B26" s="40">
        <f t="shared" ref="B26:B42" si="31">C25</f>
        <v>15</v>
      </c>
      <c r="C26" s="41">
        <f>B26+1</f>
        <v>16</v>
      </c>
      <c r="D26" s="344">
        <v>77.788346728453035</v>
      </c>
      <c r="E26" s="141">
        <f t="shared" si="29"/>
        <v>1.3</v>
      </c>
      <c r="F26" s="42">
        <f t="shared" si="30"/>
        <v>101.12485074698895</v>
      </c>
      <c r="G26" s="142">
        <f>(F26-F25)/(C26-B26)</f>
        <v>-34.795647568856424</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5">
        <f t="shared" si="7"/>
        <v>0</v>
      </c>
      <c r="AD26" s="100">
        <f t="shared" si="8"/>
        <v>0</v>
      </c>
      <c r="AE26" s="100">
        <f t="shared" si="9"/>
        <v>0</v>
      </c>
      <c r="AF26" s="194">
        <f>IF(OR(AA26&lt;=$F$18,AA26&lt;=30),EXP(-LN(2)/$D$104)*AF25+((1-EXP(-LN(2)/$D$104))/(LN(2)/$D$104))*$AB26*AC26*0.475*$F$19*44/12,)</f>
        <v>0</v>
      </c>
      <c r="AG26" s="194">
        <f>IF(OR(AA26&lt;=$F$18,AA26&lt;=30),EXP(-LN(2)/$D$106)*AG25+((1-EXP(-LN(2)/$D$106))/(LN(2)/$D$106))*$AB26*AD26*0.475*$F$19*44/12,)</f>
        <v>0</v>
      </c>
      <c r="AH26" s="194">
        <f>IF(OR(AA26&lt;=$F$18,AA26&lt;=30),EXP(-LN(2)/$D$105)*AH25+((1-EXP(-LN(2)/$D$105))/(LN(2)/$D$105))*$AB26*AE26*0.475*$F$19*44/12,)</f>
        <v>0</v>
      </c>
      <c r="AI26" s="199">
        <f>IF(OR(AA26&lt;=$F$18,AA26&lt;=30),SUM(AF26:AH26),)</f>
        <v>0</v>
      </c>
      <c r="AK26" s="71">
        <v>21</v>
      </c>
      <c r="AL26" s="33">
        <f t="shared" si="10"/>
        <v>0</v>
      </c>
      <c r="AM26" s="33">
        <f t="shared" si="11"/>
        <v>0</v>
      </c>
      <c r="AN26" s="33">
        <f t="shared" si="12"/>
        <v>0</v>
      </c>
      <c r="AO26" s="33">
        <f t="shared" si="13"/>
        <v>0</v>
      </c>
      <c r="AP26" s="33">
        <f t="shared" si="14"/>
        <v>0</v>
      </c>
      <c r="AQ26" s="194">
        <f t="shared" ref="AQ26:AT41" si="32">IF($AK26&lt;=$F$18,$AL26*AM26,)</f>
        <v>0</v>
      </c>
      <c r="AR26" s="194">
        <f t="shared" si="32"/>
        <v>0</v>
      </c>
      <c r="AS26" s="194">
        <f t="shared" si="32"/>
        <v>0</v>
      </c>
      <c r="AT26" s="194">
        <f t="shared" si="32"/>
        <v>0</v>
      </c>
      <c r="AU26" s="33"/>
      <c r="AV26" s="33"/>
      <c r="AW26" s="33"/>
      <c r="AX26" s="33"/>
      <c r="AY26" s="164">
        <f t="shared" si="24"/>
        <v>0</v>
      </c>
      <c r="AZ26" s="198"/>
      <c r="BA26" s="5"/>
      <c r="BB26" s="5"/>
      <c r="BC26" s="158"/>
    </row>
    <row r="27" spans="2:55" x14ac:dyDescent="0.3">
      <c r="B27" s="40">
        <f t="shared" si="31"/>
        <v>16</v>
      </c>
      <c r="C27" s="152">
        <f>C25+5</f>
        <v>20</v>
      </c>
      <c r="D27" s="137">
        <v>152.20704077372307</v>
      </c>
      <c r="E27" s="141">
        <f t="shared" si="29"/>
        <v>1.3</v>
      </c>
      <c r="F27" s="42">
        <f t="shared" si="30"/>
        <v>197.86915300583999</v>
      </c>
      <c r="G27" s="51">
        <f t="shared" ref="G27:G32" si="33">(F27-F26)/(C27-B27)</f>
        <v>24.186075564712759</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5">
        <f t="shared" si="7"/>
        <v>0</v>
      </c>
      <c r="AD27" s="100">
        <f t="shared" si="8"/>
        <v>0</v>
      </c>
      <c r="AE27" s="100">
        <f t="shared" si="9"/>
        <v>0</v>
      </c>
      <c r="AF27" s="194">
        <f t="shared" ref="AF27:AF90" si="34">IF(OR(AA27&lt;=$F$18,AA27&lt;=30),EXP(-LN(2)/$D$104)*AF26+((1-EXP(-LN(2)/$D$104))/(LN(2)/$D$104))*$AB27*AC27*0.475*$F$19*44/12,)</f>
        <v>0</v>
      </c>
      <c r="AG27" s="194">
        <f t="shared" ref="AG27:AG90" si="35">IF(OR(AA27&lt;=$F$18,AA27&lt;=30),EXP(-LN(2)/$D$106)*AG26+((1-EXP(-LN(2)/$D$106))/(LN(2)/$D$106))*$AB27*AD27*0.475*$F$19*44/12,)</f>
        <v>0</v>
      </c>
      <c r="AH27" s="194">
        <f t="shared" ref="AH27:AH90" si="36">IF(OR(AA27&lt;=$F$18,AA27&lt;=30),EXP(-LN(2)/$D$105)*AH26+((1-EXP(-LN(2)/$D$105))/(LN(2)/$D$105))*$AB27*AE27*0.475*$F$19*44/12,)</f>
        <v>0</v>
      </c>
      <c r="AI27" s="199">
        <f t="shared" ref="AI27:AI90" si="37">IF(OR(AA27&lt;=$F$18,AA27&lt;=30),SUM(AF27:AH27),)</f>
        <v>0</v>
      </c>
      <c r="AK27" s="71">
        <v>22</v>
      </c>
      <c r="AL27" s="33">
        <f t="shared" si="10"/>
        <v>0</v>
      </c>
      <c r="AM27" s="33">
        <f t="shared" si="11"/>
        <v>0</v>
      </c>
      <c r="AN27" s="33">
        <f t="shared" si="12"/>
        <v>0</v>
      </c>
      <c r="AO27" s="33">
        <f t="shared" si="13"/>
        <v>0</v>
      </c>
      <c r="AP27" s="33">
        <f t="shared" si="14"/>
        <v>0</v>
      </c>
      <c r="AQ27" s="194">
        <f t="shared" si="32"/>
        <v>0</v>
      </c>
      <c r="AR27" s="194">
        <f t="shared" si="32"/>
        <v>0</v>
      </c>
      <c r="AS27" s="194">
        <f t="shared" si="32"/>
        <v>0</v>
      </c>
      <c r="AT27" s="194">
        <f t="shared" si="32"/>
        <v>0</v>
      </c>
      <c r="AU27" s="33"/>
      <c r="AV27" s="33"/>
      <c r="AW27" s="33"/>
      <c r="AX27" s="33"/>
      <c r="AY27" s="164">
        <f t="shared" si="24"/>
        <v>0</v>
      </c>
      <c r="AZ27" s="198"/>
    </row>
    <row r="28" spans="2:55" x14ac:dyDescent="0.3">
      <c r="B28" s="40">
        <f t="shared" si="31"/>
        <v>20</v>
      </c>
      <c r="C28" s="152">
        <f>C26+5</f>
        <v>21</v>
      </c>
      <c r="D28" s="137">
        <v>112.09600885217722</v>
      </c>
      <c r="E28" s="141">
        <f t="shared" si="29"/>
        <v>1.3</v>
      </c>
      <c r="F28" s="42">
        <f t="shared" si="30"/>
        <v>145.7248115078304</v>
      </c>
      <c r="G28" s="51">
        <f t="shared" si="33"/>
        <v>-52.144341498009595</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5">
        <f t="shared" si="7"/>
        <v>0</v>
      </c>
      <c r="AD28" s="100">
        <f t="shared" si="8"/>
        <v>0</v>
      </c>
      <c r="AE28" s="100">
        <f t="shared" si="9"/>
        <v>0</v>
      </c>
      <c r="AF28" s="194">
        <f t="shared" si="34"/>
        <v>0</v>
      </c>
      <c r="AG28" s="194">
        <f t="shared" si="35"/>
        <v>0</v>
      </c>
      <c r="AH28" s="194">
        <f t="shared" si="36"/>
        <v>0</v>
      </c>
      <c r="AI28" s="199">
        <f t="shared" si="37"/>
        <v>0</v>
      </c>
      <c r="AK28" s="71">
        <v>23</v>
      </c>
      <c r="AL28" s="33">
        <f t="shared" si="10"/>
        <v>0</v>
      </c>
      <c r="AM28" s="33">
        <f t="shared" si="11"/>
        <v>0</v>
      </c>
      <c r="AN28" s="33">
        <f t="shared" si="12"/>
        <v>0</v>
      </c>
      <c r="AO28" s="33">
        <f t="shared" si="13"/>
        <v>0</v>
      </c>
      <c r="AP28" s="33">
        <f t="shared" si="14"/>
        <v>0</v>
      </c>
      <c r="AQ28" s="194">
        <f t="shared" si="32"/>
        <v>0</v>
      </c>
      <c r="AR28" s="194">
        <f t="shared" si="32"/>
        <v>0</v>
      </c>
      <c r="AS28" s="194">
        <f t="shared" si="32"/>
        <v>0</v>
      </c>
      <c r="AT28" s="194">
        <f t="shared" si="32"/>
        <v>0</v>
      </c>
      <c r="AU28" s="33"/>
      <c r="AV28" s="33"/>
      <c r="AW28" s="33"/>
      <c r="AX28" s="33"/>
      <c r="AY28" s="164">
        <f t="shared" si="24"/>
        <v>0</v>
      </c>
      <c r="AZ28" s="198"/>
    </row>
    <row r="29" spans="2:55" x14ac:dyDescent="0.3">
      <c r="B29" s="40">
        <f t="shared" si="31"/>
        <v>21</v>
      </c>
      <c r="C29" s="152">
        <f t="shared" ref="C29:C42" si="38">C27+5</f>
        <v>25</v>
      </c>
      <c r="D29" s="137">
        <v>197.95051586855931</v>
      </c>
      <c r="E29" s="141">
        <f t="shared" si="29"/>
        <v>1.3</v>
      </c>
      <c r="F29" s="42">
        <f t="shared" si="30"/>
        <v>257.33567062912709</v>
      </c>
      <c r="G29" s="51">
        <f t="shared" si="33"/>
        <v>27.902714780324175</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5">
        <f t="shared" si="7"/>
        <v>0</v>
      </c>
      <c r="AD29" s="100">
        <f t="shared" si="8"/>
        <v>0</v>
      </c>
      <c r="AE29" s="100">
        <f t="shared" si="9"/>
        <v>0</v>
      </c>
      <c r="AF29" s="194">
        <f t="shared" si="34"/>
        <v>0</v>
      </c>
      <c r="AG29" s="194">
        <f t="shared" si="35"/>
        <v>0</v>
      </c>
      <c r="AH29" s="194">
        <f t="shared" si="36"/>
        <v>0</v>
      </c>
      <c r="AI29" s="199">
        <f t="shared" si="37"/>
        <v>0</v>
      </c>
      <c r="AK29" s="71">
        <v>24</v>
      </c>
      <c r="AL29" s="33">
        <f t="shared" si="10"/>
        <v>0</v>
      </c>
      <c r="AM29" s="33">
        <f t="shared" si="11"/>
        <v>0</v>
      </c>
      <c r="AN29" s="33">
        <f t="shared" si="12"/>
        <v>0</v>
      </c>
      <c r="AO29" s="33">
        <f t="shared" si="13"/>
        <v>0</v>
      </c>
      <c r="AP29" s="33">
        <f t="shared" si="14"/>
        <v>0</v>
      </c>
      <c r="AQ29" s="194">
        <f t="shared" si="32"/>
        <v>0</v>
      </c>
      <c r="AR29" s="194">
        <f t="shared" si="32"/>
        <v>0</v>
      </c>
      <c r="AS29" s="194">
        <f t="shared" si="32"/>
        <v>0</v>
      </c>
      <c r="AT29" s="194">
        <f t="shared" si="32"/>
        <v>0</v>
      </c>
      <c r="AU29" s="33"/>
      <c r="AV29" s="33"/>
      <c r="AW29" s="33"/>
      <c r="AX29" s="33"/>
      <c r="AY29" s="164">
        <f t="shared" si="24"/>
        <v>0</v>
      </c>
      <c r="AZ29" s="198"/>
    </row>
    <row r="30" spans="2:55" x14ac:dyDescent="0.3">
      <c r="B30" s="40">
        <f t="shared" si="31"/>
        <v>25</v>
      </c>
      <c r="C30" s="152">
        <f t="shared" si="38"/>
        <v>26</v>
      </c>
      <c r="D30" s="137">
        <v>157.66584948127354</v>
      </c>
      <c r="E30" s="141">
        <f t="shared" si="29"/>
        <v>1.3</v>
      </c>
      <c r="F30" s="42">
        <f t="shared" si="30"/>
        <v>204.96560432565562</v>
      </c>
      <c r="G30" s="51">
        <f t="shared" si="33"/>
        <v>-52.370066303471475</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5">
        <f>IF(AA30&lt;=$F$18,IFERROR(VLOOKUP($AA30,$B$82:$G$94,3,FALSE),0),)*50%</f>
        <v>0</v>
      </c>
      <c r="AD30" s="100">
        <f t="shared" si="8"/>
        <v>0</v>
      </c>
      <c r="AE30" s="100">
        <f t="shared" si="9"/>
        <v>0</v>
      </c>
      <c r="AF30" s="194">
        <f t="shared" si="34"/>
        <v>0</v>
      </c>
      <c r="AG30" s="194">
        <f t="shared" si="35"/>
        <v>0</v>
      </c>
      <c r="AH30" s="194">
        <f t="shared" si="36"/>
        <v>0</v>
      </c>
      <c r="AI30" s="199">
        <f t="shared" si="37"/>
        <v>0</v>
      </c>
      <c r="AK30" s="71">
        <v>25</v>
      </c>
      <c r="AL30" s="33">
        <f t="shared" si="10"/>
        <v>0</v>
      </c>
      <c r="AM30" s="33">
        <f t="shared" si="11"/>
        <v>0</v>
      </c>
      <c r="AN30" s="33">
        <f t="shared" si="12"/>
        <v>0</v>
      </c>
      <c r="AO30" s="33">
        <f t="shared" si="13"/>
        <v>0</v>
      </c>
      <c r="AP30" s="33">
        <f t="shared" si="14"/>
        <v>0</v>
      </c>
      <c r="AQ30" s="194">
        <f t="shared" si="32"/>
        <v>0</v>
      </c>
      <c r="AR30" s="194">
        <f t="shared" si="32"/>
        <v>0</v>
      </c>
      <c r="AS30" s="194">
        <f t="shared" si="32"/>
        <v>0</v>
      </c>
      <c r="AT30" s="194">
        <f t="shared" si="32"/>
        <v>0</v>
      </c>
      <c r="AU30" s="33"/>
      <c r="AV30" s="33"/>
      <c r="AW30" s="33"/>
      <c r="AX30" s="33"/>
      <c r="AY30" s="164">
        <f t="shared" si="24"/>
        <v>0</v>
      </c>
      <c r="AZ30" s="198"/>
    </row>
    <row r="31" spans="2:55" x14ac:dyDescent="0.3">
      <c r="B31" s="40">
        <f t="shared" si="31"/>
        <v>26</v>
      </c>
      <c r="C31" s="152">
        <f t="shared" si="38"/>
        <v>30</v>
      </c>
      <c r="D31" s="137">
        <v>211.97075954647852</v>
      </c>
      <c r="E31" s="141">
        <f t="shared" si="29"/>
        <v>1.3</v>
      </c>
      <c r="F31" s="42">
        <f t="shared" si="30"/>
        <v>275.56198741042209</v>
      </c>
      <c r="G31" s="51">
        <f t="shared" si="33"/>
        <v>17.649095771191618</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5">
        <f t="shared" ref="AC31:AC94" si="39">IF(AA31&lt;=$F$18,IFERROR(VLOOKUP($AA31,$B$82:$G$94,3,FALSE),0),)*50%</f>
        <v>0</v>
      </c>
      <c r="AD31" s="100">
        <f t="shared" si="8"/>
        <v>0</v>
      </c>
      <c r="AE31" s="100">
        <f t="shared" si="9"/>
        <v>0</v>
      </c>
      <c r="AF31" s="194">
        <f t="shared" si="34"/>
        <v>0</v>
      </c>
      <c r="AG31" s="194">
        <f t="shared" si="35"/>
        <v>0</v>
      </c>
      <c r="AH31" s="194">
        <f t="shared" si="36"/>
        <v>0</v>
      </c>
      <c r="AI31" s="199">
        <f t="shared" si="37"/>
        <v>0</v>
      </c>
      <c r="AK31" s="71">
        <v>26</v>
      </c>
      <c r="AL31" s="33">
        <f t="shared" si="10"/>
        <v>0</v>
      </c>
      <c r="AM31" s="33">
        <f t="shared" si="11"/>
        <v>0</v>
      </c>
      <c r="AN31" s="33">
        <f t="shared" si="12"/>
        <v>0</v>
      </c>
      <c r="AO31" s="33">
        <f t="shared" si="13"/>
        <v>0</v>
      </c>
      <c r="AP31" s="33">
        <f t="shared" si="14"/>
        <v>0</v>
      </c>
      <c r="AQ31" s="194">
        <f t="shared" si="32"/>
        <v>0</v>
      </c>
      <c r="AR31" s="194">
        <f t="shared" si="32"/>
        <v>0</v>
      </c>
      <c r="AS31" s="194">
        <f t="shared" si="32"/>
        <v>0</v>
      </c>
      <c r="AT31" s="194">
        <f t="shared" si="32"/>
        <v>0</v>
      </c>
      <c r="AU31" s="33"/>
      <c r="AV31" s="33"/>
      <c r="AW31" s="33"/>
      <c r="AX31" s="33"/>
      <c r="AY31" s="164">
        <f t="shared" si="24"/>
        <v>0</v>
      </c>
      <c r="AZ31" s="198"/>
    </row>
    <row r="32" spans="2:55" x14ac:dyDescent="0.3">
      <c r="B32" s="40">
        <f t="shared" si="31"/>
        <v>30</v>
      </c>
      <c r="C32" s="152">
        <f t="shared" si="38"/>
        <v>31</v>
      </c>
      <c r="D32" s="137">
        <v>172.0703812789061</v>
      </c>
      <c r="E32" s="141">
        <f t="shared" si="29"/>
        <v>1.3</v>
      </c>
      <c r="F32" s="42">
        <f t="shared" si="30"/>
        <v>223.69149566257792</v>
      </c>
      <c r="G32" s="51">
        <f t="shared" si="33"/>
        <v>-51.87049174784417</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5">
        <f t="shared" si="39"/>
        <v>0</v>
      </c>
      <c r="AD32" s="100">
        <f t="shared" si="8"/>
        <v>0</v>
      </c>
      <c r="AE32" s="100">
        <f t="shared" si="9"/>
        <v>0</v>
      </c>
      <c r="AF32" s="194">
        <f t="shared" si="34"/>
        <v>0</v>
      </c>
      <c r="AG32" s="194">
        <f t="shared" si="35"/>
        <v>0</v>
      </c>
      <c r="AH32" s="194">
        <f t="shared" si="36"/>
        <v>0</v>
      </c>
      <c r="AI32" s="199">
        <f t="shared" si="37"/>
        <v>0</v>
      </c>
      <c r="AK32" s="71">
        <v>27</v>
      </c>
      <c r="AL32" s="33">
        <f t="shared" si="10"/>
        <v>0</v>
      </c>
      <c r="AM32" s="33">
        <f t="shared" si="11"/>
        <v>0</v>
      </c>
      <c r="AN32" s="33">
        <f t="shared" si="12"/>
        <v>0</v>
      </c>
      <c r="AO32" s="33">
        <f t="shared" si="13"/>
        <v>0</v>
      </c>
      <c r="AP32" s="33">
        <f t="shared" si="14"/>
        <v>0</v>
      </c>
      <c r="AQ32" s="194">
        <f t="shared" si="32"/>
        <v>0</v>
      </c>
      <c r="AR32" s="194">
        <f t="shared" si="32"/>
        <v>0</v>
      </c>
      <c r="AS32" s="194">
        <f t="shared" si="32"/>
        <v>0</v>
      </c>
      <c r="AT32" s="194">
        <f t="shared" si="32"/>
        <v>0</v>
      </c>
      <c r="AU32" s="33"/>
      <c r="AV32" s="33"/>
      <c r="AW32" s="33"/>
      <c r="AX32" s="33"/>
      <c r="AY32" s="164">
        <f t="shared" si="24"/>
        <v>0</v>
      </c>
      <c r="AZ32" s="198"/>
    </row>
    <row r="33" spans="2:52" x14ac:dyDescent="0.3">
      <c r="B33" s="40">
        <f t="shared" si="31"/>
        <v>31</v>
      </c>
      <c r="C33" s="152">
        <f t="shared" si="38"/>
        <v>35</v>
      </c>
      <c r="D33" s="137">
        <v>229.94390295935816</v>
      </c>
      <c r="E33" s="141">
        <f t="shared" si="29"/>
        <v>1.3</v>
      </c>
      <c r="F33" s="42">
        <f t="shared" ref="F33:F44" si="40">D33*E33</f>
        <v>298.92707384716562</v>
      </c>
      <c r="G33" s="51">
        <f t="shared" ref="G33:G44" si="41">(F33-F32)/(C33-B33)</f>
        <v>18.808894546146924</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5">
        <f t="shared" si="39"/>
        <v>0</v>
      </c>
      <c r="AD33" s="100">
        <f t="shared" si="8"/>
        <v>0</v>
      </c>
      <c r="AE33" s="100">
        <f t="shared" si="9"/>
        <v>0</v>
      </c>
      <c r="AF33" s="194">
        <f t="shared" si="34"/>
        <v>0</v>
      </c>
      <c r="AG33" s="194">
        <f t="shared" si="35"/>
        <v>0</v>
      </c>
      <c r="AH33" s="194">
        <f t="shared" si="36"/>
        <v>0</v>
      </c>
      <c r="AI33" s="199">
        <f t="shared" si="37"/>
        <v>0</v>
      </c>
      <c r="AK33" s="71">
        <v>28</v>
      </c>
      <c r="AL33" s="33">
        <f t="shared" si="10"/>
        <v>0</v>
      </c>
      <c r="AM33" s="33">
        <f t="shared" si="11"/>
        <v>0</v>
      </c>
      <c r="AN33" s="33">
        <f t="shared" si="12"/>
        <v>0</v>
      </c>
      <c r="AO33" s="33">
        <f t="shared" si="13"/>
        <v>0</v>
      </c>
      <c r="AP33" s="33">
        <f t="shared" si="14"/>
        <v>0</v>
      </c>
      <c r="AQ33" s="194">
        <f t="shared" si="32"/>
        <v>0</v>
      </c>
      <c r="AR33" s="194">
        <f t="shared" si="32"/>
        <v>0</v>
      </c>
      <c r="AS33" s="194">
        <f t="shared" si="32"/>
        <v>0</v>
      </c>
      <c r="AT33" s="194">
        <f t="shared" si="32"/>
        <v>0</v>
      </c>
      <c r="AU33" s="33"/>
      <c r="AV33" s="33"/>
      <c r="AW33" s="33"/>
      <c r="AX33" s="33"/>
      <c r="AY33" s="164">
        <f t="shared" si="24"/>
        <v>0</v>
      </c>
      <c r="AZ33" s="198"/>
    </row>
    <row r="34" spans="2:52" ht="15" thickBot="1" x14ac:dyDescent="0.35">
      <c r="B34" s="40">
        <f t="shared" si="31"/>
        <v>35</v>
      </c>
      <c r="C34" s="152">
        <f t="shared" si="38"/>
        <v>36</v>
      </c>
      <c r="D34" s="137">
        <v>190.32279968020723</v>
      </c>
      <c r="E34" s="141">
        <f t="shared" si="29"/>
        <v>1.3</v>
      </c>
      <c r="F34" s="42">
        <f t="shared" si="40"/>
        <v>247.41963958426939</v>
      </c>
      <c r="G34" s="51">
        <f t="shared" si="41"/>
        <v>-51.507434262896226</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3">
        <f t="shared" si="6"/>
        <v>0</v>
      </c>
      <c r="AC34" s="305">
        <f t="shared" si="39"/>
        <v>0</v>
      </c>
      <c r="AD34" s="101">
        <f t="shared" si="8"/>
        <v>0</v>
      </c>
      <c r="AE34" s="101">
        <f t="shared" si="9"/>
        <v>0</v>
      </c>
      <c r="AF34" s="196">
        <f t="shared" si="34"/>
        <v>0</v>
      </c>
      <c r="AG34" s="196">
        <f t="shared" si="35"/>
        <v>0</v>
      </c>
      <c r="AH34" s="194">
        <f t="shared" si="36"/>
        <v>0</v>
      </c>
      <c r="AI34" s="199">
        <f t="shared" si="37"/>
        <v>0</v>
      </c>
      <c r="AK34" s="71">
        <v>29</v>
      </c>
      <c r="AL34" s="143">
        <f t="shared" si="10"/>
        <v>0</v>
      </c>
      <c r="AM34" s="35">
        <f t="shared" si="11"/>
        <v>0</v>
      </c>
      <c r="AN34" s="35">
        <f t="shared" si="12"/>
        <v>0</v>
      </c>
      <c r="AO34" s="35">
        <f t="shared" si="13"/>
        <v>0</v>
      </c>
      <c r="AP34" s="35">
        <f t="shared" si="14"/>
        <v>0</v>
      </c>
      <c r="AQ34" s="194">
        <f t="shared" si="32"/>
        <v>0</v>
      </c>
      <c r="AR34" s="194">
        <f t="shared" si="32"/>
        <v>0</v>
      </c>
      <c r="AS34" s="194">
        <f t="shared" si="32"/>
        <v>0</v>
      </c>
      <c r="AT34" s="194">
        <f t="shared" si="32"/>
        <v>0</v>
      </c>
      <c r="AU34" s="33"/>
      <c r="AV34" s="33"/>
      <c r="AW34" s="33"/>
      <c r="AX34" s="33"/>
      <c r="AY34" s="164">
        <f t="shared" si="24"/>
        <v>0</v>
      </c>
      <c r="AZ34" s="198"/>
    </row>
    <row r="35" spans="2:52" ht="15" thickBot="1" x14ac:dyDescent="0.35">
      <c r="B35" s="40">
        <f t="shared" si="31"/>
        <v>36</v>
      </c>
      <c r="C35" s="152">
        <f t="shared" si="38"/>
        <v>40</v>
      </c>
      <c r="D35" s="137">
        <v>298.4536041558946</v>
      </c>
      <c r="E35" s="141">
        <f t="shared" si="29"/>
        <v>1.3</v>
      </c>
      <c r="F35" s="42">
        <f t="shared" si="40"/>
        <v>387.98968540266299</v>
      </c>
      <c r="G35" s="51">
        <f t="shared" si="41"/>
        <v>35.142511454598399</v>
      </c>
      <c r="I35" s="87">
        <v>30</v>
      </c>
      <c r="J35" s="159">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3">
        <f t="shared" si="6"/>
        <v>0</v>
      </c>
      <c r="AC35" s="305">
        <f t="shared" si="39"/>
        <v>0</v>
      </c>
      <c r="AD35" s="101">
        <f t="shared" si="8"/>
        <v>0</v>
      </c>
      <c r="AE35" s="101">
        <f t="shared" si="9"/>
        <v>0</v>
      </c>
      <c r="AF35" s="200">
        <f t="shared" si="34"/>
        <v>0</v>
      </c>
      <c r="AG35" s="195">
        <f t="shared" si="35"/>
        <v>0</v>
      </c>
      <c r="AH35" s="201">
        <f t="shared" si="36"/>
        <v>0</v>
      </c>
      <c r="AI35" s="202">
        <f t="shared" si="37"/>
        <v>0</v>
      </c>
      <c r="AJ35" s="8"/>
      <c r="AK35" s="73">
        <v>30</v>
      </c>
      <c r="AL35" s="143">
        <f t="shared" si="10"/>
        <v>0</v>
      </c>
      <c r="AM35" s="35">
        <f t="shared" si="11"/>
        <v>0</v>
      </c>
      <c r="AN35" s="35">
        <f t="shared" si="12"/>
        <v>0</v>
      </c>
      <c r="AO35" s="35">
        <f t="shared" si="13"/>
        <v>0</v>
      </c>
      <c r="AP35" s="35">
        <f t="shared" si="14"/>
        <v>0</v>
      </c>
      <c r="AQ35" s="195">
        <f t="shared" si="32"/>
        <v>0</v>
      </c>
      <c r="AR35" s="195">
        <f t="shared" si="32"/>
        <v>0</v>
      </c>
      <c r="AS35" s="195">
        <f t="shared" si="32"/>
        <v>0</v>
      </c>
      <c r="AT35" s="195">
        <f t="shared" si="32"/>
        <v>0</v>
      </c>
      <c r="AU35" s="53"/>
      <c r="AV35" s="53"/>
      <c r="AW35" s="53"/>
      <c r="AX35" s="53"/>
      <c r="AY35" s="165">
        <f t="shared" si="24"/>
        <v>0</v>
      </c>
      <c r="AZ35" s="198"/>
    </row>
    <row r="36" spans="2:52" x14ac:dyDescent="0.3">
      <c r="B36" s="40">
        <f t="shared" si="31"/>
        <v>40</v>
      </c>
      <c r="C36" s="152">
        <f t="shared" si="38"/>
        <v>41</v>
      </c>
      <c r="D36" s="137">
        <v>269.42752814387029</v>
      </c>
      <c r="E36" s="141">
        <f t="shared" si="29"/>
        <v>1.3</v>
      </c>
      <c r="F36" s="42">
        <f t="shared" si="40"/>
        <v>350.25578658703137</v>
      </c>
      <c r="G36" s="51">
        <f t="shared" si="41"/>
        <v>-37.733898815631619</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5">
        <f t="shared" si="39"/>
        <v>0</v>
      </c>
      <c r="AD36" s="100">
        <f t="shared" si="8"/>
        <v>0</v>
      </c>
      <c r="AE36" s="100">
        <f t="shared" si="9"/>
        <v>0</v>
      </c>
      <c r="AF36" s="194">
        <f t="shared" si="34"/>
        <v>0</v>
      </c>
      <c r="AG36" s="194">
        <f t="shared" si="35"/>
        <v>0</v>
      </c>
      <c r="AH36" s="194">
        <f t="shared" si="36"/>
        <v>0</v>
      </c>
      <c r="AI36" s="199">
        <f t="shared" si="37"/>
        <v>0</v>
      </c>
      <c r="AK36" s="71">
        <v>31</v>
      </c>
      <c r="AL36" s="33">
        <f t="shared" si="10"/>
        <v>0</v>
      </c>
      <c r="AM36" s="33">
        <f t="shared" si="11"/>
        <v>0</v>
      </c>
      <c r="AN36" s="33">
        <f t="shared" si="12"/>
        <v>0</v>
      </c>
      <c r="AO36" s="33">
        <f t="shared" si="13"/>
        <v>0</v>
      </c>
      <c r="AP36" s="33">
        <f t="shared" si="14"/>
        <v>0</v>
      </c>
      <c r="AQ36" s="194">
        <f t="shared" si="32"/>
        <v>0</v>
      </c>
      <c r="AR36" s="194">
        <f t="shared" si="32"/>
        <v>0</v>
      </c>
      <c r="AS36" s="194">
        <f t="shared" si="32"/>
        <v>0</v>
      </c>
      <c r="AT36" s="194">
        <f t="shared" si="32"/>
        <v>0</v>
      </c>
      <c r="AU36" s="33"/>
      <c r="AV36" s="33"/>
      <c r="AW36" s="33"/>
      <c r="AX36" s="33"/>
      <c r="AY36" s="76"/>
    </row>
    <row r="37" spans="2:52" x14ac:dyDescent="0.3">
      <c r="B37" s="40">
        <f t="shared" si="31"/>
        <v>41</v>
      </c>
      <c r="C37" s="152">
        <f t="shared" ref="C36:C40" si="42">C35+10</f>
        <v>50</v>
      </c>
      <c r="D37" s="137">
        <v>353.47474463678287</v>
      </c>
      <c r="E37" s="141">
        <f t="shared" si="29"/>
        <v>1.3</v>
      </c>
      <c r="F37" s="42">
        <f t="shared" si="40"/>
        <v>459.51716802781777</v>
      </c>
      <c r="G37" s="51">
        <f t="shared" si="41"/>
        <v>12.140153493420712</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5">
        <f t="shared" si="39"/>
        <v>0</v>
      </c>
      <c r="AD37" s="100">
        <f t="shared" si="8"/>
        <v>0</v>
      </c>
      <c r="AE37" s="100">
        <f t="shared" si="9"/>
        <v>0</v>
      </c>
      <c r="AF37" s="194">
        <f t="shared" si="34"/>
        <v>0</v>
      </c>
      <c r="AG37" s="194">
        <f t="shared" si="35"/>
        <v>0</v>
      </c>
      <c r="AH37" s="194">
        <f t="shared" si="36"/>
        <v>0</v>
      </c>
      <c r="AI37" s="199">
        <f t="shared" si="37"/>
        <v>0</v>
      </c>
      <c r="AK37" s="71">
        <v>32</v>
      </c>
      <c r="AL37" s="33">
        <f t="shared" si="10"/>
        <v>0</v>
      </c>
      <c r="AM37" s="33">
        <f t="shared" si="11"/>
        <v>0</v>
      </c>
      <c r="AN37" s="33">
        <f t="shared" si="12"/>
        <v>0</v>
      </c>
      <c r="AO37" s="33">
        <f t="shared" si="13"/>
        <v>0</v>
      </c>
      <c r="AP37" s="33">
        <f t="shared" si="14"/>
        <v>0</v>
      </c>
      <c r="AQ37" s="194">
        <f t="shared" si="32"/>
        <v>0</v>
      </c>
      <c r="AR37" s="194">
        <f t="shared" si="32"/>
        <v>0</v>
      </c>
      <c r="AS37" s="194">
        <f t="shared" si="32"/>
        <v>0</v>
      </c>
      <c r="AT37" s="194">
        <f t="shared" si="32"/>
        <v>0</v>
      </c>
      <c r="AU37" s="33"/>
      <c r="AV37" s="33"/>
      <c r="AW37" s="33"/>
      <c r="AX37" s="33"/>
      <c r="AY37" s="76"/>
    </row>
    <row r="38" spans="2:52" x14ac:dyDescent="0.3">
      <c r="B38" s="40">
        <f t="shared" si="31"/>
        <v>50</v>
      </c>
      <c r="C38" s="152">
        <f t="shared" si="42"/>
        <v>51</v>
      </c>
      <c r="D38" s="137">
        <v>323.17690938220153</v>
      </c>
      <c r="E38" s="141">
        <f t="shared" si="29"/>
        <v>1.3</v>
      </c>
      <c r="F38" s="42">
        <f t="shared" ref="F38" si="43">D38*E38</f>
        <v>420.12998219686199</v>
      </c>
      <c r="G38" s="51">
        <f t="shared" ref="G38" si="44">(F38-F37)/(C38-B38)</f>
        <v>-39.387185830955787</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5">
        <f t="shared" si="39"/>
        <v>0</v>
      </c>
      <c r="AD38" s="100">
        <f t="shared" si="8"/>
        <v>0</v>
      </c>
      <c r="AE38" s="100">
        <f t="shared" si="9"/>
        <v>0</v>
      </c>
      <c r="AF38" s="194">
        <f t="shared" si="34"/>
        <v>0</v>
      </c>
      <c r="AG38" s="194">
        <f t="shared" si="35"/>
        <v>0</v>
      </c>
      <c r="AH38" s="194">
        <f t="shared" si="36"/>
        <v>0</v>
      </c>
      <c r="AI38" s="199">
        <f t="shared" si="37"/>
        <v>0</v>
      </c>
      <c r="AK38" s="71">
        <v>33</v>
      </c>
      <c r="AL38" s="33">
        <f t="shared" si="10"/>
        <v>0</v>
      </c>
      <c r="AM38" s="33">
        <f t="shared" si="11"/>
        <v>0</v>
      </c>
      <c r="AN38" s="33">
        <f t="shared" si="12"/>
        <v>0</v>
      </c>
      <c r="AO38" s="33">
        <f t="shared" si="13"/>
        <v>0</v>
      </c>
      <c r="AP38" s="33">
        <f t="shared" si="14"/>
        <v>0</v>
      </c>
      <c r="AQ38" s="194">
        <f t="shared" si="32"/>
        <v>0</v>
      </c>
      <c r="AR38" s="194">
        <f t="shared" si="32"/>
        <v>0</v>
      </c>
      <c r="AS38" s="194">
        <f t="shared" si="32"/>
        <v>0</v>
      </c>
      <c r="AT38" s="194">
        <f t="shared" si="32"/>
        <v>0</v>
      </c>
      <c r="AU38" s="33"/>
      <c r="AV38" s="33"/>
      <c r="AW38" s="33"/>
      <c r="AX38" s="33"/>
      <c r="AY38" s="76"/>
    </row>
    <row r="39" spans="2:52" x14ac:dyDescent="0.3">
      <c r="B39" s="40">
        <f t="shared" si="31"/>
        <v>51</v>
      </c>
      <c r="C39" s="152">
        <f t="shared" si="42"/>
        <v>60</v>
      </c>
      <c r="D39" s="137">
        <v>396.65306261171173</v>
      </c>
      <c r="E39" s="141">
        <f t="shared" si="29"/>
        <v>1.3</v>
      </c>
      <c r="F39" s="42">
        <f t="shared" ref="F39:F40" si="45">D39*E39</f>
        <v>515.64898139522529</v>
      </c>
      <c r="G39" s="51">
        <f t="shared" ref="G39:G40" si="46">(F39-F38)/(C39-B39)</f>
        <v>10.613222133151478</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5">
        <f t="shared" si="39"/>
        <v>0</v>
      </c>
      <c r="AD39" s="100">
        <f t="shared" si="8"/>
        <v>0</v>
      </c>
      <c r="AE39" s="100">
        <f t="shared" si="9"/>
        <v>0</v>
      </c>
      <c r="AF39" s="194">
        <f t="shared" si="34"/>
        <v>0</v>
      </c>
      <c r="AG39" s="194">
        <f t="shared" si="35"/>
        <v>0</v>
      </c>
      <c r="AH39" s="194">
        <f t="shared" si="36"/>
        <v>0</v>
      </c>
      <c r="AI39" s="199">
        <f t="shared" si="37"/>
        <v>0</v>
      </c>
      <c r="AK39" s="71">
        <v>34</v>
      </c>
      <c r="AL39" s="33">
        <f t="shared" si="10"/>
        <v>0</v>
      </c>
      <c r="AM39" s="33">
        <f t="shared" si="11"/>
        <v>0</v>
      </c>
      <c r="AN39" s="33">
        <f t="shared" si="12"/>
        <v>0</v>
      </c>
      <c r="AO39" s="33">
        <f t="shared" si="13"/>
        <v>0</v>
      </c>
      <c r="AP39" s="33">
        <f t="shared" si="14"/>
        <v>0</v>
      </c>
      <c r="AQ39" s="194">
        <f t="shared" si="32"/>
        <v>0</v>
      </c>
      <c r="AR39" s="194">
        <f t="shared" si="32"/>
        <v>0</v>
      </c>
      <c r="AS39" s="194">
        <f t="shared" si="32"/>
        <v>0</v>
      </c>
      <c r="AT39" s="194">
        <f t="shared" si="32"/>
        <v>0</v>
      </c>
      <c r="AU39" s="33"/>
      <c r="AV39" s="33"/>
      <c r="AW39" s="33"/>
      <c r="AX39" s="33"/>
      <c r="AY39" s="76"/>
    </row>
    <row r="40" spans="2:52" x14ac:dyDescent="0.3">
      <c r="B40" s="40">
        <f t="shared" si="31"/>
        <v>60</v>
      </c>
      <c r="C40" s="152">
        <f t="shared" si="42"/>
        <v>61</v>
      </c>
      <c r="D40" s="137">
        <v>0</v>
      </c>
      <c r="E40" s="141">
        <f t="shared" si="29"/>
        <v>1.3</v>
      </c>
      <c r="F40" s="42">
        <f t="shared" si="45"/>
        <v>0</v>
      </c>
      <c r="G40" s="51">
        <f t="shared" si="46"/>
        <v>-515.64898139522529</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5">
        <f t="shared" si="39"/>
        <v>0</v>
      </c>
      <c r="AD40" s="100">
        <f t="shared" si="8"/>
        <v>0</v>
      </c>
      <c r="AE40" s="100">
        <f t="shared" si="9"/>
        <v>0</v>
      </c>
      <c r="AF40" s="194">
        <f t="shared" si="34"/>
        <v>0</v>
      </c>
      <c r="AG40" s="194">
        <f t="shared" si="35"/>
        <v>0</v>
      </c>
      <c r="AH40" s="194">
        <f t="shared" si="36"/>
        <v>0</v>
      </c>
      <c r="AI40" s="199">
        <f t="shared" si="37"/>
        <v>0</v>
      </c>
      <c r="AK40" s="71">
        <v>35</v>
      </c>
      <c r="AL40" s="33">
        <f t="shared" si="10"/>
        <v>0</v>
      </c>
      <c r="AM40" s="33">
        <f t="shared" si="11"/>
        <v>0</v>
      </c>
      <c r="AN40" s="33">
        <f t="shared" si="12"/>
        <v>0</v>
      </c>
      <c r="AO40" s="33">
        <f t="shared" si="13"/>
        <v>0</v>
      </c>
      <c r="AP40" s="33">
        <f t="shared" si="14"/>
        <v>0</v>
      </c>
      <c r="AQ40" s="194">
        <f t="shared" si="32"/>
        <v>0</v>
      </c>
      <c r="AR40" s="194">
        <f t="shared" si="32"/>
        <v>0</v>
      </c>
      <c r="AS40" s="194">
        <f t="shared" si="32"/>
        <v>0</v>
      </c>
      <c r="AT40" s="194">
        <f t="shared" si="32"/>
        <v>0</v>
      </c>
      <c r="AU40" s="33"/>
      <c r="AV40" s="33"/>
      <c r="AW40" s="33"/>
      <c r="AX40" s="33"/>
      <c r="AY40" s="76"/>
    </row>
    <row r="41" spans="2:52" x14ac:dyDescent="0.3">
      <c r="B41" s="40"/>
      <c r="C41" s="152"/>
      <c r="D41" s="137"/>
      <c r="E41" s="141"/>
      <c r="F41" s="42"/>
      <c r="G41" s="51"/>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5">
        <f t="shared" si="39"/>
        <v>0</v>
      </c>
      <c r="AD41" s="100">
        <f t="shared" si="8"/>
        <v>0</v>
      </c>
      <c r="AE41" s="100">
        <f t="shared" si="9"/>
        <v>0</v>
      </c>
      <c r="AF41" s="194">
        <f t="shared" si="34"/>
        <v>0</v>
      </c>
      <c r="AG41" s="194">
        <f t="shared" si="35"/>
        <v>0</v>
      </c>
      <c r="AH41" s="194">
        <f t="shared" si="36"/>
        <v>0</v>
      </c>
      <c r="AI41" s="199">
        <f t="shared" si="37"/>
        <v>0</v>
      </c>
      <c r="AK41" s="71">
        <v>36</v>
      </c>
      <c r="AL41" s="33">
        <f t="shared" si="10"/>
        <v>0</v>
      </c>
      <c r="AM41" s="33">
        <f t="shared" si="11"/>
        <v>0</v>
      </c>
      <c r="AN41" s="33">
        <f t="shared" si="12"/>
        <v>0</v>
      </c>
      <c r="AO41" s="33">
        <f t="shared" si="13"/>
        <v>0</v>
      </c>
      <c r="AP41" s="33">
        <f t="shared" si="14"/>
        <v>0</v>
      </c>
      <c r="AQ41" s="194">
        <f t="shared" si="32"/>
        <v>0</v>
      </c>
      <c r="AR41" s="194">
        <f t="shared" si="32"/>
        <v>0</v>
      </c>
      <c r="AS41" s="194">
        <f t="shared" si="32"/>
        <v>0</v>
      </c>
      <c r="AT41" s="194">
        <f t="shared" si="32"/>
        <v>0</v>
      </c>
      <c r="AU41" s="33"/>
      <c r="AV41" s="33"/>
      <c r="AW41" s="33"/>
      <c r="AX41" s="33"/>
      <c r="AY41" s="76"/>
    </row>
    <row r="42" spans="2:52" x14ac:dyDescent="0.3">
      <c r="B42" s="40"/>
      <c r="C42" s="152"/>
      <c r="D42" s="137"/>
      <c r="E42" s="141"/>
      <c r="F42" s="42"/>
      <c r="G42" s="51"/>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5">
        <f t="shared" si="39"/>
        <v>0</v>
      </c>
      <c r="AD42" s="100">
        <f t="shared" si="8"/>
        <v>0</v>
      </c>
      <c r="AE42" s="100">
        <f t="shared" si="9"/>
        <v>0</v>
      </c>
      <c r="AF42" s="194">
        <f t="shared" si="34"/>
        <v>0</v>
      </c>
      <c r="AG42" s="194">
        <f t="shared" si="35"/>
        <v>0</v>
      </c>
      <c r="AH42" s="194">
        <f t="shared" si="36"/>
        <v>0</v>
      </c>
      <c r="AI42" s="199">
        <f t="shared" si="37"/>
        <v>0</v>
      </c>
      <c r="AK42" s="71">
        <v>37</v>
      </c>
      <c r="AL42" s="33">
        <f t="shared" si="10"/>
        <v>0</v>
      </c>
      <c r="AM42" s="33">
        <f t="shared" si="11"/>
        <v>0</v>
      </c>
      <c r="AN42" s="33">
        <f t="shared" si="12"/>
        <v>0</v>
      </c>
      <c r="AO42" s="33">
        <f t="shared" si="13"/>
        <v>0</v>
      </c>
      <c r="AP42" s="33">
        <f t="shared" si="14"/>
        <v>0</v>
      </c>
      <c r="AQ42" s="194">
        <f t="shared" ref="AQ42:AT105" si="47">IF($AK42&lt;=$F$18,$AL42*AM42,)</f>
        <v>0</v>
      </c>
      <c r="AR42" s="194">
        <f t="shared" si="47"/>
        <v>0</v>
      </c>
      <c r="AS42" s="194">
        <f t="shared" si="47"/>
        <v>0</v>
      </c>
      <c r="AT42" s="194">
        <f t="shared" si="47"/>
        <v>0</v>
      </c>
      <c r="AU42" s="33"/>
      <c r="AV42" s="33"/>
      <c r="AW42" s="33"/>
      <c r="AX42" s="33"/>
      <c r="AY42" s="76"/>
    </row>
    <row r="43" spans="2:52" x14ac:dyDescent="0.3">
      <c r="B43" s="40"/>
      <c r="C43" s="152"/>
      <c r="D43" s="137"/>
      <c r="E43" s="141"/>
      <c r="F43" s="42"/>
      <c r="G43" s="51"/>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5">
        <f t="shared" si="39"/>
        <v>0</v>
      </c>
      <c r="AD43" s="100">
        <f t="shared" si="8"/>
        <v>0</v>
      </c>
      <c r="AE43" s="100">
        <f t="shared" si="9"/>
        <v>0</v>
      </c>
      <c r="AF43" s="194">
        <f t="shared" si="34"/>
        <v>0</v>
      </c>
      <c r="AG43" s="194">
        <f t="shared" si="35"/>
        <v>0</v>
      </c>
      <c r="AH43" s="194">
        <f t="shared" si="36"/>
        <v>0</v>
      </c>
      <c r="AI43" s="199">
        <f t="shared" si="37"/>
        <v>0</v>
      </c>
      <c r="AK43" s="71">
        <v>38</v>
      </c>
      <c r="AL43" s="33">
        <f t="shared" si="10"/>
        <v>0</v>
      </c>
      <c r="AM43" s="33">
        <f t="shared" si="11"/>
        <v>0</v>
      </c>
      <c r="AN43" s="33">
        <f t="shared" si="12"/>
        <v>0</v>
      </c>
      <c r="AO43" s="33">
        <f t="shared" si="13"/>
        <v>0</v>
      </c>
      <c r="AP43" s="33">
        <f t="shared" si="14"/>
        <v>0</v>
      </c>
      <c r="AQ43" s="194">
        <f t="shared" si="47"/>
        <v>0</v>
      </c>
      <c r="AR43" s="194">
        <f t="shared" si="47"/>
        <v>0</v>
      </c>
      <c r="AS43" s="194">
        <f t="shared" si="47"/>
        <v>0</v>
      </c>
      <c r="AT43" s="194">
        <f t="shared" si="47"/>
        <v>0</v>
      </c>
      <c r="AU43" s="33"/>
      <c r="AV43" s="33"/>
      <c r="AW43" s="33"/>
      <c r="AX43" s="33"/>
      <c r="AY43" s="76"/>
    </row>
    <row r="44" spans="2:52" x14ac:dyDescent="0.3">
      <c r="B44" s="40"/>
      <c r="C44" s="41"/>
      <c r="D44" s="137"/>
      <c r="E44" s="141"/>
      <c r="F44" s="42"/>
      <c r="G44" s="51"/>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5">
        <f t="shared" si="39"/>
        <v>0</v>
      </c>
      <c r="AD44" s="100">
        <f t="shared" si="8"/>
        <v>0</v>
      </c>
      <c r="AE44" s="100">
        <f t="shared" si="9"/>
        <v>0</v>
      </c>
      <c r="AF44" s="194">
        <f t="shared" si="34"/>
        <v>0</v>
      </c>
      <c r="AG44" s="194">
        <f t="shared" si="35"/>
        <v>0</v>
      </c>
      <c r="AH44" s="194">
        <f t="shared" si="36"/>
        <v>0</v>
      </c>
      <c r="AI44" s="199">
        <f t="shared" si="37"/>
        <v>0</v>
      </c>
      <c r="AK44" s="71">
        <v>39</v>
      </c>
      <c r="AL44" s="33">
        <f t="shared" si="10"/>
        <v>0</v>
      </c>
      <c r="AM44" s="33">
        <f t="shared" si="11"/>
        <v>0</v>
      </c>
      <c r="AN44" s="33">
        <f t="shared" si="12"/>
        <v>0</v>
      </c>
      <c r="AO44" s="33">
        <f t="shared" si="13"/>
        <v>0</v>
      </c>
      <c r="AP44" s="33">
        <f t="shared" si="14"/>
        <v>0</v>
      </c>
      <c r="AQ44" s="194">
        <f t="shared" si="47"/>
        <v>0</v>
      </c>
      <c r="AR44" s="194">
        <f t="shared" si="47"/>
        <v>0</v>
      </c>
      <c r="AS44" s="194">
        <f t="shared" si="47"/>
        <v>0</v>
      </c>
      <c r="AT44" s="194">
        <f t="shared" si="47"/>
        <v>0</v>
      </c>
      <c r="AU44" s="33"/>
      <c r="AV44" s="33"/>
      <c r="AW44" s="33"/>
      <c r="AX44" s="33"/>
      <c r="AY44" s="76"/>
    </row>
    <row r="45" spans="2:52" x14ac:dyDescent="0.3">
      <c r="B45" s="40"/>
      <c r="C45" s="152"/>
      <c r="D45" s="137"/>
      <c r="E45" s="141"/>
      <c r="F45" s="42"/>
      <c r="G45" s="51"/>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5">
        <f t="shared" si="39"/>
        <v>0</v>
      </c>
      <c r="AD45" s="100">
        <f t="shared" si="8"/>
        <v>0</v>
      </c>
      <c r="AE45" s="100">
        <f t="shared" si="9"/>
        <v>0</v>
      </c>
      <c r="AF45" s="194">
        <f t="shared" si="34"/>
        <v>0</v>
      </c>
      <c r="AG45" s="194">
        <f t="shared" si="35"/>
        <v>0</v>
      </c>
      <c r="AH45" s="194">
        <f t="shared" si="36"/>
        <v>0</v>
      </c>
      <c r="AI45" s="199">
        <f t="shared" si="37"/>
        <v>0</v>
      </c>
      <c r="AK45" s="71">
        <v>40</v>
      </c>
      <c r="AL45" s="33">
        <f t="shared" si="10"/>
        <v>0</v>
      </c>
      <c r="AM45" s="33">
        <f t="shared" si="11"/>
        <v>0</v>
      </c>
      <c r="AN45" s="33">
        <f t="shared" si="12"/>
        <v>0</v>
      </c>
      <c r="AO45" s="33">
        <f t="shared" si="13"/>
        <v>0</v>
      </c>
      <c r="AP45" s="33">
        <f t="shared" si="14"/>
        <v>0</v>
      </c>
      <c r="AQ45" s="194">
        <f t="shared" si="47"/>
        <v>0</v>
      </c>
      <c r="AR45" s="194">
        <f t="shared" si="47"/>
        <v>0</v>
      </c>
      <c r="AS45" s="194">
        <f t="shared" si="47"/>
        <v>0</v>
      </c>
      <c r="AT45" s="194">
        <f t="shared" si="47"/>
        <v>0</v>
      </c>
      <c r="AU45" s="33"/>
      <c r="AV45" s="33"/>
      <c r="AW45" s="33"/>
      <c r="AX45" s="33"/>
      <c r="AY45" s="76"/>
    </row>
    <row r="46" spans="2:52" x14ac:dyDescent="0.3">
      <c r="B46" s="40"/>
      <c r="C46" s="41"/>
      <c r="D46" s="137"/>
      <c r="E46" s="141"/>
      <c r="F46" s="42"/>
      <c r="G46" s="51"/>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5">
        <f t="shared" si="39"/>
        <v>0</v>
      </c>
      <c r="AD46" s="100">
        <f t="shared" si="8"/>
        <v>0</v>
      </c>
      <c r="AE46" s="100">
        <f t="shared" si="9"/>
        <v>0</v>
      </c>
      <c r="AF46" s="194">
        <f t="shared" si="34"/>
        <v>0</v>
      </c>
      <c r="AG46" s="194">
        <f t="shared" si="35"/>
        <v>0</v>
      </c>
      <c r="AH46" s="194">
        <f t="shared" si="36"/>
        <v>0</v>
      </c>
      <c r="AI46" s="199">
        <f t="shared" si="37"/>
        <v>0</v>
      </c>
      <c r="AK46" s="71">
        <v>41</v>
      </c>
      <c r="AL46" s="33">
        <f t="shared" si="10"/>
        <v>0</v>
      </c>
      <c r="AM46" s="33">
        <f t="shared" si="11"/>
        <v>0</v>
      </c>
      <c r="AN46" s="33">
        <f t="shared" si="12"/>
        <v>0</v>
      </c>
      <c r="AO46" s="33">
        <f t="shared" si="13"/>
        <v>0</v>
      </c>
      <c r="AP46" s="33">
        <f t="shared" si="14"/>
        <v>0</v>
      </c>
      <c r="AQ46" s="194">
        <f t="shared" si="47"/>
        <v>0</v>
      </c>
      <c r="AR46" s="194">
        <f t="shared" si="47"/>
        <v>0</v>
      </c>
      <c r="AS46" s="194">
        <f t="shared" si="47"/>
        <v>0</v>
      </c>
      <c r="AT46" s="194">
        <f t="shared" si="47"/>
        <v>0</v>
      </c>
      <c r="AU46" s="33"/>
      <c r="AV46" s="33"/>
      <c r="AW46" s="33"/>
      <c r="AX46" s="33"/>
      <c r="AY46" s="76"/>
    </row>
    <row r="47" spans="2:52" x14ac:dyDescent="0.3">
      <c r="B47" s="40"/>
      <c r="C47" s="152"/>
      <c r="D47" s="137"/>
      <c r="E47" s="141"/>
      <c r="F47" s="42"/>
      <c r="G47" s="51"/>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5">
        <f t="shared" si="39"/>
        <v>0</v>
      </c>
      <c r="AD47" s="100">
        <f t="shared" si="8"/>
        <v>0</v>
      </c>
      <c r="AE47" s="100">
        <f t="shared" si="9"/>
        <v>0</v>
      </c>
      <c r="AF47" s="194">
        <f t="shared" si="34"/>
        <v>0</v>
      </c>
      <c r="AG47" s="194">
        <f t="shared" si="35"/>
        <v>0</v>
      </c>
      <c r="AH47" s="194">
        <f t="shared" si="36"/>
        <v>0</v>
      </c>
      <c r="AI47" s="199">
        <f t="shared" si="37"/>
        <v>0</v>
      </c>
      <c r="AK47" s="71">
        <v>42</v>
      </c>
      <c r="AL47" s="33">
        <f t="shared" si="10"/>
        <v>0</v>
      </c>
      <c r="AM47" s="33">
        <f t="shared" si="11"/>
        <v>0</v>
      </c>
      <c r="AN47" s="33">
        <f t="shared" si="12"/>
        <v>0</v>
      </c>
      <c r="AO47" s="33">
        <f t="shared" si="13"/>
        <v>0</v>
      </c>
      <c r="AP47" s="33">
        <f t="shared" si="14"/>
        <v>0</v>
      </c>
      <c r="AQ47" s="194">
        <f t="shared" si="47"/>
        <v>0</v>
      </c>
      <c r="AR47" s="194">
        <f t="shared" si="47"/>
        <v>0</v>
      </c>
      <c r="AS47" s="194">
        <f t="shared" si="47"/>
        <v>0</v>
      </c>
      <c r="AT47" s="194">
        <f t="shared" si="47"/>
        <v>0</v>
      </c>
      <c r="AU47" s="33"/>
      <c r="AV47" s="33"/>
      <c r="AW47" s="33"/>
      <c r="AX47" s="33"/>
      <c r="AY47" s="76"/>
    </row>
    <row r="48" spans="2:52" x14ac:dyDescent="0.3">
      <c r="B48" s="40"/>
      <c r="C48" s="152"/>
      <c r="D48" s="137"/>
      <c r="E48" s="141"/>
      <c r="F48" s="42"/>
      <c r="G48" s="51"/>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5">
        <f t="shared" si="39"/>
        <v>0</v>
      </c>
      <c r="AD48" s="100">
        <f t="shared" si="8"/>
        <v>0</v>
      </c>
      <c r="AE48" s="100">
        <f t="shared" si="9"/>
        <v>0</v>
      </c>
      <c r="AF48" s="194">
        <f t="shared" si="34"/>
        <v>0</v>
      </c>
      <c r="AG48" s="194">
        <f t="shared" si="35"/>
        <v>0</v>
      </c>
      <c r="AH48" s="194">
        <f t="shared" si="36"/>
        <v>0</v>
      </c>
      <c r="AI48" s="199">
        <f t="shared" si="37"/>
        <v>0</v>
      </c>
      <c r="AK48" s="71">
        <v>43</v>
      </c>
      <c r="AL48" s="33">
        <f t="shared" si="10"/>
        <v>0</v>
      </c>
      <c r="AM48" s="33">
        <f t="shared" si="11"/>
        <v>0</v>
      </c>
      <c r="AN48" s="33">
        <f t="shared" si="12"/>
        <v>0</v>
      </c>
      <c r="AO48" s="33">
        <f t="shared" si="13"/>
        <v>0</v>
      </c>
      <c r="AP48" s="33">
        <f t="shared" si="14"/>
        <v>0</v>
      </c>
      <c r="AQ48" s="194">
        <f t="shared" si="47"/>
        <v>0</v>
      </c>
      <c r="AR48" s="194">
        <f t="shared" si="47"/>
        <v>0</v>
      </c>
      <c r="AS48" s="194">
        <f t="shared" si="47"/>
        <v>0</v>
      </c>
      <c r="AT48" s="194">
        <f t="shared" si="47"/>
        <v>0</v>
      </c>
      <c r="AU48" s="33"/>
      <c r="AV48" s="33"/>
      <c r="AW48" s="33"/>
      <c r="AX48" s="33"/>
      <c r="AY48" s="76"/>
    </row>
    <row r="49" spans="2:51" x14ac:dyDescent="0.3">
      <c r="B49" s="40"/>
      <c r="C49" s="152"/>
      <c r="D49" s="137"/>
      <c r="E49" s="141"/>
      <c r="F49" s="42"/>
      <c r="G49" s="51"/>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5">
        <f t="shared" si="39"/>
        <v>0</v>
      </c>
      <c r="AD49" s="100">
        <f t="shared" si="8"/>
        <v>0</v>
      </c>
      <c r="AE49" s="100">
        <f t="shared" si="9"/>
        <v>0</v>
      </c>
      <c r="AF49" s="194">
        <f t="shared" si="34"/>
        <v>0</v>
      </c>
      <c r="AG49" s="194">
        <f t="shared" si="35"/>
        <v>0</v>
      </c>
      <c r="AH49" s="194">
        <f t="shared" si="36"/>
        <v>0</v>
      </c>
      <c r="AI49" s="199">
        <f t="shared" si="37"/>
        <v>0</v>
      </c>
      <c r="AK49" s="71">
        <v>44</v>
      </c>
      <c r="AL49" s="33">
        <f t="shared" si="10"/>
        <v>0</v>
      </c>
      <c r="AM49" s="33">
        <f t="shared" si="11"/>
        <v>0</v>
      </c>
      <c r="AN49" s="33">
        <f t="shared" si="12"/>
        <v>0</v>
      </c>
      <c r="AO49" s="33">
        <f t="shared" si="13"/>
        <v>0</v>
      </c>
      <c r="AP49" s="33">
        <f t="shared" si="14"/>
        <v>0</v>
      </c>
      <c r="AQ49" s="194">
        <f t="shared" si="47"/>
        <v>0</v>
      </c>
      <c r="AR49" s="194">
        <f t="shared" si="47"/>
        <v>0</v>
      </c>
      <c r="AS49" s="194">
        <f t="shared" si="47"/>
        <v>0</v>
      </c>
      <c r="AT49" s="194">
        <f t="shared" si="47"/>
        <v>0</v>
      </c>
      <c r="AU49" s="33"/>
      <c r="AV49" s="33"/>
      <c r="AW49" s="33"/>
      <c r="AX49" s="33"/>
      <c r="AY49" s="76"/>
    </row>
    <row r="50" spans="2:51" x14ac:dyDescent="0.3">
      <c r="B50" s="40"/>
      <c r="C50" s="152"/>
      <c r="D50" s="137"/>
      <c r="E50" s="141"/>
      <c r="F50" s="42"/>
      <c r="G50" s="51"/>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5">
        <f t="shared" si="39"/>
        <v>0</v>
      </c>
      <c r="AD50" s="100">
        <f t="shared" si="8"/>
        <v>0</v>
      </c>
      <c r="AE50" s="100">
        <f t="shared" si="9"/>
        <v>0</v>
      </c>
      <c r="AF50" s="194">
        <f t="shared" si="34"/>
        <v>0</v>
      </c>
      <c r="AG50" s="194">
        <f t="shared" si="35"/>
        <v>0</v>
      </c>
      <c r="AH50" s="194">
        <f t="shared" si="36"/>
        <v>0</v>
      </c>
      <c r="AI50" s="199">
        <f t="shared" si="37"/>
        <v>0</v>
      </c>
      <c r="AK50" s="71">
        <v>45</v>
      </c>
      <c r="AL50" s="33">
        <f t="shared" si="10"/>
        <v>0</v>
      </c>
      <c r="AM50" s="33">
        <f t="shared" si="11"/>
        <v>0</v>
      </c>
      <c r="AN50" s="33">
        <f t="shared" si="12"/>
        <v>0</v>
      </c>
      <c r="AO50" s="33">
        <f t="shared" si="13"/>
        <v>0</v>
      </c>
      <c r="AP50" s="33">
        <f t="shared" si="14"/>
        <v>0</v>
      </c>
      <c r="AQ50" s="194">
        <f t="shared" si="47"/>
        <v>0</v>
      </c>
      <c r="AR50" s="194">
        <f t="shared" si="47"/>
        <v>0</v>
      </c>
      <c r="AS50" s="194">
        <f t="shared" si="47"/>
        <v>0</v>
      </c>
      <c r="AT50" s="194">
        <f t="shared" si="47"/>
        <v>0</v>
      </c>
      <c r="AU50" s="33"/>
      <c r="AV50" s="33"/>
      <c r="AW50" s="33"/>
      <c r="AX50" s="33"/>
      <c r="AY50" s="76"/>
    </row>
    <row r="51" spans="2:51" x14ac:dyDescent="0.3">
      <c r="B51" s="40"/>
      <c r="C51" s="152"/>
      <c r="D51" s="137"/>
      <c r="E51" s="141"/>
      <c r="F51" s="42"/>
      <c r="G51" s="51"/>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5">
        <f t="shared" si="39"/>
        <v>0</v>
      </c>
      <c r="AD51" s="100">
        <f t="shared" si="8"/>
        <v>0</v>
      </c>
      <c r="AE51" s="100">
        <f t="shared" si="9"/>
        <v>0</v>
      </c>
      <c r="AF51" s="194">
        <f t="shared" si="34"/>
        <v>0</v>
      </c>
      <c r="AG51" s="194">
        <f t="shared" si="35"/>
        <v>0</v>
      </c>
      <c r="AH51" s="194">
        <f t="shared" si="36"/>
        <v>0</v>
      </c>
      <c r="AI51" s="199">
        <f t="shared" si="37"/>
        <v>0</v>
      </c>
      <c r="AK51" s="71">
        <v>46</v>
      </c>
      <c r="AL51" s="33">
        <f t="shared" si="10"/>
        <v>0</v>
      </c>
      <c r="AM51" s="33">
        <f t="shared" si="11"/>
        <v>0</v>
      </c>
      <c r="AN51" s="33">
        <f t="shared" si="12"/>
        <v>0</v>
      </c>
      <c r="AO51" s="33">
        <f t="shared" si="13"/>
        <v>0</v>
      </c>
      <c r="AP51" s="33">
        <f t="shared" si="14"/>
        <v>0</v>
      </c>
      <c r="AQ51" s="194">
        <f t="shared" si="47"/>
        <v>0</v>
      </c>
      <c r="AR51" s="194">
        <f t="shared" si="47"/>
        <v>0</v>
      </c>
      <c r="AS51" s="194">
        <f t="shared" si="47"/>
        <v>0</v>
      </c>
      <c r="AT51" s="194">
        <f t="shared" si="47"/>
        <v>0</v>
      </c>
      <c r="AU51" s="33"/>
      <c r="AV51" s="33"/>
      <c r="AW51" s="33"/>
      <c r="AX51" s="33"/>
      <c r="AY51" s="76"/>
    </row>
    <row r="52" spans="2:51" x14ac:dyDescent="0.3">
      <c r="B52" s="40"/>
      <c r="C52" s="152"/>
      <c r="D52" s="137"/>
      <c r="E52" s="141"/>
      <c r="F52" s="42"/>
      <c r="G52" s="51"/>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5">
        <f t="shared" si="39"/>
        <v>0</v>
      </c>
      <c r="AD52" s="100">
        <f t="shared" si="8"/>
        <v>0</v>
      </c>
      <c r="AE52" s="100">
        <f t="shared" si="9"/>
        <v>0</v>
      </c>
      <c r="AF52" s="194">
        <f t="shared" si="34"/>
        <v>0</v>
      </c>
      <c r="AG52" s="194">
        <f t="shared" si="35"/>
        <v>0</v>
      </c>
      <c r="AH52" s="194">
        <f t="shared" si="36"/>
        <v>0</v>
      </c>
      <c r="AI52" s="199">
        <f t="shared" si="37"/>
        <v>0</v>
      </c>
      <c r="AK52" s="71">
        <v>47</v>
      </c>
      <c r="AL52" s="33">
        <f t="shared" si="10"/>
        <v>0</v>
      </c>
      <c r="AM52" s="33">
        <f t="shared" si="11"/>
        <v>0</v>
      </c>
      <c r="AN52" s="33">
        <f t="shared" si="12"/>
        <v>0</v>
      </c>
      <c r="AO52" s="33">
        <f t="shared" si="13"/>
        <v>0</v>
      </c>
      <c r="AP52" s="33">
        <f t="shared" si="14"/>
        <v>0</v>
      </c>
      <c r="AQ52" s="194">
        <f t="shared" si="47"/>
        <v>0</v>
      </c>
      <c r="AR52" s="194">
        <f t="shared" si="47"/>
        <v>0</v>
      </c>
      <c r="AS52" s="194">
        <f t="shared" si="47"/>
        <v>0</v>
      </c>
      <c r="AT52" s="194">
        <f t="shared" si="47"/>
        <v>0</v>
      </c>
      <c r="AU52" s="33"/>
      <c r="AV52" s="33"/>
      <c r="AW52" s="33"/>
      <c r="AX52" s="33"/>
      <c r="AY52" s="76"/>
    </row>
    <row r="53" spans="2:51" x14ac:dyDescent="0.3">
      <c r="B53" s="40"/>
      <c r="C53" s="152"/>
      <c r="D53" s="137"/>
      <c r="E53" s="141"/>
      <c r="F53" s="42"/>
      <c r="G53" s="51"/>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5">
        <f t="shared" si="39"/>
        <v>0</v>
      </c>
      <c r="AD53" s="100">
        <f t="shared" si="8"/>
        <v>0</v>
      </c>
      <c r="AE53" s="100">
        <f t="shared" si="9"/>
        <v>0</v>
      </c>
      <c r="AF53" s="194">
        <f t="shared" si="34"/>
        <v>0</v>
      </c>
      <c r="AG53" s="194">
        <f t="shared" si="35"/>
        <v>0</v>
      </c>
      <c r="AH53" s="194">
        <f t="shared" si="36"/>
        <v>0</v>
      </c>
      <c r="AI53" s="199">
        <f t="shared" si="37"/>
        <v>0</v>
      </c>
      <c r="AK53" s="71">
        <v>48</v>
      </c>
      <c r="AL53" s="33">
        <f t="shared" si="10"/>
        <v>0</v>
      </c>
      <c r="AM53" s="33">
        <f t="shared" si="11"/>
        <v>0</v>
      </c>
      <c r="AN53" s="33">
        <f t="shared" si="12"/>
        <v>0</v>
      </c>
      <c r="AO53" s="33">
        <f t="shared" si="13"/>
        <v>0</v>
      </c>
      <c r="AP53" s="33">
        <f t="shared" si="14"/>
        <v>0</v>
      </c>
      <c r="AQ53" s="194">
        <f t="shared" si="47"/>
        <v>0</v>
      </c>
      <c r="AR53" s="194">
        <f t="shared" si="47"/>
        <v>0</v>
      </c>
      <c r="AS53" s="194">
        <f t="shared" si="47"/>
        <v>0</v>
      </c>
      <c r="AT53" s="194">
        <f t="shared" si="47"/>
        <v>0</v>
      </c>
      <c r="AU53" s="33"/>
      <c r="AV53" s="33"/>
      <c r="AW53" s="33"/>
      <c r="AX53" s="33"/>
      <c r="AY53" s="76"/>
    </row>
    <row r="54" spans="2:51" x14ac:dyDescent="0.3">
      <c r="B54" s="40"/>
      <c r="C54" s="152"/>
      <c r="D54" s="137"/>
      <c r="E54" s="141"/>
      <c r="F54" s="42"/>
      <c r="G54" s="51"/>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5">
        <f t="shared" si="39"/>
        <v>0</v>
      </c>
      <c r="AD54" s="100">
        <f t="shared" si="8"/>
        <v>0</v>
      </c>
      <c r="AE54" s="100">
        <f t="shared" si="9"/>
        <v>0</v>
      </c>
      <c r="AF54" s="194">
        <f t="shared" si="34"/>
        <v>0</v>
      </c>
      <c r="AG54" s="194">
        <f t="shared" si="35"/>
        <v>0</v>
      </c>
      <c r="AH54" s="194">
        <f t="shared" si="36"/>
        <v>0</v>
      </c>
      <c r="AI54" s="199">
        <f t="shared" si="37"/>
        <v>0</v>
      </c>
      <c r="AK54" s="71">
        <v>49</v>
      </c>
      <c r="AL54" s="33">
        <f t="shared" si="10"/>
        <v>0</v>
      </c>
      <c r="AM54" s="33">
        <f t="shared" si="11"/>
        <v>0</v>
      </c>
      <c r="AN54" s="33">
        <f t="shared" si="12"/>
        <v>0</v>
      </c>
      <c r="AO54" s="33">
        <f t="shared" si="13"/>
        <v>0</v>
      </c>
      <c r="AP54" s="33">
        <f t="shared" si="14"/>
        <v>0</v>
      </c>
      <c r="AQ54" s="194">
        <f t="shared" si="47"/>
        <v>0</v>
      </c>
      <c r="AR54" s="194">
        <f t="shared" si="47"/>
        <v>0</v>
      </c>
      <c r="AS54" s="194">
        <f t="shared" si="47"/>
        <v>0</v>
      </c>
      <c r="AT54" s="194">
        <f t="shared" si="47"/>
        <v>0</v>
      </c>
      <c r="AU54" s="33"/>
      <c r="AV54" s="33"/>
      <c r="AW54" s="33"/>
      <c r="AX54" s="33"/>
      <c r="AY54" s="76"/>
    </row>
    <row r="55" spans="2:51" x14ac:dyDescent="0.3">
      <c r="B55" s="40"/>
      <c r="C55" s="152"/>
      <c r="D55" s="137"/>
      <c r="E55" s="141"/>
      <c r="F55" s="42"/>
      <c r="G55" s="51"/>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5">
        <f t="shared" si="39"/>
        <v>0</v>
      </c>
      <c r="AD55" s="100">
        <f t="shared" si="8"/>
        <v>0</v>
      </c>
      <c r="AE55" s="100">
        <f t="shared" si="9"/>
        <v>0</v>
      </c>
      <c r="AF55" s="194">
        <f t="shared" si="34"/>
        <v>0</v>
      </c>
      <c r="AG55" s="194">
        <f t="shared" si="35"/>
        <v>0</v>
      </c>
      <c r="AH55" s="194">
        <f t="shared" si="36"/>
        <v>0</v>
      </c>
      <c r="AI55" s="199">
        <f t="shared" si="37"/>
        <v>0</v>
      </c>
      <c r="AK55" s="71">
        <v>50</v>
      </c>
      <c r="AL55" s="33">
        <f t="shared" si="10"/>
        <v>0</v>
      </c>
      <c r="AM55" s="33">
        <f t="shared" si="11"/>
        <v>0</v>
      </c>
      <c r="AN55" s="33">
        <f t="shared" si="12"/>
        <v>0</v>
      </c>
      <c r="AO55" s="33">
        <f t="shared" si="13"/>
        <v>0</v>
      </c>
      <c r="AP55" s="33">
        <f t="shared" si="14"/>
        <v>0</v>
      </c>
      <c r="AQ55" s="194">
        <f t="shared" si="47"/>
        <v>0</v>
      </c>
      <c r="AR55" s="194">
        <f t="shared" si="47"/>
        <v>0</v>
      </c>
      <c r="AS55" s="194">
        <f t="shared" si="47"/>
        <v>0</v>
      </c>
      <c r="AT55" s="194">
        <f t="shared" si="47"/>
        <v>0</v>
      </c>
      <c r="AU55" s="33"/>
      <c r="AV55" s="33"/>
      <c r="AW55" s="33"/>
      <c r="AX55" s="33"/>
      <c r="AY55" s="76"/>
    </row>
    <row r="56" spans="2:51" x14ac:dyDescent="0.3">
      <c r="B56" s="40"/>
      <c r="C56" s="152"/>
      <c r="D56" s="137"/>
      <c r="E56" s="141"/>
      <c r="F56" s="42"/>
      <c r="G56" s="51"/>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5">
        <f t="shared" si="39"/>
        <v>0</v>
      </c>
      <c r="AD56" s="100">
        <f t="shared" si="8"/>
        <v>0</v>
      </c>
      <c r="AE56" s="100">
        <f t="shared" si="9"/>
        <v>0</v>
      </c>
      <c r="AF56" s="194">
        <f t="shared" si="34"/>
        <v>0</v>
      </c>
      <c r="AG56" s="194">
        <f t="shared" si="35"/>
        <v>0</v>
      </c>
      <c r="AH56" s="194">
        <f t="shared" si="36"/>
        <v>0</v>
      </c>
      <c r="AI56" s="199">
        <f t="shared" si="37"/>
        <v>0</v>
      </c>
      <c r="AK56" s="71">
        <v>51</v>
      </c>
      <c r="AL56" s="33">
        <f t="shared" si="10"/>
        <v>0</v>
      </c>
      <c r="AM56" s="33">
        <f t="shared" si="11"/>
        <v>0</v>
      </c>
      <c r="AN56" s="33">
        <f t="shared" si="12"/>
        <v>0</v>
      </c>
      <c r="AO56" s="33">
        <f t="shared" si="13"/>
        <v>0</v>
      </c>
      <c r="AP56" s="33">
        <f t="shared" si="14"/>
        <v>0</v>
      </c>
      <c r="AQ56" s="194">
        <f t="shared" si="47"/>
        <v>0</v>
      </c>
      <c r="AR56" s="194">
        <f t="shared" si="47"/>
        <v>0</v>
      </c>
      <c r="AS56" s="194">
        <f t="shared" si="47"/>
        <v>0</v>
      </c>
      <c r="AT56" s="194">
        <f t="shared" si="47"/>
        <v>0</v>
      </c>
      <c r="AU56" s="33"/>
      <c r="AV56" s="33"/>
      <c r="AW56" s="33"/>
      <c r="AX56" s="33"/>
      <c r="AY56" s="76"/>
    </row>
    <row r="57" spans="2:51" x14ac:dyDescent="0.3">
      <c r="B57" s="40"/>
      <c r="C57" s="152"/>
      <c r="D57" s="137"/>
      <c r="E57" s="141"/>
      <c r="F57" s="42"/>
      <c r="G57" s="51"/>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5">
        <f t="shared" si="39"/>
        <v>0</v>
      </c>
      <c r="AD57" s="100">
        <f t="shared" si="8"/>
        <v>0</v>
      </c>
      <c r="AE57" s="100">
        <f t="shared" si="9"/>
        <v>0</v>
      </c>
      <c r="AF57" s="194">
        <f t="shared" si="34"/>
        <v>0</v>
      </c>
      <c r="AG57" s="194">
        <f t="shared" si="35"/>
        <v>0</v>
      </c>
      <c r="AH57" s="194">
        <f t="shared" si="36"/>
        <v>0</v>
      </c>
      <c r="AI57" s="199">
        <f t="shared" si="37"/>
        <v>0</v>
      </c>
      <c r="AK57" s="71">
        <v>52</v>
      </c>
      <c r="AL57" s="33">
        <f t="shared" si="10"/>
        <v>0</v>
      </c>
      <c r="AM57" s="33">
        <f t="shared" si="11"/>
        <v>0</v>
      </c>
      <c r="AN57" s="33">
        <f t="shared" si="12"/>
        <v>0</v>
      </c>
      <c r="AO57" s="33">
        <f t="shared" si="13"/>
        <v>0</v>
      </c>
      <c r="AP57" s="33">
        <f t="shared" si="14"/>
        <v>0</v>
      </c>
      <c r="AQ57" s="194">
        <f t="shared" si="47"/>
        <v>0</v>
      </c>
      <c r="AR57" s="194">
        <f t="shared" si="47"/>
        <v>0</v>
      </c>
      <c r="AS57" s="194">
        <f t="shared" si="47"/>
        <v>0</v>
      </c>
      <c r="AT57" s="194">
        <f t="shared" si="47"/>
        <v>0</v>
      </c>
      <c r="AU57" s="33"/>
      <c r="AV57" s="33"/>
      <c r="AW57" s="33"/>
      <c r="AX57" s="33"/>
      <c r="AY57" s="76"/>
    </row>
    <row r="58" spans="2:51" x14ac:dyDescent="0.3">
      <c r="B58" s="40"/>
      <c r="C58" s="152"/>
      <c r="D58" s="137"/>
      <c r="E58" s="141"/>
      <c r="F58" s="42"/>
      <c r="G58" s="51"/>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5">
        <f t="shared" si="39"/>
        <v>0</v>
      </c>
      <c r="AD58" s="100">
        <f t="shared" si="8"/>
        <v>0</v>
      </c>
      <c r="AE58" s="100">
        <f t="shared" si="9"/>
        <v>0</v>
      </c>
      <c r="AF58" s="194">
        <f t="shared" si="34"/>
        <v>0</v>
      </c>
      <c r="AG58" s="194">
        <f t="shared" si="35"/>
        <v>0</v>
      </c>
      <c r="AH58" s="194">
        <f t="shared" si="36"/>
        <v>0</v>
      </c>
      <c r="AI58" s="199">
        <f t="shared" si="37"/>
        <v>0</v>
      </c>
      <c r="AK58" s="71">
        <v>53</v>
      </c>
      <c r="AL58" s="33">
        <f t="shared" si="10"/>
        <v>0</v>
      </c>
      <c r="AM58" s="33">
        <f t="shared" si="11"/>
        <v>0</v>
      </c>
      <c r="AN58" s="33">
        <f t="shared" si="12"/>
        <v>0</v>
      </c>
      <c r="AO58" s="33">
        <f t="shared" si="13"/>
        <v>0</v>
      </c>
      <c r="AP58" s="33">
        <f t="shared" si="14"/>
        <v>0</v>
      </c>
      <c r="AQ58" s="194">
        <f t="shared" si="47"/>
        <v>0</v>
      </c>
      <c r="AR58" s="194">
        <f t="shared" si="47"/>
        <v>0</v>
      </c>
      <c r="AS58" s="194">
        <f t="shared" si="47"/>
        <v>0</v>
      </c>
      <c r="AT58" s="194">
        <f t="shared" si="47"/>
        <v>0</v>
      </c>
      <c r="AU58" s="33"/>
      <c r="AV58" s="33"/>
      <c r="AW58" s="33"/>
      <c r="AX58" s="33"/>
      <c r="AY58" s="76"/>
    </row>
    <row r="59" spans="2:51" x14ac:dyDescent="0.3">
      <c r="B59" s="40"/>
      <c r="C59" s="152"/>
      <c r="D59" s="137"/>
      <c r="E59" s="141"/>
      <c r="F59" s="42"/>
      <c r="G59" s="51"/>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5">
        <f t="shared" si="39"/>
        <v>0</v>
      </c>
      <c r="AD59" s="100">
        <f t="shared" si="8"/>
        <v>0</v>
      </c>
      <c r="AE59" s="100">
        <f t="shared" si="9"/>
        <v>0</v>
      </c>
      <c r="AF59" s="194">
        <f t="shared" si="34"/>
        <v>0</v>
      </c>
      <c r="AG59" s="194">
        <f t="shared" si="35"/>
        <v>0</v>
      </c>
      <c r="AH59" s="194">
        <f t="shared" si="36"/>
        <v>0</v>
      </c>
      <c r="AI59" s="199">
        <f t="shared" si="37"/>
        <v>0</v>
      </c>
      <c r="AK59" s="71">
        <v>54</v>
      </c>
      <c r="AL59" s="33">
        <f t="shared" si="10"/>
        <v>0</v>
      </c>
      <c r="AM59" s="33">
        <f t="shared" si="11"/>
        <v>0</v>
      </c>
      <c r="AN59" s="33">
        <f t="shared" si="12"/>
        <v>0</v>
      </c>
      <c r="AO59" s="33">
        <f t="shared" si="13"/>
        <v>0</v>
      </c>
      <c r="AP59" s="33">
        <f t="shared" si="14"/>
        <v>0</v>
      </c>
      <c r="AQ59" s="194">
        <f t="shared" si="47"/>
        <v>0</v>
      </c>
      <c r="AR59" s="194">
        <f t="shared" si="47"/>
        <v>0</v>
      </c>
      <c r="AS59" s="194">
        <f t="shared" si="47"/>
        <v>0</v>
      </c>
      <c r="AT59" s="194">
        <f t="shared" si="47"/>
        <v>0</v>
      </c>
      <c r="AU59" s="33"/>
      <c r="AV59" s="33"/>
      <c r="AW59" s="33"/>
      <c r="AX59" s="33"/>
      <c r="AY59" s="76"/>
    </row>
    <row r="60" spans="2:51" x14ac:dyDescent="0.3">
      <c r="B60" s="40"/>
      <c r="C60" s="152"/>
      <c r="D60" s="137"/>
      <c r="E60" s="141"/>
      <c r="F60" s="42"/>
      <c r="G60" s="51"/>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5">
        <f t="shared" si="39"/>
        <v>0</v>
      </c>
      <c r="AD60" s="100">
        <f t="shared" si="8"/>
        <v>0</v>
      </c>
      <c r="AE60" s="100">
        <f t="shared" si="9"/>
        <v>0</v>
      </c>
      <c r="AF60" s="194">
        <f t="shared" si="34"/>
        <v>0</v>
      </c>
      <c r="AG60" s="194">
        <f t="shared" si="35"/>
        <v>0</v>
      </c>
      <c r="AH60" s="194">
        <f t="shared" si="36"/>
        <v>0</v>
      </c>
      <c r="AI60" s="199">
        <f t="shared" si="37"/>
        <v>0</v>
      </c>
      <c r="AK60" s="71">
        <v>55</v>
      </c>
      <c r="AL60" s="33">
        <f t="shared" si="10"/>
        <v>0</v>
      </c>
      <c r="AM60" s="33">
        <f t="shared" si="11"/>
        <v>0</v>
      </c>
      <c r="AN60" s="33">
        <f t="shared" si="12"/>
        <v>0</v>
      </c>
      <c r="AO60" s="33">
        <f t="shared" si="13"/>
        <v>0</v>
      </c>
      <c r="AP60" s="33">
        <f t="shared" si="14"/>
        <v>0</v>
      </c>
      <c r="AQ60" s="194">
        <f t="shared" si="47"/>
        <v>0</v>
      </c>
      <c r="AR60" s="194">
        <f t="shared" si="47"/>
        <v>0</v>
      </c>
      <c r="AS60" s="194">
        <f t="shared" si="47"/>
        <v>0</v>
      </c>
      <c r="AT60" s="194">
        <f t="shared" si="47"/>
        <v>0</v>
      </c>
      <c r="AU60" s="33"/>
      <c r="AV60" s="33"/>
      <c r="AW60" s="33"/>
      <c r="AX60" s="33"/>
      <c r="AY60" s="76"/>
    </row>
    <row r="61" spans="2:51" x14ac:dyDescent="0.3">
      <c r="B61" s="40"/>
      <c r="C61" s="152"/>
      <c r="D61" s="137"/>
      <c r="E61" s="141"/>
      <c r="F61" s="42"/>
      <c r="G61" s="51"/>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5">
        <f t="shared" si="39"/>
        <v>0</v>
      </c>
      <c r="AD61" s="100">
        <f t="shared" si="8"/>
        <v>0</v>
      </c>
      <c r="AE61" s="100">
        <f t="shared" si="9"/>
        <v>0</v>
      </c>
      <c r="AF61" s="194">
        <f t="shared" si="34"/>
        <v>0</v>
      </c>
      <c r="AG61" s="194">
        <f t="shared" si="35"/>
        <v>0</v>
      </c>
      <c r="AH61" s="194">
        <f t="shared" si="36"/>
        <v>0</v>
      </c>
      <c r="AI61" s="199">
        <f t="shared" si="37"/>
        <v>0</v>
      </c>
      <c r="AK61" s="71">
        <v>56</v>
      </c>
      <c r="AL61" s="33">
        <f t="shared" si="10"/>
        <v>0</v>
      </c>
      <c r="AM61" s="33">
        <f t="shared" si="11"/>
        <v>0</v>
      </c>
      <c r="AN61" s="33">
        <f t="shared" si="12"/>
        <v>0</v>
      </c>
      <c r="AO61" s="33">
        <f t="shared" si="13"/>
        <v>0</v>
      </c>
      <c r="AP61" s="33">
        <f t="shared" si="14"/>
        <v>0</v>
      </c>
      <c r="AQ61" s="194">
        <f t="shared" si="47"/>
        <v>0</v>
      </c>
      <c r="AR61" s="194">
        <f t="shared" si="47"/>
        <v>0</v>
      </c>
      <c r="AS61" s="194">
        <f t="shared" si="47"/>
        <v>0</v>
      </c>
      <c r="AT61" s="194">
        <f t="shared" si="47"/>
        <v>0</v>
      </c>
      <c r="AU61" s="33"/>
      <c r="AV61" s="33"/>
      <c r="AW61" s="33"/>
      <c r="AX61" s="33"/>
      <c r="AY61" s="76"/>
    </row>
    <row r="62" spans="2:51" x14ac:dyDescent="0.3">
      <c r="B62" s="40"/>
      <c r="C62" s="152"/>
      <c r="D62" s="137"/>
      <c r="E62" s="141"/>
      <c r="F62" s="42"/>
      <c r="G62" s="51"/>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5">
        <f t="shared" si="39"/>
        <v>0</v>
      </c>
      <c r="AD62" s="100">
        <f t="shared" si="8"/>
        <v>0</v>
      </c>
      <c r="AE62" s="100">
        <f t="shared" si="9"/>
        <v>0</v>
      </c>
      <c r="AF62" s="194">
        <f t="shared" si="34"/>
        <v>0</v>
      </c>
      <c r="AG62" s="194">
        <f t="shared" si="35"/>
        <v>0</v>
      </c>
      <c r="AH62" s="194">
        <f t="shared" si="36"/>
        <v>0</v>
      </c>
      <c r="AI62" s="199">
        <f t="shared" si="37"/>
        <v>0</v>
      </c>
      <c r="AK62" s="71">
        <v>57</v>
      </c>
      <c r="AL62" s="33">
        <f t="shared" si="10"/>
        <v>0</v>
      </c>
      <c r="AM62" s="33">
        <f t="shared" si="11"/>
        <v>0</v>
      </c>
      <c r="AN62" s="33">
        <f t="shared" si="12"/>
        <v>0</v>
      </c>
      <c r="AO62" s="33">
        <f t="shared" si="13"/>
        <v>0</v>
      </c>
      <c r="AP62" s="33">
        <f t="shared" si="14"/>
        <v>0</v>
      </c>
      <c r="AQ62" s="194">
        <f t="shared" si="47"/>
        <v>0</v>
      </c>
      <c r="AR62" s="194">
        <f t="shared" si="47"/>
        <v>0</v>
      </c>
      <c r="AS62" s="194">
        <f t="shared" si="47"/>
        <v>0</v>
      </c>
      <c r="AT62" s="194">
        <f t="shared" si="47"/>
        <v>0</v>
      </c>
      <c r="AU62" s="33"/>
      <c r="AV62" s="33"/>
      <c r="AW62" s="33"/>
      <c r="AX62" s="33"/>
      <c r="AY62" s="76"/>
    </row>
    <row r="63" spans="2:51" x14ac:dyDescent="0.3">
      <c r="B63" s="40"/>
      <c r="C63" s="152"/>
      <c r="D63" s="137"/>
      <c r="E63" s="141"/>
      <c r="F63" s="42"/>
      <c r="G63" s="51"/>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5">
        <f t="shared" si="39"/>
        <v>0</v>
      </c>
      <c r="AD63" s="100">
        <f t="shared" si="8"/>
        <v>0</v>
      </c>
      <c r="AE63" s="100">
        <f t="shared" si="9"/>
        <v>0</v>
      </c>
      <c r="AF63" s="194">
        <f t="shared" si="34"/>
        <v>0</v>
      </c>
      <c r="AG63" s="194">
        <f t="shared" si="35"/>
        <v>0</v>
      </c>
      <c r="AH63" s="194">
        <f t="shared" si="36"/>
        <v>0</v>
      </c>
      <c r="AI63" s="199">
        <f t="shared" si="37"/>
        <v>0</v>
      </c>
      <c r="AK63" s="71">
        <v>58</v>
      </c>
      <c r="AL63" s="33">
        <f t="shared" si="10"/>
        <v>0</v>
      </c>
      <c r="AM63" s="33">
        <f t="shared" si="11"/>
        <v>0</v>
      </c>
      <c r="AN63" s="33">
        <f t="shared" si="12"/>
        <v>0</v>
      </c>
      <c r="AO63" s="33">
        <f t="shared" si="13"/>
        <v>0</v>
      </c>
      <c r="AP63" s="33">
        <f t="shared" si="14"/>
        <v>0</v>
      </c>
      <c r="AQ63" s="194">
        <f t="shared" si="47"/>
        <v>0</v>
      </c>
      <c r="AR63" s="194">
        <f t="shared" si="47"/>
        <v>0</v>
      </c>
      <c r="AS63" s="194">
        <f t="shared" si="47"/>
        <v>0</v>
      </c>
      <c r="AT63" s="194">
        <f t="shared" si="47"/>
        <v>0</v>
      </c>
      <c r="AU63" s="33"/>
      <c r="AV63" s="33"/>
      <c r="AW63" s="33"/>
      <c r="AX63" s="33"/>
      <c r="AY63" s="76"/>
    </row>
    <row r="64" spans="2:51" x14ac:dyDescent="0.3">
      <c r="B64" s="40"/>
      <c r="C64" s="152"/>
      <c r="D64" s="137"/>
      <c r="E64" s="141"/>
      <c r="F64" s="42"/>
      <c r="G64" s="51"/>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5">
        <f t="shared" si="39"/>
        <v>0</v>
      </c>
      <c r="AD64" s="100">
        <f t="shared" si="8"/>
        <v>0</v>
      </c>
      <c r="AE64" s="100">
        <f t="shared" si="9"/>
        <v>0</v>
      </c>
      <c r="AF64" s="194">
        <f t="shared" si="34"/>
        <v>0</v>
      </c>
      <c r="AG64" s="194">
        <f t="shared" si="35"/>
        <v>0</v>
      </c>
      <c r="AH64" s="194">
        <f t="shared" si="36"/>
        <v>0</v>
      </c>
      <c r="AI64" s="199">
        <f t="shared" si="37"/>
        <v>0</v>
      </c>
      <c r="AK64" s="71">
        <v>59</v>
      </c>
      <c r="AL64" s="33">
        <f t="shared" si="10"/>
        <v>0</v>
      </c>
      <c r="AM64" s="33">
        <f t="shared" si="11"/>
        <v>0</v>
      </c>
      <c r="AN64" s="33">
        <f t="shared" si="12"/>
        <v>0</v>
      </c>
      <c r="AO64" s="33">
        <f t="shared" si="13"/>
        <v>0</v>
      </c>
      <c r="AP64" s="33">
        <f t="shared" si="14"/>
        <v>0</v>
      </c>
      <c r="AQ64" s="194">
        <f t="shared" si="47"/>
        <v>0</v>
      </c>
      <c r="AR64" s="194">
        <f t="shared" si="47"/>
        <v>0</v>
      </c>
      <c r="AS64" s="194">
        <f t="shared" si="47"/>
        <v>0</v>
      </c>
      <c r="AT64" s="194">
        <f t="shared" si="47"/>
        <v>0</v>
      </c>
      <c r="AU64" s="33"/>
      <c r="AV64" s="33"/>
      <c r="AW64" s="33"/>
      <c r="AX64" s="33"/>
      <c r="AY64" s="76"/>
    </row>
    <row r="65" spans="2:51" x14ac:dyDescent="0.3">
      <c r="B65" s="40"/>
      <c r="C65" s="152"/>
      <c r="D65" s="137"/>
      <c r="E65" s="141"/>
      <c r="F65" s="42"/>
      <c r="G65" s="51"/>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5">
        <f t="shared" si="39"/>
        <v>0</v>
      </c>
      <c r="AD65" s="100">
        <f t="shared" si="8"/>
        <v>0</v>
      </c>
      <c r="AE65" s="100">
        <f t="shared" si="9"/>
        <v>0</v>
      </c>
      <c r="AF65" s="194">
        <f t="shared" si="34"/>
        <v>0</v>
      </c>
      <c r="AG65" s="194">
        <f t="shared" si="35"/>
        <v>0</v>
      </c>
      <c r="AH65" s="194">
        <f t="shared" si="36"/>
        <v>0</v>
      </c>
      <c r="AI65" s="199">
        <f t="shared" si="37"/>
        <v>0</v>
      </c>
      <c r="AK65" s="71">
        <v>60</v>
      </c>
      <c r="AL65" s="33">
        <f t="shared" si="10"/>
        <v>0</v>
      </c>
      <c r="AM65" s="33">
        <f t="shared" si="11"/>
        <v>0</v>
      </c>
      <c r="AN65" s="33">
        <f t="shared" si="12"/>
        <v>0</v>
      </c>
      <c r="AO65" s="33">
        <f t="shared" si="13"/>
        <v>0</v>
      </c>
      <c r="AP65" s="33">
        <f t="shared" si="14"/>
        <v>0</v>
      </c>
      <c r="AQ65" s="194">
        <f t="shared" si="47"/>
        <v>0</v>
      </c>
      <c r="AR65" s="194">
        <f t="shared" si="47"/>
        <v>0</v>
      </c>
      <c r="AS65" s="194">
        <f t="shared" si="47"/>
        <v>0</v>
      </c>
      <c r="AT65" s="194">
        <f t="shared" si="47"/>
        <v>0</v>
      </c>
      <c r="AU65" s="33"/>
      <c r="AV65" s="33"/>
      <c r="AW65" s="33"/>
      <c r="AX65" s="33"/>
      <c r="AY65" s="76"/>
    </row>
    <row r="66" spans="2:51" x14ac:dyDescent="0.3">
      <c r="B66" s="40"/>
      <c r="C66" s="152"/>
      <c r="D66" s="137"/>
      <c r="E66" s="141"/>
      <c r="F66" s="42"/>
      <c r="G66" s="51"/>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5">
        <f t="shared" si="39"/>
        <v>0</v>
      </c>
      <c r="AD66" s="100">
        <f t="shared" si="8"/>
        <v>0</v>
      </c>
      <c r="AE66" s="100">
        <f t="shared" si="9"/>
        <v>0</v>
      </c>
      <c r="AF66" s="194">
        <f t="shared" si="34"/>
        <v>0</v>
      </c>
      <c r="AG66" s="194">
        <f t="shared" si="35"/>
        <v>0</v>
      </c>
      <c r="AH66" s="194">
        <f t="shared" si="36"/>
        <v>0</v>
      </c>
      <c r="AI66" s="199">
        <f t="shared" si="37"/>
        <v>0</v>
      </c>
      <c r="AK66" s="71">
        <v>61</v>
      </c>
      <c r="AL66" s="33">
        <f t="shared" si="10"/>
        <v>0</v>
      </c>
      <c r="AM66" s="33">
        <f t="shared" si="11"/>
        <v>0</v>
      </c>
      <c r="AN66" s="33">
        <f t="shared" si="12"/>
        <v>0</v>
      </c>
      <c r="AO66" s="33">
        <f t="shared" si="13"/>
        <v>0</v>
      </c>
      <c r="AP66" s="33">
        <f t="shared" si="14"/>
        <v>0</v>
      </c>
      <c r="AQ66" s="194">
        <f t="shared" si="47"/>
        <v>0</v>
      </c>
      <c r="AR66" s="194">
        <f t="shared" si="47"/>
        <v>0</v>
      </c>
      <c r="AS66" s="194">
        <f t="shared" si="47"/>
        <v>0</v>
      </c>
      <c r="AT66" s="194">
        <f t="shared" si="47"/>
        <v>0</v>
      </c>
      <c r="AU66" s="33"/>
      <c r="AV66" s="33"/>
      <c r="AW66" s="33"/>
      <c r="AX66" s="33"/>
      <c r="AY66" s="76"/>
    </row>
    <row r="67" spans="2:51" x14ac:dyDescent="0.3">
      <c r="B67" s="40"/>
      <c r="C67" s="152"/>
      <c r="D67" s="137"/>
      <c r="E67" s="141"/>
      <c r="F67" s="42"/>
      <c r="G67" s="51"/>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5">
        <f t="shared" si="39"/>
        <v>0</v>
      </c>
      <c r="AD67" s="100">
        <f t="shared" si="8"/>
        <v>0</v>
      </c>
      <c r="AE67" s="100">
        <f t="shared" si="9"/>
        <v>0</v>
      </c>
      <c r="AF67" s="194">
        <f t="shared" si="34"/>
        <v>0</v>
      </c>
      <c r="AG67" s="194">
        <f t="shared" si="35"/>
        <v>0</v>
      </c>
      <c r="AH67" s="194">
        <f t="shared" si="36"/>
        <v>0</v>
      </c>
      <c r="AI67" s="199">
        <f t="shared" si="37"/>
        <v>0</v>
      </c>
      <c r="AK67" s="71">
        <v>62</v>
      </c>
      <c r="AL67" s="33">
        <f t="shared" si="10"/>
        <v>0</v>
      </c>
      <c r="AM67" s="33">
        <f t="shared" si="11"/>
        <v>0</v>
      </c>
      <c r="AN67" s="33">
        <f t="shared" si="12"/>
        <v>0</v>
      </c>
      <c r="AO67" s="33">
        <f t="shared" si="13"/>
        <v>0</v>
      </c>
      <c r="AP67" s="33">
        <f t="shared" si="14"/>
        <v>0</v>
      </c>
      <c r="AQ67" s="194">
        <f t="shared" si="47"/>
        <v>0</v>
      </c>
      <c r="AR67" s="194">
        <f t="shared" si="47"/>
        <v>0</v>
      </c>
      <c r="AS67" s="194">
        <f t="shared" si="47"/>
        <v>0</v>
      </c>
      <c r="AT67" s="194">
        <f t="shared" si="47"/>
        <v>0</v>
      </c>
      <c r="AU67" s="33"/>
      <c r="AV67" s="33"/>
      <c r="AW67" s="33"/>
      <c r="AX67" s="33"/>
      <c r="AY67" s="76"/>
    </row>
    <row r="68" spans="2:51" x14ac:dyDescent="0.3">
      <c r="B68" s="40"/>
      <c r="C68" s="152"/>
      <c r="D68" s="137"/>
      <c r="E68" s="141"/>
      <c r="F68" s="42"/>
      <c r="G68" s="51"/>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5">
        <f t="shared" si="39"/>
        <v>0</v>
      </c>
      <c r="AD68" s="100">
        <f t="shared" si="8"/>
        <v>0</v>
      </c>
      <c r="AE68" s="100">
        <f t="shared" si="9"/>
        <v>0</v>
      </c>
      <c r="AF68" s="194">
        <f t="shared" si="34"/>
        <v>0</v>
      </c>
      <c r="AG68" s="194">
        <f t="shared" si="35"/>
        <v>0</v>
      </c>
      <c r="AH68" s="194">
        <f t="shared" si="36"/>
        <v>0</v>
      </c>
      <c r="AI68" s="199">
        <f t="shared" si="37"/>
        <v>0</v>
      </c>
      <c r="AK68" s="71">
        <v>63</v>
      </c>
      <c r="AL68" s="33">
        <f t="shared" si="10"/>
        <v>0</v>
      </c>
      <c r="AM68" s="33">
        <f t="shared" si="11"/>
        <v>0</v>
      </c>
      <c r="AN68" s="33">
        <f t="shared" si="12"/>
        <v>0</v>
      </c>
      <c r="AO68" s="33">
        <f t="shared" si="13"/>
        <v>0</v>
      </c>
      <c r="AP68" s="33">
        <f t="shared" si="14"/>
        <v>0</v>
      </c>
      <c r="AQ68" s="194">
        <f t="shared" si="47"/>
        <v>0</v>
      </c>
      <c r="AR68" s="194">
        <f t="shared" si="47"/>
        <v>0</v>
      </c>
      <c r="AS68" s="194">
        <f t="shared" si="47"/>
        <v>0</v>
      </c>
      <c r="AT68" s="194">
        <f t="shared" si="47"/>
        <v>0</v>
      </c>
      <c r="AU68" s="33"/>
      <c r="AV68" s="33"/>
      <c r="AW68" s="33"/>
      <c r="AX68" s="33"/>
      <c r="AY68" s="76"/>
    </row>
    <row r="69" spans="2:51" x14ac:dyDescent="0.3">
      <c r="B69" s="40"/>
      <c r="C69" s="152"/>
      <c r="D69" s="137"/>
      <c r="E69" s="141"/>
      <c r="F69" s="42"/>
      <c r="G69" s="51"/>
      <c r="I69" s="55">
        <v>64</v>
      </c>
      <c r="J69" s="33">
        <f t="shared" si="18"/>
        <v>0</v>
      </c>
      <c r="K69" s="33">
        <f t="shared" si="19"/>
        <v>0</v>
      </c>
      <c r="L69" s="33">
        <f t="shared" si="20"/>
        <v>0</v>
      </c>
      <c r="M69" s="33">
        <f t="shared" si="21"/>
        <v>0</v>
      </c>
      <c r="N69" s="33">
        <f t="shared" ref="N69:N132" si="48">IF(P70&lt;=$F$18,0,)</f>
        <v>0</v>
      </c>
      <c r="O69" s="34">
        <f t="shared" ref="O69:O132" si="49">((J69+K69)*0.475+L69+M69+N69)*44/12</f>
        <v>0</v>
      </c>
      <c r="P69" s="55">
        <v>64</v>
      </c>
      <c r="Q69" s="33">
        <f t="shared" si="15"/>
        <v>0</v>
      </c>
      <c r="R69" s="33">
        <f t="shared" si="22"/>
        <v>0</v>
      </c>
      <c r="S69" s="33">
        <f t="shared" si="23"/>
        <v>0</v>
      </c>
      <c r="T69" s="33">
        <f t="shared" ref="T69:T132" si="50">IF(S69=0,0,EXP(-1.0587+0.8836*LN(S69)+0.284))</f>
        <v>0</v>
      </c>
      <c r="U69" s="33">
        <f t="shared" si="16"/>
        <v>0</v>
      </c>
      <c r="V69" s="33">
        <f t="shared" ref="V69:V132" si="51">IF(P69&lt;=$F$18,IF(P69&lt;=30,P69*($F$16-$F$6)/30,$F$16-$F$6),)</f>
        <v>0</v>
      </c>
      <c r="W69" s="33">
        <v>0</v>
      </c>
      <c r="X69" s="33">
        <f t="shared" ref="X69:X132" si="52">((S69+T69)*0.475+U69+V69+W69)*44/12</f>
        <v>0</v>
      </c>
      <c r="Y69" s="38">
        <f t="shared" ref="Y69:Y132" si="53">IF(P69&lt;=$F$18,X69-O69,)</f>
        <v>0</v>
      </c>
      <c r="AA69" s="71">
        <v>64</v>
      </c>
      <c r="AB69" s="33">
        <f t="shared" ref="AB69:AB132" si="54">IF(AA69&lt;=$F$18,IFERROR(VLOOKUP($AA69,$B$82:$G$94,2,FALSE),0),)</f>
        <v>0</v>
      </c>
      <c r="AC69" s="305">
        <f t="shared" si="39"/>
        <v>0</v>
      </c>
      <c r="AD69" s="100">
        <f t="shared" ref="AD69:AD132" si="55">IF(AA69&lt;=$F$18,IFERROR(VLOOKUP($AA69,$B$82:$G$94,4,FALSE),0),)</f>
        <v>0</v>
      </c>
      <c r="AE69" s="100">
        <f t="shared" ref="AE69:AE132" si="56">IF(AA69&lt;=$F$18,IFERROR(VLOOKUP($AA69,$B$82:$G$94,5,FALSE),0),)</f>
        <v>0</v>
      </c>
      <c r="AF69" s="194">
        <f t="shared" si="34"/>
        <v>0</v>
      </c>
      <c r="AG69" s="194">
        <f t="shared" si="35"/>
        <v>0</v>
      </c>
      <c r="AH69" s="194">
        <f t="shared" si="36"/>
        <v>0</v>
      </c>
      <c r="AI69" s="199">
        <f t="shared" si="37"/>
        <v>0</v>
      </c>
      <c r="AK69" s="71">
        <v>64</v>
      </c>
      <c r="AL69" s="33">
        <f t="shared" ref="AL69:AL132" si="57">IF(AK69&lt;=$F$18,IFERROR(VLOOKUP($AA69,$B$82:$G$94,2,FALSE),0),)</f>
        <v>0</v>
      </c>
      <c r="AM69" s="33">
        <f t="shared" ref="AM69:AM132" si="58">IF(AK69&lt;=$F$18,IFERROR(VLOOKUP($AA69,$B$82:$G$94,3,FALSE),0),)</f>
        <v>0</v>
      </c>
      <c r="AN69" s="33">
        <f t="shared" ref="AN69:AN132" si="59">IF(AK69&lt;=$F$18,IFERROR(VLOOKUP($AA69,$B$82:$G$94,4,FALSE),0),)</f>
        <v>0</v>
      </c>
      <c r="AO69" s="33">
        <f t="shared" ref="AO69:AO132" si="60">IF(AK69&lt;=$F$18,IFERROR(VLOOKUP($AA69,$B$82:$G$94,5,FALSE),0),)</f>
        <v>0</v>
      </c>
      <c r="AP69" s="33">
        <f t="shared" ref="AP69:AP132" si="61">IF(AK69&lt;=$F$18,IFERROR(VLOOKUP($AA69,$B$82:$G$94,6,FALSE),0),)</f>
        <v>0</v>
      </c>
      <c r="AQ69" s="194">
        <f t="shared" si="47"/>
        <v>0</v>
      </c>
      <c r="AR69" s="194">
        <f t="shared" si="47"/>
        <v>0</v>
      </c>
      <c r="AS69" s="194">
        <f t="shared" si="47"/>
        <v>0</v>
      </c>
      <c r="AT69" s="194">
        <f t="shared" si="47"/>
        <v>0</v>
      </c>
      <c r="AU69" s="33"/>
      <c r="AV69" s="33"/>
      <c r="AW69" s="33"/>
      <c r="AX69" s="33"/>
      <c r="AY69" s="76"/>
    </row>
    <row r="70" spans="2:51" x14ac:dyDescent="0.3">
      <c r="B70" s="40"/>
      <c r="C70" s="152"/>
      <c r="D70" s="137"/>
      <c r="E70" s="141"/>
      <c r="F70" s="42"/>
      <c r="G70" s="51"/>
      <c r="I70" s="55">
        <v>65</v>
      </c>
      <c r="J70" s="33">
        <f t="shared" si="18"/>
        <v>0</v>
      </c>
      <c r="K70" s="33">
        <f t="shared" si="19"/>
        <v>0</v>
      </c>
      <c r="L70" s="33">
        <f t="shared" si="20"/>
        <v>0</v>
      </c>
      <c r="M70" s="33">
        <f t="shared" si="21"/>
        <v>0</v>
      </c>
      <c r="N70" s="33">
        <f t="shared" si="48"/>
        <v>0</v>
      </c>
      <c r="O70" s="34">
        <f t="shared" si="49"/>
        <v>0</v>
      </c>
      <c r="P70" s="55">
        <v>65</v>
      </c>
      <c r="Q70" s="33">
        <f t="shared" ref="Q70:Q133" si="62">IF(P70&lt;=$F$18,LOOKUP(P70-1,$B$25:$B$78,$G$25:$G$78),)</f>
        <v>0</v>
      </c>
      <c r="R70" s="33">
        <f t="shared" si="22"/>
        <v>0</v>
      </c>
      <c r="S70" s="33">
        <f t="shared" si="23"/>
        <v>0</v>
      </c>
      <c r="T70" s="33">
        <f t="shared" si="50"/>
        <v>0</v>
      </c>
      <c r="U70" s="33">
        <f t="shared" ref="U70:U133" si="63">IF(P70&lt;=$F$18,$F$5+($F$15-$F$5)*(1-EXP(-0.0175*P70)),)</f>
        <v>0</v>
      </c>
      <c r="V70" s="33">
        <f t="shared" si="51"/>
        <v>0</v>
      </c>
      <c r="W70" s="33">
        <v>0</v>
      </c>
      <c r="X70" s="33">
        <f t="shared" si="52"/>
        <v>0</v>
      </c>
      <c r="Y70" s="38">
        <f t="shared" si="53"/>
        <v>0</v>
      </c>
      <c r="AA70" s="71">
        <v>65</v>
      </c>
      <c r="AB70" s="33">
        <f t="shared" si="54"/>
        <v>0</v>
      </c>
      <c r="AC70" s="305">
        <f t="shared" si="39"/>
        <v>0</v>
      </c>
      <c r="AD70" s="100">
        <f t="shared" si="55"/>
        <v>0</v>
      </c>
      <c r="AE70" s="100">
        <f t="shared" si="56"/>
        <v>0</v>
      </c>
      <c r="AF70" s="194">
        <f t="shared" si="34"/>
        <v>0</v>
      </c>
      <c r="AG70" s="194">
        <f t="shared" si="35"/>
        <v>0</v>
      </c>
      <c r="AH70" s="194">
        <f t="shared" si="36"/>
        <v>0</v>
      </c>
      <c r="AI70" s="199">
        <f t="shared" si="37"/>
        <v>0</v>
      </c>
      <c r="AK70" s="71">
        <v>65</v>
      </c>
      <c r="AL70" s="33">
        <f t="shared" si="57"/>
        <v>0</v>
      </c>
      <c r="AM70" s="33">
        <f t="shared" si="58"/>
        <v>0</v>
      </c>
      <c r="AN70" s="33">
        <f t="shared" si="59"/>
        <v>0</v>
      </c>
      <c r="AO70" s="33">
        <f t="shared" si="60"/>
        <v>0</v>
      </c>
      <c r="AP70" s="33">
        <f t="shared" si="61"/>
        <v>0</v>
      </c>
      <c r="AQ70" s="194">
        <f t="shared" si="47"/>
        <v>0</v>
      </c>
      <c r="AR70" s="194">
        <f t="shared" si="47"/>
        <v>0</v>
      </c>
      <c r="AS70" s="194">
        <f t="shared" si="47"/>
        <v>0</v>
      </c>
      <c r="AT70" s="194">
        <f t="shared" si="47"/>
        <v>0</v>
      </c>
      <c r="AU70" s="33"/>
      <c r="AV70" s="33"/>
      <c r="AW70" s="33"/>
      <c r="AX70" s="33"/>
      <c r="AY70" s="76"/>
    </row>
    <row r="71" spans="2:51" x14ac:dyDescent="0.3">
      <c r="B71" s="40"/>
      <c r="C71" s="152"/>
      <c r="D71" s="137"/>
      <c r="E71" s="141"/>
      <c r="F71" s="42"/>
      <c r="G71" s="51"/>
      <c r="I71" s="55">
        <v>66</v>
      </c>
      <c r="J71" s="33">
        <f t="shared" ref="J71:J134" si="64">IF($I71&lt;=$F$10,$F$11*$F$13+J70,)</f>
        <v>0</v>
      </c>
      <c r="K71" s="33">
        <f t="shared" ref="K71:K134" si="65">IF(J71=0,0,EXP(-1.0587+0.8836*LN(J71)+0.284))</f>
        <v>0</v>
      </c>
      <c r="L71" s="33">
        <f t="shared" ref="L71:L134" si="66">IF(I71&lt;=$F$10,$F$5+($F$8-$F$5)*(1-EXP(-0.0175*I71)),)</f>
        <v>0</v>
      </c>
      <c r="M71" s="33">
        <f t="shared" ref="M71:M134" si="67">IF(I71&lt;=$F$10,IF(I71&lt;=30,I71*($F$9-$F$6)/30,$F$9-$F$6),)</f>
        <v>0</v>
      </c>
      <c r="N71" s="33">
        <f t="shared" si="48"/>
        <v>0</v>
      </c>
      <c r="O71" s="34">
        <f t="shared" si="49"/>
        <v>0</v>
      </c>
      <c r="P71" s="55">
        <v>66</v>
      </c>
      <c r="Q71" s="33">
        <f t="shared" si="62"/>
        <v>0</v>
      </c>
      <c r="R71" s="33">
        <f t="shared" ref="R71:R134" si="68">IF(P71&lt;=$F$18,Q71+R70,)</f>
        <v>0</v>
      </c>
      <c r="S71" s="33">
        <f t="shared" ref="S71:S134" si="69">$F$19*R71</f>
        <v>0</v>
      </c>
      <c r="T71" s="33">
        <f t="shared" si="50"/>
        <v>0</v>
      </c>
      <c r="U71" s="33">
        <f t="shared" si="63"/>
        <v>0</v>
      </c>
      <c r="V71" s="33">
        <f t="shared" si="51"/>
        <v>0</v>
      </c>
      <c r="W71" s="33">
        <v>0</v>
      </c>
      <c r="X71" s="33">
        <f t="shared" si="52"/>
        <v>0</v>
      </c>
      <c r="Y71" s="38">
        <f t="shared" si="53"/>
        <v>0</v>
      </c>
      <c r="AA71" s="71">
        <v>66</v>
      </c>
      <c r="AB71" s="33">
        <f t="shared" si="54"/>
        <v>0</v>
      </c>
      <c r="AC71" s="305">
        <f t="shared" si="39"/>
        <v>0</v>
      </c>
      <c r="AD71" s="100">
        <f t="shared" si="55"/>
        <v>0</v>
      </c>
      <c r="AE71" s="100">
        <f t="shared" si="56"/>
        <v>0</v>
      </c>
      <c r="AF71" s="194">
        <f t="shared" si="34"/>
        <v>0</v>
      </c>
      <c r="AG71" s="194">
        <f t="shared" si="35"/>
        <v>0</v>
      </c>
      <c r="AH71" s="194">
        <f t="shared" si="36"/>
        <v>0</v>
      </c>
      <c r="AI71" s="199">
        <f t="shared" si="37"/>
        <v>0</v>
      </c>
      <c r="AK71" s="71">
        <v>66</v>
      </c>
      <c r="AL71" s="33">
        <f t="shared" si="57"/>
        <v>0</v>
      </c>
      <c r="AM71" s="33">
        <f t="shared" si="58"/>
        <v>0</v>
      </c>
      <c r="AN71" s="33">
        <f t="shared" si="59"/>
        <v>0</v>
      </c>
      <c r="AO71" s="33">
        <f t="shared" si="60"/>
        <v>0</v>
      </c>
      <c r="AP71" s="33">
        <f t="shared" si="61"/>
        <v>0</v>
      </c>
      <c r="AQ71" s="194">
        <f t="shared" si="47"/>
        <v>0</v>
      </c>
      <c r="AR71" s="194">
        <f t="shared" si="47"/>
        <v>0</v>
      </c>
      <c r="AS71" s="194">
        <f t="shared" si="47"/>
        <v>0</v>
      </c>
      <c r="AT71" s="194">
        <f t="shared" si="47"/>
        <v>0</v>
      </c>
      <c r="AU71" s="33"/>
      <c r="AV71" s="33"/>
      <c r="AW71" s="33"/>
      <c r="AX71" s="33"/>
      <c r="AY71" s="76"/>
    </row>
    <row r="72" spans="2:51" x14ac:dyDescent="0.3">
      <c r="B72" s="40"/>
      <c r="C72" s="152"/>
      <c r="D72" s="137"/>
      <c r="E72" s="141"/>
      <c r="F72" s="42"/>
      <c r="G72" s="51"/>
      <c r="I72" s="55">
        <v>67</v>
      </c>
      <c r="J72" s="33">
        <f t="shared" si="64"/>
        <v>0</v>
      </c>
      <c r="K72" s="33">
        <f t="shared" si="65"/>
        <v>0</v>
      </c>
      <c r="L72" s="33">
        <f t="shared" si="66"/>
        <v>0</v>
      </c>
      <c r="M72" s="33">
        <f t="shared" si="67"/>
        <v>0</v>
      </c>
      <c r="N72" s="33">
        <f t="shared" si="48"/>
        <v>0</v>
      </c>
      <c r="O72" s="34">
        <f t="shared" si="49"/>
        <v>0</v>
      </c>
      <c r="P72" s="55">
        <v>67</v>
      </c>
      <c r="Q72" s="33">
        <f t="shared" si="62"/>
        <v>0</v>
      </c>
      <c r="R72" s="33">
        <f t="shared" si="68"/>
        <v>0</v>
      </c>
      <c r="S72" s="33">
        <f t="shared" si="69"/>
        <v>0</v>
      </c>
      <c r="T72" s="33">
        <f t="shared" si="50"/>
        <v>0</v>
      </c>
      <c r="U72" s="33">
        <f t="shared" si="63"/>
        <v>0</v>
      </c>
      <c r="V72" s="33">
        <f t="shared" si="51"/>
        <v>0</v>
      </c>
      <c r="W72" s="33">
        <v>0</v>
      </c>
      <c r="X72" s="33">
        <f t="shared" si="52"/>
        <v>0</v>
      </c>
      <c r="Y72" s="38">
        <f t="shared" si="53"/>
        <v>0</v>
      </c>
      <c r="AA72" s="71">
        <v>67</v>
      </c>
      <c r="AB72" s="33">
        <f t="shared" si="54"/>
        <v>0</v>
      </c>
      <c r="AC72" s="305">
        <f t="shared" si="39"/>
        <v>0</v>
      </c>
      <c r="AD72" s="100">
        <f t="shared" si="55"/>
        <v>0</v>
      </c>
      <c r="AE72" s="100">
        <f t="shared" si="56"/>
        <v>0</v>
      </c>
      <c r="AF72" s="194">
        <f t="shared" si="34"/>
        <v>0</v>
      </c>
      <c r="AG72" s="194">
        <f t="shared" si="35"/>
        <v>0</v>
      </c>
      <c r="AH72" s="194">
        <f t="shared" si="36"/>
        <v>0</v>
      </c>
      <c r="AI72" s="199">
        <f t="shared" si="37"/>
        <v>0</v>
      </c>
      <c r="AK72" s="71">
        <v>67</v>
      </c>
      <c r="AL72" s="33">
        <f t="shared" si="57"/>
        <v>0</v>
      </c>
      <c r="AM72" s="33">
        <f t="shared" si="58"/>
        <v>0</v>
      </c>
      <c r="AN72" s="33">
        <f t="shared" si="59"/>
        <v>0</v>
      </c>
      <c r="AO72" s="33">
        <f t="shared" si="60"/>
        <v>0</v>
      </c>
      <c r="AP72" s="33">
        <f t="shared" si="61"/>
        <v>0</v>
      </c>
      <c r="AQ72" s="194">
        <f t="shared" si="47"/>
        <v>0</v>
      </c>
      <c r="AR72" s="194">
        <f t="shared" si="47"/>
        <v>0</v>
      </c>
      <c r="AS72" s="194">
        <f t="shared" si="47"/>
        <v>0</v>
      </c>
      <c r="AT72" s="194">
        <f t="shared" si="47"/>
        <v>0</v>
      </c>
      <c r="AU72" s="33"/>
      <c r="AV72" s="33"/>
      <c r="AW72" s="33"/>
      <c r="AX72" s="33"/>
      <c r="AY72" s="76"/>
    </row>
    <row r="73" spans="2:51" x14ac:dyDescent="0.3">
      <c r="B73" s="40"/>
      <c r="C73" s="152"/>
      <c r="D73" s="137"/>
      <c r="E73" s="141"/>
      <c r="F73" s="42"/>
      <c r="G73" s="51"/>
      <c r="I73" s="55">
        <v>68</v>
      </c>
      <c r="J73" s="33">
        <f t="shared" si="64"/>
        <v>0</v>
      </c>
      <c r="K73" s="33">
        <f t="shared" si="65"/>
        <v>0</v>
      </c>
      <c r="L73" s="33">
        <f t="shared" si="66"/>
        <v>0</v>
      </c>
      <c r="M73" s="33">
        <f t="shared" si="67"/>
        <v>0</v>
      </c>
      <c r="N73" s="33">
        <f t="shared" si="48"/>
        <v>0</v>
      </c>
      <c r="O73" s="34">
        <f t="shared" si="49"/>
        <v>0</v>
      </c>
      <c r="P73" s="55">
        <v>68</v>
      </c>
      <c r="Q73" s="33">
        <f t="shared" si="62"/>
        <v>0</v>
      </c>
      <c r="R73" s="33">
        <f t="shared" si="68"/>
        <v>0</v>
      </c>
      <c r="S73" s="33">
        <f t="shared" si="69"/>
        <v>0</v>
      </c>
      <c r="T73" s="33">
        <f t="shared" si="50"/>
        <v>0</v>
      </c>
      <c r="U73" s="33">
        <f t="shared" si="63"/>
        <v>0</v>
      </c>
      <c r="V73" s="33">
        <f t="shared" si="51"/>
        <v>0</v>
      </c>
      <c r="W73" s="33">
        <v>0</v>
      </c>
      <c r="X73" s="33">
        <f t="shared" si="52"/>
        <v>0</v>
      </c>
      <c r="Y73" s="38">
        <f t="shared" si="53"/>
        <v>0</v>
      </c>
      <c r="AA73" s="71">
        <v>68</v>
      </c>
      <c r="AB73" s="33">
        <f t="shared" si="54"/>
        <v>0</v>
      </c>
      <c r="AC73" s="305">
        <f t="shared" si="39"/>
        <v>0</v>
      </c>
      <c r="AD73" s="100">
        <f t="shared" si="55"/>
        <v>0</v>
      </c>
      <c r="AE73" s="100">
        <f t="shared" si="56"/>
        <v>0</v>
      </c>
      <c r="AF73" s="194">
        <f t="shared" si="34"/>
        <v>0</v>
      </c>
      <c r="AG73" s="194">
        <f t="shared" si="35"/>
        <v>0</v>
      </c>
      <c r="AH73" s="194">
        <f t="shared" si="36"/>
        <v>0</v>
      </c>
      <c r="AI73" s="199">
        <f t="shared" si="37"/>
        <v>0</v>
      </c>
      <c r="AK73" s="71">
        <v>68</v>
      </c>
      <c r="AL73" s="33">
        <f t="shared" si="57"/>
        <v>0</v>
      </c>
      <c r="AM73" s="33">
        <f t="shared" si="58"/>
        <v>0</v>
      </c>
      <c r="AN73" s="33">
        <f t="shared" si="59"/>
        <v>0</v>
      </c>
      <c r="AO73" s="33">
        <f t="shared" si="60"/>
        <v>0</v>
      </c>
      <c r="AP73" s="33">
        <f t="shared" si="61"/>
        <v>0</v>
      </c>
      <c r="AQ73" s="194">
        <f t="shared" si="47"/>
        <v>0</v>
      </c>
      <c r="AR73" s="194">
        <f t="shared" si="47"/>
        <v>0</v>
      </c>
      <c r="AS73" s="194">
        <f t="shared" si="47"/>
        <v>0</v>
      </c>
      <c r="AT73" s="194">
        <f t="shared" si="47"/>
        <v>0</v>
      </c>
      <c r="AU73" s="33"/>
      <c r="AV73" s="33"/>
      <c r="AW73" s="33"/>
      <c r="AX73" s="33"/>
      <c r="AY73" s="76"/>
    </row>
    <row r="74" spans="2:51" x14ac:dyDescent="0.3">
      <c r="B74" s="40"/>
      <c r="C74" s="152"/>
      <c r="D74" s="137"/>
      <c r="E74" s="141"/>
      <c r="F74" s="42"/>
      <c r="G74" s="51"/>
      <c r="I74" s="55">
        <v>69</v>
      </c>
      <c r="J74" s="33">
        <f t="shared" si="64"/>
        <v>0</v>
      </c>
      <c r="K74" s="33">
        <f t="shared" si="65"/>
        <v>0</v>
      </c>
      <c r="L74" s="33">
        <f t="shared" si="66"/>
        <v>0</v>
      </c>
      <c r="M74" s="33">
        <f t="shared" si="67"/>
        <v>0</v>
      </c>
      <c r="N74" s="33">
        <f t="shared" si="48"/>
        <v>0</v>
      </c>
      <c r="O74" s="34">
        <f t="shared" si="49"/>
        <v>0</v>
      </c>
      <c r="P74" s="55">
        <v>69</v>
      </c>
      <c r="Q74" s="33">
        <f t="shared" si="62"/>
        <v>0</v>
      </c>
      <c r="R74" s="33">
        <f t="shared" si="68"/>
        <v>0</v>
      </c>
      <c r="S74" s="33">
        <f t="shared" si="69"/>
        <v>0</v>
      </c>
      <c r="T74" s="33">
        <f t="shared" si="50"/>
        <v>0</v>
      </c>
      <c r="U74" s="33">
        <f t="shared" si="63"/>
        <v>0</v>
      </c>
      <c r="V74" s="33">
        <f t="shared" si="51"/>
        <v>0</v>
      </c>
      <c r="W74" s="33">
        <v>0</v>
      </c>
      <c r="X74" s="33">
        <f t="shared" si="52"/>
        <v>0</v>
      </c>
      <c r="Y74" s="38">
        <f t="shared" si="53"/>
        <v>0</v>
      </c>
      <c r="AA74" s="71">
        <v>69</v>
      </c>
      <c r="AB74" s="33">
        <f t="shared" si="54"/>
        <v>0</v>
      </c>
      <c r="AC74" s="305">
        <f t="shared" si="39"/>
        <v>0</v>
      </c>
      <c r="AD74" s="100">
        <f t="shared" si="55"/>
        <v>0</v>
      </c>
      <c r="AE74" s="100">
        <f t="shared" si="56"/>
        <v>0</v>
      </c>
      <c r="AF74" s="194">
        <f t="shared" si="34"/>
        <v>0</v>
      </c>
      <c r="AG74" s="194">
        <f t="shared" si="35"/>
        <v>0</v>
      </c>
      <c r="AH74" s="194">
        <f t="shared" si="36"/>
        <v>0</v>
      </c>
      <c r="AI74" s="199">
        <f t="shared" si="37"/>
        <v>0</v>
      </c>
      <c r="AK74" s="71">
        <v>69</v>
      </c>
      <c r="AL74" s="33">
        <f t="shared" si="57"/>
        <v>0</v>
      </c>
      <c r="AM74" s="33">
        <f t="shared" si="58"/>
        <v>0</v>
      </c>
      <c r="AN74" s="33">
        <f t="shared" si="59"/>
        <v>0</v>
      </c>
      <c r="AO74" s="33">
        <f t="shared" si="60"/>
        <v>0</v>
      </c>
      <c r="AP74" s="33">
        <f t="shared" si="61"/>
        <v>0</v>
      </c>
      <c r="AQ74" s="194">
        <f t="shared" si="47"/>
        <v>0</v>
      </c>
      <c r="AR74" s="194">
        <f t="shared" si="47"/>
        <v>0</v>
      </c>
      <c r="AS74" s="194">
        <f t="shared" si="47"/>
        <v>0</v>
      </c>
      <c r="AT74" s="194">
        <f t="shared" si="47"/>
        <v>0</v>
      </c>
      <c r="AU74" s="33"/>
      <c r="AV74" s="33"/>
      <c r="AW74" s="33"/>
      <c r="AX74" s="33"/>
      <c r="AY74" s="76"/>
    </row>
    <row r="75" spans="2:51" x14ac:dyDescent="0.3">
      <c r="B75" s="40"/>
      <c r="C75" s="152"/>
      <c r="D75" s="137"/>
      <c r="E75" s="141"/>
      <c r="F75" s="42"/>
      <c r="G75" s="51"/>
      <c r="I75" s="55">
        <v>70</v>
      </c>
      <c r="J75" s="33">
        <f t="shared" si="64"/>
        <v>0</v>
      </c>
      <c r="K75" s="33">
        <f t="shared" si="65"/>
        <v>0</v>
      </c>
      <c r="L75" s="33">
        <f t="shared" si="66"/>
        <v>0</v>
      </c>
      <c r="M75" s="33">
        <f t="shared" si="67"/>
        <v>0</v>
      </c>
      <c r="N75" s="33">
        <f t="shared" si="48"/>
        <v>0</v>
      </c>
      <c r="O75" s="34">
        <f t="shared" si="49"/>
        <v>0</v>
      </c>
      <c r="P75" s="55">
        <v>70</v>
      </c>
      <c r="Q75" s="33">
        <f t="shared" si="62"/>
        <v>0</v>
      </c>
      <c r="R75" s="33">
        <f t="shared" si="68"/>
        <v>0</v>
      </c>
      <c r="S75" s="33">
        <f t="shared" si="69"/>
        <v>0</v>
      </c>
      <c r="T75" s="33">
        <f t="shared" si="50"/>
        <v>0</v>
      </c>
      <c r="U75" s="33">
        <f t="shared" si="63"/>
        <v>0</v>
      </c>
      <c r="V75" s="33">
        <f t="shared" si="51"/>
        <v>0</v>
      </c>
      <c r="W75" s="33">
        <v>0</v>
      </c>
      <c r="X75" s="33">
        <f t="shared" si="52"/>
        <v>0</v>
      </c>
      <c r="Y75" s="38">
        <f t="shared" si="53"/>
        <v>0</v>
      </c>
      <c r="AA75" s="71">
        <v>70</v>
      </c>
      <c r="AB75" s="33">
        <f t="shared" si="54"/>
        <v>0</v>
      </c>
      <c r="AC75" s="305">
        <f t="shared" si="39"/>
        <v>0</v>
      </c>
      <c r="AD75" s="100">
        <f t="shared" si="55"/>
        <v>0</v>
      </c>
      <c r="AE75" s="100">
        <f t="shared" si="56"/>
        <v>0</v>
      </c>
      <c r="AF75" s="194">
        <f t="shared" si="34"/>
        <v>0</v>
      </c>
      <c r="AG75" s="194">
        <f t="shared" si="35"/>
        <v>0</v>
      </c>
      <c r="AH75" s="194">
        <f t="shared" si="36"/>
        <v>0</v>
      </c>
      <c r="AI75" s="199">
        <f t="shared" si="37"/>
        <v>0</v>
      </c>
      <c r="AK75" s="71">
        <v>70</v>
      </c>
      <c r="AL75" s="33">
        <f t="shared" si="57"/>
        <v>0</v>
      </c>
      <c r="AM75" s="33">
        <f t="shared" si="58"/>
        <v>0</v>
      </c>
      <c r="AN75" s="33">
        <f t="shared" si="59"/>
        <v>0</v>
      </c>
      <c r="AO75" s="33">
        <f t="shared" si="60"/>
        <v>0</v>
      </c>
      <c r="AP75" s="33">
        <f t="shared" si="61"/>
        <v>0</v>
      </c>
      <c r="AQ75" s="194">
        <f t="shared" si="47"/>
        <v>0</v>
      </c>
      <c r="AR75" s="194">
        <f t="shared" si="47"/>
        <v>0</v>
      </c>
      <c r="AS75" s="194">
        <f t="shared" si="47"/>
        <v>0</v>
      </c>
      <c r="AT75" s="194">
        <f t="shared" si="47"/>
        <v>0</v>
      </c>
      <c r="AU75" s="33"/>
      <c r="AV75" s="33"/>
      <c r="AW75" s="33"/>
      <c r="AX75" s="33"/>
      <c r="AY75" s="76"/>
    </row>
    <row r="76" spans="2:51" x14ac:dyDescent="0.3">
      <c r="B76" s="40"/>
      <c r="C76" s="152"/>
      <c r="D76" s="137"/>
      <c r="E76" s="141"/>
      <c r="F76" s="42"/>
      <c r="G76" s="51"/>
      <c r="I76" s="55">
        <v>71</v>
      </c>
      <c r="J76" s="33">
        <f t="shared" si="64"/>
        <v>0</v>
      </c>
      <c r="K76" s="33">
        <f t="shared" si="65"/>
        <v>0</v>
      </c>
      <c r="L76" s="33">
        <f t="shared" si="66"/>
        <v>0</v>
      </c>
      <c r="M76" s="33">
        <f t="shared" si="67"/>
        <v>0</v>
      </c>
      <c r="N76" s="33">
        <f t="shared" si="48"/>
        <v>0</v>
      </c>
      <c r="O76" s="34">
        <f t="shared" si="49"/>
        <v>0</v>
      </c>
      <c r="P76" s="55">
        <v>71</v>
      </c>
      <c r="Q76" s="33">
        <f t="shared" si="62"/>
        <v>0</v>
      </c>
      <c r="R76" s="33">
        <f t="shared" si="68"/>
        <v>0</v>
      </c>
      <c r="S76" s="33">
        <f t="shared" si="69"/>
        <v>0</v>
      </c>
      <c r="T76" s="33">
        <f t="shared" si="50"/>
        <v>0</v>
      </c>
      <c r="U76" s="33">
        <f t="shared" si="63"/>
        <v>0</v>
      </c>
      <c r="V76" s="33">
        <f t="shared" si="51"/>
        <v>0</v>
      </c>
      <c r="W76" s="33">
        <v>0</v>
      </c>
      <c r="X76" s="33">
        <f t="shared" si="52"/>
        <v>0</v>
      </c>
      <c r="Y76" s="38">
        <f t="shared" si="53"/>
        <v>0</v>
      </c>
      <c r="AA76" s="71">
        <v>71</v>
      </c>
      <c r="AB76" s="33">
        <f t="shared" si="54"/>
        <v>0</v>
      </c>
      <c r="AC76" s="305">
        <f t="shared" si="39"/>
        <v>0</v>
      </c>
      <c r="AD76" s="100">
        <f t="shared" si="55"/>
        <v>0</v>
      </c>
      <c r="AE76" s="100">
        <f t="shared" si="56"/>
        <v>0</v>
      </c>
      <c r="AF76" s="194">
        <f t="shared" si="34"/>
        <v>0</v>
      </c>
      <c r="AG76" s="194">
        <f t="shared" si="35"/>
        <v>0</v>
      </c>
      <c r="AH76" s="194">
        <f t="shared" si="36"/>
        <v>0</v>
      </c>
      <c r="AI76" s="199">
        <f t="shared" si="37"/>
        <v>0</v>
      </c>
      <c r="AK76" s="71">
        <v>71</v>
      </c>
      <c r="AL76" s="33">
        <f t="shared" si="57"/>
        <v>0</v>
      </c>
      <c r="AM76" s="33">
        <f t="shared" si="58"/>
        <v>0</v>
      </c>
      <c r="AN76" s="33">
        <f t="shared" si="59"/>
        <v>0</v>
      </c>
      <c r="AO76" s="33">
        <f t="shared" si="60"/>
        <v>0</v>
      </c>
      <c r="AP76" s="33">
        <f t="shared" si="61"/>
        <v>0</v>
      </c>
      <c r="AQ76" s="194">
        <f t="shared" si="47"/>
        <v>0</v>
      </c>
      <c r="AR76" s="194">
        <f t="shared" si="47"/>
        <v>0</v>
      </c>
      <c r="AS76" s="194">
        <f t="shared" si="47"/>
        <v>0</v>
      </c>
      <c r="AT76" s="194">
        <f t="shared" si="47"/>
        <v>0</v>
      </c>
      <c r="AU76" s="33"/>
      <c r="AV76" s="33"/>
      <c r="AW76" s="33"/>
      <c r="AX76" s="33"/>
      <c r="AY76" s="76"/>
    </row>
    <row r="77" spans="2:51" x14ac:dyDescent="0.3">
      <c r="B77" s="40"/>
      <c r="C77" s="152"/>
      <c r="D77" s="137"/>
      <c r="E77" s="141"/>
      <c r="F77" s="42"/>
      <c r="G77" s="51"/>
      <c r="I77" s="55">
        <v>72</v>
      </c>
      <c r="J77" s="33">
        <f t="shared" si="64"/>
        <v>0</v>
      </c>
      <c r="K77" s="33">
        <f t="shared" si="65"/>
        <v>0</v>
      </c>
      <c r="L77" s="33">
        <f t="shared" si="66"/>
        <v>0</v>
      </c>
      <c r="M77" s="33">
        <f t="shared" si="67"/>
        <v>0</v>
      </c>
      <c r="N77" s="33">
        <f t="shared" si="48"/>
        <v>0</v>
      </c>
      <c r="O77" s="34">
        <f t="shared" si="49"/>
        <v>0</v>
      </c>
      <c r="P77" s="55">
        <v>72</v>
      </c>
      <c r="Q77" s="33">
        <f t="shared" si="62"/>
        <v>0</v>
      </c>
      <c r="R77" s="33">
        <f t="shared" si="68"/>
        <v>0</v>
      </c>
      <c r="S77" s="33">
        <f t="shared" si="69"/>
        <v>0</v>
      </c>
      <c r="T77" s="33">
        <f t="shared" si="50"/>
        <v>0</v>
      </c>
      <c r="U77" s="33">
        <f t="shared" si="63"/>
        <v>0</v>
      </c>
      <c r="V77" s="33">
        <f t="shared" si="51"/>
        <v>0</v>
      </c>
      <c r="W77" s="33">
        <v>0</v>
      </c>
      <c r="X77" s="33">
        <f t="shared" si="52"/>
        <v>0</v>
      </c>
      <c r="Y77" s="38">
        <f t="shared" si="53"/>
        <v>0</v>
      </c>
      <c r="AA77" s="71">
        <v>72</v>
      </c>
      <c r="AB77" s="33">
        <f t="shared" si="54"/>
        <v>0</v>
      </c>
      <c r="AC77" s="305">
        <f t="shared" si="39"/>
        <v>0</v>
      </c>
      <c r="AD77" s="100">
        <f t="shared" si="55"/>
        <v>0</v>
      </c>
      <c r="AE77" s="100">
        <f t="shared" si="56"/>
        <v>0</v>
      </c>
      <c r="AF77" s="194">
        <f t="shared" si="34"/>
        <v>0</v>
      </c>
      <c r="AG77" s="194">
        <f t="shared" si="35"/>
        <v>0</v>
      </c>
      <c r="AH77" s="194">
        <f t="shared" si="36"/>
        <v>0</v>
      </c>
      <c r="AI77" s="199">
        <f t="shared" si="37"/>
        <v>0</v>
      </c>
      <c r="AK77" s="71">
        <v>72</v>
      </c>
      <c r="AL77" s="33">
        <f t="shared" si="57"/>
        <v>0</v>
      </c>
      <c r="AM77" s="33">
        <f t="shared" si="58"/>
        <v>0</v>
      </c>
      <c r="AN77" s="33">
        <f t="shared" si="59"/>
        <v>0</v>
      </c>
      <c r="AO77" s="33">
        <f t="shared" si="60"/>
        <v>0</v>
      </c>
      <c r="AP77" s="33">
        <f t="shared" si="61"/>
        <v>0</v>
      </c>
      <c r="AQ77" s="194">
        <f t="shared" si="47"/>
        <v>0</v>
      </c>
      <c r="AR77" s="194">
        <f t="shared" si="47"/>
        <v>0</v>
      </c>
      <c r="AS77" s="194">
        <f t="shared" si="47"/>
        <v>0</v>
      </c>
      <c r="AT77" s="194">
        <f t="shared" si="47"/>
        <v>0</v>
      </c>
      <c r="AU77" s="33"/>
      <c r="AV77" s="33"/>
      <c r="AW77" s="33"/>
      <c r="AX77" s="33"/>
      <c r="AY77" s="76"/>
    </row>
    <row r="78" spans="2:51" x14ac:dyDescent="0.3">
      <c r="B78" s="43"/>
      <c r="C78" s="153"/>
      <c r="D78" s="154"/>
      <c r="E78" s="141"/>
      <c r="F78" s="42"/>
      <c r="G78" s="51"/>
      <c r="I78" s="55">
        <v>73</v>
      </c>
      <c r="J78" s="33">
        <f t="shared" si="64"/>
        <v>0</v>
      </c>
      <c r="K78" s="33">
        <f t="shared" si="65"/>
        <v>0</v>
      </c>
      <c r="L78" s="33">
        <f t="shared" si="66"/>
        <v>0</v>
      </c>
      <c r="M78" s="33">
        <f t="shared" si="67"/>
        <v>0</v>
      </c>
      <c r="N78" s="33">
        <f t="shared" si="48"/>
        <v>0</v>
      </c>
      <c r="O78" s="34">
        <f t="shared" si="49"/>
        <v>0</v>
      </c>
      <c r="P78" s="55">
        <v>73</v>
      </c>
      <c r="Q78" s="33">
        <f t="shared" si="62"/>
        <v>0</v>
      </c>
      <c r="R78" s="33">
        <f t="shared" si="68"/>
        <v>0</v>
      </c>
      <c r="S78" s="33">
        <f t="shared" si="69"/>
        <v>0</v>
      </c>
      <c r="T78" s="33">
        <f t="shared" si="50"/>
        <v>0</v>
      </c>
      <c r="U78" s="33">
        <f t="shared" si="63"/>
        <v>0</v>
      </c>
      <c r="V78" s="33">
        <f t="shared" si="51"/>
        <v>0</v>
      </c>
      <c r="W78" s="33">
        <v>0</v>
      </c>
      <c r="X78" s="33">
        <f t="shared" si="52"/>
        <v>0</v>
      </c>
      <c r="Y78" s="38">
        <f t="shared" si="53"/>
        <v>0</v>
      </c>
      <c r="AA78" s="71">
        <v>73</v>
      </c>
      <c r="AB78" s="33">
        <f t="shared" si="54"/>
        <v>0</v>
      </c>
      <c r="AC78" s="305">
        <f t="shared" si="39"/>
        <v>0</v>
      </c>
      <c r="AD78" s="100">
        <f t="shared" si="55"/>
        <v>0</v>
      </c>
      <c r="AE78" s="100">
        <f t="shared" si="56"/>
        <v>0</v>
      </c>
      <c r="AF78" s="194">
        <f t="shared" si="34"/>
        <v>0</v>
      </c>
      <c r="AG78" s="194">
        <f t="shared" si="35"/>
        <v>0</v>
      </c>
      <c r="AH78" s="194">
        <f t="shared" si="36"/>
        <v>0</v>
      </c>
      <c r="AI78" s="199">
        <f t="shared" si="37"/>
        <v>0</v>
      </c>
      <c r="AK78" s="71">
        <v>73</v>
      </c>
      <c r="AL78" s="33">
        <f t="shared" si="57"/>
        <v>0</v>
      </c>
      <c r="AM78" s="33">
        <f t="shared" si="58"/>
        <v>0</v>
      </c>
      <c r="AN78" s="33">
        <f t="shared" si="59"/>
        <v>0</v>
      </c>
      <c r="AO78" s="33">
        <f t="shared" si="60"/>
        <v>0</v>
      </c>
      <c r="AP78" s="33">
        <f t="shared" si="61"/>
        <v>0</v>
      </c>
      <c r="AQ78" s="194">
        <f t="shared" si="47"/>
        <v>0</v>
      </c>
      <c r="AR78" s="194">
        <f t="shared" si="47"/>
        <v>0</v>
      </c>
      <c r="AS78" s="194">
        <f t="shared" si="47"/>
        <v>0</v>
      </c>
      <c r="AT78" s="194">
        <f t="shared" si="47"/>
        <v>0</v>
      </c>
      <c r="AU78" s="33"/>
      <c r="AV78" s="33"/>
      <c r="AW78" s="33"/>
      <c r="AX78" s="33"/>
      <c r="AY78" s="76"/>
    </row>
    <row r="79" spans="2:51" x14ac:dyDescent="0.3">
      <c r="I79" s="55">
        <v>74</v>
      </c>
      <c r="J79" s="33">
        <f t="shared" si="64"/>
        <v>0</v>
      </c>
      <c r="K79" s="33">
        <f t="shared" si="65"/>
        <v>0</v>
      </c>
      <c r="L79" s="33">
        <f t="shared" si="66"/>
        <v>0</v>
      </c>
      <c r="M79" s="33">
        <f t="shared" si="67"/>
        <v>0</v>
      </c>
      <c r="N79" s="33">
        <f t="shared" si="48"/>
        <v>0</v>
      </c>
      <c r="O79" s="34">
        <f t="shared" si="49"/>
        <v>0</v>
      </c>
      <c r="P79" s="55">
        <v>74</v>
      </c>
      <c r="Q79" s="33">
        <f t="shared" si="62"/>
        <v>0</v>
      </c>
      <c r="R79" s="33">
        <f t="shared" si="68"/>
        <v>0</v>
      </c>
      <c r="S79" s="33">
        <f t="shared" si="69"/>
        <v>0</v>
      </c>
      <c r="T79" s="33">
        <f t="shared" si="50"/>
        <v>0</v>
      </c>
      <c r="U79" s="33">
        <f t="shared" si="63"/>
        <v>0</v>
      </c>
      <c r="V79" s="33">
        <f t="shared" si="51"/>
        <v>0</v>
      </c>
      <c r="W79" s="33">
        <v>0</v>
      </c>
      <c r="X79" s="33">
        <f t="shared" si="52"/>
        <v>0</v>
      </c>
      <c r="Y79" s="38">
        <f t="shared" si="53"/>
        <v>0</v>
      </c>
      <c r="AA79" s="71">
        <v>74</v>
      </c>
      <c r="AB79" s="33">
        <f t="shared" si="54"/>
        <v>0</v>
      </c>
      <c r="AC79" s="305">
        <f t="shared" si="39"/>
        <v>0</v>
      </c>
      <c r="AD79" s="100">
        <f t="shared" si="55"/>
        <v>0</v>
      </c>
      <c r="AE79" s="100">
        <f t="shared" si="56"/>
        <v>0</v>
      </c>
      <c r="AF79" s="194">
        <f t="shared" si="34"/>
        <v>0</v>
      </c>
      <c r="AG79" s="194">
        <f t="shared" si="35"/>
        <v>0</v>
      </c>
      <c r="AH79" s="194">
        <f t="shared" si="36"/>
        <v>0</v>
      </c>
      <c r="AI79" s="199">
        <f t="shared" si="37"/>
        <v>0</v>
      </c>
      <c r="AK79" s="71">
        <v>74</v>
      </c>
      <c r="AL79" s="33">
        <f t="shared" si="57"/>
        <v>0</v>
      </c>
      <c r="AM79" s="33">
        <f t="shared" si="58"/>
        <v>0</v>
      </c>
      <c r="AN79" s="33">
        <f t="shared" si="59"/>
        <v>0</v>
      </c>
      <c r="AO79" s="33">
        <f t="shared" si="60"/>
        <v>0</v>
      </c>
      <c r="AP79" s="33">
        <f t="shared" si="61"/>
        <v>0</v>
      </c>
      <c r="AQ79" s="194">
        <f t="shared" si="47"/>
        <v>0</v>
      </c>
      <c r="AR79" s="194">
        <f t="shared" si="47"/>
        <v>0</v>
      </c>
      <c r="AS79" s="194">
        <f t="shared" si="47"/>
        <v>0</v>
      </c>
      <c r="AT79" s="194">
        <f t="shared" si="47"/>
        <v>0</v>
      </c>
      <c r="AU79" s="33"/>
      <c r="AV79" s="33"/>
      <c r="AW79" s="33"/>
      <c r="AX79" s="33"/>
      <c r="AY79" s="76"/>
    </row>
    <row r="80" spans="2:51" x14ac:dyDescent="0.3">
      <c r="B80" s="356" t="s">
        <v>259</v>
      </c>
      <c r="C80" s="357"/>
      <c r="D80" s="357"/>
      <c r="E80" s="357"/>
      <c r="F80" s="357"/>
      <c r="G80" s="358"/>
      <c r="H80" s="23"/>
      <c r="I80" s="55">
        <v>75</v>
      </c>
      <c r="J80" s="33">
        <f t="shared" si="64"/>
        <v>0</v>
      </c>
      <c r="K80" s="33">
        <f t="shared" si="65"/>
        <v>0</v>
      </c>
      <c r="L80" s="33">
        <f t="shared" si="66"/>
        <v>0</v>
      </c>
      <c r="M80" s="33">
        <f t="shared" si="67"/>
        <v>0</v>
      </c>
      <c r="N80" s="33">
        <f t="shared" si="48"/>
        <v>0</v>
      </c>
      <c r="O80" s="34">
        <f t="shared" si="49"/>
        <v>0</v>
      </c>
      <c r="P80" s="55">
        <v>75</v>
      </c>
      <c r="Q80" s="33">
        <f t="shared" si="62"/>
        <v>0</v>
      </c>
      <c r="R80" s="33">
        <f t="shared" si="68"/>
        <v>0</v>
      </c>
      <c r="S80" s="33">
        <f t="shared" si="69"/>
        <v>0</v>
      </c>
      <c r="T80" s="33">
        <f t="shared" si="50"/>
        <v>0</v>
      </c>
      <c r="U80" s="33">
        <f t="shared" si="63"/>
        <v>0</v>
      </c>
      <c r="V80" s="33">
        <f t="shared" si="51"/>
        <v>0</v>
      </c>
      <c r="W80" s="33">
        <v>0</v>
      </c>
      <c r="X80" s="33">
        <f t="shared" si="52"/>
        <v>0</v>
      </c>
      <c r="Y80" s="38">
        <f t="shared" si="53"/>
        <v>0</v>
      </c>
      <c r="AA80" s="71">
        <v>75</v>
      </c>
      <c r="AB80" s="33">
        <f t="shared" si="54"/>
        <v>0</v>
      </c>
      <c r="AC80" s="305">
        <f t="shared" si="39"/>
        <v>0</v>
      </c>
      <c r="AD80" s="100">
        <f t="shared" si="55"/>
        <v>0</v>
      </c>
      <c r="AE80" s="100">
        <f t="shared" si="56"/>
        <v>0</v>
      </c>
      <c r="AF80" s="194">
        <f t="shared" si="34"/>
        <v>0</v>
      </c>
      <c r="AG80" s="194">
        <f t="shared" si="35"/>
        <v>0</v>
      </c>
      <c r="AH80" s="194">
        <f t="shared" si="36"/>
        <v>0</v>
      </c>
      <c r="AI80" s="199">
        <f t="shared" si="37"/>
        <v>0</v>
      </c>
      <c r="AK80" s="71">
        <v>75</v>
      </c>
      <c r="AL80" s="33">
        <f t="shared" si="57"/>
        <v>0</v>
      </c>
      <c r="AM80" s="33">
        <f t="shared" si="58"/>
        <v>0</v>
      </c>
      <c r="AN80" s="33">
        <f t="shared" si="59"/>
        <v>0</v>
      </c>
      <c r="AO80" s="33">
        <f t="shared" si="60"/>
        <v>0</v>
      </c>
      <c r="AP80" s="33">
        <f t="shared" si="61"/>
        <v>0</v>
      </c>
      <c r="AQ80" s="194">
        <f t="shared" si="47"/>
        <v>0</v>
      </c>
      <c r="AR80" s="194">
        <f t="shared" si="47"/>
        <v>0</v>
      </c>
      <c r="AS80" s="194">
        <f t="shared" si="47"/>
        <v>0</v>
      </c>
      <c r="AT80" s="194">
        <f t="shared" si="47"/>
        <v>0</v>
      </c>
      <c r="AU80" s="33"/>
      <c r="AV80" s="33"/>
      <c r="AW80" s="33"/>
      <c r="AX80" s="33"/>
      <c r="AY80" s="76"/>
    </row>
    <row r="81" spans="1:51" x14ac:dyDescent="0.3">
      <c r="A81" t="s">
        <v>194</v>
      </c>
      <c r="B81" s="139" t="s">
        <v>76</v>
      </c>
      <c r="C81" s="132" t="s">
        <v>156</v>
      </c>
      <c r="D81" s="130" t="s">
        <v>78</v>
      </c>
      <c r="E81" s="130" t="s">
        <v>81</v>
      </c>
      <c r="F81" s="130" t="s">
        <v>80</v>
      </c>
      <c r="G81" s="131" t="s">
        <v>79</v>
      </c>
      <c r="H81" s="57"/>
      <c r="I81" s="55">
        <v>76</v>
      </c>
      <c r="J81" s="33">
        <f t="shared" si="64"/>
        <v>0</v>
      </c>
      <c r="K81" s="33">
        <f t="shared" si="65"/>
        <v>0</v>
      </c>
      <c r="L81" s="33">
        <f t="shared" si="66"/>
        <v>0</v>
      </c>
      <c r="M81" s="33">
        <f t="shared" si="67"/>
        <v>0</v>
      </c>
      <c r="N81" s="33">
        <f t="shared" si="48"/>
        <v>0</v>
      </c>
      <c r="O81" s="34">
        <f t="shared" si="49"/>
        <v>0</v>
      </c>
      <c r="P81" s="55">
        <v>76</v>
      </c>
      <c r="Q81" s="33">
        <f t="shared" si="62"/>
        <v>0</v>
      </c>
      <c r="R81" s="33">
        <f t="shared" si="68"/>
        <v>0</v>
      </c>
      <c r="S81" s="33">
        <f t="shared" si="69"/>
        <v>0</v>
      </c>
      <c r="T81" s="33">
        <f t="shared" si="50"/>
        <v>0</v>
      </c>
      <c r="U81" s="33">
        <f t="shared" si="63"/>
        <v>0</v>
      </c>
      <c r="V81" s="33">
        <f t="shared" si="51"/>
        <v>0</v>
      </c>
      <c r="W81" s="33">
        <v>0</v>
      </c>
      <c r="X81" s="33">
        <f t="shared" si="52"/>
        <v>0</v>
      </c>
      <c r="Y81" s="38">
        <f t="shared" si="53"/>
        <v>0</v>
      </c>
      <c r="AA81" s="71">
        <v>76</v>
      </c>
      <c r="AB81" s="33">
        <f t="shared" si="54"/>
        <v>0</v>
      </c>
      <c r="AC81" s="305">
        <f t="shared" si="39"/>
        <v>0</v>
      </c>
      <c r="AD81" s="100">
        <f t="shared" si="55"/>
        <v>0</v>
      </c>
      <c r="AE81" s="100">
        <f t="shared" si="56"/>
        <v>0</v>
      </c>
      <c r="AF81" s="194">
        <f t="shared" si="34"/>
        <v>0</v>
      </c>
      <c r="AG81" s="194">
        <f t="shared" si="35"/>
        <v>0</v>
      </c>
      <c r="AH81" s="194">
        <f t="shared" si="36"/>
        <v>0</v>
      </c>
      <c r="AI81" s="199">
        <f t="shared" si="37"/>
        <v>0</v>
      </c>
      <c r="AK81" s="71">
        <v>76</v>
      </c>
      <c r="AL81" s="33">
        <f t="shared" si="57"/>
        <v>0</v>
      </c>
      <c r="AM81" s="33">
        <f t="shared" si="58"/>
        <v>0</v>
      </c>
      <c r="AN81" s="33">
        <f t="shared" si="59"/>
        <v>0</v>
      </c>
      <c r="AO81" s="33">
        <f t="shared" si="60"/>
        <v>0</v>
      </c>
      <c r="AP81" s="33">
        <f t="shared" si="61"/>
        <v>0</v>
      </c>
      <c r="AQ81" s="194">
        <f t="shared" si="47"/>
        <v>0</v>
      </c>
      <c r="AR81" s="194">
        <f t="shared" si="47"/>
        <v>0</v>
      </c>
      <c r="AS81" s="194">
        <f t="shared" si="47"/>
        <v>0</v>
      </c>
      <c r="AT81" s="194">
        <f t="shared" si="47"/>
        <v>0</v>
      </c>
      <c r="AU81" s="33"/>
      <c r="AV81" s="33"/>
      <c r="AW81" s="33"/>
      <c r="AX81" s="33"/>
      <c r="AY81" s="76"/>
    </row>
    <row r="82" spans="1:51" x14ac:dyDescent="0.3">
      <c r="A82" t="s">
        <v>193</v>
      </c>
      <c r="B82" s="170" t="str">
        <f>IF(C25&lt;=$F$18,C25+1,"-")</f>
        <v>-</v>
      </c>
      <c r="C82" s="145">
        <f>D25-D26</f>
        <v>26.765882745274169</v>
      </c>
      <c r="D82" s="146">
        <v>0</v>
      </c>
      <c r="E82" s="171">
        <f>IF(G82+D82&lt;&gt;1,(1-(G82+D82))*56%,0)</f>
        <v>0.56000000000000005</v>
      </c>
      <c r="F82" s="171">
        <f>IF(G82+D82&lt;&gt;1,(1-(G82+D82))*44%,0)</f>
        <v>0.44</v>
      </c>
      <c r="G82" s="147"/>
      <c r="H82" s="58">
        <f t="shared" ref="H82:H94" si="70">IF(C82=0,0,IF(SUM(D82:G82)&lt;&gt;1,"erreur",))</f>
        <v>0</v>
      </c>
      <c r="I82" s="55">
        <v>77</v>
      </c>
      <c r="J82" s="33">
        <f t="shared" si="64"/>
        <v>0</v>
      </c>
      <c r="K82" s="33">
        <f t="shared" si="65"/>
        <v>0</v>
      </c>
      <c r="L82" s="33">
        <f t="shared" si="66"/>
        <v>0</v>
      </c>
      <c r="M82" s="33">
        <f t="shared" si="67"/>
        <v>0</v>
      </c>
      <c r="N82" s="33">
        <f t="shared" si="48"/>
        <v>0</v>
      </c>
      <c r="O82" s="34">
        <f t="shared" si="49"/>
        <v>0</v>
      </c>
      <c r="P82" s="55">
        <v>77</v>
      </c>
      <c r="Q82" s="33">
        <f t="shared" si="62"/>
        <v>0</v>
      </c>
      <c r="R82" s="33">
        <f t="shared" si="68"/>
        <v>0</v>
      </c>
      <c r="S82" s="33">
        <f t="shared" si="69"/>
        <v>0</v>
      </c>
      <c r="T82" s="33">
        <f t="shared" si="50"/>
        <v>0</v>
      </c>
      <c r="U82" s="33">
        <f t="shared" si="63"/>
        <v>0</v>
      </c>
      <c r="V82" s="33">
        <f t="shared" si="51"/>
        <v>0</v>
      </c>
      <c r="W82" s="33">
        <v>0</v>
      </c>
      <c r="X82" s="33">
        <f t="shared" si="52"/>
        <v>0</v>
      </c>
      <c r="Y82" s="38">
        <f t="shared" si="53"/>
        <v>0</v>
      </c>
      <c r="AA82" s="71">
        <v>77</v>
      </c>
      <c r="AB82" s="33">
        <f t="shared" si="54"/>
        <v>0</v>
      </c>
      <c r="AC82" s="305">
        <f t="shared" si="39"/>
        <v>0</v>
      </c>
      <c r="AD82" s="100">
        <f t="shared" si="55"/>
        <v>0</v>
      </c>
      <c r="AE82" s="100">
        <f t="shared" si="56"/>
        <v>0</v>
      </c>
      <c r="AF82" s="194">
        <f t="shared" si="34"/>
        <v>0</v>
      </c>
      <c r="AG82" s="194">
        <f t="shared" si="35"/>
        <v>0</v>
      </c>
      <c r="AH82" s="194">
        <f t="shared" si="36"/>
        <v>0</v>
      </c>
      <c r="AI82" s="199">
        <f t="shared" si="37"/>
        <v>0</v>
      </c>
      <c r="AK82" s="71">
        <v>77</v>
      </c>
      <c r="AL82" s="33">
        <f t="shared" si="57"/>
        <v>0</v>
      </c>
      <c r="AM82" s="33">
        <f t="shared" si="58"/>
        <v>0</v>
      </c>
      <c r="AN82" s="33">
        <f t="shared" si="59"/>
        <v>0</v>
      </c>
      <c r="AO82" s="33">
        <f t="shared" si="60"/>
        <v>0</v>
      </c>
      <c r="AP82" s="33">
        <f t="shared" si="61"/>
        <v>0</v>
      </c>
      <c r="AQ82" s="194">
        <f t="shared" si="47"/>
        <v>0</v>
      </c>
      <c r="AR82" s="194">
        <f t="shared" si="47"/>
        <v>0</v>
      </c>
      <c r="AS82" s="194">
        <f t="shared" si="47"/>
        <v>0</v>
      </c>
      <c r="AT82" s="194">
        <f t="shared" si="47"/>
        <v>0</v>
      </c>
      <c r="AU82" s="33"/>
      <c r="AV82" s="33"/>
      <c r="AW82" s="33"/>
      <c r="AX82" s="33"/>
      <c r="AY82" s="76"/>
    </row>
    <row r="83" spans="1:51" x14ac:dyDescent="0.3">
      <c r="A83" t="s">
        <v>193</v>
      </c>
      <c r="B83" s="172" t="str">
        <f>IF(C27&lt;=$F$18,C27+1,"-")</f>
        <v>-</v>
      </c>
      <c r="C83" s="148">
        <f>D27-D28</f>
        <v>40.111031921545845</v>
      </c>
      <c r="D83" s="149">
        <v>0.2</v>
      </c>
      <c r="E83" s="129">
        <f t="shared" ref="E83:E91" si="71">IF(G83+D83&lt;&gt;1,(1-(G83+D83))*56%,0)</f>
        <v>0.44800000000000006</v>
      </c>
      <c r="F83" s="129">
        <f t="shared" ref="F83:F91" si="72">IF(G83+D83&lt;&gt;1,(1-(G83+D83))*44%,0)</f>
        <v>0.35200000000000004</v>
      </c>
      <c r="G83" s="150"/>
      <c r="H83" s="58">
        <f t="shared" si="70"/>
        <v>0</v>
      </c>
      <c r="I83" s="55">
        <v>78</v>
      </c>
      <c r="J83" s="33">
        <f t="shared" si="64"/>
        <v>0</v>
      </c>
      <c r="K83" s="33">
        <f t="shared" si="65"/>
        <v>0</v>
      </c>
      <c r="L83" s="33">
        <f t="shared" si="66"/>
        <v>0</v>
      </c>
      <c r="M83" s="33">
        <f t="shared" si="67"/>
        <v>0</v>
      </c>
      <c r="N83" s="33">
        <f t="shared" si="48"/>
        <v>0</v>
      </c>
      <c r="O83" s="34">
        <f t="shared" si="49"/>
        <v>0</v>
      </c>
      <c r="P83" s="55">
        <v>78</v>
      </c>
      <c r="Q83" s="33">
        <f t="shared" si="62"/>
        <v>0</v>
      </c>
      <c r="R83" s="33">
        <f t="shared" si="68"/>
        <v>0</v>
      </c>
      <c r="S83" s="33">
        <f t="shared" si="69"/>
        <v>0</v>
      </c>
      <c r="T83" s="33">
        <f t="shared" si="50"/>
        <v>0</v>
      </c>
      <c r="U83" s="33">
        <f t="shared" si="63"/>
        <v>0</v>
      </c>
      <c r="V83" s="33">
        <f t="shared" si="51"/>
        <v>0</v>
      </c>
      <c r="W83" s="33">
        <v>0</v>
      </c>
      <c r="X83" s="33">
        <f t="shared" si="52"/>
        <v>0</v>
      </c>
      <c r="Y83" s="38">
        <f t="shared" si="53"/>
        <v>0</v>
      </c>
      <c r="AA83" s="71">
        <v>78</v>
      </c>
      <c r="AB83" s="33">
        <f t="shared" si="54"/>
        <v>0</v>
      </c>
      <c r="AC83" s="305">
        <f t="shared" si="39"/>
        <v>0</v>
      </c>
      <c r="AD83" s="100">
        <f t="shared" si="55"/>
        <v>0</v>
      </c>
      <c r="AE83" s="100">
        <f t="shared" si="56"/>
        <v>0</v>
      </c>
      <c r="AF83" s="194">
        <f t="shared" si="34"/>
        <v>0</v>
      </c>
      <c r="AG83" s="194">
        <f t="shared" si="35"/>
        <v>0</v>
      </c>
      <c r="AH83" s="194">
        <f t="shared" si="36"/>
        <v>0</v>
      </c>
      <c r="AI83" s="199">
        <f t="shared" si="37"/>
        <v>0</v>
      </c>
      <c r="AK83" s="71">
        <v>78</v>
      </c>
      <c r="AL83" s="33">
        <f t="shared" si="57"/>
        <v>0</v>
      </c>
      <c r="AM83" s="33">
        <f t="shared" si="58"/>
        <v>0</v>
      </c>
      <c r="AN83" s="33">
        <f t="shared" si="59"/>
        <v>0</v>
      </c>
      <c r="AO83" s="33">
        <f t="shared" si="60"/>
        <v>0</v>
      </c>
      <c r="AP83" s="33">
        <f t="shared" si="61"/>
        <v>0</v>
      </c>
      <c r="AQ83" s="194">
        <f t="shared" si="47"/>
        <v>0</v>
      </c>
      <c r="AR83" s="194">
        <f t="shared" si="47"/>
        <v>0</v>
      </c>
      <c r="AS83" s="194">
        <f t="shared" si="47"/>
        <v>0</v>
      </c>
      <c r="AT83" s="194">
        <f t="shared" si="47"/>
        <v>0</v>
      </c>
      <c r="AU83" s="33"/>
      <c r="AV83" s="33"/>
      <c r="AW83" s="33"/>
      <c r="AX83" s="33"/>
      <c r="AY83" s="76"/>
    </row>
    <row r="84" spans="1:51" x14ac:dyDescent="0.3">
      <c r="A84" t="s">
        <v>193</v>
      </c>
      <c r="B84" s="187" t="str">
        <f>IF(C29&lt;=$F$18,C29+1,"-")</f>
        <v>-</v>
      </c>
      <c r="C84" s="148">
        <f>D29-D30</f>
        <v>40.284666387285768</v>
      </c>
      <c r="D84" s="149">
        <v>0.4</v>
      </c>
      <c r="E84" s="129">
        <f t="shared" si="71"/>
        <v>0.33600000000000002</v>
      </c>
      <c r="F84" s="129">
        <f t="shared" si="72"/>
        <v>0.26400000000000001</v>
      </c>
      <c r="G84" s="150"/>
      <c r="H84" s="58">
        <f t="shared" si="70"/>
        <v>0</v>
      </c>
      <c r="I84" s="55">
        <v>79</v>
      </c>
      <c r="J84" s="33">
        <f t="shared" si="64"/>
        <v>0</v>
      </c>
      <c r="K84" s="33">
        <f t="shared" si="65"/>
        <v>0</v>
      </c>
      <c r="L84" s="33">
        <f t="shared" si="66"/>
        <v>0</v>
      </c>
      <c r="M84" s="33">
        <f t="shared" si="67"/>
        <v>0</v>
      </c>
      <c r="N84" s="33">
        <f t="shared" si="48"/>
        <v>0</v>
      </c>
      <c r="O84" s="34">
        <f t="shared" si="49"/>
        <v>0</v>
      </c>
      <c r="P84" s="55">
        <v>79</v>
      </c>
      <c r="Q84" s="33">
        <f t="shared" si="62"/>
        <v>0</v>
      </c>
      <c r="R84" s="33">
        <f t="shared" si="68"/>
        <v>0</v>
      </c>
      <c r="S84" s="33">
        <f t="shared" si="69"/>
        <v>0</v>
      </c>
      <c r="T84" s="33">
        <f t="shared" si="50"/>
        <v>0</v>
      </c>
      <c r="U84" s="33">
        <f t="shared" si="63"/>
        <v>0</v>
      </c>
      <c r="V84" s="33">
        <f t="shared" si="51"/>
        <v>0</v>
      </c>
      <c r="W84" s="33">
        <v>0</v>
      </c>
      <c r="X84" s="33">
        <f t="shared" si="52"/>
        <v>0</v>
      </c>
      <c r="Y84" s="38">
        <f t="shared" si="53"/>
        <v>0</v>
      </c>
      <c r="AA84" s="71">
        <v>79</v>
      </c>
      <c r="AB84" s="33">
        <f t="shared" si="54"/>
        <v>0</v>
      </c>
      <c r="AC84" s="305">
        <f t="shared" si="39"/>
        <v>0</v>
      </c>
      <c r="AD84" s="100">
        <f t="shared" si="55"/>
        <v>0</v>
      </c>
      <c r="AE84" s="100">
        <f t="shared" si="56"/>
        <v>0</v>
      </c>
      <c r="AF84" s="194">
        <f t="shared" si="34"/>
        <v>0</v>
      </c>
      <c r="AG84" s="194">
        <f t="shared" si="35"/>
        <v>0</v>
      </c>
      <c r="AH84" s="194">
        <f t="shared" si="36"/>
        <v>0</v>
      </c>
      <c r="AI84" s="199">
        <f t="shared" si="37"/>
        <v>0</v>
      </c>
      <c r="AK84" s="71">
        <v>79</v>
      </c>
      <c r="AL84" s="33">
        <f t="shared" si="57"/>
        <v>0</v>
      </c>
      <c r="AM84" s="33">
        <f t="shared" si="58"/>
        <v>0</v>
      </c>
      <c r="AN84" s="33">
        <f t="shared" si="59"/>
        <v>0</v>
      </c>
      <c r="AO84" s="33">
        <f t="shared" si="60"/>
        <v>0</v>
      </c>
      <c r="AP84" s="33">
        <f t="shared" si="61"/>
        <v>0</v>
      </c>
      <c r="AQ84" s="194">
        <f t="shared" si="47"/>
        <v>0</v>
      </c>
      <c r="AR84" s="194">
        <f t="shared" si="47"/>
        <v>0</v>
      </c>
      <c r="AS84" s="194">
        <f t="shared" si="47"/>
        <v>0</v>
      </c>
      <c r="AT84" s="194">
        <f t="shared" si="47"/>
        <v>0</v>
      </c>
      <c r="AU84" s="33"/>
      <c r="AV84" s="33"/>
      <c r="AW84" s="33"/>
      <c r="AX84" s="33"/>
      <c r="AY84" s="76"/>
    </row>
    <row r="85" spans="1:51" x14ac:dyDescent="0.3">
      <c r="A85" t="s">
        <v>193</v>
      </c>
      <c r="B85" s="172" t="str">
        <f>IF(C31&lt;=$F$18,C31+1,"-")</f>
        <v>-</v>
      </c>
      <c r="C85" s="148">
        <f>D31-D32</f>
        <v>39.900378267572421</v>
      </c>
      <c r="D85" s="149">
        <v>0.6</v>
      </c>
      <c r="E85" s="129">
        <f t="shared" si="71"/>
        <v>0.22400000000000003</v>
      </c>
      <c r="F85" s="129">
        <f t="shared" si="72"/>
        <v>0.17600000000000002</v>
      </c>
      <c r="G85" s="150"/>
      <c r="H85" s="58">
        <f t="shared" si="70"/>
        <v>0</v>
      </c>
      <c r="I85" s="55">
        <v>80</v>
      </c>
      <c r="J85" s="33">
        <f t="shared" si="64"/>
        <v>0</v>
      </c>
      <c r="K85" s="33">
        <f t="shared" si="65"/>
        <v>0</v>
      </c>
      <c r="L85" s="33">
        <f t="shared" si="66"/>
        <v>0</v>
      </c>
      <c r="M85" s="33">
        <f t="shared" si="67"/>
        <v>0</v>
      </c>
      <c r="N85" s="33">
        <f t="shared" si="48"/>
        <v>0</v>
      </c>
      <c r="O85" s="34">
        <f t="shared" si="49"/>
        <v>0</v>
      </c>
      <c r="P85" s="55">
        <v>80</v>
      </c>
      <c r="Q85" s="33">
        <f t="shared" si="62"/>
        <v>0</v>
      </c>
      <c r="R85" s="33">
        <f t="shared" si="68"/>
        <v>0</v>
      </c>
      <c r="S85" s="33">
        <f t="shared" si="69"/>
        <v>0</v>
      </c>
      <c r="T85" s="33">
        <f t="shared" si="50"/>
        <v>0</v>
      </c>
      <c r="U85" s="33">
        <f t="shared" si="63"/>
        <v>0</v>
      </c>
      <c r="V85" s="33">
        <f t="shared" si="51"/>
        <v>0</v>
      </c>
      <c r="W85" s="33">
        <v>0</v>
      </c>
      <c r="X85" s="33">
        <f t="shared" si="52"/>
        <v>0</v>
      </c>
      <c r="Y85" s="38">
        <f t="shared" si="53"/>
        <v>0</v>
      </c>
      <c r="AA85" s="71">
        <v>80</v>
      </c>
      <c r="AB85" s="33">
        <f t="shared" si="54"/>
        <v>0</v>
      </c>
      <c r="AC85" s="305">
        <f t="shared" si="39"/>
        <v>0</v>
      </c>
      <c r="AD85" s="100">
        <f t="shared" si="55"/>
        <v>0</v>
      </c>
      <c r="AE85" s="100">
        <f t="shared" si="56"/>
        <v>0</v>
      </c>
      <c r="AF85" s="194">
        <f t="shared" si="34"/>
        <v>0</v>
      </c>
      <c r="AG85" s="194">
        <f t="shared" si="35"/>
        <v>0</v>
      </c>
      <c r="AH85" s="194">
        <f t="shared" si="36"/>
        <v>0</v>
      </c>
      <c r="AI85" s="199">
        <f t="shared" si="37"/>
        <v>0</v>
      </c>
      <c r="AK85" s="71">
        <v>80</v>
      </c>
      <c r="AL85" s="33">
        <f t="shared" si="57"/>
        <v>0</v>
      </c>
      <c r="AM85" s="33">
        <f t="shared" si="58"/>
        <v>0</v>
      </c>
      <c r="AN85" s="33">
        <f t="shared" si="59"/>
        <v>0</v>
      </c>
      <c r="AO85" s="33">
        <f t="shared" si="60"/>
        <v>0</v>
      </c>
      <c r="AP85" s="33">
        <f t="shared" si="61"/>
        <v>0</v>
      </c>
      <c r="AQ85" s="194">
        <f t="shared" si="47"/>
        <v>0</v>
      </c>
      <c r="AR85" s="194">
        <f t="shared" si="47"/>
        <v>0</v>
      </c>
      <c r="AS85" s="194">
        <f t="shared" si="47"/>
        <v>0</v>
      </c>
      <c r="AT85" s="194">
        <f t="shared" si="47"/>
        <v>0</v>
      </c>
      <c r="AU85" s="33"/>
      <c r="AV85" s="33"/>
      <c r="AW85" s="33"/>
      <c r="AX85" s="33"/>
      <c r="AY85" s="76"/>
    </row>
    <row r="86" spans="1:51" x14ac:dyDescent="0.3">
      <c r="A86" t="s">
        <v>193</v>
      </c>
      <c r="B86" s="172" t="str">
        <f>IF(C33&lt;=$F$18,C33+1,"-")</f>
        <v>-</v>
      </c>
      <c r="C86" s="148">
        <f>D33-D34</f>
        <v>39.62110327915093</v>
      </c>
      <c r="D86" s="149">
        <v>0.8</v>
      </c>
      <c r="E86" s="129">
        <f t="shared" si="71"/>
        <v>0.11199999999999999</v>
      </c>
      <c r="F86" s="129">
        <f t="shared" si="72"/>
        <v>8.7999999999999981E-2</v>
      </c>
      <c r="G86" s="150"/>
      <c r="H86" s="58">
        <f t="shared" si="70"/>
        <v>0</v>
      </c>
      <c r="I86" s="55">
        <v>81</v>
      </c>
      <c r="J86" s="33">
        <f t="shared" si="64"/>
        <v>0</v>
      </c>
      <c r="K86" s="33">
        <f t="shared" si="65"/>
        <v>0</v>
      </c>
      <c r="L86" s="33">
        <f t="shared" si="66"/>
        <v>0</v>
      </c>
      <c r="M86" s="33">
        <f t="shared" si="67"/>
        <v>0</v>
      </c>
      <c r="N86" s="33">
        <f t="shared" si="48"/>
        <v>0</v>
      </c>
      <c r="O86" s="34">
        <f t="shared" si="49"/>
        <v>0</v>
      </c>
      <c r="P86" s="55">
        <v>81</v>
      </c>
      <c r="Q86" s="33">
        <f t="shared" si="62"/>
        <v>0</v>
      </c>
      <c r="R86" s="33">
        <f t="shared" si="68"/>
        <v>0</v>
      </c>
      <c r="S86" s="33">
        <f t="shared" si="69"/>
        <v>0</v>
      </c>
      <c r="T86" s="33">
        <f t="shared" si="50"/>
        <v>0</v>
      </c>
      <c r="U86" s="33">
        <f t="shared" si="63"/>
        <v>0</v>
      </c>
      <c r="V86" s="33">
        <f t="shared" si="51"/>
        <v>0</v>
      </c>
      <c r="W86" s="33">
        <v>0</v>
      </c>
      <c r="X86" s="33">
        <f t="shared" si="52"/>
        <v>0</v>
      </c>
      <c r="Y86" s="38">
        <f t="shared" si="53"/>
        <v>0</v>
      </c>
      <c r="AA86" s="71">
        <v>81</v>
      </c>
      <c r="AB86" s="33">
        <f t="shared" si="54"/>
        <v>0</v>
      </c>
      <c r="AC86" s="305">
        <f t="shared" si="39"/>
        <v>0</v>
      </c>
      <c r="AD86" s="100">
        <f t="shared" si="55"/>
        <v>0</v>
      </c>
      <c r="AE86" s="100">
        <f t="shared" si="56"/>
        <v>0</v>
      </c>
      <c r="AF86" s="194">
        <f t="shared" si="34"/>
        <v>0</v>
      </c>
      <c r="AG86" s="194">
        <f t="shared" si="35"/>
        <v>0</v>
      </c>
      <c r="AH86" s="194">
        <f t="shared" si="36"/>
        <v>0</v>
      </c>
      <c r="AI86" s="199">
        <f t="shared" si="37"/>
        <v>0</v>
      </c>
      <c r="AK86" s="71">
        <v>81</v>
      </c>
      <c r="AL86" s="33">
        <f t="shared" si="57"/>
        <v>0</v>
      </c>
      <c r="AM86" s="33">
        <f t="shared" si="58"/>
        <v>0</v>
      </c>
      <c r="AN86" s="33">
        <f t="shared" si="59"/>
        <v>0</v>
      </c>
      <c r="AO86" s="33">
        <f t="shared" si="60"/>
        <v>0</v>
      </c>
      <c r="AP86" s="33">
        <f t="shared" si="61"/>
        <v>0</v>
      </c>
      <c r="AQ86" s="194">
        <f t="shared" si="47"/>
        <v>0</v>
      </c>
      <c r="AR86" s="194">
        <f t="shared" si="47"/>
        <v>0</v>
      </c>
      <c r="AS86" s="194">
        <f t="shared" si="47"/>
        <v>0</v>
      </c>
      <c r="AT86" s="194">
        <f t="shared" si="47"/>
        <v>0</v>
      </c>
      <c r="AU86" s="33"/>
      <c r="AV86" s="33"/>
      <c r="AW86" s="33"/>
      <c r="AX86" s="33"/>
      <c r="AY86" s="76"/>
    </row>
    <row r="87" spans="1:51" x14ac:dyDescent="0.3">
      <c r="A87" t="s">
        <v>193</v>
      </c>
      <c r="B87" s="172" t="str">
        <f>IF(C35&lt;=$F$18,C35+1,"-")</f>
        <v>-</v>
      </c>
      <c r="C87" s="148">
        <f>D35-D36</f>
        <v>29.026076012024305</v>
      </c>
      <c r="D87" s="149">
        <v>0.4</v>
      </c>
      <c r="E87" s="129">
        <f t="shared" si="71"/>
        <v>0.33600000000000002</v>
      </c>
      <c r="F87" s="129">
        <f t="shared" si="72"/>
        <v>0.26400000000000001</v>
      </c>
      <c r="G87" s="150"/>
      <c r="H87" s="58">
        <f t="shared" si="70"/>
        <v>0</v>
      </c>
      <c r="I87" s="55">
        <v>82</v>
      </c>
      <c r="J87" s="33">
        <f t="shared" si="64"/>
        <v>0</v>
      </c>
      <c r="K87" s="33">
        <f t="shared" si="65"/>
        <v>0</v>
      </c>
      <c r="L87" s="33">
        <f t="shared" si="66"/>
        <v>0</v>
      </c>
      <c r="M87" s="33">
        <f t="shared" si="67"/>
        <v>0</v>
      </c>
      <c r="N87" s="33">
        <f t="shared" si="48"/>
        <v>0</v>
      </c>
      <c r="O87" s="34">
        <f t="shared" si="49"/>
        <v>0</v>
      </c>
      <c r="P87" s="55">
        <v>82</v>
      </c>
      <c r="Q87" s="33">
        <f t="shared" si="62"/>
        <v>0</v>
      </c>
      <c r="R87" s="33">
        <f t="shared" si="68"/>
        <v>0</v>
      </c>
      <c r="S87" s="33">
        <f t="shared" si="69"/>
        <v>0</v>
      </c>
      <c r="T87" s="33">
        <f t="shared" si="50"/>
        <v>0</v>
      </c>
      <c r="U87" s="33">
        <f t="shared" si="63"/>
        <v>0</v>
      </c>
      <c r="V87" s="33">
        <f t="shared" si="51"/>
        <v>0</v>
      </c>
      <c r="W87" s="33">
        <v>0</v>
      </c>
      <c r="X87" s="33">
        <f t="shared" si="52"/>
        <v>0</v>
      </c>
      <c r="Y87" s="38">
        <f t="shared" si="53"/>
        <v>0</v>
      </c>
      <c r="AA87" s="71">
        <v>82</v>
      </c>
      <c r="AB87" s="33">
        <f t="shared" si="54"/>
        <v>0</v>
      </c>
      <c r="AC87" s="305">
        <f t="shared" si="39"/>
        <v>0</v>
      </c>
      <c r="AD87" s="100">
        <f t="shared" si="55"/>
        <v>0</v>
      </c>
      <c r="AE87" s="100">
        <f t="shared" si="56"/>
        <v>0</v>
      </c>
      <c r="AF87" s="194">
        <f t="shared" si="34"/>
        <v>0</v>
      </c>
      <c r="AG87" s="194">
        <f t="shared" si="35"/>
        <v>0</v>
      </c>
      <c r="AH87" s="194">
        <f t="shared" si="36"/>
        <v>0</v>
      </c>
      <c r="AI87" s="199">
        <f t="shared" si="37"/>
        <v>0</v>
      </c>
      <c r="AK87" s="71">
        <v>82</v>
      </c>
      <c r="AL87" s="33">
        <f t="shared" si="57"/>
        <v>0</v>
      </c>
      <c r="AM87" s="33">
        <f t="shared" si="58"/>
        <v>0</v>
      </c>
      <c r="AN87" s="33">
        <f t="shared" si="59"/>
        <v>0</v>
      </c>
      <c r="AO87" s="33">
        <f t="shared" si="60"/>
        <v>0</v>
      </c>
      <c r="AP87" s="33">
        <f t="shared" si="61"/>
        <v>0</v>
      </c>
      <c r="AQ87" s="194">
        <f t="shared" si="47"/>
        <v>0</v>
      </c>
      <c r="AR87" s="194">
        <f t="shared" si="47"/>
        <v>0</v>
      </c>
      <c r="AS87" s="194">
        <f t="shared" si="47"/>
        <v>0</v>
      </c>
      <c r="AT87" s="194">
        <f t="shared" si="47"/>
        <v>0</v>
      </c>
      <c r="AU87" s="33"/>
      <c r="AV87" s="33"/>
      <c r="AW87" s="33"/>
      <c r="AX87" s="33"/>
      <c r="AY87" s="76"/>
    </row>
    <row r="88" spans="1:51" x14ac:dyDescent="0.3">
      <c r="A88" t="s">
        <v>193</v>
      </c>
      <c r="B88" s="172" t="str">
        <f>IF(C37&lt;=$F$18,C37+1,"-")</f>
        <v>-</v>
      </c>
      <c r="C88" s="148">
        <f>D37-D38</f>
        <v>30.297835254581344</v>
      </c>
      <c r="D88" s="149">
        <v>0.5</v>
      </c>
      <c r="E88" s="129">
        <f t="shared" si="71"/>
        <v>0.28000000000000003</v>
      </c>
      <c r="F88" s="129">
        <f t="shared" si="72"/>
        <v>0.22</v>
      </c>
      <c r="G88" s="150"/>
      <c r="H88" s="58">
        <f t="shared" si="70"/>
        <v>0</v>
      </c>
      <c r="I88" s="55">
        <v>83</v>
      </c>
      <c r="J88" s="33">
        <f t="shared" si="64"/>
        <v>0</v>
      </c>
      <c r="K88" s="33">
        <f t="shared" si="65"/>
        <v>0</v>
      </c>
      <c r="L88" s="33">
        <f t="shared" si="66"/>
        <v>0</v>
      </c>
      <c r="M88" s="33">
        <f t="shared" si="67"/>
        <v>0</v>
      </c>
      <c r="N88" s="33">
        <f t="shared" si="48"/>
        <v>0</v>
      </c>
      <c r="O88" s="34">
        <f t="shared" si="49"/>
        <v>0</v>
      </c>
      <c r="P88" s="55">
        <v>83</v>
      </c>
      <c r="Q88" s="33">
        <f t="shared" si="62"/>
        <v>0</v>
      </c>
      <c r="R88" s="33">
        <f t="shared" si="68"/>
        <v>0</v>
      </c>
      <c r="S88" s="33">
        <f t="shared" si="69"/>
        <v>0</v>
      </c>
      <c r="T88" s="33">
        <f t="shared" si="50"/>
        <v>0</v>
      </c>
      <c r="U88" s="33">
        <f t="shared" si="63"/>
        <v>0</v>
      </c>
      <c r="V88" s="33">
        <f t="shared" si="51"/>
        <v>0</v>
      </c>
      <c r="W88" s="33">
        <v>0</v>
      </c>
      <c r="X88" s="33">
        <f t="shared" si="52"/>
        <v>0</v>
      </c>
      <c r="Y88" s="38">
        <f t="shared" si="53"/>
        <v>0</v>
      </c>
      <c r="AA88" s="71">
        <v>83</v>
      </c>
      <c r="AB88" s="33">
        <f t="shared" si="54"/>
        <v>0</v>
      </c>
      <c r="AC88" s="305">
        <f t="shared" si="39"/>
        <v>0</v>
      </c>
      <c r="AD88" s="100">
        <f t="shared" si="55"/>
        <v>0</v>
      </c>
      <c r="AE88" s="100">
        <f t="shared" si="56"/>
        <v>0</v>
      </c>
      <c r="AF88" s="194">
        <f t="shared" si="34"/>
        <v>0</v>
      </c>
      <c r="AG88" s="194">
        <f t="shared" si="35"/>
        <v>0</v>
      </c>
      <c r="AH88" s="194">
        <f t="shared" si="36"/>
        <v>0</v>
      </c>
      <c r="AI88" s="199">
        <f t="shared" si="37"/>
        <v>0</v>
      </c>
      <c r="AK88" s="71">
        <v>83</v>
      </c>
      <c r="AL88" s="33">
        <f t="shared" si="57"/>
        <v>0</v>
      </c>
      <c r="AM88" s="33">
        <f t="shared" si="58"/>
        <v>0</v>
      </c>
      <c r="AN88" s="33">
        <f t="shared" si="59"/>
        <v>0</v>
      </c>
      <c r="AO88" s="33">
        <f t="shared" si="60"/>
        <v>0</v>
      </c>
      <c r="AP88" s="33">
        <f t="shared" si="61"/>
        <v>0</v>
      </c>
      <c r="AQ88" s="194">
        <f t="shared" si="47"/>
        <v>0</v>
      </c>
      <c r="AR88" s="194">
        <f t="shared" si="47"/>
        <v>0</v>
      </c>
      <c r="AS88" s="194">
        <f t="shared" si="47"/>
        <v>0</v>
      </c>
      <c r="AT88" s="194">
        <f t="shared" si="47"/>
        <v>0</v>
      </c>
      <c r="AU88" s="33"/>
      <c r="AV88" s="33"/>
      <c r="AW88" s="33"/>
      <c r="AX88" s="33"/>
      <c r="AY88" s="76"/>
    </row>
    <row r="89" spans="1:51" x14ac:dyDescent="0.3">
      <c r="A89" t="s">
        <v>193</v>
      </c>
      <c r="B89" s="172" t="str">
        <f>IF(C39&lt;=$F$18,C39+1,"-")</f>
        <v>-</v>
      </c>
      <c r="C89" s="148">
        <f>D39-D40</f>
        <v>396.65306261171173</v>
      </c>
      <c r="D89" s="149">
        <v>0.6</v>
      </c>
      <c r="E89" s="129">
        <f t="shared" si="71"/>
        <v>0.22400000000000003</v>
      </c>
      <c r="F89" s="129">
        <f t="shared" si="72"/>
        <v>0.17600000000000002</v>
      </c>
      <c r="G89" s="150"/>
      <c r="H89" s="58">
        <f t="shared" si="70"/>
        <v>0</v>
      </c>
      <c r="I89" s="55">
        <v>84</v>
      </c>
      <c r="J89" s="33">
        <f t="shared" si="64"/>
        <v>0</v>
      </c>
      <c r="K89" s="33">
        <f t="shared" si="65"/>
        <v>0</v>
      </c>
      <c r="L89" s="33">
        <f t="shared" si="66"/>
        <v>0</v>
      </c>
      <c r="M89" s="33">
        <f t="shared" si="67"/>
        <v>0</v>
      </c>
      <c r="N89" s="33">
        <f t="shared" si="48"/>
        <v>0</v>
      </c>
      <c r="O89" s="34">
        <f t="shared" si="49"/>
        <v>0</v>
      </c>
      <c r="P89" s="55">
        <v>84</v>
      </c>
      <c r="Q89" s="33">
        <f t="shared" si="62"/>
        <v>0</v>
      </c>
      <c r="R89" s="33">
        <f t="shared" si="68"/>
        <v>0</v>
      </c>
      <c r="S89" s="33">
        <f t="shared" si="69"/>
        <v>0</v>
      </c>
      <c r="T89" s="33">
        <f t="shared" si="50"/>
        <v>0</v>
      </c>
      <c r="U89" s="33">
        <f t="shared" si="63"/>
        <v>0</v>
      </c>
      <c r="V89" s="33">
        <f t="shared" si="51"/>
        <v>0</v>
      </c>
      <c r="W89" s="33">
        <v>0</v>
      </c>
      <c r="X89" s="33">
        <f t="shared" si="52"/>
        <v>0</v>
      </c>
      <c r="Y89" s="38">
        <f t="shared" si="53"/>
        <v>0</v>
      </c>
      <c r="AA89" s="71">
        <v>84</v>
      </c>
      <c r="AB89" s="33">
        <f t="shared" si="54"/>
        <v>0</v>
      </c>
      <c r="AC89" s="305">
        <f t="shared" si="39"/>
        <v>0</v>
      </c>
      <c r="AD89" s="100">
        <f t="shared" si="55"/>
        <v>0</v>
      </c>
      <c r="AE89" s="100">
        <f t="shared" si="56"/>
        <v>0</v>
      </c>
      <c r="AF89" s="194">
        <f t="shared" si="34"/>
        <v>0</v>
      </c>
      <c r="AG89" s="194">
        <f t="shared" si="35"/>
        <v>0</v>
      </c>
      <c r="AH89" s="194">
        <f t="shared" si="36"/>
        <v>0</v>
      </c>
      <c r="AI89" s="199">
        <f t="shared" si="37"/>
        <v>0</v>
      </c>
      <c r="AK89" s="71">
        <v>84</v>
      </c>
      <c r="AL89" s="33">
        <f t="shared" si="57"/>
        <v>0</v>
      </c>
      <c r="AM89" s="33">
        <f t="shared" si="58"/>
        <v>0</v>
      </c>
      <c r="AN89" s="33">
        <f t="shared" si="59"/>
        <v>0</v>
      </c>
      <c r="AO89" s="33">
        <f t="shared" si="60"/>
        <v>0</v>
      </c>
      <c r="AP89" s="33">
        <f t="shared" si="61"/>
        <v>0</v>
      </c>
      <c r="AQ89" s="194">
        <f t="shared" si="47"/>
        <v>0</v>
      </c>
      <c r="AR89" s="194">
        <f t="shared" si="47"/>
        <v>0</v>
      </c>
      <c r="AS89" s="194">
        <f t="shared" si="47"/>
        <v>0</v>
      </c>
      <c r="AT89" s="194">
        <f t="shared" si="47"/>
        <v>0</v>
      </c>
      <c r="AU89" s="33"/>
      <c r="AV89" s="33"/>
      <c r="AW89" s="33"/>
      <c r="AX89" s="33"/>
      <c r="AY89" s="76"/>
    </row>
    <row r="90" spans="1:51" x14ac:dyDescent="0.3">
      <c r="A90" t="s">
        <v>193</v>
      </c>
      <c r="B90" s="172">
        <f>IF(C41&lt;=$F$18,C41+1,"-")</f>
        <v>1</v>
      </c>
      <c r="C90" s="148">
        <f>D41-D42</f>
        <v>0</v>
      </c>
      <c r="D90" s="149">
        <v>0.7</v>
      </c>
      <c r="E90" s="129">
        <f t="shared" si="71"/>
        <v>0.16800000000000004</v>
      </c>
      <c r="F90" s="129">
        <f t="shared" si="72"/>
        <v>0.13200000000000003</v>
      </c>
      <c r="G90" s="150"/>
      <c r="H90" s="58">
        <f t="shared" si="70"/>
        <v>0</v>
      </c>
      <c r="I90" s="55">
        <v>85</v>
      </c>
      <c r="J90" s="33">
        <f t="shared" si="64"/>
        <v>0</v>
      </c>
      <c r="K90" s="33">
        <f t="shared" si="65"/>
        <v>0</v>
      </c>
      <c r="L90" s="33">
        <f t="shared" si="66"/>
        <v>0</v>
      </c>
      <c r="M90" s="33">
        <f t="shared" si="67"/>
        <v>0</v>
      </c>
      <c r="N90" s="33">
        <f t="shared" si="48"/>
        <v>0</v>
      </c>
      <c r="O90" s="34">
        <f t="shared" si="49"/>
        <v>0</v>
      </c>
      <c r="P90" s="55">
        <v>85</v>
      </c>
      <c r="Q90" s="33">
        <f t="shared" si="62"/>
        <v>0</v>
      </c>
      <c r="R90" s="33">
        <f t="shared" si="68"/>
        <v>0</v>
      </c>
      <c r="S90" s="33">
        <f t="shared" si="69"/>
        <v>0</v>
      </c>
      <c r="T90" s="33">
        <f t="shared" si="50"/>
        <v>0</v>
      </c>
      <c r="U90" s="33">
        <f t="shared" si="63"/>
        <v>0</v>
      </c>
      <c r="V90" s="33">
        <f t="shared" si="51"/>
        <v>0</v>
      </c>
      <c r="W90" s="33">
        <v>0</v>
      </c>
      <c r="X90" s="33">
        <f t="shared" si="52"/>
        <v>0</v>
      </c>
      <c r="Y90" s="38">
        <f t="shared" si="53"/>
        <v>0</v>
      </c>
      <c r="AA90" s="71">
        <v>85</v>
      </c>
      <c r="AB90" s="33">
        <f t="shared" si="54"/>
        <v>0</v>
      </c>
      <c r="AC90" s="305">
        <f t="shared" si="39"/>
        <v>0</v>
      </c>
      <c r="AD90" s="100">
        <f t="shared" si="55"/>
        <v>0</v>
      </c>
      <c r="AE90" s="100">
        <f t="shared" si="56"/>
        <v>0</v>
      </c>
      <c r="AF90" s="194">
        <f t="shared" si="34"/>
        <v>0</v>
      </c>
      <c r="AG90" s="194">
        <f t="shared" si="35"/>
        <v>0</v>
      </c>
      <c r="AH90" s="194">
        <f t="shared" si="36"/>
        <v>0</v>
      </c>
      <c r="AI90" s="199">
        <f t="shared" si="37"/>
        <v>0</v>
      </c>
      <c r="AK90" s="71">
        <v>85</v>
      </c>
      <c r="AL90" s="33">
        <f t="shared" si="57"/>
        <v>0</v>
      </c>
      <c r="AM90" s="33">
        <f t="shared" si="58"/>
        <v>0</v>
      </c>
      <c r="AN90" s="33">
        <f t="shared" si="59"/>
        <v>0</v>
      </c>
      <c r="AO90" s="33">
        <f t="shared" si="60"/>
        <v>0</v>
      </c>
      <c r="AP90" s="33">
        <f t="shared" si="61"/>
        <v>0</v>
      </c>
      <c r="AQ90" s="194">
        <f t="shared" si="47"/>
        <v>0</v>
      </c>
      <c r="AR90" s="194">
        <f t="shared" si="47"/>
        <v>0</v>
      </c>
      <c r="AS90" s="194">
        <f t="shared" si="47"/>
        <v>0</v>
      </c>
      <c r="AT90" s="194">
        <f t="shared" si="47"/>
        <v>0</v>
      </c>
      <c r="AU90" s="33"/>
      <c r="AV90" s="33"/>
      <c r="AW90" s="33"/>
      <c r="AX90" s="33"/>
      <c r="AY90" s="76"/>
    </row>
    <row r="91" spans="1:51" x14ac:dyDescent="0.3">
      <c r="A91" t="s">
        <v>193</v>
      </c>
      <c r="B91" s="172">
        <f>IF(C43&lt;=$F$18,C43+1,"-")</f>
        <v>1</v>
      </c>
      <c r="C91" s="148">
        <f>D43-D44</f>
        <v>0</v>
      </c>
      <c r="D91" s="149">
        <v>0.8</v>
      </c>
      <c r="E91" s="129">
        <f t="shared" si="71"/>
        <v>0.11199999999999999</v>
      </c>
      <c r="F91" s="129">
        <f t="shared" si="72"/>
        <v>8.7999999999999981E-2</v>
      </c>
      <c r="G91" s="150"/>
      <c r="H91" s="58">
        <f t="shared" si="70"/>
        <v>0</v>
      </c>
      <c r="I91" s="55">
        <v>86</v>
      </c>
      <c r="J91" s="33">
        <f t="shared" si="64"/>
        <v>0</v>
      </c>
      <c r="K91" s="33">
        <f t="shared" si="65"/>
        <v>0</v>
      </c>
      <c r="L91" s="33">
        <f t="shared" si="66"/>
        <v>0</v>
      </c>
      <c r="M91" s="33">
        <f t="shared" si="67"/>
        <v>0</v>
      </c>
      <c r="N91" s="33">
        <f t="shared" si="48"/>
        <v>0</v>
      </c>
      <c r="O91" s="34">
        <f t="shared" si="49"/>
        <v>0</v>
      </c>
      <c r="P91" s="55">
        <v>86</v>
      </c>
      <c r="Q91" s="33">
        <f t="shared" si="62"/>
        <v>0</v>
      </c>
      <c r="R91" s="33">
        <f t="shared" si="68"/>
        <v>0</v>
      </c>
      <c r="S91" s="33">
        <f t="shared" si="69"/>
        <v>0</v>
      </c>
      <c r="T91" s="33">
        <f t="shared" si="50"/>
        <v>0</v>
      </c>
      <c r="U91" s="33">
        <f t="shared" si="63"/>
        <v>0</v>
      </c>
      <c r="V91" s="33">
        <f t="shared" si="51"/>
        <v>0</v>
      </c>
      <c r="W91" s="33">
        <v>0</v>
      </c>
      <c r="X91" s="33">
        <f t="shared" si="52"/>
        <v>0</v>
      </c>
      <c r="Y91" s="38">
        <f t="shared" si="53"/>
        <v>0</v>
      </c>
      <c r="AA91" s="71">
        <v>86</v>
      </c>
      <c r="AB91" s="33">
        <f t="shared" si="54"/>
        <v>0</v>
      </c>
      <c r="AC91" s="305">
        <f t="shared" si="39"/>
        <v>0</v>
      </c>
      <c r="AD91" s="100">
        <f t="shared" si="55"/>
        <v>0</v>
      </c>
      <c r="AE91" s="100">
        <f t="shared" si="56"/>
        <v>0</v>
      </c>
      <c r="AF91" s="194">
        <f t="shared" ref="AF91:AF154" si="73">IF(OR(AA91&lt;=$F$18,AA91&lt;=30),EXP(-LN(2)/$D$104)*AF90+((1-EXP(-LN(2)/$D$104))/(LN(2)/$D$104))*$AB91*AC91*0.475*$F$19*44/12,)</f>
        <v>0</v>
      </c>
      <c r="AG91" s="194">
        <f t="shared" ref="AG91:AG154" si="74">IF(OR(AA91&lt;=$F$18,AA91&lt;=30),EXP(-LN(2)/$D$106)*AG90+((1-EXP(-LN(2)/$D$106))/(LN(2)/$D$106))*$AB91*AD91*0.475*$F$19*44/12,)</f>
        <v>0</v>
      </c>
      <c r="AH91" s="194">
        <f t="shared" ref="AH91:AH154" si="75">IF(OR(AA91&lt;=$F$18,AA91&lt;=30),EXP(-LN(2)/$D$105)*AH90+((1-EXP(-LN(2)/$D$105))/(LN(2)/$D$105))*$AB91*AE91*0.475*$F$19*44/12,)</f>
        <v>0</v>
      </c>
      <c r="AI91" s="199">
        <f t="shared" ref="AI91:AI154" si="76">IF(OR(AA91&lt;=$F$18,AA91&lt;=30),SUM(AF91:AH91),)</f>
        <v>0</v>
      </c>
      <c r="AK91" s="71">
        <v>86</v>
      </c>
      <c r="AL91" s="33">
        <f t="shared" si="57"/>
        <v>0</v>
      </c>
      <c r="AM91" s="33">
        <f t="shared" si="58"/>
        <v>0</v>
      </c>
      <c r="AN91" s="33">
        <f t="shared" si="59"/>
        <v>0</v>
      </c>
      <c r="AO91" s="33">
        <f t="shared" si="60"/>
        <v>0</v>
      </c>
      <c r="AP91" s="33">
        <f t="shared" si="61"/>
        <v>0</v>
      </c>
      <c r="AQ91" s="194">
        <f t="shared" si="47"/>
        <v>0</v>
      </c>
      <c r="AR91" s="194">
        <f t="shared" si="47"/>
        <v>0</v>
      </c>
      <c r="AS91" s="194">
        <f t="shared" si="47"/>
        <v>0</v>
      </c>
      <c r="AT91" s="194">
        <f t="shared" si="47"/>
        <v>0</v>
      </c>
      <c r="AU91" s="33"/>
      <c r="AV91" s="33"/>
      <c r="AW91" s="33"/>
      <c r="AX91" s="33"/>
      <c r="AY91" s="76"/>
    </row>
    <row r="92" spans="1:51" x14ac:dyDescent="0.3">
      <c r="A92" t="s">
        <v>193</v>
      </c>
      <c r="B92" s="172">
        <f>IF(C45&lt;=$F$18,C45+1,"-")</f>
        <v>1</v>
      </c>
      <c r="C92" s="148">
        <f>D45-D46</f>
        <v>0</v>
      </c>
      <c r="D92" s="149">
        <v>0.9</v>
      </c>
      <c r="E92" s="129">
        <f>IF(G92+D92&lt;&gt;1,(1-(G92+D92))*56%,0)</f>
        <v>5.5999999999999994E-2</v>
      </c>
      <c r="F92" s="129">
        <f>IF(G92+D92&lt;&gt;1,(1-(G92+D92))*44%,0)</f>
        <v>4.3999999999999991E-2</v>
      </c>
      <c r="G92" s="150"/>
      <c r="H92" s="58">
        <f t="shared" si="70"/>
        <v>0</v>
      </c>
      <c r="I92" s="55">
        <v>87</v>
      </c>
      <c r="J92" s="33">
        <f t="shared" si="64"/>
        <v>0</v>
      </c>
      <c r="K92" s="33">
        <f t="shared" si="65"/>
        <v>0</v>
      </c>
      <c r="L92" s="33">
        <f t="shared" si="66"/>
        <v>0</v>
      </c>
      <c r="M92" s="33">
        <f t="shared" si="67"/>
        <v>0</v>
      </c>
      <c r="N92" s="33">
        <f t="shared" si="48"/>
        <v>0</v>
      </c>
      <c r="O92" s="34">
        <f t="shared" si="49"/>
        <v>0</v>
      </c>
      <c r="P92" s="55">
        <v>87</v>
      </c>
      <c r="Q92" s="33">
        <f t="shared" si="62"/>
        <v>0</v>
      </c>
      <c r="R92" s="33">
        <f t="shared" si="68"/>
        <v>0</v>
      </c>
      <c r="S92" s="33">
        <f t="shared" si="69"/>
        <v>0</v>
      </c>
      <c r="T92" s="33">
        <f t="shared" si="50"/>
        <v>0</v>
      </c>
      <c r="U92" s="33">
        <f t="shared" si="63"/>
        <v>0</v>
      </c>
      <c r="V92" s="33">
        <f t="shared" si="51"/>
        <v>0</v>
      </c>
      <c r="W92" s="33">
        <v>0</v>
      </c>
      <c r="X92" s="33">
        <f t="shared" si="52"/>
        <v>0</v>
      </c>
      <c r="Y92" s="38">
        <f t="shared" si="53"/>
        <v>0</v>
      </c>
      <c r="AA92" s="71">
        <v>87</v>
      </c>
      <c r="AB92" s="33">
        <f t="shared" si="54"/>
        <v>0</v>
      </c>
      <c r="AC92" s="305">
        <f t="shared" si="39"/>
        <v>0</v>
      </c>
      <c r="AD92" s="100">
        <f t="shared" si="55"/>
        <v>0</v>
      </c>
      <c r="AE92" s="100">
        <f t="shared" si="56"/>
        <v>0</v>
      </c>
      <c r="AF92" s="194">
        <f t="shared" si="73"/>
        <v>0</v>
      </c>
      <c r="AG92" s="194">
        <f t="shared" si="74"/>
        <v>0</v>
      </c>
      <c r="AH92" s="194">
        <f t="shared" si="75"/>
        <v>0</v>
      </c>
      <c r="AI92" s="199">
        <f t="shared" si="76"/>
        <v>0</v>
      </c>
      <c r="AK92" s="71">
        <v>87</v>
      </c>
      <c r="AL92" s="33">
        <f t="shared" si="57"/>
        <v>0</v>
      </c>
      <c r="AM92" s="33">
        <f t="shared" si="58"/>
        <v>0</v>
      </c>
      <c r="AN92" s="33">
        <f t="shared" si="59"/>
        <v>0</v>
      </c>
      <c r="AO92" s="33">
        <f t="shared" si="60"/>
        <v>0</v>
      </c>
      <c r="AP92" s="33">
        <f t="shared" si="61"/>
        <v>0</v>
      </c>
      <c r="AQ92" s="194">
        <f t="shared" si="47"/>
        <v>0</v>
      </c>
      <c r="AR92" s="194">
        <f t="shared" si="47"/>
        <v>0</v>
      </c>
      <c r="AS92" s="194">
        <f t="shared" si="47"/>
        <v>0</v>
      </c>
      <c r="AT92" s="194">
        <f t="shared" si="47"/>
        <v>0</v>
      </c>
      <c r="AU92" s="33"/>
      <c r="AV92" s="33"/>
      <c r="AW92" s="33"/>
      <c r="AX92" s="33"/>
      <c r="AY92" s="76"/>
    </row>
    <row r="93" spans="1:51" x14ac:dyDescent="0.3">
      <c r="A93" t="s">
        <v>193</v>
      </c>
      <c r="B93" s="172">
        <f>IF(C47&lt;=$F$18,C47+1,"-")</f>
        <v>1</v>
      </c>
      <c r="C93" s="148">
        <f>D47-D48</f>
        <v>0</v>
      </c>
      <c r="D93" s="149">
        <v>0.9</v>
      </c>
      <c r="E93" s="129">
        <f>IF(G93+D93&lt;&gt;1,(1-(G93+D93))*56%,0)</f>
        <v>5.5999999999999994E-2</v>
      </c>
      <c r="F93" s="129">
        <f>IF(G93+D93&lt;&gt;1,(1-(G93+D93))*44%,0)</f>
        <v>4.3999999999999991E-2</v>
      </c>
      <c r="G93" s="150"/>
      <c r="H93" s="58">
        <f t="shared" si="70"/>
        <v>0</v>
      </c>
      <c r="I93" s="55">
        <v>88</v>
      </c>
      <c r="J93" s="33">
        <f t="shared" si="64"/>
        <v>0</v>
      </c>
      <c r="K93" s="33">
        <f t="shared" si="65"/>
        <v>0</v>
      </c>
      <c r="L93" s="33">
        <f t="shared" si="66"/>
        <v>0</v>
      </c>
      <c r="M93" s="33">
        <f t="shared" si="67"/>
        <v>0</v>
      </c>
      <c r="N93" s="33">
        <f t="shared" si="48"/>
        <v>0</v>
      </c>
      <c r="O93" s="34">
        <f t="shared" si="49"/>
        <v>0</v>
      </c>
      <c r="P93" s="55">
        <v>88</v>
      </c>
      <c r="Q93" s="33">
        <f t="shared" si="62"/>
        <v>0</v>
      </c>
      <c r="R93" s="33">
        <f t="shared" si="68"/>
        <v>0</v>
      </c>
      <c r="S93" s="33">
        <f t="shared" si="69"/>
        <v>0</v>
      </c>
      <c r="T93" s="33">
        <f t="shared" si="50"/>
        <v>0</v>
      </c>
      <c r="U93" s="33">
        <f t="shared" si="63"/>
        <v>0</v>
      </c>
      <c r="V93" s="33">
        <f t="shared" si="51"/>
        <v>0</v>
      </c>
      <c r="W93" s="33">
        <v>0</v>
      </c>
      <c r="X93" s="33">
        <f t="shared" si="52"/>
        <v>0</v>
      </c>
      <c r="Y93" s="38">
        <f t="shared" si="53"/>
        <v>0</v>
      </c>
      <c r="AA93" s="71">
        <v>88</v>
      </c>
      <c r="AB93" s="33">
        <f t="shared" si="54"/>
        <v>0</v>
      </c>
      <c r="AC93" s="305">
        <f t="shared" si="39"/>
        <v>0</v>
      </c>
      <c r="AD93" s="100">
        <f t="shared" si="55"/>
        <v>0</v>
      </c>
      <c r="AE93" s="100">
        <f t="shared" si="56"/>
        <v>0</v>
      </c>
      <c r="AF93" s="194">
        <f t="shared" si="73"/>
        <v>0</v>
      </c>
      <c r="AG93" s="194">
        <f t="shared" si="74"/>
        <v>0</v>
      </c>
      <c r="AH93" s="194">
        <f t="shared" si="75"/>
        <v>0</v>
      </c>
      <c r="AI93" s="199">
        <f t="shared" si="76"/>
        <v>0</v>
      </c>
      <c r="AK93" s="71">
        <v>88</v>
      </c>
      <c r="AL93" s="33">
        <f t="shared" si="57"/>
        <v>0</v>
      </c>
      <c r="AM93" s="33">
        <f t="shared" si="58"/>
        <v>0</v>
      </c>
      <c r="AN93" s="33">
        <f t="shared" si="59"/>
        <v>0</v>
      </c>
      <c r="AO93" s="33">
        <f t="shared" si="60"/>
        <v>0</v>
      </c>
      <c r="AP93" s="33">
        <f t="shared" si="61"/>
        <v>0</v>
      </c>
      <c r="AQ93" s="194">
        <f t="shared" si="47"/>
        <v>0</v>
      </c>
      <c r="AR93" s="194">
        <f t="shared" si="47"/>
        <v>0</v>
      </c>
      <c r="AS93" s="194">
        <f t="shared" si="47"/>
        <v>0</v>
      </c>
      <c r="AT93" s="194">
        <f t="shared" si="47"/>
        <v>0</v>
      </c>
      <c r="AU93" s="33"/>
      <c r="AV93" s="33"/>
      <c r="AW93" s="33"/>
      <c r="AX93" s="33"/>
      <c r="AY93" s="76"/>
    </row>
    <row r="94" spans="1:51" x14ac:dyDescent="0.3">
      <c r="B94" s="184">
        <f>F18</f>
        <v>0</v>
      </c>
      <c r="C94" s="181">
        <f>IFERROR(VLOOKUP(B94,C25:D78,2),)</f>
        <v>0</v>
      </c>
      <c r="D94" s="336">
        <v>0.95</v>
      </c>
      <c r="E94" s="337">
        <f>IF(G94+D94&lt;&gt;1,(1-(G94+D94))*56%,0)</f>
        <v>2.8000000000000028E-2</v>
      </c>
      <c r="F94" s="337">
        <f>IF(G94+D94&lt;&gt;1,(1-(G94+D94))*44%,0)</f>
        <v>2.200000000000002E-2</v>
      </c>
      <c r="G94" s="151"/>
      <c r="H94" s="58">
        <f t="shared" si="70"/>
        <v>0</v>
      </c>
      <c r="I94" s="55">
        <v>89</v>
      </c>
      <c r="J94" s="33">
        <f t="shared" si="64"/>
        <v>0</v>
      </c>
      <c r="K94" s="33">
        <f t="shared" si="65"/>
        <v>0</v>
      </c>
      <c r="L94" s="33">
        <f t="shared" si="66"/>
        <v>0</v>
      </c>
      <c r="M94" s="33">
        <f t="shared" si="67"/>
        <v>0</v>
      </c>
      <c r="N94" s="33">
        <f t="shared" si="48"/>
        <v>0</v>
      </c>
      <c r="O94" s="34">
        <f t="shared" si="49"/>
        <v>0</v>
      </c>
      <c r="P94" s="55">
        <v>89</v>
      </c>
      <c r="Q94" s="33">
        <f t="shared" si="62"/>
        <v>0</v>
      </c>
      <c r="R94" s="33">
        <f t="shared" si="68"/>
        <v>0</v>
      </c>
      <c r="S94" s="33">
        <f t="shared" si="69"/>
        <v>0</v>
      </c>
      <c r="T94" s="33">
        <f t="shared" si="50"/>
        <v>0</v>
      </c>
      <c r="U94" s="33">
        <f t="shared" si="63"/>
        <v>0</v>
      </c>
      <c r="V94" s="33">
        <f t="shared" si="51"/>
        <v>0</v>
      </c>
      <c r="W94" s="33">
        <v>0</v>
      </c>
      <c r="X94" s="33">
        <f t="shared" si="52"/>
        <v>0</v>
      </c>
      <c r="Y94" s="38">
        <f t="shared" si="53"/>
        <v>0</v>
      </c>
      <c r="AA94" s="71">
        <v>89</v>
      </c>
      <c r="AB94" s="33">
        <f t="shared" si="54"/>
        <v>0</v>
      </c>
      <c r="AC94" s="305">
        <f t="shared" si="39"/>
        <v>0</v>
      </c>
      <c r="AD94" s="100">
        <f t="shared" si="55"/>
        <v>0</v>
      </c>
      <c r="AE94" s="100">
        <f t="shared" si="56"/>
        <v>0</v>
      </c>
      <c r="AF94" s="194">
        <f t="shared" si="73"/>
        <v>0</v>
      </c>
      <c r="AG94" s="194">
        <f t="shared" si="74"/>
        <v>0</v>
      </c>
      <c r="AH94" s="194">
        <f t="shared" si="75"/>
        <v>0</v>
      </c>
      <c r="AI94" s="199">
        <f t="shared" si="76"/>
        <v>0</v>
      </c>
      <c r="AK94" s="71">
        <v>89</v>
      </c>
      <c r="AL94" s="33">
        <f t="shared" si="57"/>
        <v>0</v>
      </c>
      <c r="AM94" s="33">
        <f t="shared" si="58"/>
        <v>0</v>
      </c>
      <c r="AN94" s="33">
        <f t="shared" si="59"/>
        <v>0</v>
      </c>
      <c r="AO94" s="33">
        <f t="shared" si="60"/>
        <v>0</v>
      </c>
      <c r="AP94" s="33">
        <f t="shared" si="61"/>
        <v>0</v>
      </c>
      <c r="AQ94" s="194">
        <f t="shared" si="47"/>
        <v>0</v>
      </c>
      <c r="AR94" s="194">
        <f t="shared" si="47"/>
        <v>0</v>
      </c>
      <c r="AS94" s="194">
        <f t="shared" si="47"/>
        <v>0</v>
      </c>
      <c r="AT94" s="194">
        <f t="shared" si="47"/>
        <v>0</v>
      </c>
      <c r="AU94" s="33"/>
      <c r="AV94" s="33"/>
      <c r="AW94" s="33"/>
      <c r="AX94" s="33"/>
      <c r="AY94" s="76"/>
    </row>
    <row r="95" spans="1:51" x14ac:dyDescent="0.3">
      <c r="I95" s="55">
        <v>90</v>
      </c>
      <c r="J95" s="33">
        <f t="shared" si="64"/>
        <v>0</v>
      </c>
      <c r="K95" s="33">
        <f t="shared" si="65"/>
        <v>0</v>
      </c>
      <c r="L95" s="33">
        <f t="shared" si="66"/>
        <v>0</v>
      </c>
      <c r="M95" s="33">
        <f t="shared" si="67"/>
        <v>0</v>
      </c>
      <c r="N95" s="33">
        <f t="shared" si="48"/>
        <v>0</v>
      </c>
      <c r="O95" s="34">
        <f t="shared" si="49"/>
        <v>0</v>
      </c>
      <c r="P95" s="55">
        <v>90</v>
      </c>
      <c r="Q95" s="33">
        <f t="shared" si="62"/>
        <v>0</v>
      </c>
      <c r="R95" s="33">
        <f t="shared" si="68"/>
        <v>0</v>
      </c>
      <c r="S95" s="33">
        <f t="shared" si="69"/>
        <v>0</v>
      </c>
      <c r="T95" s="33">
        <f t="shared" si="50"/>
        <v>0</v>
      </c>
      <c r="U95" s="33">
        <f t="shared" si="63"/>
        <v>0</v>
      </c>
      <c r="V95" s="33">
        <f t="shared" si="51"/>
        <v>0</v>
      </c>
      <c r="W95" s="33">
        <v>0</v>
      </c>
      <c r="X95" s="33">
        <f t="shared" si="52"/>
        <v>0</v>
      </c>
      <c r="Y95" s="38">
        <f t="shared" si="53"/>
        <v>0</v>
      </c>
      <c r="AA95" s="71">
        <v>90</v>
      </c>
      <c r="AB95" s="33">
        <f t="shared" si="54"/>
        <v>0</v>
      </c>
      <c r="AC95" s="305">
        <f t="shared" ref="AC95:AC158" si="77">IF(AA95&lt;=$F$18,IFERROR(VLOOKUP($AA95,$B$82:$G$94,3,FALSE),0),)*50%</f>
        <v>0</v>
      </c>
      <c r="AD95" s="100">
        <f t="shared" si="55"/>
        <v>0</v>
      </c>
      <c r="AE95" s="100">
        <f t="shared" si="56"/>
        <v>0</v>
      </c>
      <c r="AF95" s="194">
        <f t="shared" si="73"/>
        <v>0</v>
      </c>
      <c r="AG95" s="194">
        <f t="shared" si="74"/>
        <v>0</v>
      </c>
      <c r="AH95" s="194">
        <f t="shared" si="75"/>
        <v>0</v>
      </c>
      <c r="AI95" s="199">
        <f t="shared" si="76"/>
        <v>0</v>
      </c>
      <c r="AK95" s="71">
        <v>90</v>
      </c>
      <c r="AL95" s="33">
        <f t="shared" si="57"/>
        <v>0</v>
      </c>
      <c r="AM95" s="33">
        <f t="shared" si="58"/>
        <v>0</v>
      </c>
      <c r="AN95" s="33">
        <f t="shared" si="59"/>
        <v>0</v>
      </c>
      <c r="AO95" s="33">
        <f t="shared" si="60"/>
        <v>0</v>
      </c>
      <c r="AP95" s="33">
        <f t="shared" si="61"/>
        <v>0</v>
      </c>
      <c r="AQ95" s="194">
        <f t="shared" si="47"/>
        <v>0</v>
      </c>
      <c r="AR95" s="194">
        <f t="shared" si="47"/>
        <v>0</v>
      </c>
      <c r="AS95" s="194">
        <f t="shared" si="47"/>
        <v>0</v>
      </c>
      <c r="AT95" s="194">
        <f t="shared" si="47"/>
        <v>0</v>
      </c>
      <c r="AU95" s="33"/>
      <c r="AV95" s="33"/>
      <c r="AW95" s="33"/>
      <c r="AX95" s="33"/>
      <c r="AY95" s="76"/>
    </row>
    <row r="96" spans="1:51" x14ac:dyDescent="0.3">
      <c r="C96" s="67" t="s">
        <v>154</v>
      </c>
      <c r="D96" t="s">
        <v>137</v>
      </c>
      <c r="E96" s="6"/>
      <c r="I96" s="55">
        <v>91</v>
      </c>
      <c r="J96" s="33">
        <f t="shared" si="64"/>
        <v>0</v>
      </c>
      <c r="K96" s="33">
        <f t="shared" si="65"/>
        <v>0</v>
      </c>
      <c r="L96" s="33">
        <f t="shared" si="66"/>
        <v>0</v>
      </c>
      <c r="M96" s="33">
        <f t="shared" si="67"/>
        <v>0</v>
      </c>
      <c r="N96" s="33">
        <f t="shared" si="48"/>
        <v>0</v>
      </c>
      <c r="O96" s="34">
        <f t="shared" si="49"/>
        <v>0</v>
      </c>
      <c r="P96" s="55">
        <v>91</v>
      </c>
      <c r="Q96" s="33">
        <f t="shared" si="62"/>
        <v>0</v>
      </c>
      <c r="R96" s="33">
        <f t="shared" si="68"/>
        <v>0</v>
      </c>
      <c r="S96" s="33">
        <f t="shared" si="69"/>
        <v>0</v>
      </c>
      <c r="T96" s="33">
        <f t="shared" si="50"/>
        <v>0</v>
      </c>
      <c r="U96" s="33">
        <f t="shared" si="63"/>
        <v>0</v>
      </c>
      <c r="V96" s="33">
        <f t="shared" si="51"/>
        <v>0</v>
      </c>
      <c r="W96" s="33">
        <v>0</v>
      </c>
      <c r="X96" s="33">
        <f t="shared" si="52"/>
        <v>0</v>
      </c>
      <c r="Y96" s="38">
        <f t="shared" si="53"/>
        <v>0</v>
      </c>
      <c r="AA96" s="71">
        <v>91</v>
      </c>
      <c r="AB96" s="33">
        <f t="shared" si="54"/>
        <v>0</v>
      </c>
      <c r="AC96" s="305">
        <f t="shared" si="77"/>
        <v>0</v>
      </c>
      <c r="AD96" s="100">
        <f t="shared" si="55"/>
        <v>0</v>
      </c>
      <c r="AE96" s="100">
        <f t="shared" si="56"/>
        <v>0</v>
      </c>
      <c r="AF96" s="194">
        <f t="shared" si="73"/>
        <v>0</v>
      </c>
      <c r="AG96" s="194">
        <f t="shared" si="74"/>
        <v>0</v>
      </c>
      <c r="AH96" s="194">
        <f t="shared" si="75"/>
        <v>0</v>
      </c>
      <c r="AI96" s="199">
        <f t="shared" si="76"/>
        <v>0</v>
      </c>
      <c r="AK96" s="71">
        <v>91</v>
      </c>
      <c r="AL96" s="33">
        <f t="shared" si="57"/>
        <v>0</v>
      </c>
      <c r="AM96" s="33">
        <f t="shared" si="58"/>
        <v>0</v>
      </c>
      <c r="AN96" s="33">
        <f t="shared" si="59"/>
        <v>0</v>
      </c>
      <c r="AO96" s="33">
        <f t="shared" si="60"/>
        <v>0</v>
      </c>
      <c r="AP96" s="33">
        <f t="shared" si="61"/>
        <v>0</v>
      </c>
      <c r="AQ96" s="194">
        <f t="shared" si="47"/>
        <v>0</v>
      </c>
      <c r="AR96" s="194">
        <f t="shared" si="47"/>
        <v>0</v>
      </c>
      <c r="AS96" s="194">
        <f t="shared" si="47"/>
        <v>0</v>
      </c>
      <c r="AT96" s="194">
        <f t="shared" si="47"/>
        <v>0</v>
      </c>
      <c r="AU96" s="33"/>
      <c r="AV96" s="33"/>
      <c r="AW96" s="33"/>
      <c r="AX96" s="33"/>
      <c r="AY96" s="76"/>
    </row>
    <row r="97" spans="2:51" x14ac:dyDescent="0.3">
      <c r="B97" s="2" t="s">
        <v>0</v>
      </c>
      <c r="C97">
        <v>32</v>
      </c>
      <c r="D97">
        <v>0</v>
      </c>
      <c r="E97" s="6"/>
      <c r="I97" s="55">
        <v>92</v>
      </c>
      <c r="J97" s="33">
        <f t="shared" si="64"/>
        <v>0</v>
      </c>
      <c r="K97" s="33">
        <f t="shared" si="65"/>
        <v>0</v>
      </c>
      <c r="L97" s="33">
        <f t="shared" si="66"/>
        <v>0</v>
      </c>
      <c r="M97" s="33">
        <f t="shared" si="67"/>
        <v>0</v>
      </c>
      <c r="N97" s="33">
        <f t="shared" si="48"/>
        <v>0</v>
      </c>
      <c r="O97" s="34">
        <f t="shared" si="49"/>
        <v>0</v>
      </c>
      <c r="P97" s="55">
        <v>92</v>
      </c>
      <c r="Q97" s="33">
        <f t="shared" si="62"/>
        <v>0</v>
      </c>
      <c r="R97" s="33">
        <f t="shared" si="68"/>
        <v>0</v>
      </c>
      <c r="S97" s="33">
        <f t="shared" si="69"/>
        <v>0</v>
      </c>
      <c r="T97" s="33">
        <f t="shared" si="50"/>
        <v>0</v>
      </c>
      <c r="U97" s="33">
        <f t="shared" si="63"/>
        <v>0</v>
      </c>
      <c r="V97" s="33">
        <f t="shared" si="51"/>
        <v>0</v>
      </c>
      <c r="W97" s="33">
        <v>0</v>
      </c>
      <c r="X97" s="33">
        <f t="shared" si="52"/>
        <v>0</v>
      </c>
      <c r="Y97" s="38">
        <f t="shared" si="53"/>
        <v>0</v>
      </c>
      <c r="AA97" s="71">
        <v>92</v>
      </c>
      <c r="AB97" s="33">
        <f t="shared" si="54"/>
        <v>0</v>
      </c>
      <c r="AC97" s="305">
        <f t="shared" si="77"/>
        <v>0</v>
      </c>
      <c r="AD97" s="100">
        <f t="shared" si="55"/>
        <v>0</v>
      </c>
      <c r="AE97" s="100">
        <f t="shared" si="56"/>
        <v>0</v>
      </c>
      <c r="AF97" s="194">
        <f t="shared" si="73"/>
        <v>0</v>
      </c>
      <c r="AG97" s="194">
        <f t="shared" si="74"/>
        <v>0</v>
      </c>
      <c r="AH97" s="194">
        <f t="shared" si="75"/>
        <v>0</v>
      </c>
      <c r="AI97" s="199">
        <f t="shared" si="76"/>
        <v>0</v>
      </c>
      <c r="AK97" s="71">
        <v>92</v>
      </c>
      <c r="AL97" s="33">
        <f t="shared" si="57"/>
        <v>0</v>
      </c>
      <c r="AM97" s="33">
        <f t="shared" si="58"/>
        <v>0</v>
      </c>
      <c r="AN97" s="33">
        <f t="shared" si="59"/>
        <v>0</v>
      </c>
      <c r="AO97" s="33">
        <f t="shared" si="60"/>
        <v>0</v>
      </c>
      <c r="AP97" s="33">
        <f t="shared" si="61"/>
        <v>0</v>
      </c>
      <c r="AQ97" s="194">
        <f t="shared" si="47"/>
        <v>0</v>
      </c>
      <c r="AR97" s="194">
        <f t="shared" si="47"/>
        <v>0</v>
      </c>
      <c r="AS97" s="194">
        <f t="shared" si="47"/>
        <v>0</v>
      </c>
      <c r="AT97" s="194">
        <f t="shared" si="47"/>
        <v>0</v>
      </c>
      <c r="AU97" s="33"/>
      <c r="AV97" s="33"/>
      <c r="AW97" s="33"/>
      <c r="AX97" s="33"/>
      <c r="AY97" s="76"/>
    </row>
    <row r="98" spans="2:51" x14ac:dyDescent="0.3">
      <c r="B98" s="2" t="s">
        <v>1</v>
      </c>
      <c r="C98">
        <v>45</v>
      </c>
      <c r="D98">
        <v>0</v>
      </c>
      <c r="E98" s="6"/>
      <c r="I98" s="55">
        <v>93</v>
      </c>
      <c r="J98" s="33">
        <f t="shared" si="64"/>
        <v>0</v>
      </c>
      <c r="K98" s="33">
        <f t="shared" si="65"/>
        <v>0</v>
      </c>
      <c r="L98" s="33">
        <f t="shared" si="66"/>
        <v>0</v>
      </c>
      <c r="M98" s="33">
        <f t="shared" si="67"/>
        <v>0</v>
      </c>
      <c r="N98" s="33">
        <f t="shared" si="48"/>
        <v>0</v>
      </c>
      <c r="O98" s="34">
        <f t="shared" si="49"/>
        <v>0</v>
      </c>
      <c r="P98" s="55">
        <v>93</v>
      </c>
      <c r="Q98" s="33">
        <f t="shared" si="62"/>
        <v>0</v>
      </c>
      <c r="R98" s="33">
        <f t="shared" si="68"/>
        <v>0</v>
      </c>
      <c r="S98" s="33">
        <f t="shared" si="69"/>
        <v>0</v>
      </c>
      <c r="T98" s="33">
        <f t="shared" si="50"/>
        <v>0</v>
      </c>
      <c r="U98" s="33">
        <f t="shared" si="63"/>
        <v>0</v>
      </c>
      <c r="V98" s="33">
        <f t="shared" si="51"/>
        <v>0</v>
      </c>
      <c r="W98" s="33">
        <v>0</v>
      </c>
      <c r="X98" s="33">
        <f t="shared" si="52"/>
        <v>0</v>
      </c>
      <c r="Y98" s="38">
        <f t="shared" si="53"/>
        <v>0</v>
      </c>
      <c r="AA98" s="71">
        <v>93</v>
      </c>
      <c r="AB98" s="33">
        <f t="shared" si="54"/>
        <v>0</v>
      </c>
      <c r="AC98" s="305">
        <f t="shared" si="77"/>
        <v>0</v>
      </c>
      <c r="AD98" s="100">
        <f t="shared" si="55"/>
        <v>0</v>
      </c>
      <c r="AE98" s="100">
        <f t="shared" si="56"/>
        <v>0</v>
      </c>
      <c r="AF98" s="194">
        <f t="shared" si="73"/>
        <v>0</v>
      </c>
      <c r="AG98" s="194">
        <f t="shared" si="74"/>
        <v>0</v>
      </c>
      <c r="AH98" s="194">
        <f t="shared" si="75"/>
        <v>0</v>
      </c>
      <c r="AI98" s="199">
        <f t="shared" si="76"/>
        <v>0</v>
      </c>
      <c r="AK98" s="71">
        <v>93</v>
      </c>
      <c r="AL98" s="33">
        <f t="shared" si="57"/>
        <v>0</v>
      </c>
      <c r="AM98" s="33">
        <f t="shared" si="58"/>
        <v>0</v>
      </c>
      <c r="AN98" s="33">
        <f t="shared" si="59"/>
        <v>0</v>
      </c>
      <c r="AO98" s="33">
        <f t="shared" si="60"/>
        <v>0</v>
      </c>
      <c r="AP98" s="33">
        <f t="shared" si="61"/>
        <v>0</v>
      </c>
      <c r="AQ98" s="194">
        <f t="shared" si="47"/>
        <v>0</v>
      </c>
      <c r="AR98" s="194">
        <f t="shared" si="47"/>
        <v>0</v>
      </c>
      <c r="AS98" s="194">
        <f t="shared" si="47"/>
        <v>0</v>
      </c>
      <c r="AT98" s="194">
        <f t="shared" si="47"/>
        <v>0</v>
      </c>
      <c r="AU98" s="33"/>
      <c r="AV98" s="33"/>
      <c r="AW98" s="33"/>
      <c r="AX98" s="33"/>
      <c r="AY98" s="76"/>
    </row>
    <row r="99" spans="2:51" x14ac:dyDescent="0.3">
      <c r="B99" s="2" t="s">
        <v>2</v>
      </c>
      <c r="C99">
        <v>70</v>
      </c>
      <c r="D99">
        <v>0</v>
      </c>
      <c r="E99" s="6"/>
      <c r="I99" s="55">
        <v>94</v>
      </c>
      <c r="J99" s="33">
        <f t="shared" si="64"/>
        <v>0</v>
      </c>
      <c r="K99" s="33">
        <f t="shared" si="65"/>
        <v>0</v>
      </c>
      <c r="L99" s="33">
        <f t="shared" si="66"/>
        <v>0</v>
      </c>
      <c r="M99" s="33">
        <f t="shared" si="67"/>
        <v>0</v>
      </c>
      <c r="N99" s="33">
        <f t="shared" si="48"/>
        <v>0</v>
      </c>
      <c r="O99" s="34">
        <f t="shared" si="49"/>
        <v>0</v>
      </c>
      <c r="P99" s="55">
        <v>94</v>
      </c>
      <c r="Q99" s="33">
        <f t="shared" si="62"/>
        <v>0</v>
      </c>
      <c r="R99" s="33">
        <f t="shared" si="68"/>
        <v>0</v>
      </c>
      <c r="S99" s="33">
        <f t="shared" si="69"/>
        <v>0</v>
      </c>
      <c r="T99" s="33">
        <f t="shared" si="50"/>
        <v>0</v>
      </c>
      <c r="U99" s="33">
        <f t="shared" si="63"/>
        <v>0</v>
      </c>
      <c r="V99" s="33">
        <f t="shared" si="51"/>
        <v>0</v>
      </c>
      <c r="W99" s="33">
        <v>0</v>
      </c>
      <c r="X99" s="33">
        <f t="shared" si="52"/>
        <v>0</v>
      </c>
      <c r="Y99" s="38">
        <f t="shared" si="53"/>
        <v>0</v>
      </c>
      <c r="AA99" s="71">
        <v>94</v>
      </c>
      <c r="AB99" s="33">
        <f t="shared" si="54"/>
        <v>0</v>
      </c>
      <c r="AC99" s="305">
        <f t="shared" si="77"/>
        <v>0</v>
      </c>
      <c r="AD99" s="100">
        <f t="shared" si="55"/>
        <v>0</v>
      </c>
      <c r="AE99" s="100">
        <f t="shared" si="56"/>
        <v>0</v>
      </c>
      <c r="AF99" s="194">
        <f t="shared" si="73"/>
        <v>0</v>
      </c>
      <c r="AG99" s="194">
        <f t="shared" si="74"/>
        <v>0</v>
      </c>
      <c r="AH99" s="194">
        <f t="shared" si="75"/>
        <v>0</v>
      </c>
      <c r="AI99" s="199">
        <f t="shared" si="76"/>
        <v>0</v>
      </c>
      <c r="AK99" s="71">
        <v>94</v>
      </c>
      <c r="AL99" s="33">
        <f t="shared" si="57"/>
        <v>0</v>
      </c>
      <c r="AM99" s="33">
        <f t="shared" si="58"/>
        <v>0</v>
      </c>
      <c r="AN99" s="33">
        <f t="shared" si="59"/>
        <v>0</v>
      </c>
      <c r="AO99" s="33">
        <f t="shared" si="60"/>
        <v>0</v>
      </c>
      <c r="AP99" s="33">
        <f t="shared" si="61"/>
        <v>0</v>
      </c>
      <c r="AQ99" s="194">
        <f t="shared" si="47"/>
        <v>0</v>
      </c>
      <c r="AR99" s="194">
        <f t="shared" si="47"/>
        <v>0</v>
      </c>
      <c r="AS99" s="194">
        <f t="shared" si="47"/>
        <v>0</v>
      </c>
      <c r="AT99" s="194">
        <f t="shared" si="47"/>
        <v>0</v>
      </c>
      <c r="AU99" s="33"/>
      <c r="AV99" s="33"/>
      <c r="AW99" s="33"/>
      <c r="AX99" s="33"/>
      <c r="AY99" s="76"/>
    </row>
    <row r="100" spans="2:51" x14ac:dyDescent="0.3">
      <c r="B100" s="2" t="s">
        <v>135</v>
      </c>
      <c r="C100">
        <v>70</v>
      </c>
      <c r="D100">
        <v>0</v>
      </c>
      <c r="E100" s="6"/>
      <c r="I100" s="55">
        <v>95</v>
      </c>
      <c r="J100" s="33">
        <f t="shared" si="64"/>
        <v>0</v>
      </c>
      <c r="K100" s="33">
        <f t="shared" si="65"/>
        <v>0</v>
      </c>
      <c r="L100" s="33">
        <f t="shared" si="66"/>
        <v>0</v>
      </c>
      <c r="M100" s="33">
        <f t="shared" si="67"/>
        <v>0</v>
      </c>
      <c r="N100" s="33">
        <f t="shared" si="48"/>
        <v>0</v>
      </c>
      <c r="O100" s="34">
        <f t="shared" si="49"/>
        <v>0</v>
      </c>
      <c r="P100" s="55">
        <v>95</v>
      </c>
      <c r="Q100" s="33">
        <f t="shared" si="62"/>
        <v>0</v>
      </c>
      <c r="R100" s="33">
        <f t="shared" si="68"/>
        <v>0</v>
      </c>
      <c r="S100" s="33">
        <f t="shared" si="69"/>
        <v>0</v>
      </c>
      <c r="T100" s="33">
        <f t="shared" si="50"/>
        <v>0</v>
      </c>
      <c r="U100" s="33">
        <f t="shared" si="63"/>
        <v>0</v>
      </c>
      <c r="V100" s="33">
        <f t="shared" si="51"/>
        <v>0</v>
      </c>
      <c r="W100" s="33">
        <v>0</v>
      </c>
      <c r="X100" s="33">
        <f t="shared" si="52"/>
        <v>0</v>
      </c>
      <c r="Y100" s="38">
        <f t="shared" si="53"/>
        <v>0</v>
      </c>
      <c r="AA100" s="71">
        <v>95</v>
      </c>
      <c r="AB100" s="33">
        <f t="shared" si="54"/>
        <v>0</v>
      </c>
      <c r="AC100" s="305">
        <f t="shared" si="77"/>
        <v>0</v>
      </c>
      <c r="AD100" s="100">
        <f t="shared" si="55"/>
        <v>0</v>
      </c>
      <c r="AE100" s="100">
        <f t="shared" si="56"/>
        <v>0</v>
      </c>
      <c r="AF100" s="194">
        <f t="shared" si="73"/>
        <v>0</v>
      </c>
      <c r="AG100" s="194">
        <f t="shared" si="74"/>
        <v>0</v>
      </c>
      <c r="AH100" s="194">
        <f t="shared" si="75"/>
        <v>0</v>
      </c>
      <c r="AI100" s="199">
        <f t="shared" si="76"/>
        <v>0</v>
      </c>
      <c r="AK100" s="71">
        <v>95</v>
      </c>
      <c r="AL100" s="33">
        <f t="shared" si="57"/>
        <v>0</v>
      </c>
      <c r="AM100" s="33">
        <f t="shared" si="58"/>
        <v>0</v>
      </c>
      <c r="AN100" s="33">
        <f t="shared" si="59"/>
        <v>0</v>
      </c>
      <c r="AO100" s="33">
        <f t="shared" si="60"/>
        <v>0</v>
      </c>
      <c r="AP100" s="33">
        <f t="shared" si="61"/>
        <v>0</v>
      </c>
      <c r="AQ100" s="194">
        <f t="shared" si="47"/>
        <v>0</v>
      </c>
      <c r="AR100" s="194">
        <f t="shared" si="47"/>
        <v>0</v>
      </c>
      <c r="AS100" s="194">
        <f t="shared" si="47"/>
        <v>0</v>
      </c>
      <c r="AT100" s="194">
        <f t="shared" si="47"/>
        <v>0</v>
      </c>
      <c r="AU100" s="33"/>
      <c r="AV100" s="33"/>
      <c r="AW100" s="33"/>
      <c r="AX100" s="33"/>
      <c r="AY100" s="76"/>
    </row>
    <row r="101" spans="2:51" x14ac:dyDescent="0.3">
      <c r="C101" s="27"/>
      <c r="E101" s="6"/>
      <c r="I101" s="55">
        <v>96</v>
      </c>
      <c r="J101" s="33">
        <f t="shared" si="64"/>
        <v>0</v>
      </c>
      <c r="K101" s="33">
        <f t="shared" si="65"/>
        <v>0</v>
      </c>
      <c r="L101" s="33">
        <f t="shared" si="66"/>
        <v>0</v>
      </c>
      <c r="M101" s="33">
        <f t="shared" si="67"/>
        <v>0</v>
      </c>
      <c r="N101" s="33">
        <f t="shared" si="48"/>
        <v>0</v>
      </c>
      <c r="O101" s="34">
        <f t="shared" si="49"/>
        <v>0</v>
      </c>
      <c r="P101" s="55">
        <v>96</v>
      </c>
      <c r="Q101" s="33">
        <f t="shared" si="62"/>
        <v>0</v>
      </c>
      <c r="R101" s="33">
        <f t="shared" si="68"/>
        <v>0</v>
      </c>
      <c r="S101" s="33">
        <f t="shared" si="69"/>
        <v>0</v>
      </c>
      <c r="T101" s="33">
        <f t="shared" si="50"/>
        <v>0</v>
      </c>
      <c r="U101" s="33">
        <f t="shared" si="63"/>
        <v>0</v>
      </c>
      <c r="V101" s="33">
        <f t="shared" si="51"/>
        <v>0</v>
      </c>
      <c r="W101" s="33">
        <v>0</v>
      </c>
      <c r="X101" s="33">
        <f t="shared" si="52"/>
        <v>0</v>
      </c>
      <c r="Y101" s="38">
        <f t="shared" si="53"/>
        <v>0</v>
      </c>
      <c r="AA101" s="71">
        <v>96</v>
      </c>
      <c r="AB101" s="33">
        <f t="shared" si="54"/>
        <v>0</v>
      </c>
      <c r="AC101" s="305">
        <f t="shared" si="77"/>
        <v>0</v>
      </c>
      <c r="AD101" s="100">
        <f t="shared" si="55"/>
        <v>0</v>
      </c>
      <c r="AE101" s="100">
        <f t="shared" si="56"/>
        <v>0</v>
      </c>
      <c r="AF101" s="194">
        <f t="shared" si="73"/>
        <v>0</v>
      </c>
      <c r="AG101" s="194">
        <f t="shared" si="74"/>
        <v>0</v>
      </c>
      <c r="AH101" s="194">
        <f t="shared" si="75"/>
        <v>0</v>
      </c>
      <c r="AI101" s="199">
        <f t="shared" si="76"/>
        <v>0</v>
      </c>
      <c r="AK101" s="71">
        <v>96</v>
      </c>
      <c r="AL101" s="33">
        <f t="shared" si="57"/>
        <v>0</v>
      </c>
      <c r="AM101" s="33">
        <f t="shared" si="58"/>
        <v>0</v>
      </c>
      <c r="AN101" s="33">
        <f t="shared" si="59"/>
        <v>0</v>
      </c>
      <c r="AO101" s="33">
        <f t="shared" si="60"/>
        <v>0</v>
      </c>
      <c r="AP101" s="33">
        <f t="shared" si="61"/>
        <v>0</v>
      </c>
      <c r="AQ101" s="194">
        <f t="shared" si="47"/>
        <v>0</v>
      </c>
      <c r="AR101" s="194">
        <f t="shared" si="47"/>
        <v>0</v>
      </c>
      <c r="AS101" s="194">
        <f t="shared" si="47"/>
        <v>0</v>
      </c>
      <c r="AT101" s="194">
        <f t="shared" si="47"/>
        <v>0</v>
      </c>
      <c r="AU101" s="33"/>
      <c r="AV101" s="33"/>
      <c r="AW101" s="33"/>
      <c r="AX101" s="33"/>
      <c r="AY101" s="76"/>
    </row>
    <row r="102" spans="2:51" x14ac:dyDescent="0.3">
      <c r="C102" s="27"/>
      <c r="E102" s="6"/>
      <c r="I102" s="55">
        <v>97</v>
      </c>
      <c r="J102" s="33">
        <f t="shared" si="64"/>
        <v>0</v>
      </c>
      <c r="K102" s="33">
        <f t="shared" si="65"/>
        <v>0</v>
      </c>
      <c r="L102" s="33">
        <f t="shared" si="66"/>
        <v>0</v>
      </c>
      <c r="M102" s="33">
        <f t="shared" si="67"/>
        <v>0</v>
      </c>
      <c r="N102" s="33">
        <f t="shared" si="48"/>
        <v>0</v>
      </c>
      <c r="O102" s="34">
        <f t="shared" si="49"/>
        <v>0</v>
      </c>
      <c r="P102" s="55">
        <v>97</v>
      </c>
      <c r="Q102" s="33">
        <f t="shared" si="62"/>
        <v>0</v>
      </c>
      <c r="R102" s="33">
        <f t="shared" si="68"/>
        <v>0</v>
      </c>
      <c r="S102" s="33">
        <f t="shared" si="69"/>
        <v>0</v>
      </c>
      <c r="T102" s="33">
        <f t="shared" si="50"/>
        <v>0</v>
      </c>
      <c r="U102" s="33">
        <f t="shared" si="63"/>
        <v>0</v>
      </c>
      <c r="V102" s="33">
        <f t="shared" si="51"/>
        <v>0</v>
      </c>
      <c r="W102" s="33">
        <v>0</v>
      </c>
      <c r="X102" s="33">
        <f t="shared" si="52"/>
        <v>0</v>
      </c>
      <c r="Y102" s="38">
        <f t="shared" si="53"/>
        <v>0</v>
      </c>
      <c r="AA102" s="71">
        <v>97</v>
      </c>
      <c r="AB102" s="33">
        <f t="shared" si="54"/>
        <v>0</v>
      </c>
      <c r="AC102" s="305">
        <f t="shared" si="77"/>
        <v>0</v>
      </c>
      <c r="AD102" s="100">
        <f t="shared" si="55"/>
        <v>0</v>
      </c>
      <c r="AE102" s="100">
        <f t="shared" si="56"/>
        <v>0</v>
      </c>
      <c r="AF102" s="194">
        <f t="shared" si="73"/>
        <v>0</v>
      </c>
      <c r="AG102" s="194">
        <f t="shared" si="74"/>
        <v>0</v>
      </c>
      <c r="AH102" s="194">
        <f t="shared" si="75"/>
        <v>0</v>
      </c>
      <c r="AI102" s="199">
        <f t="shared" si="76"/>
        <v>0</v>
      </c>
      <c r="AK102" s="71">
        <v>97</v>
      </c>
      <c r="AL102" s="33">
        <f t="shared" si="57"/>
        <v>0</v>
      </c>
      <c r="AM102" s="33">
        <f t="shared" si="58"/>
        <v>0</v>
      </c>
      <c r="AN102" s="33">
        <f t="shared" si="59"/>
        <v>0</v>
      </c>
      <c r="AO102" s="33">
        <f t="shared" si="60"/>
        <v>0</v>
      </c>
      <c r="AP102" s="33">
        <f t="shared" si="61"/>
        <v>0</v>
      </c>
      <c r="AQ102" s="194">
        <f t="shared" si="47"/>
        <v>0</v>
      </c>
      <c r="AR102" s="194">
        <f t="shared" si="47"/>
        <v>0</v>
      </c>
      <c r="AS102" s="194">
        <f t="shared" si="47"/>
        <v>0</v>
      </c>
      <c r="AT102" s="194">
        <f t="shared" si="47"/>
        <v>0</v>
      </c>
      <c r="AU102" s="33"/>
      <c r="AV102" s="33"/>
      <c r="AW102" s="33"/>
      <c r="AX102" s="33"/>
      <c r="AY102" s="76"/>
    </row>
    <row r="103" spans="2:51" x14ac:dyDescent="0.3">
      <c r="C103" s="25" t="s">
        <v>157</v>
      </c>
      <c r="D103" s="138" t="s">
        <v>158</v>
      </c>
      <c r="F103" s="190" t="s">
        <v>232</v>
      </c>
      <c r="I103" s="55">
        <v>98</v>
      </c>
      <c r="J103" s="33">
        <f t="shared" si="64"/>
        <v>0</v>
      </c>
      <c r="K103" s="33">
        <f t="shared" si="65"/>
        <v>0</v>
      </c>
      <c r="L103" s="33">
        <f t="shared" si="66"/>
        <v>0</v>
      </c>
      <c r="M103" s="33">
        <f t="shared" si="67"/>
        <v>0</v>
      </c>
      <c r="N103" s="33">
        <f t="shared" si="48"/>
        <v>0</v>
      </c>
      <c r="O103" s="34">
        <f t="shared" si="49"/>
        <v>0</v>
      </c>
      <c r="P103" s="55">
        <v>98</v>
      </c>
      <c r="Q103" s="33">
        <f t="shared" si="62"/>
        <v>0</v>
      </c>
      <c r="R103" s="33">
        <f t="shared" si="68"/>
        <v>0</v>
      </c>
      <c r="S103" s="33">
        <f t="shared" si="69"/>
        <v>0</v>
      </c>
      <c r="T103" s="33">
        <f t="shared" si="50"/>
        <v>0</v>
      </c>
      <c r="U103" s="33">
        <f t="shared" si="63"/>
        <v>0</v>
      </c>
      <c r="V103" s="33">
        <f t="shared" si="51"/>
        <v>0</v>
      </c>
      <c r="W103" s="33">
        <v>0</v>
      </c>
      <c r="X103" s="33">
        <f t="shared" si="52"/>
        <v>0</v>
      </c>
      <c r="Y103" s="38">
        <f t="shared" si="53"/>
        <v>0</v>
      </c>
      <c r="AA103" s="71">
        <v>98</v>
      </c>
      <c r="AB103" s="33">
        <f t="shared" si="54"/>
        <v>0</v>
      </c>
      <c r="AC103" s="305">
        <f t="shared" si="77"/>
        <v>0</v>
      </c>
      <c r="AD103" s="100">
        <f t="shared" si="55"/>
        <v>0</v>
      </c>
      <c r="AE103" s="100">
        <f t="shared" si="56"/>
        <v>0</v>
      </c>
      <c r="AF103" s="194">
        <f t="shared" si="73"/>
        <v>0</v>
      </c>
      <c r="AG103" s="194">
        <f t="shared" si="74"/>
        <v>0</v>
      </c>
      <c r="AH103" s="194">
        <f t="shared" si="75"/>
        <v>0</v>
      </c>
      <c r="AI103" s="199">
        <f t="shared" si="76"/>
        <v>0</v>
      </c>
      <c r="AK103" s="71">
        <v>98</v>
      </c>
      <c r="AL103" s="33">
        <f t="shared" si="57"/>
        <v>0</v>
      </c>
      <c r="AM103" s="33">
        <f t="shared" si="58"/>
        <v>0</v>
      </c>
      <c r="AN103" s="33">
        <f t="shared" si="59"/>
        <v>0</v>
      </c>
      <c r="AO103" s="33">
        <f t="shared" si="60"/>
        <v>0</v>
      </c>
      <c r="AP103" s="33">
        <f t="shared" si="61"/>
        <v>0</v>
      </c>
      <c r="AQ103" s="194">
        <f t="shared" si="47"/>
        <v>0</v>
      </c>
      <c r="AR103" s="194">
        <f t="shared" si="47"/>
        <v>0</v>
      </c>
      <c r="AS103" s="194">
        <f t="shared" si="47"/>
        <v>0</v>
      </c>
      <c r="AT103" s="194">
        <f t="shared" si="47"/>
        <v>0</v>
      </c>
      <c r="AU103" s="33"/>
      <c r="AV103" s="33"/>
      <c r="AW103" s="33"/>
      <c r="AX103" s="33"/>
      <c r="AY103" s="76"/>
    </row>
    <row r="104" spans="2:51" x14ac:dyDescent="0.3">
      <c r="B104" t="s">
        <v>78</v>
      </c>
      <c r="C104">
        <v>1.52</v>
      </c>
      <c r="D104">
        <v>35</v>
      </c>
      <c r="F104" s="189" t="s">
        <v>228</v>
      </c>
      <c r="G104" s="24">
        <v>0.25</v>
      </c>
      <c r="I104" s="55">
        <v>99</v>
      </c>
      <c r="J104" s="33">
        <f t="shared" si="64"/>
        <v>0</v>
      </c>
      <c r="K104" s="33">
        <f t="shared" si="65"/>
        <v>0</v>
      </c>
      <c r="L104" s="33">
        <f t="shared" si="66"/>
        <v>0</v>
      </c>
      <c r="M104" s="33">
        <f t="shared" si="67"/>
        <v>0</v>
      </c>
      <c r="N104" s="33">
        <f t="shared" si="48"/>
        <v>0</v>
      </c>
      <c r="O104" s="34">
        <f t="shared" si="49"/>
        <v>0</v>
      </c>
      <c r="P104" s="55">
        <v>99</v>
      </c>
      <c r="Q104" s="33">
        <f t="shared" si="62"/>
        <v>0</v>
      </c>
      <c r="R104" s="33">
        <f t="shared" si="68"/>
        <v>0</v>
      </c>
      <c r="S104" s="33">
        <f t="shared" si="69"/>
        <v>0</v>
      </c>
      <c r="T104" s="33">
        <f t="shared" si="50"/>
        <v>0</v>
      </c>
      <c r="U104" s="33">
        <f t="shared" si="63"/>
        <v>0</v>
      </c>
      <c r="V104" s="33">
        <f t="shared" si="51"/>
        <v>0</v>
      </c>
      <c r="W104" s="33">
        <v>0</v>
      </c>
      <c r="X104" s="33">
        <f t="shared" si="52"/>
        <v>0</v>
      </c>
      <c r="Y104" s="38">
        <f t="shared" si="53"/>
        <v>0</v>
      </c>
      <c r="AA104" s="71">
        <v>99</v>
      </c>
      <c r="AB104" s="33">
        <f t="shared" si="54"/>
        <v>0</v>
      </c>
      <c r="AC104" s="305">
        <f t="shared" si="77"/>
        <v>0</v>
      </c>
      <c r="AD104" s="100">
        <f t="shared" si="55"/>
        <v>0</v>
      </c>
      <c r="AE104" s="100">
        <f t="shared" si="56"/>
        <v>0</v>
      </c>
      <c r="AF104" s="194">
        <f t="shared" si="73"/>
        <v>0</v>
      </c>
      <c r="AG104" s="194">
        <f t="shared" si="74"/>
        <v>0</v>
      </c>
      <c r="AH104" s="194">
        <f t="shared" si="75"/>
        <v>0</v>
      </c>
      <c r="AI104" s="199">
        <f t="shared" si="76"/>
        <v>0</v>
      </c>
      <c r="AK104" s="71">
        <v>99</v>
      </c>
      <c r="AL104" s="33">
        <f t="shared" si="57"/>
        <v>0</v>
      </c>
      <c r="AM104" s="33">
        <f t="shared" si="58"/>
        <v>0</v>
      </c>
      <c r="AN104" s="33">
        <f t="shared" si="59"/>
        <v>0</v>
      </c>
      <c r="AO104" s="33">
        <f t="shared" si="60"/>
        <v>0</v>
      </c>
      <c r="AP104" s="33">
        <f t="shared" si="61"/>
        <v>0</v>
      </c>
      <c r="AQ104" s="194">
        <f t="shared" si="47"/>
        <v>0</v>
      </c>
      <c r="AR104" s="194">
        <f t="shared" si="47"/>
        <v>0</v>
      </c>
      <c r="AS104" s="194">
        <f t="shared" si="47"/>
        <v>0</v>
      </c>
      <c r="AT104" s="194">
        <f t="shared" si="47"/>
        <v>0</v>
      </c>
      <c r="AU104" s="33"/>
      <c r="AV104" s="33"/>
      <c r="AW104" s="33"/>
      <c r="AX104" s="33"/>
      <c r="AY104" s="76"/>
    </row>
    <row r="105" spans="2:51" x14ac:dyDescent="0.3">
      <c r="B105" t="s">
        <v>80</v>
      </c>
      <c r="C105">
        <v>0</v>
      </c>
      <c r="D105">
        <v>2</v>
      </c>
      <c r="F105" s="189" t="s">
        <v>230</v>
      </c>
      <c r="G105" s="24">
        <v>1.03</v>
      </c>
      <c r="I105" s="55">
        <v>100</v>
      </c>
      <c r="J105" s="33">
        <f t="shared" si="64"/>
        <v>0</v>
      </c>
      <c r="K105" s="33">
        <f t="shared" si="65"/>
        <v>0</v>
      </c>
      <c r="L105" s="33">
        <f t="shared" si="66"/>
        <v>0</v>
      </c>
      <c r="M105" s="33">
        <f t="shared" si="67"/>
        <v>0</v>
      </c>
      <c r="N105" s="33">
        <f t="shared" si="48"/>
        <v>0</v>
      </c>
      <c r="O105" s="34">
        <f t="shared" si="49"/>
        <v>0</v>
      </c>
      <c r="P105" s="55">
        <v>100</v>
      </c>
      <c r="Q105" s="33">
        <f t="shared" si="62"/>
        <v>0</v>
      </c>
      <c r="R105" s="33">
        <f t="shared" si="68"/>
        <v>0</v>
      </c>
      <c r="S105" s="33">
        <f t="shared" si="69"/>
        <v>0</v>
      </c>
      <c r="T105" s="33">
        <f t="shared" si="50"/>
        <v>0</v>
      </c>
      <c r="U105" s="33">
        <f t="shared" si="63"/>
        <v>0</v>
      </c>
      <c r="V105" s="33">
        <f t="shared" si="51"/>
        <v>0</v>
      </c>
      <c r="W105" s="33">
        <v>0</v>
      </c>
      <c r="X105" s="33">
        <f t="shared" si="52"/>
        <v>0</v>
      </c>
      <c r="Y105" s="38">
        <f t="shared" si="53"/>
        <v>0</v>
      </c>
      <c r="AA105" s="71">
        <v>100</v>
      </c>
      <c r="AB105" s="33">
        <f t="shared" si="54"/>
        <v>0</v>
      </c>
      <c r="AC105" s="305">
        <f t="shared" si="77"/>
        <v>0</v>
      </c>
      <c r="AD105" s="100">
        <f t="shared" si="55"/>
        <v>0</v>
      </c>
      <c r="AE105" s="100">
        <f t="shared" si="56"/>
        <v>0</v>
      </c>
      <c r="AF105" s="194">
        <f t="shared" si="73"/>
        <v>0</v>
      </c>
      <c r="AG105" s="194">
        <f t="shared" si="74"/>
        <v>0</v>
      </c>
      <c r="AH105" s="194">
        <f t="shared" si="75"/>
        <v>0</v>
      </c>
      <c r="AI105" s="199">
        <f t="shared" si="76"/>
        <v>0</v>
      </c>
      <c r="AK105" s="71">
        <v>100</v>
      </c>
      <c r="AL105" s="33">
        <f t="shared" si="57"/>
        <v>0</v>
      </c>
      <c r="AM105" s="33">
        <f t="shared" si="58"/>
        <v>0</v>
      </c>
      <c r="AN105" s="33">
        <f t="shared" si="59"/>
        <v>0</v>
      </c>
      <c r="AO105" s="33">
        <f t="shared" si="60"/>
        <v>0</v>
      </c>
      <c r="AP105" s="33">
        <f t="shared" si="61"/>
        <v>0</v>
      </c>
      <c r="AQ105" s="194">
        <f t="shared" si="47"/>
        <v>0</v>
      </c>
      <c r="AR105" s="194">
        <f t="shared" si="47"/>
        <v>0</v>
      </c>
      <c r="AS105" s="194">
        <f t="shared" si="47"/>
        <v>0</v>
      </c>
      <c r="AT105" s="194">
        <f t="shared" ref="AT105:AT168" si="78">IF($AK105&lt;=$F$18,$AL105*AP105,)</f>
        <v>0</v>
      </c>
      <c r="AU105" s="33"/>
      <c r="AV105" s="33"/>
      <c r="AW105" s="33"/>
      <c r="AX105" s="33"/>
      <c r="AY105" s="76"/>
    </row>
    <row r="106" spans="2:51" ht="27.6" x14ac:dyDescent="0.3">
      <c r="B106" t="s">
        <v>81</v>
      </c>
      <c r="C106">
        <v>0.77</v>
      </c>
      <c r="D106">
        <v>25</v>
      </c>
      <c r="F106" s="189" t="s">
        <v>231</v>
      </c>
      <c r="G106" s="24">
        <v>0.59</v>
      </c>
      <c r="I106" s="55">
        <v>101</v>
      </c>
      <c r="J106" s="33">
        <f t="shared" si="64"/>
        <v>0</v>
      </c>
      <c r="K106" s="33">
        <f t="shared" si="65"/>
        <v>0</v>
      </c>
      <c r="L106" s="33">
        <f t="shared" si="66"/>
        <v>0</v>
      </c>
      <c r="M106" s="33">
        <f t="shared" si="67"/>
        <v>0</v>
      </c>
      <c r="N106" s="33">
        <f t="shared" si="48"/>
        <v>0</v>
      </c>
      <c r="O106" s="34">
        <f t="shared" si="49"/>
        <v>0</v>
      </c>
      <c r="P106" s="55">
        <v>101</v>
      </c>
      <c r="Q106" s="33">
        <f t="shared" si="62"/>
        <v>0</v>
      </c>
      <c r="R106" s="33">
        <f t="shared" si="68"/>
        <v>0</v>
      </c>
      <c r="S106" s="33">
        <f t="shared" si="69"/>
        <v>0</v>
      </c>
      <c r="T106" s="33">
        <f t="shared" si="50"/>
        <v>0</v>
      </c>
      <c r="U106" s="33">
        <f t="shared" si="63"/>
        <v>0</v>
      </c>
      <c r="V106" s="33">
        <f t="shared" si="51"/>
        <v>0</v>
      </c>
      <c r="W106" s="33">
        <v>0</v>
      </c>
      <c r="X106" s="33">
        <f t="shared" si="52"/>
        <v>0</v>
      </c>
      <c r="Y106" s="38">
        <f t="shared" si="53"/>
        <v>0</v>
      </c>
      <c r="AA106" s="71">
        <v>101</v>
      </c>
      <c r="AB106" s="33">
        <f t="shared" si="54"/>
        <v>0</v>
      </c>
      <c r="AC106" s="305">
        <f t="shared" si="77"/>
        <v>0</v>
      </c>
      <c r="AD106" s="100">
        <f t="shared" si="55"/>
        <v>0</v>
      </c>
      <c r="AE106" s="100">
        <f t="shared" si="56"/>
        <v>0</v>
      </c>
      <c r="AF106" s="194">
        <f t="shared" si="73"/>
        <v>0</v>
      </c>
      <c r="AG106" s="194">
        <f t="shared" si="74"/>
        <v>0</v>
      </c>
      <c r="AH106" s="194">
        <f t="shared" si="75"/>
        <v>0</v>
      </c>
      <c r="AI106" s="199">
        <f t="shared" si="76"/>
        <v>0</v>
      </c>
      <c r="AK106" s="71">
        <v>101</v>
      </c>
      <c r="AL106" s="33">
        <f t="shared" si="57"/>
        <v>0</v>
      </c>
      <c r="AM106" s="33">
        <f t="shared" si="58"/>
        <v>0</v>
      </c>
      <c r="AN106" s="33">
        <f t="shared" si="59"/>
        <v>0</v>
      </c>
      <c r="AO106" s="33">
        <f t="shared" si="60"/>
        <v>0</v>
      </c>
      <c r="AP106" s="33">
        <f t="shared" si="61"/>
        <v>0</v>
      </c>
      <c r="AQ106" s="194">
        <f t="shared" ref="AQ106:AT169" si="79">IF($AK106&lt;=$F$18,$AL106*AM106,)</f>
        <v>0</v>
      </c>
      <c r="AR106" s="194">
        <f t="shared" si="79"/>
        <v>0</v>
      </c>
      <c r="AS106" s="194">
        <f t="shared" si="79"/>
        <v>0</v>
      </c>
      <c r="AT106" s="194">
        <f t="shared" si="78"/>
        <v>0</v>
      </c>
      <c r="AU106" s="33"/>
      <c r="AV106" s="33"/>
      <c r="AW106" s="33"/>
      <c r="AX106" s="33"/>
      <c r="AY106" s="76"/>
    </row>
    <row r="107" spans="2:51" x14ac:dyDescent="0.3">
      <c r="B107" t="s">
        <v>82</v>
      </c>
      <c r="C107">
        <f>44%*C105+56%*C106</f>
        <v>0.43120000000000003</v>
      </c>
      <c r="D107">
        <f>44%*D105+56%*D106</f>
        <v>14.880000000000003</v>
      </c>
      <c r="F107" s="189" t="s">
        <v>229</v>
      </c>
      <c r="G107" s="24">
        <v>0.43</v>
      </c>
      <c r="I107" s="55">
        <v>102</v>
      </c>
      <c r="J107" s="33">
        <f t="shared" si="64"/>
        <v>0</v>
      </c>
      <c r="K107" s="33">
        <f t="shared" si="65"/>
        <v>0</v>
      </c>
      <c r="L107" s="33">
        <f t="shared" si="66"/>
        <v>0</v>
      </c>
      <c r="M107" s="33">
        <f t="shared" si="67"/>
        <v>0</v>
      </c>
      <c r="N107" s="33">
        <f t="shared" si="48"/>
        <v>0</v>
      </c>
      <c r="O107" s="34">
        <f t="shared" si="49"/>
        <v>0</v>
      </c>
      <c r="P107" s="55">
        <v>102</v>
      </c>
      <c r="Q107" s="33">
        <f t="shared" si="62"/>
        <v>0</v>
      </c>
      <c r="R107" s="33">
        <f t="shared" si="68"/>
        <v>0</v>
      </c>
      <c r="S107" s="33">
        <f t="shared" si="69"/>
        <v>0</v>
      </c>
      <c r="T107" s="33">
        <f t="shared" si="50"/>
        <v>0</v>
      </c>
      <c r="U107" s="33">
        <f t="shared" si="63"/>
        <v>0</v>
      </c>
      <c r="V107" s="33">
        <f t="shared" si="51"/>
        <v>0</v>
      </c>
      <c r="W107" s="33">
        <v>0</v>
      </c>
      <c r="X107" s="33">
        <f t="shared" si="52"/>
        <v>0</v>
      </c>
      <c r="Y107" s="38">
        <f t="shared" si="53"/>
        <v>0</v>
      </c>
      <c r="AA107" s="71">
        <v>102</v>
      </c>
      <c r="AB107" s="33">
        <f t="shared" si="54"/>
        <v>0</v>
      </c>
      <c r="AC107" s="305">
        <f t="shared" si="77"/>
        <v>0</v>
      </c>
      <c r="AD107" s="100">
        <f t="shared" si="55"/>
        <v>0</v>
      </c>
      <c r="AE107" s="100">
        <f t="shared" si="56"/>
        <v>0</v>
      </c>
      <c r="AF107" s="194">
        <f t="shared" si="73"/>
        <v>0</v>
      </c>
      <c r="AG107" s="194">
        <f t="shared" si="74"/>
        <v>0</v>
      </c>
      <c r="AH107" s="194">
        <f t="shared" si="75"/>
        <v>0</v>
      </c>
      <c r="AI107" s="199">
        <f t="shared" si="76"/>
        <v>0</v>
      </c>
      <c r="AK107" s="71">
        <v>102</v>
      </c>
      <c r="AL107" s="33">
        <f t="shared" si="57"/>
        <v>0</v>
      </c>
      <c r="AM107" s="33">
        <f t="shared" si="58"/>
        <v>0</v>
      </c>
      <c r="AN107" s="33">
        <f t="shared" si="59"/>
        <v>0</v>
      </c>
      <c r="AO107" s="33">
        <f t="shared" si="60"/>
        <v>0</v>
      </c>
      <c r="AP107" s="33">
        <f t="shared" si="61"/>
        <v>0</v>
      </c>
      <c r="AQ107" s="194">
        <f t="shared" si="79"/>
        <v>0</v>
      </c>
      <c r="AR107" s="194">
        <f t="shared" si="79"/>
        <v>0</v>
      </c>
      <c r="AS107" s="194">
        <f t="shared" si="79"/>
        <v>0</v>
      </c>
      <c r="AT107" s="194">
        <f t="shared" si="78"/>
        <v>0</v>
      </c>
      <c r="AU107" s="33"/>
      <c r="AV107" s="33"/>
      <c r="AW107" s="33"/>
      <c r="AX107" s="33"/>
      <c r="AY107" s="76"/>
    </row>
    <row r="108" spans="2:51" x14ac:dyDescent="0.3">
      <c r="B108" t="s">
        <v>79</v>
      </c>
      <c r="C108">
        <v>0.25</v>
      </c>
      <c r="D108">
        <v>0</v>
      </c>
      <c r="F108" s="191" t="s">
        <v>233</v>
      </c>
      <c r="G108" s="192">
        <f>VLOOKUP(VLOOKUP(F17,C131:E195,3,FALSE),F104:G107,2,FALSE)</f>
        <v>0.59</v>
      </c>
      <c r="I108" s="55">
        <v>103</v>
      </c>
      <c r="J108" s="33">
        <f t="shared" si="64"/>
        <v>0</v>
      </c>
      <c r="K108" s="33">
        <f t="shared" si="65"/>
        <v>0</v>
      </c>
      <c r="L108" s="33">
        <f t="shared" si="66"/>
        <v>0</v>
      </c>
      <c r="M108" s="33">
        <f t="shared" si="67"/>
        <v>0</v>
      </c>
      <c r="N108" s="33">
        <f t="shared" si="48"/>
        <v>0</v>
      </c>
      <c r="O108" s="34">
        <f t="shared" si="49"/>
        <v>0</v>
      </c>
      <c r="P108" s="55">
        <v>103</v>
      </c>
      <c r="Q108" s="33">
        <f t="shared" si="62"/>
        <v>0</v>
      </c>
      <c r="R108" s="33">
        <f t="shared" si="68"/>
        <v>0</v>
      </c>
      <c r="S108" s="33">
        <f t="shared" si="69"/>
        <v>0</v>
      </c>
      <c r="T108" s="33">
        <f t="shared" si="50"/>
        <v>0</v>
      </c>
      <c r="U108" s="33">
        <f t="shared" si="63"/>
        <v>0</v>
      </c>
      <c r="V108" s="33">
        <f t="shared" si="51"/>
        <v>0</v>
      </c>
      <c r="W108" s="33">
        <v>0</v>
      </c>
      <c r="X108" s="33">
        <f t="shared" si="52"/>
        <v>0</v>
      </c>
      <c r="Y108" s="38">
        <f t="shared" si="53"/>
        <v>0</v>
      </c>
      <c r="AA108" s="71">
        <v>103</v>
      </c>
      <c r="AB108" s="33">
        <f t="shared" si="54"/>
        <v>0</v>
      </c>
      <c r="AC108" s="305">
        <f t="shared" si="77"/>
        <v>0</v>
      </c>
      <c r="AD108" s="100">
        <f t="shared" si="55"/>
        <v>0</v>
      </c>
      <c r="AE108" s="100">
        <f t="shared" si="56"/>
        <v>0</v>
      </c>
      <c r="AF108" s="194">
        <f t="shared" si="73"/>
        <v>0</v>
      </c>
      <c r="AG108" s="194">
        <f t="shared" si="74"/>
        <v>0</v>
      </c>
      <c r="AH108" s="194">
        <f t="shared" si="75"/>
        <v>0</v>
      </c>
      <c r="AI108" s="199">
        <f t="shared" si="76"/>
        <v>0</v>
      </c>
      <c r="AK108" s="71">
        <v>103</v>
      </c>
      <c r="AL108" s="33">
        <f t="shared" si="57"/>
        <v>0</v>
      </c>
      <c r="AM108" s="33">
        <f t="shared" si="58"/>
        <v>0</v>
      </c>
      <c r="AN108" s="33">
        <f t="shared" si="59"/>
        <v>0</v>
      </c>
      <c r="AO108" s="33">
        <f t="shared" si="60"/>
        <v>0</v>
      </c>
      <c r="AP108" s="33">
        <f t="shared" si="61"/>
        <v>0</v>
      </c>
      <c r="AQ108" s="194">
        <f t="shared" si="79"/>
        <v>0</v>
      </c>
      <c r="AR108" s="194">
        <f t="shared" si="79"/>
        <v>0</v>
      </c>
      <c r="AS108" s="194">
        <f t="shared" si="79"/>
        <v>0</v>
      </c>
      <c r="AT108" s="194">
        <f t="shared" si="78"/>
        <v>0</v>
      </c>
      <c r="AU108" s="33"/>
      <c r="AV108" s="33"/>
      <c r="AW108" s="33"/>
      <c r="AX108" s="33"/>
      <c r="AY108" s="76"/>
    </row>
    <row r="109" spans="2:51" x14ac:dyDescent="0.3">
      <c r="I109" s="55">
        <v>104</v>
      </c>
      <c r="J109" s="33">
        <f t="shared" si="64"/>
        <v>0</v>
      </c>
      <c r="K109" s="33">
        <f t="shared" si="65"/>
        <v>0</v>
      </c>
      <c r="L109" s="33">
        <f t="shared" si="66"/>
        <v>0</v>
      </c>
      <c r="M109" s="33">
        <f t="shared" si="67"/>
        <v>0</v>
      </c>
      <c r="N109" s="33">
        <f t="shared" si="48"/>
        <v>0</v>
      </c>
      <c r="O109" s="34">
        <f t="shared" si="49"/>
        <v>0</v>
      </c>
      <c r="P109" s="55">
        <v>104</v>
      </c>
      <c r="Q109" s="33">
        <f t="shared" si="62"/>
        <v>0</v>
      </c>
      <c r="R109" s="33">
        <f t="shared" si="68"/>
        <v>0</v>
      </c>
      <c r="S109" s="33">
        <f t="shared" si="69"/>
        <v>0</v>
      </c>
      <c r="T109" s="33">
        <f t="shared" si="50"/>
        <v>0</v>
      </c>
      <c r="U109" s="33">
        <f t="shared" si="63"/>
        <v>0</v>
      </c>
      <c r="V109" s="33">
        <f t="shared" si="51"/>
        <v>0</v>
      </c>
      <c r="W109" s="33">
        <v>0</v>
      </c>
      <c r="X109" s="33">
        <f t="shared" si="52"/>
        <v>0</v>
      </c>
      <c r="Y109" s="38">
        <f t="shared" si="53"/>
        <v>0</v>
      </c>
      <c r="AA109" s="71">
        <v>104</v>
      </c>
      <c r="AB109" s="33">
        <f t="shared" si="54"/>
        <v>0</v>
      </c>
      <c r="AC109" s="305">
        <f t="shared" si="77"/>
        <v>0</v>
      </c>
      <c r="AD109" s="100">
        <f t="shared" si="55"/>
        <v>0</v>
      </c>
      <c r="AE109" s="100">
        <f t="shared" si="56"/>
        <v>0</v>
      </c>
      <c r="AF109" s="194">
        <f t="shared" si="73"/>
        <v>0</v>
      </c>
      <c r="AG109" s="194">
        <f t="shared" si="74"/>
        <v>0</v>
      </c>
      <c r="AH109" s="194">
        <f t="shared" si="75"/>
        <v>0</v>
      </c>
      <c r="AI109" s="199">
        <f t="shared" si="76"/>
        <v>0</v>
      </c>
      <c r="AK109" s="71">
        <v>104</v>
      </c>
      <c r="AL109" s="33">
        <f t="shared" si="57"/>
        <v>0</v>
      </c>
      <c r="AM109" s="33">
        <f t="shared" si="58"/>
        <v>0</v>
      </c>
      <c r="AN109" s="33">
        <f t="shared" si="59"/>
        <v>0</v>
      </c>
      <c r="AO109" s="33">
        <f t="shared" si="60"/>
        <v>0</v>
      </c>
      <c r="AP109" s="33">
        <f t="shared" si="61"/>
        <v>0</v>
      </c>
      <c r="AQ109" s="194">
        <f t="shared" si="79"/>
        <v>0</v>
      </c>
      <c r="AR109" s="194">
        <f t="shared" si="79"/>
        <v>0</v>
      </c>
      <c r="AS109" s="194">
        <f t="shared" si="79"/>
        <v>0</v>
      </c>
      <c r="AT109" s="194">
        <f t="shared" si="78"/>
        <v>0</v>
      </c>
      <c r="AU109" s="33"/>
      <c r="AV109" s="33"/>
      <c r="AW109" s="33"/>
      <c r="AX109" s="33"/>
      <c r="AY109" s="76"/>
    </row>
    <row r="110" spans="2:51" x14ac:dyDescent="0.3">
      <c r="I110" s="55">
        <v>105</v>
      </c>
      <c r="J110" s="33">
        <f t="shared" si="64"/>
        <v>0</v>
      </c>
      <c r="K110" s="33">
        <f t="shared" si="65"/>
        <v>0</v>
      </c>
      <c r="L110" s="33">
        <f t="shared" si="66"/>
        <v>0</v>
      </c>
      <c r="M110" s="33">
        <f t="shared" si="67"/>
        <v>0</v>
      </c>
      <c r="N110" s="33">
        <f t="shared" si="48"/>
        <v>0</v>
      </c>
      <c r="O110" s="34">
        <f t="shared" si="49"/>
        <v>0</v>
      </c>
      <c r="P110" s="55">
        <v>105</v>
      </c>
      <c r="Q110" s="33">
        <f t="shared" si="62"/>
        <v>0</v>
      </c>
      <c r="R110" s="33">
        <f t="shared" si="68"/>
        <v>0</v>
      </c>
      <c r="S110" s="33">
        <f t="shared" si="69"/>
        <v>0</v>
      </c>
      <c r="T110" s="33">
        <f t="shared" si="50"/>
        <v>0</v>
      </c>
      <c r="U110" s="33">
        <f t="shared" si="63"/>
        <v>0</v>
      </c>
      <c r="V110" s="33">
        <f t="shared" si="51"/>
        <v>0</v>
      </c>
      <c r="W110" s="33">
        <v>0</v>
      </c>
      <c r="X110" s="33">
        <f t="shared" si="52"/>
        <v>0</v>
      </c>
      <c r="Y110" s="38">
        <f t="shared" si="53"/>
        <v>0</v>
      </c>
      <c r="AA110" s="71">
        <v>105</v>
      </c>
      <c r="AB110" s="33">
        <f t="shared" si="54"/>
        <v>0</v>
      </c>
      <c r="AC110" s="305">
        <f t="shared" si="77"/>
        <v>0</v>
      </c>
      <c r="AD110" s="100">
        <f t="shared" si="55"/>
        <v>0</v>
      </c>
      <c r="AE110" s="100">
        <f t="shared" si="56"/>
        <v>0</v>
      </c>
      <c r="AF110" s="194">
        <f t="shared" si="73"/>
        <v>0</v>
      </c>
      <c r="AG110" s="194">
        <f t="shared" si="74"/>
        <v>0</v>
      </c>
      <c r="AH110" s="194">
        <f t="shared" si="75"/>
        <v>0</v>
      </c>
      <c r="AI110" s="199">
        <f t="shared" si="76"/>
        <v>0</v>
      </c>
      <c r="AK110" s="71">
        <v>105</v>
      </c>
      <c r="AL110" s="33">
        <f t="shared" si="57"/>
        <v>0</v>
      </c>
      <c r="AM110" s="33">
        <f t="shared" si="58"/>
        <v>0</v>
      </c>
      <c r="AN110" s="33">
        <f t="shared" si="59"/>
        <v>0</v>
      </c>
      <c r="AO110" s="33">
        <f t="shared" si="60"/>
        <v>0</v>
      </c>
      <c r="AP110" s="33">
        <f t="shared" si="61"/>
        <v>0</v>
      </c>
      <c r="AQ110" s="194">
        <f t="shared" si="79"/>
        <v>0</v>
      </c>
      <c r="AR110" s="194">
        <f t="shared" si="79"/>
        <v>0</v>
      </c>
      <c r="AS110" s="194">
        <f t="shared" si="79"/>
        <v>0</v>
      </c>
      <c r="AT110" s="194">
        <f t="shared" si="78"/>
        <v>0</v>
      </c>
      <c r="AU110" s="33"/>
      <c r="AV110" s="33"/>
      <c r="AW110" s="33"/>
      <c r="AX110" s="33"/>
      <c r="AY110" s="76"/>
    </row>
    <row r="111" spans="2:51" x14ac:dyDescent="0.3">
      <c r="C111" s="138" t="s">
        <v>169</v>
      </c>
      <c r="D111" s="138"/>
      <c r="E111" s="138"/>
      <c r="I111" s="55">
        <v>106</v>
      </c>
      <c r="J111" s="33">
        <f t="shared" si="64"/>
        <v>0</v>
      </c>
      <c r="K111" s="33">
        <f t="shared" si="65"/>
        <v>0</v>
      </c>
      <c r="L111" s="33">
        <f t="shared" si="66"/>
        <v>0</v>
      </c>
      <c r="M111" s="33">
        <f t="shared" si="67"/>
        <v>0</v>
      </c>
      <c r="N111" s="33">
        <f t="shared" si="48"/>
        <v>0</v>
      </c>
      <c r="O111" s="34">
        <f t="shared" si="49"/>
        <v>0</v>
      </c>
      <c r="P111" s="55">
        <v>106</v>
      </c>
      <c r="Q111" s="33">
        <f t="shared" si="62"/>
        <v>0</v>
      </c>
      <c r="R111" s="33">
        <f t="shared" si="68"/>
        <v>0</v>
      </c>
      <c r="S111" s="33">
        <f t="shared" si="69"/>
        <v>0</v>
      </c>
      <c r="T111" s="33">
        <f t="shared" si="50"/>
        <v>0</v>
      </c>
      <c r="U111" s="33">
        <f t="shared" si="63"/>
        <v>0</v>
      </c>
      <c r="V111" s="33">
        <f t="shared" si="51"/>
        <v>0</v>
      </c>
      <c r="W111" s="33">
        <v>0</v>
      </c>
      <c r="X111" s="33">
        <f t="shared" si="52"/>
        <v>0</v>
      </c>
      <c r="Y111" s="38">
        <f t="shared" si="53"/>
        <v>0</v>
      </c>
      <c r="AA111" s="71">
        <v>106</v>
      </c>
      <c r="AB111" s="33">
        <f t="shared" si="54"/>
        <v>0</v>
      </c>
      <c r="AC111" s="305">
        <f t="shared" si="77"/>
        <v>0</v>
      </c>
      <c r="AD111" s="100">
        <f t="shared" si="55"/>
        <v>0</v>
      </c>
      <c r="AE111" s="100">
        <f t="shared" si="56"/>
        <v>0</v>
      </c>
      <c r="AF111" s="194">
        <f t="shared" si="73"/>
        <v>0</v>
      </c>
      <c r="AG111" s="194">
        <f t="shared" si="74"/>
        <v>0</v>
      </c>
      <c r="AH111" s="194">
        <f t="shared" si="75"/>
        <v>0</v>
      </c>
      <c r="AI111" s="199">
        <f t="shared" si="76"/>
        <v>0</v>
      </c>
      <c r="AK111" s="71">
        <v>106</v>
      </c>
      <c r="AL111" s="33">
        <f t="shared" si="57"/>
        <v>0</v>
      </c>
      <c r="AM111" s="33">
        <f t="shared" si="58"/>
        <v>0</v>
      </c>
      <c r="AN111" s="33">
        <f t="shared" si="59"/>
        <v>0</v>
      </c>
      <c r="AO111" s="33">
        <f t="shared" si="60"/>
        <v>0</v>
      </c>
      <c r="AP111" s="33">
        <f t="shared" si="61"/>
        <v>0</v>
      </c>
      <c r="AQ111" s="194">
        <f t="shared" si="79"/>
        <v>0</v>
      </c>
      <c r="AR111" s="194">
        <f t="shared" si="79"/>
        <v>0</v>
      </c>
      <c r="AS111" s="194">
        <f t="shared" si="79"/>
        <v>0</v>
      </c>
      <c r="AT111" s="194">
        <f t="shared" si="78"/>
        <v>0</v>
      </c>
      <c r="AU111" s="33"/>
      <c r="AV111" s="33"/>
      <c r="AW111" s="33"/>
      <c r="AX111" s="33"/>
      <c r="AY111" s="76"/>
    </row>
    <row r="112" spans="2:51" x14ac:dyDescent="0.3">
      <c r="C112" s="74" t="s">
        <v>145</v>
      </c>
      <c r="D112" s="74" t="s">
        <v>72</v>
      </c>
      <c r="E112" s="74" t="s">
        <v>166</v>
      </c>
      <c r="I112" s="55">
        <v>107</v>
      </c>
      <c r="J112" s="33">
        <f t="shared" si="64"/>
        <v>0</v>
      </c>
      <c r="K112" s="33">
        <f t="shared" si="65"/>
        <v>0</v>
      </c>
      <c r="L112" s="33">
        <f t="shared" si="66"/>
        <v>0</v>
      </c>
      <c r="M112" s="33">
        <f t="shared" si="67"/>
        <v>0</v>
      </c>
      <c r="N112" s="33">
        <f t="shared" si="48"/>
        <v>0</v>
      </c>
      <c r="O112" s="34">
        <f t="shared" si="49"/>
        <v>0</v>
      </c>
      <c r="P112" s="55">
        <v>107</v>
      </c>
      <c r="Q112" s="33">
        <f t="shared" si="62"/>
        <v>0</v>
      </c>
      <c r="R112" s="33">
        <f t="shared" si="68"/>
        <v>0</v>
      </c>
      <c r="S112" s="33">
        <f t="shared" si="69"/>
        <v>0</v>
      </c>
      <c r="T112" s="33">
        <f t="shared" si="50"/>
        <v>0</v>
      </c>
      <c r="U112" s="33">
        <f t="shared" si="63"/>
        <v>0</v>
      </c>
      <c r="V112" s="33">
        <f t="shared" si="51"/>
        <v>0</v>
      </c>
      <c r="W112" s="33">
        <v>0</v>
      </c>
      <c r="X112" s="33">
        <f t="shared" si="52"/>
        <v>0</v>
      </c>
      <c r="Y112" s="38">
        <f t="shared" si="53"/>
        <v>0</v>
      </c>
      <c r="AA112" s="71">
        <v>107</v>
      </c>
      <c r="AB112" s="33">
        <f t="shared" si="54"/>
        <v>0</v>
      </c>
      <c r="AC112" s="305">
        <f t="shared" si="77"/>
        <v>0</v>
      </c>
      <c r="AD112" s="100">
        <f t="shared" si="55"/>
        <v>0</v>
      </c>
      <c r="AE112" s="100">
        <f t="shared" si="56"/>
        <v>0</v>
      </c>
      <c r="AF112" s="194">
        <f t="shared" si="73"/>
        <v>0</v>
      </c>
      <c r="AG112" s="194">
        <f t="shared" si="74"/>
        <v>0</v>
      </c>
      <c r="AH112" s="194">
        <f t="shared" si="75"/>
        <v>0</v>
      </c>
      <c r="AI112" s="199">
        <f t="shared" si="76"/>
        <v>0</v>
      </c>
      <c r="AK112" s="71">
        <v>107</v>
      </c>
      <c r="AL112" s="33">
        <f t="shared" si="57"/>
        <v>0</v>
      </c>
      <c r="AM112" s="33">
        <f t="shared" si="58"/>
        <v>0</v>
      </c>
      <c r="AN112" s="33">
        <f t="shared" si="59"/>
        <v>0</v>
      </c>
      <c r="AO112" s="33">
        <f t="shared" si="60"/>
        <v>0</v>
      </c>
      <c r="AP112" s="33">
        <f t="shared" si="61"/>
        <v>0</v>
      </c>
      <c r="AQ112" s="194">
        <f t="shared" si="79"/>
        <v>0</v>
      </c>
      <c r="AR112" s="194">
        <f t="shared" si="79"/>
        <v>0</v>
      </c>
      <c r="AS112" s="194">
        <f t="shared" si="79"/>
        <v>0</v>
      </c>
      <c r="AT112" s="194">
        <f t="shared" si="78"/>
        <v>0</v>
      </c>
      <c r="AU112" s="33"/>
      <c r="AV112" s="33"/>
      <c r="AW112" s="33"/>
      <c r="AX112" s="33"/>
      <c r="AY112" s="76"/>
    </row>
    <row r="113" spans="2:51" x14ac:dyDescent="0.3">
      <c r="B113" s="67" t="s">
        <v>167</v>
      </c>
      <c r="C113" s="79" t="e">
        <f>1/$F$18*SUM(X6:X205)</f>
        <v>#DIV/0!</v>
      </c>
      <c r="D113" s="79" t="e">
        <f>1/$F$10*SUM(O6:O205)</f>
        <v>#DIV/0!</v>
      </c>
      <c r="E113" s="78" t="e">
        <f>C113-D113</f>
        <v>#DIV/0!</v>
      </c>
      <c r="I113" s="55">
        <v>108</v>
      </c>
      <c r="J113" s="33">
        <f t="shared" si="64"/>
        <v>0</v>
      </c>
      <c r="K113" s="33">
        <f t="shared" si="65"/>
        <v>0</v>
      </c>
      <c r="L113" s="33">
        <f t="shared" si="66"/>
        <v>0</v>
      </c>
      <c r="M113" s="33">
        <f t="shared" si="67"/>
        <v>0</v>
      </c>
      <c r="N113" s="33">
        <f t="shared" si="48"/>
        <v>0</v>
      </c>
      <c r="O113" s="34">
        <f t="shared" si="49"/>
        <v>0</v>
      </c>
      <c r="P113" s="55">
        <v>108</v>
      </c>
      <c r="Q113" s="33">
        <f t="shared" si="62"/>
        <v>0</v>
      </c>
      <c r="R113" s="33">
        <f t="shared" si="68"/>
        <v>0</v>
      </c>
      <c r="S113" s="33">
        <f t="shared" si="69"/>
        <v>0</v>
      </c>
      <c r="T113" s="33">
        <f t="shared" si="50"/>
        <v>0</v>
      </c>
      <c r="U113" s="33">
        <f t="shared" si="63"/>
        <v>0</v>
      </c>
      <c r="V113" s="33">
        <f t="shared" si="51"/>
        <v>0</v>
      </c>
      <c r="W113" s="33">
        <v>0</v>
      </c>
      <c r="X113" s="33">
        <f t="shared" si="52"/>
        <v>0</v>
      </c>
      <c r="Y113" s="38">
        <f t="shared" si="53"/>
        <v>0</v>
      </c>
      <c r="AA113" s="71">
        <v>108</v>
      </c>
      <c r="AB113" s="33">
        <f t="shared" si="54"/>
        <v>0</v>
      </c>
      <c r="AC113" s="305">
        <f t="shared" si="77"/>
        <v>0</v>
      </c>
      <c r="AD113" s="100">
        <f t="shared" si="55"/>
        <v>0</v>
      </c>
      <c r="AE113" s="100">
        <f t="shared" si="56"/>
        <v>0</v>
      </c>
      <c r="AF113" s="194">
        <f t="shared" si="73"/>
        <v>0</v>
      </c>
      <c r="AG113" s="194">
        <f t="shared" si="74"/>
        <v>0</v>
      </c>
      <c r="AH113" s="194">
        <f t="shared" si="75"/>
        <v>0</v>
      </c>
      <c r="AI113" s="199">
        <f t="shared" si="76"/>
        <v>0</v>
      </c>
      <c r="AK113" s="71">
        <v>108</v>
      </c>
      <c r="AL113" s="33">
        <f t="shared" si="57"/>
        <v>0</v>
      </c>
      <c r="AM113" s="33">
        <f t="shared" si="58"/>
        <v>0</v>
      </c>
      <c r="AN113" s="33">
        <f t="shared" si="59"/>
        <v>0</v>
      </c>
      <c r="AO113" s="33">
        <f t="shared" si="60"/>
        <v>0</v>
      </c>
      <c r="AP113" s="33">
        <f t="shared" si="61"/>
        <v>0</v>
      </c>
      <c r="AQ113" s="194">
        <f t="shared" si="79"/>
        <v>0</v>
      </c>
      <c r="AR113" s="194">
        <f t="shared" si="79"/>
        <v>0</v>
      </c>
      <c r="AS113" s="194">
        <f t="shared" si="79"/>
        <v>0</v>
      </c>
      <c r="AT113" s="194">
        <f t="shared" si="78"/>
        <v>0</v>
      </c>
      <c r="AU113" s="33"/>
      <c r="AV113" s="33"/>
      <c r="AW113" s="33"/>
      <c r="AX113" s="33"/>
      <c r="AY113" s="76"/>
    </row>
    <row r="114" spans="2:51" x14ac:dyDescent="0.3">
      <c r="B114" s="67" t="s">
        <v>168</v>
      </c>
      <c r="C114" s="79">
        <f>X35</f>
        <v>0</v>
      </c>
      <c r="D114" s="79">
        <f>O35</f>
        <v>0</v>
      </c>
      <c r="E114" s="78">
        <f>VLOOKUP(30,I5:Y205,17,FALSE)</f>
        <v>0</v>
      </c>
      <c r="I114" s="55">
        <v>109</v>
      </c>
      <c r="J114" s="33">
        <f t="shared" si="64"/>
        <v>0</v>
      </c>
      <c r="K114" s="33">
        <f t="shared" si="65"/>
        <v>0</v>
      </c>
      <c r="L114" s="33">
        <f t="shared" si="66"/>
        <v>0</v>
      </c>
      <c r="M114" s="33">
        <f t="shared" si="67"/>
        <v>0</v>
      </c>
      <c r="N114" s="33">
        <f t="shared" si="48"/>
        <v>0</v>
      </c>
      <c r="O114" s="34">
        <f t="shared" si="49"/>
        <v>0</v>
      </c>
      <c r="P114" s="55">
        <v>109</v>
      </c>
      <c r="Q114" s="33">
        <f t="shared" si="62"/>
        <v>0</v>
      </c>
      <c r="R114" s="33">
        <f t="shared" si="68"/>
        <v>0</v>
      </c>
      <c r="S114" s="33">
        <f t="shared" si="69"/>
        <v>0</v>
      </c>
      <c r="T114" s="33">
        <f t="shared" si="50"/>
        <v>0</v>
      </c>
      <c r="U114" s="33">
        <f t="shared" si="63"/>
        <v>0</v>
      </c>
      <c r="V114" s="33">
        <f t="shared" si="51"/>
        <v>0</v>
      </c>
      <c r="W114" s="33">
        <v>0</v>
      </c>
      <c r="X114" s="33">
        <f t="shared" si="52"/>
        <v>0</v>
      </c>
      <c r="Y114" s="38">
        <f t="shared" si="53"/>
        <v>0</v>
      </c>
      <c r="AA114" s="71">
        <v>109</v>
      </c>
      <c r="AB114" s="33">
        <f t="shared" si="54"/>
        <v>0</v>
      </c>
      <c r="AC114" s="305">
        <f t="shared" si="77"/>
        <v>0</v>
      </c>
      <c r="AD114" s="100">
        <f t="shared" si="55"/>
        <v>0</v>
      </c>
      <c r="AE114" s="100">
        <f t="shared" si="56"/>
        <v>0</v>
      </c>
      <c r="AF114" s="194">
        <f t="shared" si="73"/>
        <v>0</v>
      </c>
      <c r="AG114" s="194">
        <f t="shared" si="74"/>
        <v>0</v>
      </c>
      <c r="AH114" s="194">
        <f t="shared" si="75"/>
        <v>0</v>
      </c>
      <c r="AI114" s="199">
        <f t="shared" si="76"/>
        <v>0</v>
      </c>
      <c r="AK114" s="71">
        <v>109</v>
      </c>
      <c r="AL114" s="33">
        <f t="shared" si="57"/>
        <v>0</v>
      </c>
      <c r="AM114" s="33">
        <f t="shared" si="58"/>
        <v>0</v>
      </c>
      <c r="AN114" s="33">
        <f t="shared" si="59"/>
        <v>0</v>
      </c>
      <c r="AO114" s="33">
        <f t="shared" si="60"/>
        <v>0</v>
      </c>
      <c r="AP114" s="33">
        <f t="shared" si="61"/>
        <v>0</v>
      </c>
      <c r="AQ114" s="194">
        <f t="shared" si="79"/>
        <v>0</v>
      </c>
      <c r="AR114" s="194">
        <f t="shared" si="79"/>
        <v>0</v>
      </c>
      <c r="AS114" s="194">
        <f t="shared" si="79"/>
        <v>0</v>
      </c>
      <c r="AT114" s="194">
        <f t="shared" si="78"/>
        <v>0</v>
      </c>
      <c r="AU114" s="33"/>
      <c r="AV114" s="33"/>
      <c r="AW114" s="33"/>
      <c r="AX114" s="33"/>
      <c r="AY114" s="76"/>
    </row>
    <row r="115" spans="2:51" x14ac:dyDescent="0.3">
      <c r="C115" s="80"/>
      <c r="D115" s="80"/>
      <c r="E115" s="80"/>
      <c r="I115" s="55">
        <v>110</v>
      </c>
      <c r="J115" s="33">
        <f t="shared" si="64"/>
        <v>0</v>
      </c>
      <c r="K115" s="33">
        <f t="shared" si="65"/>
        <v>0</v>
      </c>
      <c r="L115" s="33">
        <f t="shared" si="66"/>
        <v>0</v>
      </c>
      <c r="M115" s="33">
        <f t="shared" si="67"/>
        <v>0</v>
      </c>
      <c r="N115" s="33">
        <f t="shared" si="48"/>
        <v>0</v>
      </c>
      <c r="O115" s="34">
        <f t="shared" si="49"/>
        <v>0</v>
      </c>
      <c r="P115" s="55">
        <v>110</v>
      </c>
      <c r="Q115" s="33">
        <f t="shared" si="62"/>
        <v>0</v>
      </c>
      <c r="R115" s="33">
        <f t="shared" si="68"/>
        <v>0</v>
      </c>
      <c r="S115" s="33">
        <f t="shared" si="69"/>
        <v>0</v>
      </c>
      <c r="T115" s="33">
        <f t="shared" si="50"/>
        <v>0</v>
      </c>
      <c r="U115" s="33">
        <f t="shared" si="63"/>
        <v>0</v>
      </c>
      <c r="V115" s="33">
        <f t="shared" si="51"/>
        <v>0</v>
      </c>
      <c r="W115" s="33">
        <v>0</v>
      </c>
      <c r="X115" s="33">
        <f t="shared" si="52"/>
        <v>0</v>
      </c>
      <c r="Y115" s="38">
        <f t="shared" si="53"/>
        <v>0</v>
      </c>
      <c r="AA115" s="71">
        <v>110</v>
      </c>
      <c r="AB115" s="33">
        <f t="shared" si="54"/>
        <v>0</v>
      </c>
      <c r="AC115" s="305">
        <f t="shared" si="77"/>
        <v>0</v>
      </c>
      <c r="AD115" s="100">
        <f t="shared" si="55"/>
        <v>0</v>
      </c>
      <c r="AE115" s="100">
        <f t="shared" si="56"/>
        <v>0</v>
      </c>
      <c r="AF115" s="194">
        <f t="shared" si="73"/>
        <v>0</v>
      </c>
      <c r="AG115" s="194">
        <f t="shared" si="74"/>
        <v>0</v>
      </c>
      <c r="AH115" s="194">
        <f t="shared" si="75"/>
        <v>0</v>
      </c>
      <c r="AI115" s="199">
        <f t="shared" si="76"/>
        <v>0</v>
      </c>
      <c r="AK115" s="71">
        <v>110</v>
      </c>
      <c r="AL115" s="33">
        <f t="shared" si="57"/>
        <v>0</v>
      </c>
      <c r="AM115" s="33">
        <f t="shared" si="58"/>
        <v>0</v>
      </c>
      <c r="AN115" s="33">
        <f t="shared" si="59"/>
        <v>0</v>
      </c>
      <c r="AO115" s="33">
        <f t="shared" si="60"/>
        <v>0</v>
      </c>
      <c r="AP115" s="33">
        <f t="shared" si="61"/>
        <v>0</v>
      </c>
      <c r="AQ115" s="194">
        <f t="shared" si="79"/>
        <v>0</v>
      </c>
      <c r="AR115" s="194">
        <f t="shared" si="79"/>
        <v>0</v>
      </c>
      <c r="AS115" s="194">
        <f t="shared" si="79"/>
        <v>0</v>
      </c>
      <c r="AT115" s="194">
        <f t="shared" si="78"/>
        <v>0</v>
      </c>
      <c r="AU115" s="33"/>
      <c r="AV115" s="33"/>
      <c r="AW115" s="33"/>
      <c r="AX115" s="33"/>
      <c r="AY115" s="76"/>
    </row>
    <row r="116" spans="2:51" x14ac:dyDescent="0.3">
      <c r="C116" s="135" t="s">
        <v>125</v>
      </c>
      <c r="D116" s="135"/>
      <c r="E116" s="135"/>
      <c r="I116" s="55">
        <v>111</v>
      </c>
      <c r="J116" s="33">
        <f t="shared" si="64"/>
        <v>0</v>
      </c>
      <c r="K116" s="33">
        <f t="shared" si="65"/>
        <v>0</v>
      </c>
      <c r="L116" s="33">
        <f t="shared" si="66"/>
        <v>0</v>
      </c>
      <c r="M116" s="33">
        <f t="shared" si="67"/>
        <v>0</v>
      </c>
      <c r="N116" s="33">
        <f t="shared" si="48"/>
        <v>0</v>
      </c>
      <c r="O116" s="34">
        <f t="shared" si="49"/>
        <v>0</v>
      </c>
      <c r="P116" s="55">
        <v>111</v>
      </c>
      <c r="Q116" s="33">
        <f t="shared" si="62"/>
        <v>0</v>
      </c>
      <c r="R116" s="33">
        <f t="shared" si="68"/>
        <v>0</v>
      </c>
      <c r="S116" s="33">
        <f t="shared" si="69"/>
        <v>0</v>
      </c>
      <c r="T116" s="33">
        <f t="shared" si="50"/>
        <v>0</v>
      </c>
      <c r="U116" s="33">
        <f t="shared" si="63"/>
        <v>0</v>
      </c>
      <c r="V116" s="33">
        <f t="shared" si="51"/>
        <v>0</v>
      </c>
      <c r="W116" s="33">
        <v>0</v>
      </c>
      <c r="X116" s="33">
        <f t="shared" si="52"/>
        <v>0</v>
      </c>
      <c r="Y116" s="38">
        <f t="shared" si="53"/>
        <v>0</v>
      </c>
      <c r="AA116" s="71">
        <v>111</v>
      </c>
      <c r="AB116" s="33">
        <f t="shared" si="54"/>
        <v>0</v>
      </c>
      <c r="AC116" s="305">
        <f t="shared" si="77"/>
        <v>0</v>
      </c>
      <c r="AD116" s="100">
        <f t="shared" si="55"/>
        <v>0</v>
      </c>
      <c r="AE116" s="100">
        <f t="shared" si="56"/>
        <v>0</v>
      </c>
      <c r="AF116" s="194">
        <f t="shared" si="73"/>
        <v>0</v>
      </c>
      <c r="AG116" s="194">
        <f t="shared" si="74"/>
        <v>0</v>
      </c>
      <c r="AH116" s="194">
        <f t="shared" si="75"/>
        <v>0</v>
      </c>
      <c r="AI116" s="199">
        <f t="shared" si="76"/>
        <v>0</v>
      </c>
      <c r="AK116" s="71">
        <v>111</v>
      </c>
      <c r="AL116" s="33">
        <f t="shared" si="57"/>
        <v>0</v>
      </c>
      <c r="AM116" s="33">
        <f t="shared" si="58"/>
        <v>0</v>
      </c>
      <c r="AN116" s="33">
        <f t="shared" si="59"/>
        <v>0</v>
      </c>
      <c r="AO116" s="33">
        <f t="shared" si="60"/>
        <v>0</v>
      </c>
      <c r="AP116" s="33">
        <f t="shared" si="61"/>
        <v>0</v>
      </c>
      <c r="AQ116" s="194">
        <f t="shared" si="79"/>
        <v>0</v>
      </c>
      <c r="AR116" s="194">
        <f t="shared" si="79"/>
        <v>0</v>
      </c>
      <c r="AS116" s="194">
        <f t="shared" si="79"/>
        <v>0</v>
      </c>
      <c r="AT116" s="194">
        <f t="shared" si="78"/>
        <v>0</v>
      </c>
      <c r="AU116" s="33"/>
      <c r="AV116" s="33"/>
      <c r="AW116" s="33"/>
      <c r="AX116" s="33"/>
      <c r="AY116" s="76"/>
    </row>
    <row r="117" spans="2:51" x14ac:dyDescent="0.3">
      <c r="C117" s="135" t="s">
        <v>145</v>
      </c>
      <c r="D117" s="135" t="s">
        <v>72</v>
      </c>
      <c r="E117" s="81" t="s">
        <v>166</v>
      </c>
      <c r="I117" s="55">
        <v>112</v>
      </c>
      <c r="J117" s="33">
        <f t="shared" si="64"/>
        <v>0</v>
      </c>
      <c r="K117" s="33">
        <f t="shared" si="65"/>
        <v>0</v>
      </c>
      <c r="L117" s="33">
        <f t="shared" si="66"/>
        <v>0</v>
      </c>
      <c r="M117" s="33">
        <f t="shared" si="67"/>
        <v>0</v>
      </c>
      <c r="N117" s="33">
        <f t="shared" si="48"/>
        <v>0</v>
      </c>
      <c r="O117" s="34">
        <f t="shared" si="49"/>
        <v>0</v>
      </c>
      <c r="P117" s="55">
        <v>112</v>
      </c>
      <c r="Q117" s="33">
        <f t="shared" si="62"/>
        <v>0</v>
      </c>
      <c r="R117" s="33">
        <f t="shared" si="68"/>
        <v>0</v>
      </c>
      <c r="S117" s="33">
        <f t="shared" si="69"/>
        <v>0</v>
      </c>
      <c r="T117" s="33">
        <f t="shared" si="50"/>
        <v>0</v>
      </c>
      <c r="U117" s="33">
        <f t="shared" si="63"/>
        <v>0</v>
      </c>
      <c r="V117" s="33">
        <f t="shared" si="51"/>
        <v>0</v>
      </c>
      <c r="W117" s="33">
        <v>0</v>
      </c>
      <c r="X117" s="33">
        <f t="shared" si="52"/>
        <v>0</v>
      </c>
      <c r="Y117" s="38">
        <f t="shared" si="53"/>
        <v>0</v>
      </c>
      <c r="AA117" s="71">
        <v>112</v>
      </c>
      <c r="AB117" s="33">
        <f t="shared" si="54"/>
        <v>0</v>
      </c>
      <c r="AC117" s="305">
        <f t="shared" si="77"/>
        <v>0</v>
      </c>
      <c r="AD117" s="100">
        <f t="shared" si="55"/>
        <v>0</v>
      </c>
      <c r="AE117" s="100">
        <f t="shared" si="56"/>
        <v>0</v>
      </c>
      <c r="AF117" s="194">
        <f t="shared" si="73"/>
        <v>0</v>
      </c>
      <c r="AG117" s="194">
        <f t="shared" si="74"/>
        <v>0</v>
      </c>
      <c r="AH117" s="194">
        <f t="shared" si="75"/>
        <v>0</v>
      </c>
      <c r="AI117" s="199">
        <f t="shared" si="76"/>
        <v>0</v>
      </c>
      <c r="AK117" s="71">
        <v>112</v>
      </c>
      <c r="AL117" s="33">
        <f t="shared" si="57"/>
        <v>0</v>
      </c>
      <c r="AM117" s="33">
        <f t="shared" si="58"/>
        <v>0</v>
      </c>
      <c r="AN117" s="33">
        <f t="shared" si="59"/>
        <v>0</v>
      </c>
      <c r="AO117" s="33">
        <f t="shared" si="60"/>
        <v>0</v>
      </c>
      <c r="AP117" s="33">
        <f t="shared" si="61"/>
        <v>0</v>
      </c>
      <c r="AQ117" s="194">
        <f t="shared" si="79"/>
        <v>0</v>
      </c>
      <c r="AR117" s="194">
        <f t="shared" si="79"/>
        <v>0</v>
      </c>
      <c r="AS117" s="194">
        <f t="shared" si="79"/>
        <v>0</v>
      </c>
      <c r="AT117" s="194">
        <f t="shared" si="78"/>
        <v>0</v>
      </c>
      <c r="AU117" s="33"/>
      <c r="AV117" s="33"/>
      <c r="AW117" s="33"/>
      <c r="AX117" s="33"/>
      <c r="AY117" s="76"/>
    </row>
    <row r="118" spans="2:51" x14ac:dyDescent="0.3">
      <c r="B118" s="67" t="s">
        <v>261</v>
      </c>
      <c r="C118" s="303">
        <f>1/30*SUM(AI6:AI35)</f>
        <v>0</v>
      </c>
      <c r="D118" s="79">
        <v>0</v>
      </c>
      <c r="E118" s="78">
        <f>C118-D118</f>
        <v>0</v>
      </c>
      <c r="I118" s="55">
        <v>113</v>
      </c>
      <c r="J118" s="33">
        <f t="shared" si="64"/>
        <v>0</v>
      </c>
      <c r="K118" s="33">
        <f t="shared" si="65"/>
        <v>0</v>
      </c>
      <c r="L118" s="33">
        <f t="shared" si="66"/>
        <v>0</v>
      </c>
      <c r="M118" s="33">
        <f t="shared" si="67"/>
        <v>0</v>
      </c>
      <c r="N118" s="33">
        <f t="shared" si="48"/>
        <v>0</v>
      </c>
      <c r="O118" s="34">
        <f t="shared" si="49"/>
        <v>0</v>
      </c>
      <c r="P118" s="55">
        <v>113</v>
      </c>
      <c r="Q118" s="33">
        <f t="shared" si="62"/>
        <v>0</v>
      </c>
      <c r="R118" s="33">
        <f t="shared" si="68"/>
        <v>0</v>
      </c>
      <c r="S118" s="33">
        <f t="shared" si="69"/>
        <v>0</v>
      </c>
      <c r="T118" s="33">
        <f t="shared" si="50"/>
        <v>0</v>
      </c>
      <c r="U118" s="33">
        <f t="shared" si="63"/>
        <v>0</v>
      </c>
      <c r="V118" s="33">
        <f t="shared" si="51"/>
        <v>0</v>
      </c>
      <c r="W118" s="33">
        <v>0</v>
      </c>
      <c r="X118" s="33">
        <f t="shared" si="52"/>
        <v>0</v>
      </c>
      <c r="Y118" s="38">
        <f t="shared" si="53"/>
        <v>0</v>
      </c>
      <c r="AA118" s="71">
        <v>113</v>
      </c>
      <c r="AB118" s="33">
        <f t="shared" si="54"/>
        <v>0</v>
      </c>
      <c r="AC118" s="305">
        <f t="shared" si="77"/>
        <v>0</v>
      </c>
      <c r="AD118" s="100">
        <f t="shared" si="55"/>
        <v>0</v>
      </c>
      <c r="AE118" s="100">
        <f t="shared" si="56"/>
        <v>0</v>
      </c>
      <c r="AF118" s="194">
        <f t="shared" si="73"/>
        <v>0</v>
      </c>
      <c r="AG118" s="194">
        <f t="shared" si="74"/>
        <v>0</v>
      </c>
      <c r="AH118" s="194">
        <f t="shared" si="75"/>
        <v>0</v>
      </c>
      <c r="AI118" s="199">
        <f t="shared" si="76"/>
        <v>0</v>
      </c>
      <c r="AK118" s="71">
        <v>113</v>
      </c>
      <c r="AL118" s="33">
        <f t="shared" si="57"/>
        <v>0</v>
      </c>
      <c r="AM118" s="33">
        <f t="shared" si="58"/>
        <v>0</v>
      </c>
      <c r="AN118" s="33">
        <f t="shared" si="59"/>
        <v>0</v>
      </c>
      <c r="AO118" s="33">
        <f t="shared" si="60"/>
        <v>0</v>
      </c>
      <c r="AP118" s="33">
        <f t="shared" si="61"/>
        <v>0</v>
      </c>
      <c r="AQ118" s="194">
        <f t="shared" si="79"/>
        <v>0</v>
      </c>
      <c r="AR118" s="194">
        <f t="shared" si="79"/>
        <v>0</v>
      </c>
      <c r="AS118" s="194">
        <f t="shared" si="79"/>
        <v>0</v>
      </c>
      <c r="AT118" s="194">
        <f t="shared" si="78"/>
        <v>0</v>
      </c>
      <c r="AU118" s="33"/>
      <c r="AV118" s="33"/>
      <c r="AW118" s="33"/>
      <c r="AX118" s="33"/>
      <c r="AY118" s="76"/>
    </row>
    <row r="119" spans="2:51" x14ac:dyDescent="0.3">
      <c r="B119" s="67"/>
      <c r="C119" s="82"/>
      <c r="D119" s="79"/>
      <c r="E119" s="78"/>
      <c r="I119" s="55">
        <v>114</v>
      </c>
      <c r="J119" s="33">
        <f t="shared" si="64"/>
        <v>0</v>
      </c>
      <c r="K119" s="33">
        <f t="shared" si="65"/>
        <v>0</v>
      </c>
      <c r="L119" s="33">
        <f t="shared" si="66"/>
        <v>0</v>
      </c>
      <c r="M119" s="33">
        <f t="shared" si="67"/>
        <v>0</v>
      </c>
      <c r="N119" s="33">
        <f t="shared" si="48"/>
        <v>0</v>
      </c>
      <c r="O119" s="34">
        <f t="shared" si="49"/>
        <v>0</v>
      </c>
      <c r="P119" s="55">
        <v>114</v>
      </c>
      <c r="Q119" s="33">
        <f t="shared" si="62"/>
        <v>0</v>
      </c>
      <c r="R119" s="33">
        <f t="shared" si="68"/>
        <v>0</v>
      </c>
      <c r="S119" s="33">
        <f t="shared" si="69"/>
        <v>0</v>
      </c>
      <c r="T119" s="33">
        <f t="shared" si="50"/>
        <v>0</v>
      </c>
      <c r="U119" s="33">
        <f t="shared" si="63"/>
        <v>0</v>
      </c>
      <c r="V119" s="33">
        <f t="shared" si="51"/>
        <v>0</v>
      </c>
      <c r="W119" s="33">
        <v>0</v>
      </c>
      <c r="X119" s="33">
        <f t="shared" si="52"/>
        <v>0</v>
      </c>
      <c r="Y119" s="38">
        <f t="shared" si="53"/>
        <v>0</v>
      </c>
      <c r="AA119" s="71">
        <v>114</v>
      </c>
      <c r="AB119" s="33">
        <f t="shared" si="54"/>
        <v>0</v>
      </c>
      <c r="AC119" s="305">
        <f t="shared" si="77"/>
        <v>0</v>
      </c>
      <c r="AD119" s="100">
        <f t="shared" si="55"/>
        <v>0</v>
      </c>
      <c r="AE119" s="100">
        <f t="shared" si="56"/>
        <v>0</v>
      </c>
      <c r="AF119" s="194">
        <f t="shared" si="73"/>
        <v>0</v>
      </c>
      <c r="AG119" s="194">
        <f t="shared" si="74"/>
        <v>0</v>
      </c>
      <c r="AH119" s="194">
        <f t="shared" si="75"/>
        <v>0</v>
      </c>
      <c r="AI119" s="199">
        <f t="shared" si="76"/>
        <v>0</v>
      </c>
      <c r="AK119" s="71">
        <v>114</v>
      </c>
      <c r="AL119" s="33">
        <f t="shared" si="57"/>
        <v>0</v>
      </c>
      <c r="AM119" s="33">
        <f t="shared" si="58"/>
        <v>0</v>
      </c>
      <c r="AN119" s="33">
        <f t="shared" si="59"/>
        <v>0</v>
      </c>
      <c r="AO119" s="33">
        <f t="shared" si="60"/>
        <v>0</v>
      </c>
      <c r="AP119" s="33">
        <f t="shared" si="61"/>
        <v>0</v>
      </c>
      <c r="AQ119" s="194">
        <f t="shared" si="79"/>
        <v>0</v>
      </c>
      <c r="AR119" s="194">
        <f t="shared" si="79"/>
        <v>0</v>
      </c>
      <c r="AS119" s="194">
        <f t="shared" si="79"/>
        <v>0</v>
      </c>
      <c r="AT119" s="194">
        <f t="shared" si="78"/>
        <v>0</v>
      </c>
      <c r="AU119" s="33"/>
      <c r="AV119" s="33"/>
      <c r="AW119" s="33"/>
      <c r="AX119" s="33"/>
      <c r="AY119" s="76"/>
    </row>
    <row r="120" spans="2:51" x14ac:dyDescent="0.3">
      <c r="C120" s="80"/>
      <c r="D120" s="80"/>
      <c r="E120" s="83"/>
      <c r="I120" s="55">
        <v>115</v>
      </c>
      <c r="J120" s="33">
        <f t="shared" si="64"/>
        <v>0</v>
      </c>
      <c r="K120" s="33">
        <f t="shared" si="65"/>
        <v>0</v>
      </c>
      <c r="L120" s="33">
        <f t="shared" si="66"/>
        <v>0</v>
      </c>
      <c r="M120" s="33">
        <f t="shared" si="67"/>
        <v>0</v>
      </c>
      <c r="N120" s="33">
        <f t="shared" si="48"/>
        <v>0</v>
      </c>
      <c r="O120" s="34">
        <f t="shared" si="49"/>
        <v>0</v>
      </c>
      <c r="P120" s="55">
        <v>115</v>
      </c>
      <c r="Q120" s="33">
        <f t="shared" si="62"/>
        <v>0</v>
      </c>
      <c r="R120" s="33">
        <f t="shared" si="68"/>
        <v>0</v>
      </c>
      <c r="S120" s="33">
        <f t="shared" si="69"/>
        <v>0</v>
      </c>
      <c r="T120" s="33">
        <f t="shared" si="50"/>
        <v>0</v>
      </c>
      <c r="U120" s="33">
        <f t="shared" si="63"/>
        <v>0</v>
      </c>
      <c r="V120" s="33">
        <f t="shared" si="51"/>
        <v>0</v>
      </c>
      <c r="W120" s="33">
        <v>0</v>
      </c>
      <c r="X120" s="33">
        <f t="shared" si="52"/>
        <v>0</v>
      </c>
      <c r="Y120" s="38">
        <f t="shared" si="53"/>
        <v>0</v>
      </c>
      <c r="AA120" s="71">
        <v>115</v>
      </c>
      <c r="AB120" s="33">
        <f t="shared" si="54"/>
        <v>0</v>
      </c>
      <c r="AC120" s="305">
        <f t="shared" si="77"/>
        <v>0</v>
      </c>
      <c r="AD120" s="100">
        <f t="shared" si="55"/>
        <v>0</v>
      </c>
      <c r="AE120" s="100">
        <f t="shared" si="56"/>
        <v>0</v>
      </c>
      <c r="AF120" s="194">
        <f t="shared" si="73"/>
        <v>0</v>
      </c>
      <c r="AG120" s="194">
        <f t="shared" si="74"/>
        <v>0</v>
      </c>
      <c r="AH120" s="194">
        <f t="shared" si="75"/>
        <v>0</v>
      </c>
      <c r="AI120" s="199">
        <f t="shared" si="76"/>
        <v>0</v>
      </c>
      <c r="AK120" s="71">
        <v>115</v>
      </c>
      <c r="AL120" s="33">
        <f t="shared" si="57"/>
        <v>0</v>
      </c>
      <c r="AM120" s="33">
        <f t="shared" si="58"/>
        <v>0</v>
      </c>
      <c r="AN120" s="33">
        <f t="shared" si="59"/>
        <v>0</v>
      </c>
      <c r="AO120" s="33">
        <f t="shared" si="60"/>
        <v>0</v>
      </c>
      <c r="AP120" s="33">
        <f t="shared" si="61"/>
        <v>0</v>
      </c>
      <c r="AQ120" s="194">
        <f t="shared" si="79"/>
        <v>0</v>
      </c>
      <c r="AR120" s="194">
        <f t="shared" si="79"/>
        <v>0</v>
      </c>
      <c r="AS120" s="194">
        <f t="shared" si="79"/>
        <v>0</v>
      </c>
      <c r="AT120" s="194">
        <f t="shared" si="78"/>
        <v>0</v>
      </c>
      <c r="AU120" s="33"/>
      <c r="AV120" s="33"/>
      <c r="AW120" s="33"/>
      <c r="AX120" s="33"/>
      <c r="AY120" s="76"/>
    </row>
    <row r="121" spans="2:51" x14ac:dyDescent="0.3">
      <c r="C121" s="135" t="s">
        <v>160</v>
      </c>
      <c r="D121" s="135"/>
      <c r="E121" s="135"/>
      <c r="I121" s="55">
        <v>116</v>
      </c>
      <c r="J121" s="33">
        <f t="shared" si="64"/>
        <v>0</v>
      </c>
      <c r="K121" s="33">
        <f t="shared" si="65"/>
        <v>0</v>
      </c>
      <c r="L121" s="33">
        <f t="shared" si="66"/>
        <v>0</v>
      </c>
      <c r="M121" s="33">
        <f t="shared" si="67"/>
        <v>0</v>
      </c>
      <c r="N121" s="33">
        <f t="shared" si="48"/>
        <v>0</v>
      </c>
      <c r="O121" s="34">
        <f t="shared" si="49"/>
        <v>0</v>
      </c>
      <c r="P121" s="55">
        <v>116</v>
      </c>
      <c r="Q121" s="33">
        <f t="shared" si="62"/>
        <v>0</v>
      </c>
      <c r="R121" s="33">
        <f t="shared" si="68"/>
        <v>0</v>
      </c>
      <c r="S121" s="33">
        <f t="shared" si="69"/>
        <v>0</v>
      </c>
      <c r="T121" s="33">
        <f t="shared" si="50"/>
        <v>0</v>
      </c>
      <c r="U121" s="33">
        <f t="shared" si="63"/>
        <v>0</v>
      </c>
      <c r="V121" s="33">
        <f t="shared" si="51"/>
        <v>0</v>
      </c>
      <c r="W121" s="33">
        <v>0</v>
      </c>
      <c r="X121" s="33">
        <f t="shared" si="52"/>
        <v>0</v>
      </c>
      <c r="Y121" s="38">
        <f t="shared" si="53"/>
        <v>0</v>
      </c>
      <c r="AA121" s="71">
        <v>116</v>
      </c>
      <c r="AB121" s="33">
        <f t="shared" si="54"/>
        <v>0</v>
      </c>
      <c r="AC121" s="305">
        <f t="shared" si="77"/>
        <v>0</v>
      </c>
      <c r="AD121" s="100">
        <f t="shared" si="55"/>
        <v>0</v>
      </c>
      <c r="AE121" s="100">
        <f t="shared" si="56"/>
        <v>0</v>
      </c>
      <c r="AF121" s="194">
        <f t="shared" si="73"/>
        <v>0</v>
      </c>
      <c r="AG121" s="194">
        <f t="shared" si="74"/>
        <v>0</v>
      </c>
      <c r="AH121" s="194">
        <f t="shared" si="75"/>
        <v>0</v>
      </c>
      <c r="AI121" s="199">
        <f t="shared" si="76"/>
        <v>0</v>
      </c>
      <c r="AK121" s="71">
        <v>116</v>
      </c>
      <c r="AL121" s="33">
        <f t="shared" si="57"/>
        <v>0</v>
      </c>
      <c r="AM121" s="33">
        <f t="shared" si="58"/>
        <v>0</v>
      </c>
      <c r="AN121" s="33">
        <f t="shared" si="59"/>
        <v>0</v>
      </c>
      <c r="AO121" s="33">
        <f t="shared" si="60"/>
        <v>0</v>
      </c>
      <c r="AP121" s="33">
        <f t="shared" si="61"/>
        <v>0</v>
      </c>
      <c r="AQ121" s="194">
        <f t="shared" si="79"/>
        <v>0</v>
      </c>
      <c r="AR121" s="194">
        <f t="shared" si="79"/>
        <v>0</v>
      </c>
      <c r="AS121" s="194">
        <f t="shared" si="79"/>
        <v>0</v>
      </c>
      <c r="AT121" s="194">
        <f t="shared" si="78"/>
        <v>0</v>
      </c>
      <c r="AU121" s="33"/>
      <c r="AV121" s="33"/>
      <c r="AW121" s="33"/>
      <c r="AX121" s="33"/>
      <c r="AY121" s="76"/>
    </row>
    <row r="122" spans="2:51" x14ac:dyDescent="0.3">
      <c r="C122" s="135" t="s">
        <v>145</v>
      </c>
      <c r="D122" s="135" t="s">
        <v>72</v>
      </c>
      <c r="E122" s="81" t="s">
        <v>166</v>
      </c>
      <c r="I122" s="55">
        <v>117</v>
      </c>
      <c r="J122" s="33">
        <f t="shared" si="64"/>
        <v>0</v>
      </c>
      <c r="K122" s="33">
        <f t="shared" si="65"/>
        <v>0</v>
      </c>
      <c r="L122" s="33">
        <f t="shared" si="66"/>
        <v>0</v>
      </c>
      <c r="M122" s="33">
        <f t="shared" si="67"/>
        <v>0</v>
      </c>
      <c r="N122" s="33">
        <f t="shared" si="48"/>
        <v>0</v>
      </c>
      <c r="O122" s="34">
        <f t="shared" si="49"/>
        <v>0</v>
      </c>
      <c r="P122" s="55">
        <v>117</v>
      </c>
      <c r="Q122" s="33">
        <f t="shared" si="62"/>
        <v>0</v>
      </c>
      <c r="R122" s="33">
        <f t="shared" si="68"/>
        <v>0</v>
      </c>
      <c r="S122" s="33">
        <f t="shared" si="69"/>
        <v>0</v>
      </c>
      <c r="T122" s="33">
        <f t="shared" si="50"/>
        <v>0</v>
      </c>
      <c r="U122" s="33">
        <f t="shared" si="63"/>
        <v>0</v>
      </c>
      <c r="V122" s="33">
        <f t="shared" si="51"/>
        <v>0</v>
      </c>
      <c r="W122" s="33">
        <v>0</v>
      </c>
      <c r="X122" s="33">
        <f t="shared" si="52"/>
        <v>0</v>
      </c>
      <c r="Y122" s="38">
        <f t="shared" si="53"/>
        <v>0</v>
      </c>
      <c r="AA122" s="71">
        <v>117</v>
      </c>
      <c r="AB122" s="33">
        <f t="shared" si="54"/>
        <v>0</v>
      </c>
      <c r="AC122" s="305">
        <f t="shared" si="77"/>
        <v>0</v>
      </c>
      <c r="AD122" s="100">
        <f t="shared" si="55"/>
        <v>0</v>
      </c>
      <c r="AE122" s="100">
        <f t="shared" si="56"/>
        <v>0</v>
      </c>
      <c r="AF122" s="194">
        <f t="shared" si="73"/>
        <v>0</v>
      </c>
      <c r="AG122" s="194">
        <f t="shared" si="74"/>
        <v>0</v>
      </c>
      <c r="AH122" s="194">
        <f t="shared" si="75"/>
        <v>0</v>
      </c>
      <c r="AI122" s="199">
        <f t="shared" si="76"/>
        <v>0</v>
      </c>
      <c r="AK122" s="71">
        <v>117</v>
      </c>
      <c r="AL122" s="33">
        <f t="shared" si="57"/>
        <v>0</v>
      </c>
      <c r="AM122" s="33">
        <f t="shared" si="58"/>
        <v>0</v>
      </c>
      <c r="AN122" s="33">
        <f t="shared" si="59"/>
        <v>0</v>
      </c>
      <c r="AO122" s="33">
        <f t="shared" si="60"/>
        <v>0</v>
      </c>
      <c r="AP122" s="33">
        <f t="shared" si="61"/>
        <v>0</v>
      </c>
      <c r="AQ122" s="194">
        <f t="shared" si="79"/>
        <v>0</v>
      </c>
      <c r="AR122" s="194">
        <f t="shared" si="79"/>
        <v>0</v>
      </c>
      <c r="AS122" s="194">
        <f t="shared" si="79"/>
        <v>0</v>
      </c>
      <c r="AT122" s="194">
        <f t="shared" si="78"/>
        <v>0</v>
      </c>
      <c r="AU122" s="33"/>
      <c r="AV122" s="33"/>
      <c r="AW122" s="33"/>
      <c r="AX122" s="33"/>
      <c r="AY122" s="76"/>
    </row>
    <row r="123" spans="2:51" x14ac:dyDescent="0.3">
      <c r="B123" s="67" t="s">
        <v>168</v>
      </c>
      <c r="C123" s="82">
        <f>AY35</f>
        <v>0</v>
      </c>
      <c r="D123" s="304">
        <f>IF(AND(D8=B100,F12=C194),J34*50%*G107,0)</f>
        <v>0</v>
      </c>
      <c r="E123" s="78">
        <f>C123-D123</f>
        <v>0</v>
      </c>
      <c r="I123" s="55">
        <v>118</v>
      </c>
      <c r="J123" s="33">
        <f t="shared" si="64"/>
        <v>0</v>
      </c>
      <c r="K123" s="33">
        <f t="shared" si="65"/>
        <v>0</v>
      </c>
      <c r="L123" s="33">
        <f t="shared" si="66"/>
        <v>0</v>
      </c>
      <c r="M123" s="33">
        <f t="shared" si="67"/>
        <v>0</v>
      </c>
      <c r="N123" s="33">
        <f t="shared" si="48"/>
        <v>0</v>
      </c>
      <c r="O123" s="34">
        <f t="shared" si="49"/>
        <v>0</v>
      </c>
      <c r="P123" s="55">
        <v>118</v>
      </c>
      <c r="Q123" s="33">
        <f t="shared" si="62"/>
        <v>0</v>
      </c>
      <c r="R123" s="33">
        <f t="shared" si="68"/>
        <v>0</v>
      </c>
      <c r="S123" s="33">
        <f t="shared" si="69"/>
        <v>0</v>
      </c>
      <c r="T123" s="33">
        <f t="shared" si="50"/>
        <v>0</v>
      </c>
      <c r="U123" s="33">
        <f t="shared" si="63"/>
        <v>0</v>
      </c>
      <c r="V123" s="33">
        <f t="shared" si="51"/>
        <v>0</v>
      </c>
      <c r="W123" s="33">
        <v>0</v>
      </c>
      <c r="X123" s="33">
        <f t="shared" si="52"/>
        <v>0</v>
      </c>
      <c r="Y123" s="38">
        <f t="shared" si="53"/>
        <v>0</v>
      </c>
      <c r="AA123" s="71">
        <v>118</v>
      </c>
      <c r="AB123" s="33">
        <f t="shared" si="54"/>
        <v>0</v>
      </c>
      <c r="AC123" s="305">
        <f t="shared" si="77"/>
        <v>0</v>
      </c>
      <c r="AD123" s="100">
        <f t="shared" si="55"/>
        <v>0</v>
      </c>
      <c r="AE123" s="100">
        <f t="shared" si="56"/>
        <v>0</v>
      </c>
      <c r="AF123" s="194">
        <f t="shared" si="73"/>
        <v>0</v>
      </c>
      <c r="AG123" s="194">
        <f t="shared" si="74"/>
        <v>0</v>
      </c>
      <c r="AH123" s="194">
        <f t="shared" si="75"/>
        <v>0</v>
      </c>
      <c r="AI123" s="199">
        <f t="shared" si="76"/>
        <v>0</v>
      </c>
      <c r="AK123" s="71">
        <v>118</v>
      </c>
      <c r="AL123" s="33">
        <f t="shared" si="57"/>
        <v>0</v>
      </c>
      <c r="AM123" s="33">
        <f t="shared" si="58"/>
        <v>0</v>
      </c>
      <c r="AN123" s="33">
        <f t="shared" si="59"/>
        <v>0</v>
      </c>
      <c r="AO123" s="33">
        <f t="shared" si="60"/>
        <v>0</v>
      </c>
      <c r="AP123" s="33">
        <f t="shared" si="61"/>
        <v>0</v>
      </c>
      <c r="AQ123" s="194">
        <f t="shared" si="79"/>
        <v>0</v>
      </c>
      <c r="AR123" s="194">
        <f t="shared" si="79"/>
        <v>0</v>
      </c>
      <c r="AS123" s="194">
        <f t="shared" si="79"/>
        <v>0</v>
      </c>
      <c r="AT123" s="194">
        <f t="shared" si="78"/>
        <v>0</v>
      </c>
      <c r="AU123" s="33"/>
      <c r="AV123" s="33"/>
      <c r="AW123" s="33"/>
      <c r="AX123" s="33"/>
      <c r="AY123" s="76"/>
    </row>
    <row r="124" spans="2:51" x14ac:dyDescent="0.3">
      <c r="I124" s="55">
        <v>119</v>
      </c>
      <c r="J124" s="33">
        <f t="shared" si="64"/>
        <v>0</v>
      </c>
      <c r="K124" s="33">
        <f t="shared" si="65"/>
        <v>0</v>
      </c>
      <c r="L124" s="33">
        <f t="shared" si="66"/>
        <v>0</v>
      </c>
      <c r="M124" s="33">
        <f t="shared" si="67"/>
        <v>0</v>
      </c>
      <c r="N124" s="33">
        <f t="shared" si="48"/>
        <v>0</v>
      </c>
      <c r="O124" s="34">
        <f t="shared" si="49"/>
        <v>0</v>
      </c>
      <c r="P124" s="55">
        <v>119</v>
      </c>
      <c r="Q124" s="33">
        <f t="shared" si="62"/>
        <v>0</v>
      </c>
      <c r="R124" s="33">
        <f t="shared" si="68"/>
        <v>0</v>
      </c>
      <c r="S124" s="33">
        <f t="shared" si="69"/>
        <v>0</v>
      </c>
      <c r="T124" s="33">
        <f t="shared" si="50"/>
        <v>0</v>
      </c>
      <c r="U124" s="33">
        <f t="shared" si="63"/>
        <v>0</v>
      </c>
      <c r="V124" s="33">
        <f t="shared" si="51"/>
        <v>0</v>
      </c>
      <c r="W124" s="33">
        <v>0</v>
      </c>
      <c r="X124" s="33">
        <f t="shared" si="52"/>
        <v>0</v>
      </c>
      <c r="Y124" s="38">
        <f t="shared" si="53"/>
        <v>0</v>
      </c>
      <c r="AA124" s="71">
        <v>119</v>
      </c>
      <c r="AB124" s="33">
        <f t="shared" si="54"/>
        <v>0</v>
      </c>
      <c r="AC124" s="305">
        <f t="shared" si="77"/>
        <v>0</v>
      </c>
      <c r="AD124" s="100">
        <f t="shared" si="55"/>
        <v>0</v>
      </c>
      <c r="AE124" s="100">
        <f t="shared" si="56"/>
        <v>0</v>
      </c>
      <c r="AF124" s="194">
        <f t="shared" si="73"/>
        <v>0</v>
      </c>
      <c r="AG124" s="194">
        <f t="shared" si="74"/>
        <v>0</v>
      </c>
      <c r="AH124" s="194">
        <f t="shared" si="75"/>
        <v>0</v>
      </c>
      <c r="AI124" s="199">
        <f t="shared" si="76"/>
        <v>0</v>
      </c>
      <c r="AK124" s="71">
        <v>119</v>
      </c>
      <c r="AL124" s="33">
        <f t="shared" si="57"/>
        <v>0</v>
      </c>
      <c r="AM124" s="33">
        <f t="shared" si="58"/>
        <v>0</v>
      </c>
      <c r="AN124" s="33">
        <f t="shared" si="59"/>
        <v>0</v>
      </c>
      <c r="AO124" s="33">
        <f t="shared" si="60"/>
        <v>0</v>
      </c>
      <c r="AP124" s="33">
        <f t="shared" si="61"/>
        <v>0</v>
      </c>
      <c r="AQ124" s="194">
        <f t="shared" si="79"/>
        <v>0</v>
      </c>
      <c r="AR124" s="194">
        <f t="shared" si="79"/>
        <v>0</v>
      </c>
      <c r="AS124" s="194">
        <f t="shared" si="79"/>
        <v>0</v>
      </c>
      <c r="AT124" s="194">
        <f t="shared" si="78"/>
        <v>0</v>
      </c>
      <c r="AU124" s="33"/>
      <c r="AV124" s="33"/>
      <c r="AW124" s="33"/>
      <c r="AX124" s="33"/>
      <c r="AY124" s="76"/>
    </row>
    <row r="125" spans="2:51" x14ac:dyDescent="0.3">
      <c r="C125" s="80"/>
      <c r="D125" s="80"/>
      <c r="E125" s="83"/>
      <c r="I125" s="55">
        <v>120</v>
      </c>
      <c r="J125" s="33">
        <f t="shared" si="64"/>
        <v>0</v>
      </c>
      <c r="K125" s="33">
        <f t="shared" si="65"/>
        <v>0</v>
      </c>
      <c r="L125" s="33">
        <f t="shared" si="66"/>
        <v>0</v>
      </c>
      <c r="M125" s="33">
        <f t="shared" si="67"/>
        <v>0</v>
      </c>
      <c r="N125" s="33">
        <f t="shared" si="48"/>
        <v>0</v>
      </c>
      <c r="O125" s="34">
        <f t="shared" si="49"/>
        <v>0</v>
      </c>
      <c r="P125" s="55">
        <v>120</v>
      </c>
      <c r="Q125" s="33">
        <f t="shared" si="62"/>
        <v>0</v>
      </c>
      <c r="R125" s="33">
        <f t="shared" si="68"/>
        <v>0</v>
      </c>
      <c r="S125" s="33">
        <f t="shared" si="69"/>
        <v>0</v>
      </c>
      <c r="T125" s="33">
        <f t="shared" si="50"/>
        <v>0</v>
      </c>
      <c r="U125" s="33">
        <f t="shared" si="63"/>
        <v>0</v>
      </c>
      <c r="V125" s="33">
        <f t="shared" si="51"/>
        <v>0</v>
      </c>
      <c r="W125" s="33">
        <v>0</v>
      </c>
      <c r="X125" s="33">
        <f t="shared" si="52"/>
        <v>0</v>
      </c>
      <c r="Y125" s="38">
        <f t="shared" si="53"/>
        <v>0</v>
      </c>
      <c r="AA125" s="71">
        <v>120</v>
      </c>
      <c r="AB125" s="33">
        <f t="shared" si="54"/>
        <v>0</v>
      </c>
      <c r="AC125" s="305">
        <f t="shared" si="77"/>
        <v>0</v>
      </c>
      <c r="AD125" s="100">
        <f t="shared" si="55"/>
        <v>0</v>
      </c>
      <c r="AE125" s="100">
        <f t="shared" si="56"/>
        <v>0</v>
      </c>
      <c r="AF125" s="194">
        <f t="shared" si="73"/>
        <v>0</v>
      </c>
      <c r="AG125" s="194">
        <f t="shared" si="74"/>
        <v>0</v>
      </c>
      <c r="AH125" s="194">
        <f t="shared" si="75"/>
        <v>0</v>
      </c>
      <c r="AI125" s="199">
        <f t="shared" si="76"/>
        <v>0</v>
      </c>
      <c r="AK125" s="71">
        <v>120</v>
      </c>
      <c r="AL125" s="33">
        <f t="shared" si="57"/>
        <v>0</v>
      </c>
      <c r="AM125" s="33">
        <f t="shared" si="58"/>
        <v>0</v>
      </c>
      <c r="AN125" s="33">
        <f t="shared" si="59"/>
        <v>0</v>
      </c>
      <c r="AO125" s="33">
        <f t="shared" si="60"/>
        <v>0</v>
      </c>
      <c r="AP125" s="33">
        <f t="shared" si="61"/>
        <v>0</v>
      </c>
      <c r="AQ125" s="194">
        <f t="shared" si="79"/>
        <v>0</v>
      </c>
      <c r="AR125" s="194">
        <f t="shared" si="79"/>
        <v>0</v>
      </c>
      <c r="AS125" s="194">
        <f t="shared" si="79"/>
        <v>0</v>
      </c>
      <c r="AT125" s="194">
        <f t="shared" si="78"/>
        <v>0</v>
      </c>
      <c r="AU125" s="33"/>
      <c r="AV125" s="33"/>
      <c r="AW125" s="33"/>
      <c r="AX125" s="33"/>
      <c r="AY125" s="76"/>
    </row>
    <row r="126" spans="2:51" x14ac:dyDescent="0.3">
      <c r="C126" s="84" t="s">
        <v>129</v>
      </c>
      <c r="D126" s="84" t="s">
        <v>130</v>
      </c>
      <c r="E126" s="84" t="s">
        <v>160</v>
      </c>
      <c r="F126" s="138" t="s">
        <v>170</v>
      </c>
      <c r="I126" s="55">
        <v>121</v>
      </c>
      <c r="J126" s="33">
        <f t="shared" si="64"/>
        <v>0</v>
      </c>
      <c r="K126" s="33">
        <f t="shared" si="65"/>
        <v>0</v>
      </c>
      <c r="L126" s="33">
        <f t="shared" si="66"/>
        <v>0</v>
      </c>
      <c r="M126" s="33">
        <f t="shared" si="67"/>
        <v>0</v>
      </c>
      <c r="N126" s="33">
        <f t="shared" si="48"/>
        <v>0</v>
      </c>
      <c r="O126" s="34">
        <f t="shared" si="49"/>
        <v>0</v>
      </c>
      <c r="P126" s="55">
        <v>121</v>
      </c>
      <c r="Q126" s="33">
        <f t="shared" si="62"/>
        <v>0</v>
      </c>
      <c r="R126" s="33">
        <f t="shared" si="68"/>
        <v>0</v>
      </c>
      <c r="S126" s="33">
        <f t="shared" si="69"/>
        <v>0</v>
      </c>
      <c r="T126" s="33">
        <f t="shared" si="50"/>
        <v>0</v>
      </c>
      <c r="U126" s="33">
        <f t="shared" si="63"/>
        <v>0</v>
      </c>
      <c r="V126" s="33">
        <f t="shared" si="51"/>
        <v>0</v>
      </c>
      <c r="W126" s="33">
        <v>0</v>
      </c>
      <c r="X126" s="33">
        <f t="shared" si="52"/>
        <v>0</v>
      </c>
      <c r="Y126" s="38">
        <f t="shared" si="53"/>
        <v>0</v>
      </c>
      <c r="AA126" s="71">
        <v>121</v>
      </c>
      <c r="AB126" s="33">
        <f t="shared" si="54"/>
        <v>0</v>
      </c>
      <c r="AC126" s="305">
        <f t="shared" si="77"/>
        <v>0</v>
      </c>
      <c r="AD126" s="100">
        <f t="shared" si="55"/>
        <v>0</v>
      </c>
      <c r="AE126" s="100">
        <f t="shared" si="56"/>
        <v>0</v>
      </c>
      <c r="AF126" s="194">
        <f t="shared" si="73"/>
        <v>0</v>
      </c>
      <c r="AG126" s="194">
        <f t="shared" si="74"/>
        <v>0</v>
      </c>
      <c r="AH126" s="194">
        <f t="shared" si="75"/>
        <v>0</v>
      </c>
      <c r="AI126" s="199">
        <f t="shared" si="76"/>
        <v>0</v>
      </c>
      <c r="AK126" s="71">
        <v>121</v>
      </c>
      <c r="AL126" s="33">
        <f t="shared" si="57"/>
        <v>0</v>
      </c>
      <c r="AM126" s="33">
        <f t="shared" si="58"/>
        <v>0</v>
      </c>
      <c r="AN126" s="33">
        <f t="shared" si="59"/>
        <v>0</v>
      </c>
      <c r="AO126" s="33">
        <f t="shared" si="60"/>
        <v>0</v>
      </c>
      <c r="AP126" s="33">
        <f t="shared" si="61"/>
        <v>0</v>
      </c>
      <c r="AQ126" s="194">
        <f t="shared" si="79"/>
        <v>0</v>
      </c>
      <c r="AR126" s="194">
        <f t="shared" si="79"/>
        <v>0</v>
      </c>
      <c r="AS126" s="194">
        <f t="shared" si="79"/>
        <v>0</v>
      </c>
      <c r="AT126" s="194">
        <f t="shared" si="78"/>
        <v>0</v>
      </c>
      <c r="AU126" s="33"/>
      <c r="AV126" s="33"/>
      <c r="AW126" s="33"/>
      <c r="AX126" s="33"/>
      <c r="AY126" s="76"/>
    </row>
    <row r="127" spans="2:51" x14ac:dyDescent="0.3">
      <c r="C127" s="82" t="e">
        <f>IF(F18&gt;30,MIN(E113:E114),E113)</f>
        <v>#DIV/0!</v>
      </c>
      <c r="D127" s="82">
        <f>MIN(E118:E119)</f>
        <v>0</v>
      </c>
      <c r="E127" s="85">
        <f>E123</f>
        <v>0</v>
      </c>
      <c r="F127" s="86" t="e">
        <f>SUM(C127:E127)</f>
        <v>#DIV/0!</v>
      </c>
      <c r="I127" s="55">
        <v>122</v>
      </c>
      <c r="J127" s="33">
        <f t="shared" si="64"/>
        <v>0</v>
      </c>
      <c r="K127" s="33">
        <f t="shared" si="65"/>
        <v>0</v>
      </c>
      <c r="L127" s="33">
        <f t="shared" si="66"/>
        <v>0</v>
      </c>
      <c r="M127" s="33">
        <f t="shared" si="67"/>
        <v>0</v>
      </c>
      <c r="N127" s="33">
        <f t="shared" si="48"/>
        <v>0</v>
      </c>
      <c r="O127" s="34">
        <f t="shared" si="49"/>
        <v>0</v>
      </c>
      <c r="P127" s="55">
        <v>122</v>
      </c>
      <c r="Q127" s="33">
        <f t="shared" si="62"/>
        <v>0</v>
      </c>
      <c r="R127" s="33">
        <f t="shared" si="68"/>
        <v>0</v>
      </c>
      <c r="S127" s="33">
        <f t="shared" si="69"/>
        <v>0</v>
      </c>
      <c r="T127" s="33">
        <f t="shared" si="50"/>
        <v>0</v>
      </c>
      <c r="U127" s="33">
        <f t="shared" si="63"/>
        <v>0</v>
      </c>
      <c r="V127" s="33">
        <f t="shared" si="51"/>
        <v>0</v>
      </c>
      <c r="W127" s="33">
        <v>0</v>
      </c>
      <c r="X127" s="33">
        <f t="shared" si="52"/>
        <v>0</v>
      </c>
      <c r="Y127" s="38">
        <f t="shared" si="53"/>
        <v>0</v>
      </c>
      <c r="AA127" s="71">
        <v>122</v>
      </c>
      <c r="AB127" s="33">
        <f t="shared" si="54"/>
        <v>0</v>
      </c>
      <c r="AC127" s="305">
        <f t="shared" si="77"/>
        <v>0</v>
      </c>
      <c r="AD127" s="100">
        <f t="shared" si="55"/>
        <v>0</v>
      </c>
      <c r="AE127" s="100">
        <f t="shared" si="56"/>
        <v>0</v>
      </c>
      <c r="AF127" s="194">
        <f t="shared" si="73"/>
        <v>0</v>
      </c>
      <c r="AG127" s="194">
        <f t="shared" si="74"/>
        <v>0</v>
      </c>
      <c r="AH127" s="194">
        <f t="shared" si="75"/>
        <v>0</v>
      </c>
      <c r="AI127" s="199">
        <f t="shared" si="76"/>
        <v>0</v>
      </c>
      <c r="AK127" s="71">
        <v>122</v>
      </c>
      <c r="AL127" s="33">
        <f t="shared" si="57"/>
        <v>0</v>
      </c>
      <c r="AM127" s="33">
        <f t="shared" si="58"/>
        <v>0</v>
      </c>
      <c r="AN127" s="33">
        <f t="shared" si="59"/>
        <v>0</v>
      </c>
      <c r="AO127" s="33">
        <f t="shared" si="60"/>
        <v>0</v>
      </c>
      <c r="AP127" s="33">
        <f t="shared" si="61"/>
        <v>0</v>
      </c>
      <c r="AQ127" s="194">
        <f t="shared" si="79"/>
        <v>0</v>
      </c>
      <c r="AR127" s="194">
        <f t="shared" si="79"/>
        <v>0</v>
      </c>
      <c r="AS127" s="194">
        <f t="shared" si="79"/>
        <v>0</v>
      </c>
      <c r="AT127" s="194">
        <f t="shared" si="78"/>
        <v>0</v>
      </c>
      <c r="AU127" s="33"/>
      <c r="AV127" s="33"/>
      <c r="AW127" s="33"/>
      <c r="AX127" s="33"/>
      <c r="AY127" s="76"/>
    </row>
    <row r="128" spans="2:51" x14ac:dyDescent="0.3">
      <c r="E128" s="24"/>
      <c r="I128" s="55">
        <v>123</v>
      </c>
      <c r="J128" s="33">
        <f t="shared" si="64"/>
        <v>0</v>
      </c>
      <c r="K128" s="33">
        <f t="shared" si="65"/>
        <v>0</v>
      </c>
      <c r="L128" s="33">
        <f t="shared" si="66"/>
        <v>0</v>
      </c>
      <c r="M128" s="33">
        <f t="shared" si="67"/>
        <v>0</v>
      </c>
      <c r="N128" s="33">
        <f t="shared" si="48"/>
        <v>0</v>
      </c>
      <c r="O128" s="34">
        <f t="shared" si="49"/>
        <v>0</v>
      </c>
      <c r="P128" s="55">
        <v>123</v>
      </c>
      <c r="Q128" s="33">
        <f t="shared" si="62"/>
        <v>0</v>
      </c>
      <c r="R128" s="33">
        <f t="shared" si="68"/>
        <v>0</v>
      </c>
      <c r="S128" s="33">
        <f t="shared" si="69"/>
        <v>0</v>
      </c>
      <c r="T128" s="33">
        <f t="shared" si="50"/>
        <v>0</v>
      </c>
      <c r="U128" s="33">
        <f t="shared" si="63"/>
        <v>0</v>
      </c>
      <c r="V128" s="33">
        <f t="shared" si="51"/>
        <v>0</v>
      </c>
      <c r="W128" s="33">
        <v>0</v>
      </c>
      <c r="X128" s="33">
        <f t="shared" si="52"/>
        <v>0</v>
      </c>
      <c r="Y128" s="38">
        <f t="shared" si="53"/>
        <v>0</v>
      </c>
      <c r="AA128" s="71">
        <v>123</v>
      </c>
      <c r="AB128" s="33">
        <f t="shared" si="54"/>
        <v>0</v>
      </c>
      <c r="AC128" s="305">
        <f t="shared" si="77"/>
        <v>0</v>
      </c>
      <c r="AD128" s="100">
        <f t="shared" si="55"/>
        <v>0</v>
      </c>
      <c r="AE128" s="100">
        <f t="shared" si="56"/>
        <v>0</v>
      </c>
      <c r="AF128" s="194">
        <f t="shared" si="73"/>
        <v>0</v>
      </c>
      <c r="AG128" s="194">
        <f t="shared" si="74"/>
        <v>0</v>
      </c>
      <c r="AH128" s="194">
        <f t="shared" si="75"/>
        <v>0</v>
      </c>
      <c r="AI128" s="199">
        <f t="shared" si="76"/>
        <v>0</v>
      </c>
      <c r="AK128" s="71">
        <v>123</v>
      </c>
      <c r="AL128" s="33">
        <f t="shared" si="57"/>
        <v>0</v>
      </c>
      <c r="AM128" s="33">
        <f t="shared" si="58"/>
        <v>0</v>
      </c>
      <c r="AN128" s="33">
        <f t="shared" si="59"/>
        <v>0</v>
      </c>
      <c r="AO128" s="33">
        <f t="shared" si="60"/>
        <v>0</v>
      </c>
      <c r="AP128" s="33">
        <f t="shared" si="61"/>
        <v>0</v>
      </c>
      <c r="AQ128" s="194">
        <f t="shared" si="79"/>
        <v>0</v>
      </c>
      <c r="AR128" s="194">
        <f t="shared" si="79"/>
        <v>0</v>
      </c>
      <c r="AS128" s="194">
        <f t="shared" si="79"/>
        <v>0</v>
      </c>
      <c r="AT128" s="194">
        <f t="shared" si="78"/>
        <v>0</v>
      </c>
      <c r="AU128" s="33"/>
      <c r="AV128" s="33"/>
      <c r="AW128" s="33"/>
      <c r="AX128" s="33"/>
      <c r="AY128" s="76"/>
    </row>
    <row r="129" spans="3:51" x14ac:dyDescent="0.3">
      <c r="E129" s="24"/>
      <c r="I129" s="55">
        <v>124</v>
      </c>
      <c r="J129" s="33">
        <f t="shared" si="64"/>
        <v>0</v>
      </c>
      <c r="K129" s="33">
        <f t="shared" si="65"/>
        <v>0</v>
      </c>
      <c r="L129" s="33">
        <f t="shared" si="66"/>
        <v>0</v>
      </c>
      <c r="M129" s="33">
        <f t="shared" si="67"/>
        <v>0</v>
      </c>
      <c r="N129" s="33">
        <f t="shared" si="48"/>
        <v>0</v>
      </c>
      <c r="O129" s="34">
        <f t="shared" si="49"/>
        <v>0</v>
      </c>
      <c r="P129" s="55">
        <v>124</v>
      </c>
      <c r="Q129" s="33">
        <f t="shared" si="62"/>
        <v>0</v>
      </c>
      <c r="R129" s="33">
        <f t="shared" si="68"/>
        <v>0</v>
      </c>
      <c r="S129" s="33">
        <f t="shared" si="69"/>
        <v>0</v>
      </c>
      <c r="T129" s="33">
        <f t="shared" si="50"/>
        <v>0</v>
      </c>
      <c r="U129" s="33">
        <f t="shared" si="63"/>
        <v>0</v>
      </c>
      <c r="V129" s="33">
        <f t="shared" si="51"/>
        <v>0</v>
      </c>
      <c r="W129" s="33">
        <v>0</v>
      </c>
      <c r="X129" s="33">
        <f t="shared" si="52"/>
        <v>0</v>
      </c>
      <c r="Y129" s="38">
        <f t="shared" si="53"/>
        <v>0</v>
      </c>
      <c r="AA129" s="71">
        <v>124</v>
      </c>
      <c r="AB129" s="33">
        <f t="shared" si="54"/>
        <v>0</v>
      </c>
      <c r="AC129" s="305">
        <f t="shared" si="77"/>
        <v>0</v>
      </c>
      <c r="AD129" s="100">
        <f t="shared" si="55"/>
        <v>0</v>
      </c>
      <c r="AE129" s="100">
        <f t="shared" si="56"/>
        <v>0</v>
      </c>
      <c r="AF129" s="194">
        <f t="shared" si="73"/>
        <v>0</v>
      </c>
      <c r="AG129" s="194">
        <f t="shared" si="74"/>
        <v>0</v>
      </c>
      <c r="AH129" s="194">
        <f t="shared" si="75"/>
        <v>0</v>
      </c>
      <c r="AI129" s="199">
        <f t="shared" si="76"/>
        <v>0</v>
      </c>
      <c r="AK129" s="71">
        <v>124</v>
      </c>
      <c r="AL129" s="33">
        <f t="shared" si="57"/>
        <v>0</v>
      </c>
      <c r="AM129" s="33">
        <f t="shared" si="58"/>
        <v>0</v>
      </c>
      <c r="AN129" s="33">
        <f t="shared" si="59"/>
        <v>0</v>
      </c>
      <c r="AO129" s="33">
        <f t="shared" si="60"/>
        <v>0</v>
      </c>
      <c r="AP129" s="33">
        <f t="shared" si="61"/>
        <v>0</v>
      </c>
      <c r="AQ129" s="194">
        <f t="shared" si="79"/>
        <v>0</v>
      </c>
      <c r="AR129" s="194">
        <f t="shared" si="79"/>
        <v>0</v>
      </c>
      <c r="AS129" s="194">
        <f t="shared" si="79"/>
        <v>0</v>
      </c>
      <c r="AT129" s="194">
        <f t="shared" si="78"/>
        <v>0</v>
      </c>
      <c r="AU129" s="33"/>
      <c r="AV129" s="33"/>
      <c r="AW129" s="33"/>
      <c r="AX129" s="33"/>
      <c r="AY129" s="76"/>
    </row>
    <row r="130" spans="3:51" ht="41.4" x14ac:dyDescent="0.3">
      <c r="C130" s="3" t="s">
        <v>5</v>
      </c>
      <c r="D130" s="3" t="s">
        <v>6</v>
      </c>
      <c r="E130" s="188" t="s">
        <v>227</v>
      </c>
      <c r="F130" s="343" t="s">
        <v>266</v>
      </c>
      <c r="I130" s="55">
        <v>125</v>
      </c>
      <c r="J130" s="33">
        <f t="shared" si="64"/>
        <v>0</v>
      </c>
      <c r="K130" s="33">
        <f t="shared" si="65"/>
        <v>0</v>
      </c>
      <c r="L130" s="33">
        <f t="shared" si="66"/>
        <v>0</v>
      </c>
      <c r="M130" s="33">
        <f t="shared" si="67"/>
        <v>0</v>
      </c>
      <c r="N130" s="33">
        <f t="shared" si="48"/>
        <v>0</v>
      </c>
      <c r="O130" s="34">
        <f t="shared" si="49"/>
        <v>0</v>
      </c>
      <c r="P130" s="55">
        <v>125</v>
      </c>
      <c r="Q130" s="33">
        <f t="shared" si="62"/>
        <v>0</v>
      </c>
      <c r="R130" s="33">
        <f t="shared" si="68"/>
        <v>0</v>
      </c>
      <c r="S130" s="33">
        <f t="shared" si="69"/>
        <v>0</v>
      </c>
      <c r="T130" s="33">
        <f t="shared" si="50"/>
        <v>0</v>
      </c>
      <c r="U130" s="33">
        <f t="shared" si="63"/>
        <v>0</v>
      </c>
      <c r="V130" s="33">
        <f t="shared" si="51"/>
        <v>0</v>
      </c>
      <c r="W130" s="33">
        <v>0</v>
      </c>
      <c r="X130" s="33">
        <f t="shared" si="52"/>
        <v>0</v>
      </c>
      <c r="Y130" s="38">
        <f t="shared" si="53"/>
        <v>0</v>
      </c>
      <c r="AA130" s="71">
        <v>125</v>
      </c>
      <c r="AB130" s="33">
        <f t="shared" si="54"/>
        <v>0</v>
      </c>
      <c r="AC130" s="305">
        <f t="shared" si="77"/>
        <v>0</v>
      </c>
      <c r="AD130" s="100">
        <f t="shared" si="55"/>
        <v>0</v>
      </c>
      <c r="AE130" s="100">
        <f t="shared" si="56"/>
        <v>0</v>
      </c>
      <c r="AF130" s="194">
        <f t="shared" si="73"/>
        <v>0</v>
      </c>
      <c r="AG130" s="194">
        <f t="shared" si="74"/>
        <v>0</v>
      </c>
      <c r="AH130" s="194">
        <f t="shared" si="75"/>
        <v>0</v>
      </c>
      <c r="AI130" s="199">
        <f t="shared" si="76"/>
        <v>0</v>
      </c>
      <c r="AK130" s="71">
        <v>125</v>
      </c>
      <c r="AL130" s="33">
        <f t="shared" si="57"/>
        <v>0</v>
      </c>
      <c r="AM130" s="33">
        <f t="shared" si="58"/>
        <v>0</v>
      </c>
      <c r="AN130" s="33">
        <f t="shared" si="59"/>
        <v>0</v>
      </c>
      <c r="AO130" s="33">
        <f t="shared" si="60"/>
        <v>0</v>
      </c>
      <c r="AP130" s="33">
        <f t="shared" si="61"/>
        <v>0</v>
      </c>
      <c r="AQ130" s="194">
        <f t="shared" si="79"/>
        <v>0</v>
      </c>
      <c r="AR130" s="194">
        <f t="shared" si="79"/>
        <v>0</v>
      </c>
      <c r="AS130" s="194">
        <f t="shared" si="79"/>
        <v>0</v>
      </c>
      <c r="AT130" s="194">
        <f t="shared" si="78"/>
        <v>0</v>
      </c>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64"/>
        <v>0</v>
      </c>
      <c r="K131" s="33">
        <f t="shared" si="65"/>
        <v>0</v>
      </c>
      <c r="L131" s="33">
        <f t="shared" si="66"/>
        <v>0</v>
      </c>
      <c r="M131" s="33">
        <f t="shared" si="67"/>
        <v>0</v>
      </c>
      <c r="N131" s="33">
        <f t="shared" si="48"/>
        <v>0</v>
      </c>
      <c r="O131" s="34">
        <f t="shared" si="49"/>
        <v>0</v>
      </c>
      <c r="P131" s="55">
        <v>126</v>
      </c>
      <c r="Q131" s="33">
        <f t="shared" si="62"/>
        <v>0</v>
      </c>
      <c r="R131" s="33">
        <f t="shared" si="68"/>
        <v>0</v>
      </c>
      <c r="S131" s="33">
        <f t="shared" si="69"/>
        <v>0</v>
      </c>
      <c r="T131" s="33">
        <f t="shared" si="50"/>
        <v>0</v>
      </c>
      <c r="U131" s="33">
        <f t="shared" si="63"/>
        <v>0</v>
      </c>
      <c r="V131" s="33">
        <f t="shared" si="51"/>
        <v>0</v>
      </c>
      <c r="W131" s="33">
        <v>0</v>
      </c>
      <c r="X131" s="33">
        <f t="shared" si="52"/>
        <v>0</v>
      </c>
      <c r="Y131" s="38">
        <f t="shared" si="53"/>
        <v>0</v>
      </c>
      <c r="AA131" s="71">
        <v>126</v>
      </c>
      <c r="AB131" s="33">
        <f t="shared" si="54"/>
        <v>0</v>
      </c>
      <c r="AC131" s="305">
        <f t="shared" si="77"/>
        <v>0</v>
      </c>
      <c r="AD131" s="100">
        <f t="shared" si="55"/>
        <v>0</v>
      </c>
      <c r="AE131" s="100">
        <f t="shared" si="56"/>
        <v>0</v>
      </c>
      <c r="AF131" s="194">
        <f t="shared" si="73"/>
        <v>0</v>
      </c>
      <c r="AG131" s="194">
        <f t="shared" si="74"/>
        <v>0</v>
      </c>
      <c r="AH131" s="194">
        <f t="shared" si="75"/>
        <v>0</v>
      </c>
      <c r="AI131" s="199">
        <f t="shared" si="76"/>
        <v>0</v>
      </c>
      <c r="AK131" s="71">
        <v>126</v>
      </c>
      <c r="AL131" s="33">
        <f t="shared" si="57"/>
        <v>0</v>
      </c>
      <c r="AM131" s="33">
        <f t="shared" si="58"/>
        <v>0</v>
      </c>
      <c r="AN131" s="33">
        <f t="shared" si="59"/>
        <v>0</v>
      </c>
      <c r="AO131" s="33">
        <f t="shared" si="60"/>
        <v>0</v>
      </c>
      <c r="AP131" s="33">
        <f t="shared" si="61"/>
        <v>0</v>
      </c>
      <c r="AQ131" s="194">
        <f t="shared" si="79"/>
        <v>0</v>
      </c>
      <c r="AR131" s="194">
        <f t="shared" si="79"/>
        <v>0</v>
      </c>
      <c r="AS131" s="194">
        <f t="shared" si="79"/>
        <v>0</v>
      </c>
      <c r="AT131" s="194">
        <f t="shared" si="78"/>
        <v>0</v>
      </c>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64"/>
        <v>0</v>
      </c>
      <c r="K132" s="33">
        <f t="shared" si="65"/>
        <v>0</v>
      </c>
      <c r="L132" s="33">
        <f t="shared" si="66"/>
        <v>0</v>
      </c>
      <c r="M132" s="33">
        <f t="shared" si="67"/>
        <v>0</v>
      </c>
      <c r="N132" s="33">
        <f t="shared" si="48"/>
        <v>0</v>
      </c>
      <c r="O132" s="34">
        <f t="shared" si="49"/>
        <v>0</v>
      </c>
      <c r="P132" s="55">
        <v>127</v>
      </c>
      <c r="Q132" s="33">
        <f t="shared" si="62"/>
        <v>0</v>
      </c>
      <c r="R132" s="33">
        <f t="shared" si="68"/>
        <v>0</v>
      </c>
      <c r="S132" s="33">
        <f t="shared" si="69"/>
        <v>0</v>
      </c>
      <c r="T132" s="33">
        <f t="shared" si="50"/>
        <v>0</v>
      </c>
      <c r="U132" s="33">
        <f t="shared" si="63"/>
        <v>0</v>
      </c>
      <c r="V132" s="33">
        <f t="shared" si="51"/>
        <v>0</v>
      </c>
      <c r="W132" s="33">
        <v>0</v>
      </c>
      <c r="X132" s="33">
        <f t="shared" si="52"/>
        <v>0</v>
      </c>
      <c r="Y132" s="38">
        <f t="shared" si="53"/>
        <v>0</v>
      </c>
      <c r="AA132" s="71">
        <v>127</v>
      </c>
      <c r="AB132" s="33">
        <f t="shared" si="54"/>
        <v>0</v>
      </c>
      <c r="AC132" s="305">
        <f t="shared" si="77"/>
        <v>0</v>
      </c>
      <c r="AD132" s="100">
        <f t="shared" si="55"/>
        <v>0</v>
      </c>
      <c r="AE132" s="100">
        <f t="shared" si="56"/>
        <v>0</v>
      </c>
      <c r="AF132" s="194">
        <f t="shared" si="73"/>
        <v>0</v>
      </c>
      <c r="AG132" s="194">
        <f t="shared" si="74"/>
        <v>0</v>
      </c>
      <c r="AH132" s="194">
        <f t="shared" si="75"/>
        <v>0</v>
      </c>
      <c r="AI132" s="199">
        <f t="shared" si="76"/>
        <v>0</v>
      </c>
      <c r="AK132" s="71">
        <v>127</v>
      </c>
      <c r="AL132" s="33">
        <f t="shared" si="57"/>
        <v>0</v>
      </c>
      <c r="AM132" s="33">
        <f t="shared" si="58"/>
        <v>0</v>
      </c>
      <c r="AN132" s="33">
        <f t="shared" si="59"/>
        <v>0</v>
      </c>
      <c r="AO132" s="33">
        <f t="shared" si="60"/>
        <v>0</v>
      </c>
      <c r="AP132" s="33">
        <f t="shared" si="61"/>
        <v>0</v>
      </c>
      <c r="AQ132" s="194">
        <f t="shared" si="79"/>
        <v>0</v>
      </c>
      <c r="AR132" s="194">
        <f t="shared" si="79"/>
        <v>0</v>
      </c>
      <c r="AS132" s="194">
        <f t="shared" si="79"/>
        <v>0</v>
      </c>
      <c r="AT132" s="194">
        <f t="shared" si="78"/>
        <v>0</v>
      </c>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64"/>
        <v>0</v>
      </c>
      <c r="K133" s="33">
        <f t="shared" si="65"/>
        <v>0</v>
      </c>
      <c r="L133" s="33">
        <f t="shared" si="66"/>
        <v>0</v>
      </c>
      <c r="M133" s="33">
        <f t="shared" si="67"/>
        <v>0</v>
      </c>
      <c r="N133" s="33">
        <f t="shared" ref="N133:N196" si="80">IF(P134&lt;=$F$18,0,)</f>
        <v>0</v>
      </c>
      <c r="O133" s="34">
        <f t="shared" ref="O133:O196" si="81">((J133+K133)*0.475+L133+M133+N133)*44/12</f>
        <v>0</v>
      </c>
      <c r="P133" s="55">
        <v>128</v>
      </c>
      <c r="Q133" s="33">
        <f t="shared" si="62"/>
        <v>0</v>
      </c>
      <c r="R133" s="33">
        <f t="shared" si="68"/>
        <v>0</v>
      </c>
      <c r="S133" s="33">
        <f t="shared" si="69"/>
        <v>0</v>
      </c>
      <c r="T133" s="33">
        <f t="shared" ref="T133:T196" si="82">IF(S133=0,0,EXP(-1.0587+0.8836*LN(S133)+0.284))</f>
        <v>0</v>
      </c>
      <c r="U133" s="33">
        <f t="shared" si="63"/>
        <v>0</v>
      </c>
      <c r="V133" s="33">
        <f t="shared" ref="V133:V196" si="83">IF(P133&lt;=$F$18,IF(P133&lt;=30,P133*($F$16-$F$6)/30,$F$16-$F$6),)</f>
        <v>0</v>
      </c>
      <c r="W133" s="33">
        <v>0</v>
      </c>
      <c r="X133" s="33">
        <f t="shared" ref="X133:X196" si="84">((S133+T133)*0.475+U133+V133+W133)*44/12</f>
        <v>0</v>
      </c>
      <c r="Y133" s="38">
        <f t="shared" ref="Y133:Y196" si="85">IF(P133&lt;=$F$18,X133-O133,)</f>
        <v>0</v>
      </c>
      <c r="AA133" s="71">
        <v>128</v>
      </c>
      <c r="AB133" s="33">
        <f t="shared" ref="AB133:AB196" si="86">IF(AA133&lt;=$F$18,IFERROR(VLOOKUP($AA133,$B$82:$G$94,2,FALSE),0),)</f>
        <v>0</v>
      </c>
      <c r="AC133" s="305">
        <f t="shared" si="77"/>
        <v>0</v>
      </c>
      <c r="AD133" s="100">
        <f t="shared" ref="AD133:AD196" si="87">IF(AA133&lt;=$F$18,IFERROR(VLOOKUP($AA133,$B$82:$G$94,4,FALSE),0),)</f>
        <v>0</v>
      </c>
      <c r="AE133" s="100">
        <f t="shared" ref="AE133:AE196" si="88">IF(AA133&lt;=$F$18,IFERROR(VLOOKUP($AA133,$B$82:$G$94,5,FALSE),0),)</f>
        <v>0</v>
      </c>
      <c r="AF133" s="194">
        <f t="shared" si="73"/>
        <v>0</v>
      </c>
      <c r="AG133" s="194">
        <f t="shared" si="74"/>
        <v>0</v>
      </c>
      <c r="AH133" s="194">
        <f t="shared" si="75"/>
        <v>0</v>
      </c>
      <c r="AI133" s="199">
        <f t="shared" si="76"/>
        <v>0</v>
      </c>
      <c r="AK133" s="71">
        <v>128</v>
      </c>
      <c r="AL133" s="33">
        <f t="shared" ref="AL133:AL196" si="89">IF(AK133&lt;=$F$18,IFERROR(VLOOKUP($AA133,$B$82:$G$94,2,FALSE),0),)</f>
        <v>0</v>
      </c>
      <c r="AM133" s="33">
        <f t="shared" ref="AM133:AM196" si="90">IF(AK133&lt;=$F$18,IFERROR(VLOOKUP($AA133,$B$82:$G$94,3,FALSE),0),)</f>
        <v>0</v>
      </c>
      <c r="AN133" s="33">
        <f t="shared" ref="AN133:AN196" si="91">IF(AK133&lt;=$F$18,IFERROR(VLOOKUP($AA133,$B$82:$G$94,4,FALSE),0),)</f>
        <v>0</v>
      </c>
      <c r="AO133" s="33">
        <f t="shared" ref="AO133:AO196" si="92">IF(AK133&lt;=$F$18,IFERROR(VLOOKUP($AA133,$B$82:$G$94,5,FALSE),0),)</f>
        <v>0</v>
      </c>
      <c r="AP133" s="33">
        <f t="shared" ref="AP133:AP196" si="93">IF(AK133&lt;=$F$18,IFERROR(VLOOKUP($AA133,$B$82:$G$94,6,FALSE),0),)</f>
        <v>0</v>
      </c>
      <c r="AQ133" s="194">
        <f t="shared" si="79"/>
        <v>0</v>
      </c>
      <c r="AR133" s="194">
        <f t="shared" si="79"/>
        <v>0</v>
      </c>
      <c r="AS133" s="194">
        <f t="shared" si="79"/>
        <v>0</v>
      </c>
      <c r="AT133" s="194">
        <f t="shared" si="78"/>
        <v>0</v>
      </c>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64"/>
        <v>0</v>
      </c>
      <c r="K134" s="33">
        <f t="shared" si="65"/>
        <v>0</v>
      </c>
      <c r="L134" s="33">
        <f t="shared" si="66"/>
        <v>0</v>
      </c>
      <c r="M134" s="33">
        <f t="shared" si="67"/>
        <v>0</v>
      </c>
      <c r="N134" s="33">
        <f t="shared" si="80"/>
        <v>0</v>
      </c>
      <c r="O134" s="34">
        <f t="shared" si="81"/>
        <v>0</v>
      </c>
      <c r="P134" s="55">
        <v>129</v>
      </c>
      <c r="Q134" s="33">
        <f t="shared" ref="Q134:Q197" si="94">IF(P134&lt;=$F$18,LOOKUP(P134-1,$B$25:$B$78,$G$25:$G$78),)</f>
        <v>0</v>
      </c>
      <c r="R134" s="33">
        <f t="shared" si="68"/>
        <v>0</v>
      </c>
      <c r="S134" s="33">
        <f t="shared" si="69"/>
        <v>0</v>
      </c>
      <c r="T134" s="33">
        <f t="shared" si="82"/>
        <v>0</v>
      </c>
      <c r="U134" s="33">
        <f t="shared" ref="U134:U197" si="95">IF(P134&lt;=$F$18,$F$5+($F$15-$F$5)*(1-EXP(-0.0175*P134)),)</f>
        <v>0</v>
      </c>
      <c r="V134" s="33">
        <f t="shared" si="83"/>
        <v>0</v>
      </c>
      <c r="W134" s="33">
        <v>0</v>
      </c>
      <c r="X134" s="33">
        <f t="shared" si="84"/>
        <v>0</v>
      </c>
      <c r="Y134" s="38">
        <f t="shared" si="85"/>
        <v>0</v>
      </c>
      <c r="AA134" s="71">
        <v>129</v>
      </c>
      <c r="AB134" s="33">
        <f t="shared" si="86"/>
        <v>0</v>
      </c>
      <c r="AC134" s="305">
        <f t="shared" si="77"/>
        <v>0</v>
      </c>
      <c r="AD134" s="100">
        <f t="shared" si="87"/>
        <v>0</v>
      </c>
      <c r="AE134" s="100">
        <f t="shared" si="88"/>
        <v>0</v>
      </c>
      <c r="AF134" s="194">
        <f t="shared" si="73"/>
        <v>0</v>
      </c>
      <c r="AG134" s="194">
        <f t="shared" si="74"/>
        <v>0</v>
      </c>
      <c r="AH134" s="194">
        <f t="shared" si="75"/>
        <v>0</v>
      </c>
      <c r="AI134" s="199">
        <f t="shared" si="76"/>
        <v>0</v>
      </c>
      <c r="AK134" s="71">
        <v>129</v>
      </c>
      <c r="AL134" s="33">
        <f t="shared" si="89"/>
        <v>0</v>
      </c>
      <c r="AM134" s="33">
        <f t="shared" si="90"/>
        <v>0</v>
      </c>
      <c r="AN134" s="33">
        <f t="shared" si="91"/>
        <v>0</v>
      </c>
      <c r="AO134" s="33">
        <f t="shared" si="92"/>
        <v>0</v>
      </c>
      <c r="AP134" s="33">
        <f t="shared" si="93"/>
        <v>0</v>
      </c>
      <c r="AQ134" s="194">
        <f t="shared" si="79"/>
        <v>0</v>
      </c>
      <c r="AR134" s="194">
        <f t="shared" si="79"/>
        <v>0</v>
      </c>
      <c r="AS134" s="194">
        <f t="shared" si="79"/>
        <v>0</v>
      </c>
      <c r="AT134" s="194">
        <f t="shared" si="78"/>
        <v>0</v>
      </c>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96">IF($I135&lt;=$F$10,$F$11*$F$13+J134,)</f>
        <v>0</v>
      </c>
      <c r="K135" s="33">
        <f t="shared" ref="K135:K198" si="97">IF(J135=0,0,EXP(-1.0587+0.8836*LN(J135)+0.284))</f>
        <v>0</v>
      </c>
      <c r="L135" s="33">
        <f t="shared" ref="L135:L198" si="98">IF(I135&lt;=$F$10,$F$5+($F$8-$F$5)*(1-EXP(-0.0175*I135)),)</f>
        <v>0</v>
      </c>
      <c r="M135" s="33">
        <f t="shared" ref="M135:M198" si="99">IF(I135&lt;=$F$10,IF(I135&lt;=30,I135*($F$9-$F$6)/30,$F$9-$F$6),)</f>
        <v>0</v>
      </c>
      <c r="N135" s="33">
        <f t="shared" si="80"/>
        <v>0</v>
      </c>
      <c r="O135" s="34">
        <f t="shared" si="81"/>
        <v>0</v>
      </c>
      <c r="P135" s="55">
        <v>130</v>
      </c>
      <c r="Q135" s="33">
        <f t="shared" si="94"/>
        <v>0</v>
      </c>
      <c r="R135" s="33">
        <f t="shared" ref="R135:R198" si="100">IF(P135&lt;=$F$18,Q135+R134,)</f>
        <v>0</v>
      </c>
      <c r="S135" s="33">
        <f t="shared" ref="S135:S198" si="101">$F$19*R135</f>
        <v>0</v>
      </c>
      <c r="T135" s="33">
        <f t="shared" si="82"/>
        <v>0</v>
      </c>
      <c r="U135" s="33">
        <f t="shared" si="95"/>
        <v>0</v>
      </c>
      <c r="V135" s="33">
        <f t="shared" si="83"/>
        <v>0</v>
      </c>
      <c r="W135" s="33">
        <v>0</v>
      </c>
      <c r="X135" s="33">
        <f t="shared" si="84"/>
        <v>0</v>
      </c>
      <c r="Y135" s="38">
        <f t="shared" si="85"/>
        <v>0</v>
      </c>
      <c r="AA135" s="71">
        <v>130</v>
      </c>
      <c r="AB135" s="33">
        <f t="shared" si="86"/>
        <v>0</v>
      </c>
      <c r="AC135" s="305">
        <f t="shared" si="77"/>
        <v>0</v>
      </c>
      <c r="AD135" s="100">
        <f t="shared" si="87"/>
        <v>0</v>
      </c>
      <c r="AE135" s="100">
        <f t="shared" si="88"/>
        <v>0</v>
      </c>
      <c r="AF135" s="194">
        <f t="shared" si="73"/>
        <v>0</v>
      </c>
      <c r="AG135" s="194">
        <f t="shared" si="74"/>
        <v>0</v>
      </c>
      <c r="AH135" s="194">
        <f t="shared" si="75"/>
        <v>0</v>
      </c>
      <c r="AI135" s="199">
        <f t="shared" si="76"/>
        <v>0</v>
      </c>
      <c r="AK135" s="71">
        <v>130</v>
      </c>
      <c r="AL135" s="33">
        <f t="shared" si="89"/>
        <v>0</v>
      </c>
      <c r="AM135" s="33">
        <f t="shared" si="90"/>
        <v>0</v>
      </c>
      <c r="AN135" s="33">
        <f t="shared" si="91"/>
        <v>0</v>
      </c>
      <c r="AO135" s="33">
        <f t="shared" si="92"/>
        <v>0</v>
      </c>
      <c r="AP135" s="33">
        <f t="shared" si="93"/>
        <v>0</v>
      </c>
      <c r="AQ135" s="194">
        <f t="shared" si="79"/>
        <v>0</v>
      </c>
      <c r="AR135" s="194">
        <f t="shared" si="79"/>
        <v>0</v>
      </c>
      <c r="AS135" s="194">
        <f t="shared" si="79"/>
        <v>0</v>
      </c>
      <c r="AT135" s="194">
        <f t="shared" si="78"/>
        <v>0</v>
      </c>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96"/>
        <v>0</v>
      </c>
      <c r="K136" s="33">
        <f t="shared" si="97"/>
        <v>0</v>
      </c>
      <c r="L136" s="33">
        <f t="shared" si="98"/>
        <v>0</v>
      </c>
      <c r="M136" s="33">
        <f t="shared" si="99"/>
        <v>0</v>
      </c>
      <c r="N136" s="33">
        <f t="shared" si="80"/>
        <v>0</v>
      </c>
      <c r="O136" s="34">
        <f t="shared" si="81"/>
        <v>0</v>
      </c>
      <c r="P136" s="55">
        <v>131</v>
      </c>
      <c r="Q136" s="33">
        <f t="shared" si="94"/>
        <v>0</v>
      </c>
      <c r="R136" s="33">
        <f t="shared" si="100"/>
        <v>0</v>
      </c>
      <c r="S136" s="33">
        <f t="shared" si="101"/>
        <v>0</v>
      </c>
      <c r="T136" s="33">
        <f t="shared" si="82"/>
        <v>0</v>
      </c>
      <c r="U136" s="33">
        <f t="shared" si="95"/>
        <v>0</v>
      </c>
      <c r="V136" s="33">
        <f t="shared" si="83"/>
        <v>0</v>
      </c>
      <c r="W136" s="33">
        <v>0</v>
      </c>
      <c r="X136" s="33">
        <f t="shared" si="84"/>
        <v>0</v>
      </c>
      <c r="Y136" s="38">
        <f t="shared" si="85"/>
        <v>0</v>
      </c>
      <c r="AA136" s="71">
        <v>131</v>
      </c>
      <c r="AB136" s="33">
        <f t="shared" si="86"/>
        <v>0</v>
      </c>
      <c r="AC136" s="305">
        <f t="shared" si="77"/>
        <v>0</v>
      </c>
      <c r="AD136" s="100">
        <f t="shared" si="87"/>
        <v>0</v>
      </c>
      <c r="AE136" s="100">
        <f t="shared" si="88"/>
        <v>0</v>
      </c>
      <c r="AF136" s="194">
        <f t="shared" si="73"/>
        <v>0</v>
      </c>
      <c r="AG136" s="194">
        <f t="shared" si="74"/>
        <v>0</v>
      </c>
      <c r="AH136" s="194">
        <f t="shared" si="75"/>
        <v>0</v>
      </c>
      <c r="AI136" s="199">
        <f t="shared" si="76"/>
        <v>0</v>
      </c>
      <c r="AK136" s="71">
        <v>131</v>
      </c>
      <c r="AL136" s="33">
        <f t="shared" si="89"/>
        <v>0</v>
      </c>
      <c r="AM136" s="33">
        <f t="shared" si="90"/>
        <v>0</v>
      </c>
      <c r="AN136" s="33">
        <f t="shared" si="91"/>
        <v>0</v>
      </c>
      <c r="AO136" s="33">
        <f t="shared" si="92"/>
        <v>0</v>
      </c>
      <c r="AP136" s="33">
        <f t="shared" si="93"/>
        <v>0</v>
      </c>
      <c r="AQ136" s="194">
        <f t="shared" si="79"/>
        <v>0</v>
      </c>
      <c r="AR136" s="194">
        <f t="shared" si="79"/>
        <v>0</v>
      </c>
      <c r="AS136" s="194">
        <f t="shared" si="79"/>
        <v>0</v>
      </c>
      <c r="AT136" s="194">
        <f t="shared" si="78"/>
        <v>0</v>
      </c>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96"/>
        <v>0</v>
      </c>
      <c r="K137" s="33">
        <f t="shared" si="97"/>
        <v>0</v>
      </c>
      <c r="L137" s="33">
        <f t="shared" si="98"/>
        <v>0</v>
      </c>
      <c r="M137" s="33">
        <f t="shared" si="99"/>
        <v>0</v>
      </c>
      <c r="N137" s="33">
        <f t="shared" si="80"/>
        <v>0</v>
      </c>
      <c r="O137" s="34">
        <f t="shared" si="81"/>
        <v>0</v>
      </c>
      <c r="P137" s="55">
        <v>132</v>
      </c>
      <c r="Q137" s="33">
        <f t="shared" si="94"/>
        <v>0</v>
      </c>
      <c r="R137" s="33">
        <f t="shared" si="100"/>
        <v>0</v>
      </c>
      <c r="S137" s="33">
        <f t="shared" si="101"/>
        <v>0</v>
      </c>
      <c r="T137" s="33">
        <f t="shared" si="82"/>
        <v>0</v>
      </c>
      <c r="U137" s="33">
        <f t="shared" si="95"/>
        <v>0</v>
      </c>
      <c r="V137" s="33">
        <f t="shared" si="83"/>
        <v>0</v>
      </c>
      <c r="W137" s="33">
        <v>0</v>
      </c>
      <c r="X137" s="33">
        <f t="shared" si="84"/>
        <v>0</v>
      </c>
      <c r="Y137" s="38">
        <f t="shared" si="85"/>
        <v>0</v>
      </c>
      <c r="AA137" s="71">
        <v>132</v>
      </c>
      <c r="AB137" s="33">
        <f t="shared" si="86"/>
        <v>0</v>
      </c>
      <c r="AC137" s="305">
        <f t="shared" si="77"/>
        <v>0</v>
      </c>
      <c r="AD137" s="100">
        <f t="shared" si="87"/>
        <v>0</v>
      </c>
      <c r="AE137" s="100">
        <f t="shared" si="88"/>
        <v>0</v>
      </c>
      <c r="AF137" s="194">
        <f t="shared" si="73"/>
        <v>0</v>
      </c>
      <c r="AG137" s="194">
        <f t="shared" si="74"/>
        <v>0</v>
      </c>
      <c r="AH137" s="194">
        <f t="shared" si="75"/>
        <v>0</v>
      </c>
      <c r="AI137" s="199">
        <f t="shared" si="76"/>
        <v>0</v>
      </c>
      <c r="AK137" s="71">
        <v>132</v>
      </c>
      <c r="AL137" s="33">
        <f t="shared" si="89"/>
        <v>0</v>
      </c>
      <c r="AM137" s="33">
        <f t="shared" si="90"/>
        <v>0</v>
      </c>
      <c r="AN137" s="33">
        <f t="shared" si="91"/>
        <v>0</v>
      </c>
      <c r="AO137" s="33">
        <f t="shared" si="92"/>
        <v>0</v>
      </c>
      <c r="AP137" s="33">
        <f t="shared" si="93"/>
        <v>0</v>
      </c>
      <c r="AQ137" s="194">
        <f t="shared" si="79"/>
        <v>0</v>
      </c>
      <c r="AR137" s="194">
        <f t="shared" si="79"/>
        <v>0</v>
      </c>
      <c r="AS137" s="194">
        <f t="shared" si="79"/>
        <v>0</v>
      </c>
      <c r="AT137" s="194">
        <f t="shared" si="78"/>
        <v>0</v>
      </c>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96"/>
        <v>0</v>
      </c>
      <c r="K138" s="33">
        <f t="shared" si="97"/>
        <v>0</v>
      </c>
      <c r="L138" s="33">
        <f t="shared" si="98"/>
        <v>0</v>
      </c>
      <c r="M138" s="33">
        <f t="shared" si="99"/>
        <v>0</v>
      </c>
      <c r="N138" s="33">
        <f t="shared" si="80"/>
        <v>0</v>
      </c>
      <c r="O138" s="34">
        <f t="shared" si="81"/>
        <v>0</v>
      </c>
      <c r="P138" s="55">
        <v>133</v>
      </c>
      <c r="Q138" s="33">
        <f t="shared" si="94"/>
        <v>0</v>
      </c>
      <c r="R138" s="33">
        <f t="shared" si="100"/>
        <v>0</v>
      </c>
      <c r="S138" s="33">
        <f t="shared" si="101"/>
        <v>0</v>
      </c>
      <c r="T138" s="33">
        <f t="shared" si="82"/>
        <v>0</v>
      </c>
      <c r="U138" s="33">
        <f t="shared" si="95"/>
        <v>0</v>
      </c>
      <c r="V138" s="33">
        <f t="shared" si="83"/>
        <v>0</v>
      </c>
      <c r="W138" s="33">
        <v>0</v>
      </c>
      <c r="X138" s="33">
        <f t="shared" si="84"/>
        <v>0</v>
      </c>
      <c r="Y138" s="38">
        <f t="shared" si="85"/>
        <v>0</v>
      </c>
      <c r="AA138" s="71">
        <v>133</v>
      </c>
      <c r="AB138" s="33">
        <f t="shared" si="86"/>
        <v>0</v>
      </c>
      <c r="AC138" s="305">
        <f t="shared" si="77"/>
        <v>0</v>
      </c>
      <c r="AD138" s="100">
        <f t="shared" si="87"/>
        <v>0</v>
      </c>
      <c r="AE138" s="100">
        <f t="shared" si="88"/>
        <v>0</v>
      </c>
      <c r="AF138" s="194">
        <f t="shared" si="73"/>
        <v>0</v>
      </c>
      <c r="AG138" s="194">
        <f t="shared" si="74"/>
        <v>0</v>
      </c>
      <c r="AH138" s="194">
        <f t="shared" si="75"/>
        <v>0</v>
      </c>
      <c r="AI138" s="199">
        <f t="shared" si="76"/>
        <v>0</v>
      </c>
      <c r="AK138" s="71">
        <v>133</v>
      </c>
      <c r="AL138" s="33">
        <f t="shared" si="89"/>
        <v>0</v>
      </c>
      <c r="AM138" s="33">
        <f t="shared" si="90"/>
        <v>0</v>
      </c>
      <c r="AN138" s="33">
        <f t="shared" si="91"/>
        <v>0</v>
      </c>
      <c r="AO138" s="33">
        <f t="shared" si="92"/>
        <v>0</v>
      </c>
      <c r="AP138" s="33">
        <f t="shared" si="93"/>
        <v>0</v>
      </c>
      <c r="AQ138" s="194">
        <f t="shared" si="79"/>
        <v>0</v>
      </c>
      <c r="AR138" s="194">
        <f t="shared" si="79"/>
        <v>0</v>
      </c>
      <c r="AS138" s="194">
        <f t="shared" si="79"/>
        <v>0</v>
      </c>
      <c r="AT138" s="194">
        <f t="shared" si="78"/>
        <v>0</v>
      </c>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96"/>
        <v>0</v>
      </c>
      <c r="K139" s="33">
        <f t="shared" si="97"/>
        <v>0</v>
      </c>
      <c r="L139" s="33">
        <f t="shared" si="98"/>
        <v>0</v>
      </c>
      <c r="M139" s="33">
        <f t="shared" si="99"/>
        <v>0</v>
      </c>
      <c r="N139" s="33">
        <f t="shared" si="80"/>
        <v>0</v>
      </c>
      <c r="O139" s="34">
        <f t="shared" si="81"/>
        <v>0</v>
      </c>
      <c r="P139" s="55">
        <v>134</v>
      </c>
      <c r="Q139" s="33">
        <f t="shared" si="94"/>
        <v>0</v>
      </c>
      <c r="R139" s="33">
        <f t="shared" si="100"/>
        <v>0</v>
      </c>
      <c r="S139" s="33">
        <f t="shared" si="101"/>
        <v>0</v>
      </c>
      <c r="T139" s="33">
        <f t="shared" si="82"/>
        <v>0</v>
      </c>
      <c r="U139" s="33">
        <f t="shared" si="95"/>
        <v>0</v>
      </c>
      <c r="V139" s="33">
        <f t="shared" si="83"/>
        <v>0</v>
      </c>
      <c r="W139" s="33">
        <v>0</v>
      </c>
      <c r="X139" s="33">
        <f t="shared" si="84"/>
        <v>0</v>
      </c>
      <c r="Y139" s="38">
        <f t="shared" si="85"/>
        <v>0</v>
      </c>
      <c r="AA139" s="71">
        <v>134</v>
      </c>
      <c r="AB139" s="33">
        <f t="shared" si="86"/>
        <v>0</v>
      </c>
      <c r="AC139" s="305">
        <f t="shared" si="77"/>
        <v>0</v>
      </c>
      <c r="AD139" s="100">
        <f t="shared" si="87"/>
        <v>0</v>
      </c>
      <c r="AE139" s="100">
        <f t="shared" si="88"/>
        <v>0</v>
      </c>
      <c r="AF139" s="194">
        <f t="shared" si="73"/>
        <v>0</v>
      </c>
      <c r="AG139" s="194">
        <f t="shared" si="74"/>
        <v>0</v>
      </c>
      <c r="AH139" s="194">
        <f t="shared" si="75"/>
        <v>0</v>
      </c>
      <c r="AI139" s="199">
        <f t="shared" si="76"/>
        <v>0</v>
      </c>
      <c r="AK139" s="71">
        <v>134</v>
      </c>
      <c r="AL139" s="33">
        <f t="shared" si="89"/>
        <v>0</v>
      </c>
      <c r="AM139" s="33">
        <f t="shared" si="90"/>
        <v>0</v>
      </c>
      <c r="AN139" s="33">
        <f t="shared" si="91"/>
        <v>0</v>
      </c>
      <c r="AO139" s="33">
        <f t="shared" si="92"/>
        <v>0</v>
      </c>
      <c r="AP139" s="33">
        <f t="shared" si="93"/>
        <v>0</v>
      </c>
      <c r="AQ139" s="194">
        <f t="shared" si="79"/>
        <v>0</v>
      </c>
      <c r="AR139" s="194">
        <f t="shared" si="79"/>
        <v>0</v>
      </c>
      <c r="AS139" s="194">
        <f t="shared" si="79"/>
        <v>0</v>
      </c>
      <c r="AT139" s="194">
        <f t="shared" si="78"/>
        <v>0</v>
      </c>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96"/>
        <v>0</v>
      </c>
      <c r="K140" s="33">
        <f t="shared" si="97"/>
        <v>0</v>
      </c>
      <c r="L140" s="33">
        <f t="shared" si="98"/>
        <v>0</v>
      </c>
      <c r="M140" s="33">
        <f t="shared" si="99"/>
        <v>0</v>
      </c>
      <c r="N140" s="33">
        <f t="shared" si="80"/>
        <v>0</v>
      </c>
      <c r="O140" s="34">
        <f t="shared" si="81"/>
        <v>0</v>
      </c>
      <c r="P140" s="55">
        <v>135</v>
      </c>
      <c r="Q140" s="33">
        <f t="shared" si="94"/>
        <v>0</v>
      </c>
      <c r="R140" s="33">
        <f t="shared" si="100"/>
        <v>0</v>
      </c>
      <c r="S140" s="33">
        <f t="shared" si="101"/>
        <v>0</v>
      </c>
      <c r="T140" s="33">
        <f t="shared" si="82"/>
        <v>0</v>
      </c>
      <c r="U140" s="33">
        <f t="shared" si="95"/>
        <v>0</v>
      </c>
      <c r="V140" s="33">
        <f t="shared" si="83"/>
        <v>0</v>
      </c>
      <c r="W140" s="33">
        <v>0</v>
      </c>
      <c r="X140" s="33">
        <f t="shared" si="84"/>
        <v>0</v>
      </c>
      <c r="Y140" s="38">
        <f t="shared" si="85"/>
        <v>0</v>
      </c>
      <c r="AA140" s="71">
        <v>135</v>
      </c>
      <c r="AB140" s="33">
        <f t="shared" si="86"/>
        <v>0</v>
      </c>
      <c r="AC140" s="305">
        <f t="shared" si="77"/>
        <v>0</v>
      </c>
      <c r="AD140" s="100">
        <f t="shared" si="87"/>
        <v>0</v>
      </c>
      <c r="AE140" s="100">
        <f t="shared" si="88"/>
        <v>0</v>
      </c>
      <c r="AF140" s="194">
        <f t="shared" si="73"/>
        <v>0</v>
      </c>
      <c r="AG140" s="194">
        <f t="shared" si="74"/>
        <v>0</v>
      </c>
      <c r="AH140" s="194">
        <f t="shared" si="75"/>
        <v>0</v>
      </c>
      <c r="AI140" s="199">
        <f t="shared" si="76"/>
        <v>0</v>
      </c>
      <c r="AK140" s="71">
        <v>135</v>
      </c>
      <c r="AL140" s="33">
        <f t="shared" si="89"/>
        <v>0</v>
      </c>
      <c r="AM140" s="33">
        <f t="shared" si="90"/>
        <v>0</v>
      </c>
      <c r="AN140" s="33">
        <f t="shared" si="91"/>
        <v>0</v>
      </c>
      <c r="AO140" s="33">
        <f t="shared" si="92"/>
        <v>0</v>
      </c>
      <c r="AP140" s="33">
        <f t="shared" si="93"/>
        <v>0</v>
      </c>
      <c r="AQ140" s="194">
        <f t="shared" si="79"/>
        <v>0</v>
      </c>
      <c r="AR140" s="194">
        <f t="shared" si="79"/>
        <v>0</v>
      </c>
      <c r="AS140" s="194">
        <f t="shared" si="79"/>
        <v>0</v>
      </c>
      <c r="AT140" s="194">
        <f t="shared" si="78"/>
        <v>0</v>
      </c>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96"/>
        <v>0</v>
      </c>
      <c r="K141" s="33">
        <f t="shared" si="97"/>
        <v>0</v>
      </c>
      <c r="L141" s="33">
        <f t="shared" si="98"/>
        <v>0</v>
      </c>
      <c r="M141" s="33">
        <f t="shared" si="99"/>
        <v>0</v>
      </c>
      <c r="N141" s="33">
        <f t="shared" si="80"/>
        <v>0</v>
      </c>
      <c r="O141" s="34">
        <f t="shared" si="81"/>
        <v>0</v>
      </c>
      <c r="P141" s="55">
        <v>136</v>
      </c>
      <c r="Q141" s="33">
        <f t="shared" si="94"/>
        <v>0</v>
      </c>
      <c r="R141" s="33">
        <f t="shared" si="100"/>
        <v>0</v>
      </c>
      <c r="S141" s="33">
        <f t="shared" si="101"/>
        <v>0</v>
      </c>
      <c r="T141" s="33">
        <f t="shared" si="82"/>
        <v>0</v>
      </c>
      <c r="U141" s="33">
        <f t="shared" si="95"/>
        <v>0</v>
      </c>
      <c r="V141" s="33">
        <f t="shared" si="83"/>
        <v>0</v>
      </c>
      <c r="W141" s="33">
        <v>0</v>
      </c>
      <c r="X141" s="33">
        <f t="shared" si="84"/>
        <v>0</v>
      </c>
      <c r="Y141" s="38">
        <f t="shared" si="85"/>
        <v>0</v>
      </c>
      <c r="AA141" s="71">
        <v>136</v>
      </c>
      <c r="AB141" s="33">
        <f t="shared" si="86"/>
        <v>0</v>
      </c>
      <c r="AC141" s="305">
        <f t="shared" si="77"/>
        <v>0</v>
      </c>
      <c r="AD141" s="100">
        <f t="shared" si="87"/>
        <v>0</v>
      </c>
      <c r="AE141" s="100">
        <f t="shared" si="88"/>
        <v>0</v>
      </c>
      <c r="AF141" s="194">
        <f t="shared" si="73"/>
        <v>0</v>
      </c>
      <c r="AG141" s="194">
        <f t="shared" si="74"/>
        <v>0</v>
      </c>
      <c r="AH141" s="194">
        <f t="shared" si="75"/>
        <v>0</v>
      </c>
      <c r="AI141" s="199">
        <f t="shared" si="76"/>
        <v>0</v>
      </c>
      <c r="AK141" s="71">
        <v>136</v>
      </c>
      <c r="AL141" s="33">
        <f t="shared" si="89"/>
        <v>0</v>
      </c>
      <c r="AM141" s="33">
        <f t="shared" si="90"/>
        <v>0</v>
      </c>
      <c r="AN141" s="33">
        <f t="shared" si="91"/>
        <v>0</v>
      </c>
      <c r="AO141" s="33">
        <f t="shared" si="92"/>
        <v>0</v>
      </c>
      <c r="AP141" s="33">
        <f t="shared" si="93"/>
        <v>0</v>
      </c>
      <c r="AQ141" s="194">
        <f t="shared" si="79"/>
        <v>0</v>
      </c>
      <c r="AR141" s="194">
        <f t="shared" si="79"/>
        <v>0</v>
      </c>
      <c r="AS141" s="194">
        <f t="shared" si="79"/>
        <v>0</v>
      </c>
      <c r="AT141" s="194">
        <f t="shared" si="78"/>
        <v>0</v>
      </c>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96"/>
        <v>0</v>
      </c>
      <c r="K142" s="33">
        <f t="shared" si="97"/>
        <v>0</v>
      </c>
      <c r="L142" s="33">
        <f t="shared" si="98"/>
        <v>0</v>
      </c>
      <c r="M142" s="33">
        <f t="shared" si="99"/>
        <v>0</v>
      </c>
      <c r="N142" s="33">
        <f t="shared" si="80"/>
        <v>0</v>
      </c>
      <c r="O142" s="34">
        <f t="shared" si="81"/>
        <v>0</v>
      </c>
      <c r="P142" s="55">
        <v>137</v>
      </c>
      <c r="Q142" s="33">
        <f t="shared" si="94"/>
        <v>0</v>
      </c>
      <c r="R142" s="33">
        <f t="shared" si="100"/>
        <v>0</v>
      </c>
      <c r="S142" s="33">
        <f t="shared" si="101"/>
        <v>0</v>
      </c>
      <c r="T142" s="33">
        <f t="shared" si="82"/>
        <v>0</v>
      </c>
      <c r="U142" s="33">
        <f t="shared" si="95"/>
        <v>0</v>
      </c>
      <c r="V142" s="33">
        <f t="shared" si="83"/>
        <v>0</v>
      </c>
      <c r="W142" s="33">
        <v>0</v>
      </c>
      <c r="X142" s="33">
        <f t="shared" si="84"/>
        <v>0</v>
      </c>
      <c r="Y142" s="38">
        <f t="shared" si="85"/>
        <v>0</v>
      </c>
      <c r="AA142" s="71">
        <v>137</v>
      </c>
      <c r="AB142" s="33">
        <f t="shared" si="86"/>
        <v>0</v>
      </c>
      <c r="AC142" s="305">
        <f t="shared" si="77"/>
        <v>0</v>
      </c>
      <c r="AD142" s="100">
        <f t="shared" si="87"/>
        <v>0</v>
      </c>
      <c r="AE142" s="100">
        <f t="shared" si="88"/>
        <v>0</v>
      </c>
      <c r="AF142" s="194">
        <f t="shared" si="73"/>
        <v>0</v>
      </c>
      <c r="AG142" s="194">
        <f t="shared" si="74"/>
        <v>0</v>
      </c>
      <c r="AH142" s="194">
        <f t="shared" si="75"/>
        <v>0</v>
      </c>
      <c r="AI142" s="199">
        <f t="shared" si="76"/>
        <v>0</v>
      </c>
      <c r="AK142" s="71">
        <v>137</v>
      </c>
      <c r="AL142" s="33">
        <f t="shared" si="89"/>
        <v>0</v>
      </c>
      <c r="AM142" s="33">
        <f t="shared" si="90"/>
        <v>0</v>
      </c>
      <c r="AN142" s="33">
        <f t="shared" si="91"/>
        <v>0</v>
      </c>
      <c r="AO142" s="33">
        <f t="shared" si="92"/>
        <v>0</v>
      </c>
      <c r="AP142" s="33">
        <f t="shared" si="93"/>
        <v>0</v>
      </c>
      <c r="AQ142" s="194">
        <f t="shared" si="79"/>
        <v>0</v>
      </c>
      <c r="AR142" s="194">
        <f t="shared" si="79"/>
        <v>0</v>
      </c>
      <c r="AS142" s="194">
        <f t="shared" si="79"/>
        <v>0</v>
      </c>
      <c r="AT142" s="194">
        <f t="shared" si="78"/>
        <v>0</v>
      </c>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96"/>
        <v>0</v>
      </c>
      <c r="K143" s="33">
        <f t="shared" si="97"/>
        <v>0</v>
      </c>
      <c r="L143" s="33">
        <f t="shared" si="98"/>
        <v>0</v>
      </c>
      <c r="M143" s="33">
        <f t="shared" si="99"/>
        <v>0</v>
      </c>
      <c r="N143" s="33">
        <f t="shared" si="80"/>
        <v>0</v>
      </c>
      <c r="O143" s="34">
        <f t="shared" si="81"/>
        <v>0</v>
      </c>
      <c r="P143" s="55">
        <v>138</v>
      </c>
      <c r="Q143" s="33">
        <f t="shared" si="94"/>
        <v>0</v>
      </c>
      <c r="R143" s="33">
        <f t="shared" si="100"/>
        <v>0</v>
      </c>
      <c r="S143" s="33">
        <f t="shared" si="101"/>
        <v>0</v>
      </c>
      <c r="T143" s="33">
        <f t="shared" si="82"/>
        <v>0</v>
      </c>
      <c r="U143" s="33">
        <f t="shared" si="95"/>
        <v>0</v>
      </c>
      <c r="V143" s="33">
        <f t="shared" si="83"/>
        <v>0</v>
      </c>
      <c r="W143" s="33">
        <v>0</v>
      </c>
      <c r="X143" s="33">
        <f t="shared" si="84"/>
        <v>0</v>
      </c>
      <c r="Y143" s="38">
        <f t="shared" si="85"/>
        <v>0</v>
      </c>
      <c r="AA143" s="71">
        <v>138</v>
      </c>
      <c r="AB143" s="33">
        <f t="shared" si="86"/>
        <v>0</v>
      </c>
      <c r="AC143" s="305">
        <f t="shared" si="77"/>
        <v>0</v>
      </c>
      <c r="AD143" s="100">
        <f t="shared" si="87"/>
        <v>0</v>
      </c>
      <c r="AE143" s="100">
        <f t="shared" si="88"/>
        <v>0</v>
      </c>
      <c r="AF143" s="194">
        <f t="shared" si="73"/>
        <v>0</v>
      </c>
      <c r="AG143" s="194">
        <f t="shared" si="74"/>
        <v>0</v>
      </c>
      <c r="AH143" s="194">
        <f t="shared" si="75"/>
        <v>0</v>
      </c>
      <c r="AI143" s="199">
        <f t="shared" si="76"/>
        <v>0</v>
      </c>
      <c r="AK143" s="71">
        <v>138</v>
      </c>
      <c r="AL143" s="33">
        <f t="shared" si="89"/>
        <v>0</v>
      </c>
      <c r="AM143" s="33">
        <f t="shared" si="90"/>
        <v>0</v>
      </c>
      <c r="AN143" s="33">
        <f t="shared" si="91"/>
        <v>0</v>
      </c>
      <c r="AO143" s="33">
        <f t="shared" si="92"/>
        <v>0</v>
      </c>
      <c r="AP143" s="33">
        <f t="shared" si="93"/>
        <v>0</v>
      </c>
      <c r="AQ143" s="194">
        <f t="shared" si="79"/>
        <v>0</v>
      </c>
      <c r="AR143" s="194">
        <f t="shared" si="79"/>
        <v>0</v>
      </c>
      <c r="AS143" s="194">
        <f t="shared" si="79"/>
        <v>0</v>
      </c>
      <c r="AT143" s="194">
        <f t="shared" si="78"/>
        <v>0</v>
      </c>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96"/>
        <v>0</v>
      </c>
      <c r="K144" s="33">
        <f t="shared" si="97"/>
        <v>0</v>
      </c>
      <c r="L144" s="33">
        <f t="shared" si="98"/>
        <v>0</v>
      </c>
      <c r="M144" s="33">
        <f t="shared" si="99"/>
        <v>0</v>
      </c>
      <c r="N144" s="33">
        <f t="shared" si="80"/>
        <v>0</v>
      </c>
      <c r="O144" s="34">
        <f t="shared" si="81"/>
        <v>0</v>
      </c>
      <c r="P144" s="55">
        <v>139</v>
      </c>
      <c r="Q144" s="33">
        <f t="shared" si="94"/>
        <v>0</v>
      </c>
      <c r="R144" s="33">
        <f t="shared" si="100"/>
        <v>0</v>
      </c>
      <c r="S144" s="33">
        <f t="shared" si="101"/>
        <v>0</v>
      </c>
      <c r="T144" s="33">
        <f t="shared" si="82"/>
        <v>0</v>
      </c>
      <c r="U144" s="33">
        <f t="shared" si="95"/>
        <v>0</v>
      </c>
      <c r="V144" s="33">
        <f t="shared" si="83"/>
        <v>0</v>
      </c>
      <c r="W144" s="33">
        <v>0</v>
      </c>
      <c r="X144" s="33">
        <f t="shared" si="84"/>
        <v>0</v>
      </c>
      <c r="Y144" s="38">
        <f t="shared" si="85"/>
        <v>0</v>
      </c>
      <c r="AA144" s="71">
        <v>139</v>
      </c>
      <c r="AB144" s="33">
        <f t="shared" si="86"/>
        <v>0</v>
      </c>
      <c r="AC144" s="305">
        <f t="shared" si="77"/>
        <v>0</v>
      </c>
      <c r="AD144" s="100">
        <f t="shared" si="87"/>
        <v>0</v>
      </c>
      <c r="AE144" s="100">
        <f t="shared" si="88"/>
        <v>0</v>
      </c>
      <c r="AF144" s="194">
        <f t="shared" si="73"/>
        <v>0</v>
      </c>
      <c r="AG144" s="194">
        <f t="shared" si="74"/>
        <v>0</v>
      </c>
      <c r="AH144" s="194">
        <f t="shared" si="75"/>
        <v>0</v>
      </c>
      <c r="AI144" s="199">
        <f t="shared" si="76"/>
        <v>0</v>
      </c>
      <c r="AK144" s="71">
        <v>139</v>
      </c>
      <c r="AL144" s="33">
        <f t="shared" si="89"/>
        <v>0</v>
      </c>
      <c r="AM144" s="33">
        <f t="shared" si="90"/>
        <v>0</v>
      </c>
      <c r="AN144" s="33">
        <f t="shared" si="91"/>
        <v>0</v>
      </c>
      <c r="AO144" s="33">
        <f t="shared" si="92"/>
        <v>0</v>
      </c>
      <c r="AP144" s="33">
        <f t="shared" si="93"/>
        <v>0</v>
      </c>
      <c r="AQ144" s="194">
        <f t="shared" si="79"/>
        <v>0</v>
      </c>
      <c r="AR144" s="194">
        <f t="shared" si="79"/>
        <v>0</v>
      </c>
      <c r="AS144" s="194">
        <f t="shared" si="79"/>
        <v>0</v>
      </c>
      <c r="AT144" s="194">
        <f t="shared" si="78"/>
        <v>0</v>
      </c>
      <c r="AU144" s="33"/>
      <c r="AV144" s="33"/>
      <c r="AW144" s="33"/>
      <c r="AX144" s="33"/>
      <c r="AY144" s="76"/>
    </row>
    <row r="145" spans="3:51" x14ac:dyDescent="0.3">
      <c r="C145" s="166" t="s">
        <v>20</v>
      </c>
      <c r="D145" s="4">
        <v>0.57999999999999996</v>
      </c>
      <c r="E145" s="188" t="s">
        <v>228</v>
      </c>
      <c r="F145" s="343">
        <f>IF(OR(Tableau145[[#This Row],[Type]]="Feuillus",Tableau145[[#This Row],[Type]]="Peupliers"),1.56,1.3)</f>
        <v>1.56</v>
      </c>
      <c r="I145" s="55">
        <v>140</v>
      </c>
      <c r="J145" s="33">
        <f t="shared" si="96"/>
        <v>0</v>
      </c>
      <c r="K145" s="33">
        <f t="shared" si="97"/>
        <v>0</v>
      </c>
      <c r="L145" s="33">
        <f t="shared" si="98"/>
        <v>0</v>
      </c>
      <c r="M145" s="33">
        <f t="shared" si="99"/>
        <v>0</v>
      </c>
      <c r="N145" s="33">
        <f t="shared" si="80"/>
        <v>0</v>
      </c>
      <c r="O145" s="34">
        <f t="shared" si="81"/>
        <v>0</v>
      </c>
      <c r="P145" s="55">
        <v>140</v>
      </c>
      <c r="Q145" s="33">
        <f t="shared" si="94"/>
        <v>0</v>
      </c>
      <c r="R145" s="33">
        <f t="shared" si="100"/>
        <v>0</v>
      </c>
      <c r="S145" s="33">
        <f t="shared" si="101"/>
        <v>0</v>
      </c>
      <c r="T145" s="33">
        <f t="shared" si="82"/>
        <v>0</v>
      </c>
      <c r="U145" s="33">
        <f t="shared" si="95"/>
        <v>0</v>
      </c>
      <c r="V145" s="33">
        <f t="shared" si="83"/>
        <v>0</v>
      </c>
      <c r="W145" s="33">
        <v>0</v>
      </c>
      <c r="X145" s="33">
        <f t="shared" si="84"/>
        <v>0</v>
      </c>
      <c r="Y145" s="38">
        <f t="shared" si="85"/>
        <v>0</v>
      </c>
      <c r="AA145" s="71">
        <v>140</v>
      </c>
      <c r="AB145" s="33">
        <f t="shared" si="86"/>
        <v>0</v>
      </c>
      <c r="AC145" s="305">
        <f t="shared" si="77"/>
        <v>0</v>
      </c>
      <c r="AD145" s="100">
        <f t="shared" si="87"/>
        <v>0</v>
      </c>
      <c r="AE145" s="100">
        <f t="shared" si="88"/>
        <v>0</v>
      </c>
      <c r="AF145" s="194">
        <f t="shared" si="73"/>
        <v>0</v>
      </c>
      <c r="AG145" s="194">
        <f t="shared" si="74"/>
        <v>0</v>
      </c>
      <c r="AH145" s="194">
        <f t="shared" si="75"/>
        <v>0</v>
      </c>
      <c r="AI145" s="199">
        <f t="shared" si="76"/>
        <v>0</v>
      </c>
      <c r="AK145" s="71">
        <v>140</v>
      </c>
      <c r="AL145" s="33">
        <f t="shared" si="89"/>
        <v>0</v>
      </c>
      <c r="AM145" s="33">
        <f t="shared" si="90"/>
        <v>0</v>
      </c>
      <c r="AN145" s="33">
        <f t="shared" si="91"/>
        <v>0</v>
      </c>
      <c r="AO145" s="33">
        <f t="shared" si="92"/>
        <v>0</v>
      </c>
      <c r="AP145" s="33">
        <f t="shared" si="93"/>
        <v>0</v>
      </c>
      <c r="AQ145" s="194">
        <f t="shared" si="79"/>
        <v>0</v>
      </c>
      <c r="AR145" s="194">
        <f t="shared" si="79"/>
        <v>0</v>
      </c>
      <c r="AS145" s="194">
        <f t="shared" si="79"/>
        <v>0</v>
      </c>
      <c r="AT145" s="194">
        <f t="shared" si="78"/>
        <v>0</v>
      </c>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96"/>
        <v>0</v>
      </c>
      <c r="K146" s="33">
        <f t="shared" si="97"/>
        <v>0</v>
      </c>
      <c r="L146" s="33">
        <f t="shared" si="98"/>
        <v>0</v>
      </c>
      <c r="M146" s="33">
        <f t="shared" si="99"/>
        <v>0</v>
      </c>
      <c r="N146" s="33">
        <f t="shared" si="80"/>
        <v>0</v>
      </c>
      <c r="O146" s="34">
        <f t="shared" si="81"/>
        <v>0</v>
      </c>
      <c r="P146" s="55">
        <v>141</v>
      </c>
      <c r="Q146" s="33">
        <f t="shared" si="94"/>
        <v>0</v>
      </c>
      <c r="R146" s="33">
        <f t="shared" si="100"/>
        <v>0</v>
      </c>
      <c r="S146" s="33">
        <f t="shared" si="101"/>
        <v>0</v>
      </c>
      <c r="T146" s="33">
        <f t="shared" si="82"/>
        <v>0</v>
      </c>
      <c r="U146" s="33">
        <f t="shared" si="95"/>
        <v>0</v>
      </c>
      <c r="V146" s="33">
        <f t="shared" si="83"/>
        <v>0</v>
      </c>
      <c r="W146" s="33">
        <v>0</v>
      </c>
      <c r="X146" s="33">
        <f t="shared" si="84"/>
        <v>0</v>
      </c>
      <c r="Y146" s="38">
        <f t="shared" si="85"/>
        <v>0</v>
      </c>
      <c r="AA146" s="71">
        <v>141</v>
      </c>
      <c r="AB146" s="33">
        <f t="shared" si="86"/>
        <v>0</v>
      </c>
      <c r="AC146" s="305">
        <f t="shared" si="77"/>
        <v>0</v>
      </c>
      <c r="AD146" s="100">
        <f t="shared" si="87"/>
        <v>0</v>
      </c>
      <c r="AE146" s="100">
        <f t="shared" si="88"/>
        <v>0</v>
      </c>
      <c r="AF146" s="194">
        <f t="shared" si="73"/>
        <v>0</v>
      </c>
      <c r="AG146" s="194">
        <f t="shared" si="74"/>
        <v>0</v>
      </c>
      <c r="AH146" s="194">
        <f t="shared" si="75"/>
        <v>0</v>
      </c>
      <c r="AI146" s="199">
        <f t="shared" si="76"/>
        <v>0</v>
      </c>
      <c r="AK146" s="71">
        <v>141</v>
      </c>
      <c r="AL146" s="33">
        <f t="shared" si="89"/>
        <v>0</v>
      </c>
      <c r="AM146" s="33">
        <f t="shared" si="90"/>
        <v>0</v>
      </c>
      <c r="AN146" s="33">
        <f t="shared" si="91"/>
        <v>0</v>
      </c>
      <c r="AO146" s="33">
        <f t="shared" si="92"/>
        <v>0</v>
      </c>
      <c r="AP146" s="33">
        <f t="shared" si="93"/>
        <v>0</v>
      </c>
      <c r="AQ146" s="194">
        <f t="shared" si="79"/>
        <v>0</v>
      </c>
      <c r="AR146" s="194">
        <f t="shared" si="79"/>
        <v>0</v>
      </c>
      <c r="AS146" s="194">
        <f t="shared" si="79"/>
        <v>0</v>
      </c>
      <c r="AT146" s="194">
        <f t="shared" si="78"/>
        <v>0</v>
      </c>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96"/>
        <v>0</v>
      </c>
      <c r="K147" s="33">
        <f t="shared" si="97"/>
        <v>0</v>
      </c>
      <c r="L147" s="33">
        <f t="shared" si="98"/>
        <v>0</v>
      </c>
      <c r="M147" s="33">
        <f t="shared" si="99"/>
        <v>0</v>
      </c>
      <c r="N147" s="33">
        <f t="shared" si="80"/>
        <v>0</v>
      </c>
      <c r="O147" s="34">
        <f t="shared" si="81"/>
        <v>0</v>
      </c>
      <c r="P147" s="55">
        <v>142</v>
      </c>
      <c r="Q147" s="33">
        <f t="shared" si="94"/>
        <v>0</v>
      </c>
      <c r="R147" s="33">
        <f t="shared" si="100"/>
        <v>0</v>
      </c>
      <c r="S147" s="33">
        <f t="shared" si="101"/>
        <v>0</v>
      </c>
      <c r="T147" s="33">
        <f t="shared" si="82"/>
        <v>0</v>
      </c>
      <c r="U147" s="33">
        <f t="shared" si="95"/>
        <v>0</v>
      </c>
      <c r="V147" s="33">
        <f t="shared" si="83"/>
        <v>0</v>
      </c>
      <c r="W147" s="33">
        <v>0</v>
      </c>
      <c r="X147" s="33">
        <f t="shared" si="84"/>
        <v>0</v>
      </c>
      <c r="Y147" s="38">
        <f t="shared" si="85"/>
        <v>0</v>
      </c>
      <c r="AA147" s="71">
        <v>142</v>
      </c>
      <c r="AB147" s="33">
        <f t="shared" si="86"/>
        <v>0</v>
      </c>
      <c r="AC147" s="305">
        <f t="shared" si="77"/>
        <v>0</v>
      </c>
      <c r="AD147" s="100">
        <f t="shared" si="87"/>
        <v>0</v>
      </c>
      <c r="AE147" s="100">
        <f t="shared" si="88"/>
        <v>0</v>
      </c>
      <c r="AF147" s="194">
        <f t="shared" si="73"/>
        <v>0</v>
      </c>
      <c r="AG147" s="194">
        <f t="shared" si="74"/>
        <v>0</v>
      </c>
      <c r="AH147" s="194">
        <f t="shared" si="75"/>
        <v>0</v>
      </c>
      <c r="AI147" s="199">
        <f t="shared" si="76"/>
        <v>0</v>
      </c>
      <c r="AK147" s="71">
        <v>142</v>
      </c>
      <c r="AL147" s="33">
        <f t="shared" si="89"/>
        <v>0</v>
      </c>
      <c r="AM147" s="33">
        <f t="shared" si="90"/>
        <v>0</v>
      </c>
      <c r="AN147" s="33">
        <f t="shared" si="91"/>
        <v>0</v>
      </c>
      <c r="AO147" s="33">
        <f t="shared" si="92"/>
        <v>0</v>
      </c>
      <c r="AP147" s="33">
        <f t="shared" si="93"/>
        <v>0</v>
      </c>
      <c r="AQ147" s="194">
        <f t="shared" si="79"/>
        <v>0</v>
      </c>
      <c r="AR147" s="194">
        <f t="shared" si="79"/>
        <v>0</v>
      </c>
      <c r="AS147" s="194">
        <f t="shared" si="79"/>
        <v>0</v>
      </c>
      <c r="AT147" s="194">
        <f t="shared" si="78"/>
        <v>0</v>
      </c>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96"/>
        <v>0</v>
      </c>
      <c r="K148" s="33">
        <f t="shared" si="97"/>
        <v>0</v>
      </c>
      <c r="L148" s="33">
        <f t="shared" si="98"/>
        <v>0</v>
      </c>
      <c r="M148" s="33">
        <f t="shared" si="99"/>
        <v>0</v>
      </c>
      <c r="N148" s="33">
        <f t="shared" si="80"/>
        <v>0</v>
      </c>
      <c r="O148" s="34">
        <f t="shared" si="81"/>
        <v>0</v>
      </c>
      <c r="P148" s="55">
        <v>143</v>
      </c>
      <c r="Q148" s="33">
        <f t="shared" si="94"/>
        <v>0</v>
      </c>
      <c r="R148" s="33">
        <f t="shared" si="100"/>
        <v>0</v>
      </c>
      <c r="S148" s="33">
        <f t="shared" si="101"/>
        <v>0</v>
      </c>
      <c r="T148" s="33">
        <f t="shared" si="82"/>
        <v>0</v>
      </c>
      <c r="U148" s="33">
        <f t="shared" si="95"/>
        <v>0</v>
      </c>
      <c r="V148" s="33">
        <f t="shared" si="83"/>
        <v>0</v>
      </c>
      <c r="W148" s="33">
        <v>0</v>
      </c>
      <c r="X148" s="33">
        <f t="shared" si="84"/>
        <v>0</v>
      </c>
      <c r="Y148" s="38">
        <f t="shared" si="85"/>
        <v>0</v>
      </c>
      <c r="AA148" s="71">
        <v>143</v>
      </c>
      <c r="AB148" s="33">
        <f t="shared" si="86"/>
        <v>0</v>
      </c>
      <c r="AC148" s="305">
        <f t="shared" si="77"/>
        <v>0</v>
      </c>
      <c r="AD148" s="100">
        <f t="shared" si="87"/>
        <v>0</v>
      </c>
      <c r="AE148" s="100">
        <f t="shared" si="88"/>
        <v>0</v>
      </c>
      <c r="AF148" s="194">
        <f t="shared" si="73"/>
        <v>0</v>
      </c>
      <c r="AG148" s="194">
        <f t="shared" si="74"/>
        <v>0</v>
      </c>
      <c r="AH148" s="194">
        <f t="shared" si="75"/>
        <v>0</v>
      </c>
      <c r="AI148" s="199">
        <f t="shared" si="76"/>
        <v>0</v>
      </c>
      <c r="AK148" s="71">
        <v>143</v>
      </c>
      <c r="AL148" s="33">
        <f t="shared" si="89"/>
        <v>0</v>
      </c>
      <c r="AM148" s="33">
        <f t="shared" si="90"/>
        <v>0</v>
      </c>
      <c r="AN148" s="33">
        <f t="shared" si="91"/>
        <v>0</v>
      </c>
      <c r="AO148" s="33">
        <f t="shared" si="92"/>
        <v>0</v>
      </c>
      <c r="AP148" s="33">
        <f t="shared" si="93"/>
        <v>0</v>
      </c>
      <c r="AQ148" s="194">
        <f t="shared" si="79"/>
        <v>0</v>
      </c>
      <c r="AR148" s="194">
        <f t="shared" si="79"/>
        <v>0</v>
      </c>
      <c r="AS148" s="194">
        <f t="shared" si="79"/>
        <v>0</v>
      </c>
      <c r="AT148" s="194">
        <f t="shared" si="78"/>
        <v>0</v>
      </c>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96"/>
        <v>0</v>
      </c>
      <c r="K149" s="33">
        <f t="shared" si="97"/>
        <v>0</v>
      </c>
      <c r="L149" s="33">
        <f t="shared" si="98"/>
        <v>0</v>
      </c>
      <c r="M149" s="33">
        <f t="shared" si="99"/>
        <v>0</v>
      </c>
      <c r="N149" s="33">
        <f t="shared" si="80"/>
        <v>0</v>
      </c>
      <c r="O149" s="34">
        <f t="shared" si="81"/>
        <v>0</v>
      </c>
      <c r="P149" s="55">
        <v>144</v>
      </c>
      <c r="Q149" s="33">
        <f t="shared" si="94"/>
        <v>0</v>
      </c>
      <c r="R149" s="33">
        <f t="shared" si="100"/>
        <v>0</v>
      </c>
      <c r="S149" s="33">
        <f t="shared" si="101"/>
        <v>0</v>
      </c>
      <c r="T149" s="33">
        <f t="shared" si="82"/>
        <v>0</v>
      </c>
      <c r="U149" s="33">
        <f t="shared" si="95"/>
        <v>0</v>
      </c>
      <c r="V149" s="33">
        <f t="shared" si="83"/>
        <v>0</v>
      </c>
      <c r="W149" s="33">
        <v>0</v>
      </c>
      <c r="X149" s="33">
        <f t="shared" si="84"/>
        <v>0</v>
      </c>
      <c r="Y149" s="38">
        <f t="shared" si="85"/>
        <v>0</v>
      </c>
      <c r="AA149" s="71">
        <v>144</v>
      </c>
      <c r="AB149" s="33">
        <f t="shared" si="86"/>
        <v>0</v>
      </c>
      <c r="AC149" s="305">
        <f t="shared" si="77"/>
        <v>0</v>
      </c>
      <c r="AD149" s="100">
        <f t="shared" si="87"/>
        <v>0</v>
      </c>
      <c r="AE149" s="100">
        <f t="shared" si="88"/>
        <v>0</v>
      </c>
      <c r="AF149" s="194">
        <f t="shared" si="73"/>
        <v>0</v>
      </c>
      <c r="AG149" s="194">
        <f t="shared" si="74"/>
        <v>0</v>
      </c>
      <c r="AH149" s="194">
        <f t="shared" si="75"/>
        <v>0</v>
      </c>
      <c r="AI149" s="199">
        <f t="shared" si="76"/>
        <v>0</v>
      </c>
      <c r="AK149" s="71">
        <v>144</v>
      </c>
      <c r="AL149" s="33">
        <f t="shared" si="89"/>
        <v>0</v>
      </c>
      <c r="AM149" s="33">
        <f t="shared" si="90"/>
        <v>0</v>
      </c>
      <c r="AN149" s="33">
        <f t="shared" si="91"/>
        <v>0</v>
      </c>
      <c r="AO149" s="33">
        <f t="shared" si="92"/>
        <v>0</v>
      </c>
      <c r="AP149" s="33">
        <f t="shared" si="93"/>
        <v>0</v>
      </c>
      <c r="AQ149" s="194">
        <f t="shared" si="79"/>
        <v>0</v>
      </c>
      <c r="AR149" s="194">
        <f t="shared" si="79"/>
        <v>0</v>
      </c>
      <c r="AS149" s="194">
        <f t="shared" si="79"/>
        <v>0</v>
      </c>
      <c r="AT149" s="194">
        <f t="shared" si="78"/>
        <v>0</v>
      </c>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96"/>
        <v>0</v>
      </c>
      <c r="K150" s="33">
        <f t="shared" si="97"/>
        <v>0</v>
      </c>
      <c r="L150" s="33">
        <f t="shared" si="98"/>
        <v>0</v>
      </c>
      <c r="M150" s="33">
        <f t="shared" si="99"/>
        <v>0</v>
      </c>
      <c r="N150" s="33">
        <f t="shared" si="80"/>
        <v>0</v>
      </c>
      <c r="O150" s="34">
        <f t="shared" si="81"/>
        <v>0</v>
      </c>
      <c r="P150" s="55">
        <v>145</v>
      </c>
      <c r="Q150" s="33">
        <f t="shared" si="94"/>
        <v>0</v>
      </c>
      <c r="R150" s="33">
        <f t="shared" si="100"/>
        <v>0</v>
      </c>
      <c r="S150" s="33">
        <f t="shared" si="101"/>
        <v>0</v>
      </c>
      <c r="T150" s="33">
        <f t="shared" si="82"/>
        <v>0</v>
      </c>
      <c r="U150" s="33">
        <f t="shared" si="95"/>
        <v>0</v>
      </c>
      <c r="V150" s="33">
        <f t="shared" si="83"/>
        <v>0</v>
      </c>
      <c r="W150" s="33">
        <v>0</v>
      </c>
      <c r="X150" s="33">
        <f t="shared" si="84"/>
        <v>0</v>
      </c>
      <c r="Y150" s="38">
        <f t="shared" si="85"/>
        <v>0</v>
      </c>
      <c r="AA150" s="71">
        <v>145</v>
      </c>
      <c r="AB150" s="33">
        <f t="shared" si="86"/>
        <v>0</v>
      </c>
      <c r="AC150" s="305">
        <f t="shared" si="77"/>
        <v>0</v>
      </c>
      <c r="AD150" s="100">
        <f t="shared" si="87"/>
        <v>0</v>
      </c>
      <c r="AE150" s="100">
        <f t="shared" si="88"/>
        <v>0</v>
      </c>
      <c r="AF150" s="194">
        <f t="shared" si="73"/>
        <v>0</v>
      </c>
      <c r="AG150" s="194">
        <f t="shared" si="74"/>
        <v>0</v>
      </c>
      <c r="AH150" s="194">
        <f t="shared" si="75"/>
        <v>0</v>
      </c>
      <c r="AI150" s="199">
        <f t="shared" si="76"/>
        <v>0</v>
      </c>
      <c r="AK150" s="71">
        <v>145</v>
      </c>
      <c r="AL150" s="33">
        <f t="shared" si="89"/>
        <v>0</v>
      </c>
      <c r="AM150" s="33">
        <f t="shared" si="90"/>
        <v>0</v>
      </c>
      <c r="AN150" s="33">
        <f t="shared" si="91"/>
        <v>0</v>
      </c>
      <c r="AO150" s="33">
        <f t="shared" si="92"/>
        <v>0</v>
      </c>
      <c r="AP150" s="33">
        <f t="shared" si="93"/>
        <v>0</v>
      </c>
      <c r="AQ150" s="194">
        <f t="shared" si="79"/>
        <v>0</v>
      </c>
      <c r="AR150" s="194">
        <f t="shared" si="79"/>
        <v>0</v>
      </c>
      <c r="AS150" s="194">
        <f t="shared" si="79"/>
        <v>0</v>
      </c>
      <c r="AT150" s="194">
        <f t="shared" si="78"/>
        <v>0</v>
      </c>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96"/>
        <v>0</v>
      </c>
      <c r="K151" s="33">
        <f t="shared" si="97"/>
        <v>0</v>
      </c>
      <c r="L151" s="33">
        <f t="shared" si="98"/>
        <v>0</v>
      </c>
      <c r="M151" s="33">
        <f t="shared" si="99"/>
        <v>0</v>
      </c>
      <c r="N151" s="33">
        <f t="shared" si="80"/>
        <v>0</v>
      </c>
      <c r="O151" s="34">
        <f t="shared" si="81"/>
        <v>0</v>
      </c>
      <c r="P151" s="55">
        <v>146</v>
      </c>
      <c r="Q151" s="33">
        <f t="shared" si="94"/>
        <v>0</v>
      </c>
      <c r="R151" s="33">
        <f t="shared" si="100"/>
        <v>0</v>
      </c>
      <c r="S151" s="33">
        <f t="shared" si="101"/>
        <v>0</v>
      </c>
      <c r="T151" s="33">
        <f t="shared" si="82"/>
        <v>0</v>
      </c>
      <c r="U151" s="33">
        <f t="shared" si="95"/>
        <v>0</v>
      </c>
      <c r="V151" s="33">
        <f t="shared" si="83"/>
        <v>0</v>
      </c>
      <c r="W151" s="33">
        <v>0</v>
      </c>
      <c r="X151" s="33">
        <f t="shared" si="84"/>
        <v>0</v>
      </c>
      <c r="Y151" s="38">
        <f t="shared" si="85"/>
        <v>0</v>
      </c>
      <c r="AA151" s="71">
        <v>146</v>
      </c>
      <c r="AB151" s="33">
        <f t="shared" si="86"/>
        <v>0</v>
      </c>
      <c r="AC151" s="305">
        <f t="shared" si="77"/>
        <v>0</v>
      </c>
      <c r="AD151" s="100">
        <f t="shared" si="87"/>
        <v>0</v>
      </c>
      <c r="AE151" s="100">
        <f t="shared" si="88"/>
        <v>0</v>
      </c>
      <c r="AF151" s="194">
        <f t="shared" si="73"/>
        <v>0</v>
      </c>
      <c r="AG151" s="194">
        <f t="shared" si="74"/>
        <v>0</v>
      </c>
      <c r="AH151" s="194">
        <f t="shared" si="75"/>
        <v>0</v>
      </c>
      <c r="AI151" s="199">
        <f t="shared" si="76"/>
        <v>0</v>
      </c>
      <c r="AK151" s="71">
        <v>146</v>
      </c>
      <c r="AL151" s="33">
        <f t="shared" si="89"/>
        <v>0</v>
      </c>
      <c r="AM151" s="33">
        <f t="shared" si="90"/>
        <v>0</v>
      </c>
      <c r="AN151" s="33">
        <f t="shared" si="91"/>
        <v>0</v>
      </c>
      <c r="AO151" s="33">
        <f t="shared" si="92"/>
        <v>0</v>
      </c>
      <c r="AP151" s="33">
        <f t="shared" si="93"/>
        <v>0</v>
      </c>
      <c r="AQ151" s="194">
        <f t="shared" si="79"/>
        <v>0</v>
      </c>
      <c r="AR151" s="194">
        <f t="shared" si="79"/>
        <v>0</v>
      </c>
      <c r="AS151" s="194">
        <f t="shared" si="79"/>
        <v>0</v>
      </c>
      <c r="AT151" s="194">
        <f t="shared" si="78"/>
        <v>0</v>
      </c>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96"/>
        <v>0</v>
      </c>
      <c r="K152" s="33">
        <f t="shared" si="97"/>
        <v>0</v>
      </c>
      <c r="L152" s="33">
        <f t="shared" si="98"/>
        <v>0</v>
      </c>
      <c r="M152" s="33">
        <f t="shared" si="99"/>
        <v>0</v>
      </c>
      <c r="N152" s="33">
        <f t="shared" si="80"/>
        <v>0</v>
      </c>
      <c r="O152" s="34">
        <f t="shared" si="81"/>
        <v>0</v>
      </c>
      <c r="P152" s="55">
        <v>147</v>
      </c>
      <c r="Q152" s="33">
        <f t="shared" si="94"/>
        <v>0</v>
      </c>
      <c r="R152" s="33">
        <f t="shared" si="100"/>
        <v>0</v>
      </c>
      <c r="S152" s="33">
        <f t="shared" si="101"/>
        <v>0</v>
      </c>
      <c r="T152" s="33">
        <f t="shared" si="82"/>
        <v>0</v>
      </c>
      <c r="U152" s="33">
        <f t="shared" si="95"/>
        <v>0</v>
      </c>
      <c r="V152" s="33">
        <f t="shared" si="83"/>
        <v>0</v>
      </c>
      <c r="W152" s="33">
        <v>0</v>
      </c>
      <c r="X152" s="33">
        <f t="shared" si="84"/>
        <v>0</v>
      </c>
      <c r="Y152" s="38">
        <f t="shared" si="85"/>
        <v>0</v>
      </c>
      <c r="AA152" s="71">
        <v>147</v>
      </c>
      <c r="AB152" s="33">
        <f t="shared" si="86"/>
        <v>0</v>
      </c>
      <c r="AC152" s="305">
        <f t="shared" si="77"/>
        <v>0</v>
      </c>
      <c r="AD152" s="100">
        <f t="shared" si="87"/>
        <v>0</v>
      </c>
      <c r="AE152" s="100">
        <f t="shared" si="88"/>
        <v>0</v>
      </c>
      <c r="AF152" s="194">
        <f t="shared" si="73"/>
        <v>0</v>
      </c>
      <c r="AG152" s="194">
        <f t="shared" si="74"/>
        <v>0</v>
      </c>
      <c r="AH152" s="194">
        <f t="shared" si="75"/>
        <v>0</v>
      </c>
      <c r="AI152" s="199">
        <f t="shared" si="76"/>
        <v>0</v>
      </c>
      <c r="AK152" s="71">
        <v>147</v>
      </c>
      <c r="AL152" s="33">
        <f t="shared" si="89"/>
        <v>0</v>
      </c>
      <c r="AM152" s="33">
        <f t="shared" si="90"/>
        <v>0</v>
      </c>
      <c r="AN152" s="33">
        <f t="shared" si="91"/>
        <v>0</v>
      </c>
      <c r="AO152" s="33">
        <f t="shared" si="92"/>
        <v>0</v>
      </c>
      <c r="AP152" s="33">
        <f t="shared" si="93"/>
        <v>0</v>
      </c>
      <c r="AQ152" s="194">
        <f t="shared" si="79"/>
        <v>0</v>
      </c>
      <c r="AR152" s="194">
        <f t="shared" si="79"/>
        <v>0</v>
      </c>
      <c r="AS152" s="194">
        <f t="shared" si="79"/>
        <v>0</v>
      </c>
      <c r="AT152" s="194">
        <f t="shared" si="78"/>
        <v>0</v>
      </c>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96"/>
        <v>0</v>
      </c>
      <c r="K153" s="33">
        <f t="shared" si="97"/>
        <v>0</v>
      </c>
      <c r="L153" s="33">
        <f t="shared" si="98"/>
        <v>0</v>
      </c>
      <c r="M153" s="33">
        <f t="shared" si="99"/>
        <v>0</v>
      </c>
      <c r="N153" s="33">
        <f t="shared" si="80"/>
        <v>0</v>
      </c>
      <c r="O153" s="34">
        <f t="shared" si="81"/>
        <v>0</v>
      </c>
      <c r="P153" s="55">
        <v>148</v>
      </c>
      <c r="Q153" s="33">
        <f t="shared" si="94"/>
        <v>0</v>
      </c>
      <c r="R153" s="33">
        <f t="shared" si="100"/>
        <v>0</v>
      </c>
      <c r="S153" s="33">
        <f t="shared" si="101"/>
        <v>0</v>
      </c>
      <c r="T153" s="33">
        <f t="shared" si="82"/>
        <v>0</v>
      </c>
      <c r="U153" s="33">
        <f t="shared" si="95"/>
        <v>0</v>
      </c>
      <c r="V153" s="33">
        <f t="shared" si="83"/>
        <v>0</v>
      </c>
      <c r="W153" s="33">
        <v>0</v>
      </c>
      <c r="X153" s="33">
        <f t="shared" si="84"/>
        <v>0</v>
      </c>
      <c r="Y153" s="38">
        <f t="shared" si="85"/>
        <v>0</v>
      </c>
      <c r="AA153" s="71">
        <v>148</v>
      </c>
      <c r="AB153" s="33">
        <f t="shared" si="86"/>
        <v>0</v>
      </c>
      <c r="AC153" s="305">
        <f t="shared" si="77"/>
        <v>0</v>
      </c>
      <c r="AD153" s="100">
        <f t="shared" si="87"/>
        <v>0</v>
      </c>
      <c r="AE153" s="100">
        <f t="shared" si="88"/>
        <v>0</v>
      </c>
      <c r="AF153" s="194">
        <f t="shared" si="73"/>
        <v>0</v>
      </c>
      <c r="AG153" s="194">
        <f t="shared" si="74"/>
        <v>0</v>
      </c>
      <c r="AH153" s="194">
        <f t="shared" si="75"/>
        <v>0</v>
      </c>
      <c r="AI153" s="199">
        <f t="shared" si="76"/>
        <v>0</v>
      </c>
      <c r="AK153" s="71">
        <v>148</v>
      </c>
      <c r="AL153" s="33">
        <f t="shared" si="89"/>
        <v>0</v>
      </c>
      <c r="AM153" s="33">
        <f t="shared" si="90"/>
        <v>0</v>
      </c>
      <c r="AN153" s="33">
        <f t="shared" si="91"/>
        <v>0</v>
      </c>
      <c r="AO153" s="33">
        <f t="shared" si="92"/>
        <v>0</v>
      </c>
      <c r="AP153" s="33">
        <f t="shared" si="93"/>
        <v>0</v>
      </c>
      <c r="AQ153" s="194">
        <f t="shared" si="79"/>
        <v>0</v>
      </c>
      <c r="AR153" s="194">
        <f t="shared" si="79"/>
        <v>0</v>
      </c>
      <c r="AS153" s="194">
        <f t="shared" si="79"/>
        <v>0</v>
      </c>
      <c r="AT153" s="194">
        <f t="shared" si="78"/>
        <v>0</v>
      </c>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96"/>
        <v>0</v>
      </c>
      <c r="K154" s="33">
        <f t="shared" si="97"/>
        <v>0</v>
      </c>
      <c r="L154" s="33">
        <f t="shared" si="98"/>
        <v>0</v>
      </c>
      <c r="M154" s="33">
        <f t="shared" si="99"/>
        <v>0</v>
      </c>
      <c r="N154" s="33">
        <f t="shared" si="80"/>
        <v>0</v>
      </c>
      <c r="O154" s="34">
        <f t="shared" si="81"/>
        <v>0</v>
      </c>
      <c r="P154" s="55">
        <v>149</v>
      </c>
      <c r="Q154" s="33">
        <f t="shared" si="94"/>
        <v>0</v>
      </c>
      <c r="R154" s="33">
        <f t="shared" si="100"/>
        <v>0</v>
      </c>
      <c r="S154" s="33">
        <f t="shared" si="101"/>
        <v>0</v>
      </c>
      <c r="T154" s="33">
        <f t="shared" si="82"/>
        <v>0</v>
      </c>
      <c r="U154" s="33">
        <f t="shared" si="95"/>
        <v>0</v>
      </c>
      <c r="V154" s="33">
        <f t="shared" si="83"/>
        <v>0</v>
      </c>
      <c r="W154" s="33">
        <v>0</v>
      </c>
      <c r="X154" s="33">
        <f t="shared" si="84"/>
        <v>0</v>
      </c>
      <c r="Y154" s="38">
        <f t="shared" si="85"/>
        <v>0</v>
      </c>
      <c r="AA154" s="71">
        <v>149</v>
      </c>
      <c r="AB154" s="33">
        <f t="shared" si="86"/>
        <v>0</v>
      </c>
      <c r="AC154" s="305">
        <f t="shared" si="77"/>
        <v>0</v>
      </c>
      <c r="AD154" s="100">
        <f t="shared" si="87"/>
        <v>0</v>
      </c>
      <c r="AE154" s="100">
        <f t="shared" si="88"/>
        <v>0</v>
      </c>
      <c r="AF154" s="194">
        <f t="shared" si="73"/>
        <v>0</v>
      </c>
      <c r="AG154" s="194">
        <f t="shared" si="74"/>
        <v>0</v>
      </c>
      <c r="AH154" s="194">
        <f t="shared" si="75"/>
        <v>0</v>
      </c>
      <c r="AI154" s="199">
        <f t="shared" si="76"/>
        <v>0</v>
      </c>
      <c r="AK154" s="71">
        <v>149</v>
      </c>
      <c r="AL154" s="33">
        <f t="shared" si="89"/>
        <v>0</v>
      </c>
      <c r="AM154" s="33">
        <f t="shared" si="90"/>
        <v>0</v>
      </c>
      <c r="AN154" s="33">
        <f t="shared" si="91"/>
        <v>0</v>
      </c>
      <c r="AO154" s="33">
        <f t="shared" si="92"/>
        <v>0</v>
      </c>
      <c r="AP154" s="33">
        <f t="shared" si="93"/>
        <v>0</v>
      </c>
      <c r="AQ154" s="194">
        <f t="shared" si="79"/>
        <v>0</v>
      </c>
      <c r="AR154" s="194">
        <f t="shared" si="79"/>
        <v>0</v>
      </c>
      <c r="AS154" s="194">
        <f t="shared" si="79"/>
        <v>0</v>
      </c>
      <c r="AT154" s="194">
        <f t="shared" si="78"/>
        <v>0</v>
      </c>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96"/>
        <v>0</v>
      </c>
      <c r="K155" s="33">
        <f t="shared" si="97"/>
        <v>0</v>
      </c>
      <c r="L155" s="33">
        <f t="shared" si="98"/>
        <v>0</v>
      </c>
      <c r="M155" s="33">
        <f t="shared" si="99"/>
        <v>0</v>
      </c>
      <c r="N155" s="33">
        <f t="shared" si="80"/>
        <v>0</v>
      </c>
      <c r="O155" s="34">
        <f t="shared" si="81"/>
        <v>0</v>
      </c>
      <c r="P155" s="55">
        <v>150</v>
      </c>
      <c r="Q155" s="33">
        <f t="shared" si="94"/>
        <v>0</v>
      </c>
      <c r="R155" s="33">
        <f t="shared" si="100"/>
        <v>0</v>
      </c>
      <c r="S155" s="33">
        <f t="shared" si="101"/>
        <v>0</v>
      </c>
      <c r="T155" s="33">
        <f t="shared" si="82"/>
        <v>0</v>
      </c>
      <c r="U155" s="33">
        <f t="shared" si="95"/>
        <v>0</v>
      </c>
      <c r="V155" s="33">
        <f t="shared" si="83"/>
        <v>0</v>
      </c>
      <c r="W155" s="33">
        <v>0</v>
      </c>
      <c r="X155" s="33">
        <f t="shared" si="84"/>
        <v>0</v>
      </c>
      <c r="Y155" s="38">
        <f t="shared" si="85"/>
        <v>0</v>
      </c>
      <c r="AA155" s="71">
        <v>150</v>
      </c>
      <c r="AB155" s="33">
        <f t="shared" si="86"/>
        <v>0</v>
      </c>
      <c r="AC155" s="305">
        <f t="shared" si="77"/>
        <v>0</v>
      </c>
      <c r="AD155" s="100">
        <f t="shared" si="87"/>
        <v>0</v>
      </c>
      <c r="AE155" s="100">
        <f t="shared" si="88"/>
        <v>0</v>
      </c>
      <c r="AF155" s="194">
        <f t="shared" ref="AF155:AF205" si="102">IF(OR(AA155&lt;=$F$18,AA155&lt;=30),EXP(-LN(2)/$D$104)*AF154+((1-EXP(-LN(2)/$D$104))/(LN(2)/$D$104))*$AB155*AC155*0.475*$F$19*44/12,)</f>
        <v>0</v>
      </c>
      <c r="AG155" s="194">
        <f t="shared" ref="AG155:AG205" si="103">IF(OR(AA155&lt;=$F$18,AA155&lt;=30),EXP(-LN(2)/$D$106)*AG154+((1-EXP(-LN(2)/$D$106))/(LN(2)/$D$106))*$AB155*AD155*0.475*$F$19*44/12,)</f>
        <v>0</v>
      </c>
      <c r="AH155" s="194">
        <f t="shared" ref="AH155:AH205" si="104">IF(OR(AA155&lt;=$F$18,AA155&lt;=30),EXP(-LN(2)/$D$105)*AH154+((1-EXP(-LN(2)/$D$105))/(LN(2)/$D$105))*$AB155*AE155*0.475*$F$19*44/12,)</f>
        <v>0</v>
      </c>
      <c r="AI155" s="199">
        <f t="shared" ref="AI155:AI205" si="105">IF(OR(AA155&lt;=$F$18,AA155&lt;=30),SUM(AF155:AH155),)</f>
        <v>0</v>
      </c>
      <c r="AK155" s="71">
        <v>150</v>
      </c>
      <c r="AL155" s="33">
        <f t="shared" si="89"/>
        <v>0</v>
      </c>
      <c r="AM155" s="33">
        <f t="shared" si="90"/>
        <v>0</v>
      </c>
      <c r="AN155" s="33">
        <f t="shared" si="91"/>
        <v>0</v>
      </c>
      <c r="AO155" s="33">
        <f t="shared" si="92"/>
        <v>0</v>
      </c>
      <c r="AP155" s="33">
        <f t="shared" si="93"/>
        <v>0</v>
      </c>
      <c r="AQ155" s="194">
        <f t="shared" si="79"/>
        <v>0</v>
      </c>
      <c r="AR155" s="194">
        <f t="shared" si="79"/>
        <v>0</v>
      </c>
      <c r="AS155" s="194">
        <f t="shared" si="79"/>
        <v>0</v>
      </c>
      <c r="AT155" s="194">
        <f t="shared" si="78"/>
        <v>0</v>
      </c>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96"/>
        <v>0</v>
      </c>
      <c r="K156" s="33">
        <f t="shared" si="97"/>
        <v>0</v>
      </c>
      <c r="L156" s="33">
        <f t="shared" si="98"/>
        <v>0</v>
      </c>
      <c r="M156" s="33">
        <f t="shared" si="99"/>
        <v>0</v>
      </c>
      <c r="N156" s="33">
        <f t="shared" si="80"/>
        <v>0</v>
      </c>
      <c r="O156" s="34">
        <f t="shared" si="81"/>
        <v>0</v>
      </c>
      <c r="P156" s="55">
        <v>151</v>
      </c>
      <c r="Q156" s="33">
        <f t="shared" si="94"/>
        <v>0</v>
      </c>
      <c r="R156" s="33">
        <f t="shared" si="100"/>
        <v>0</v>
      </c>
      <c r="S156" s="33">
        <f t="shared" si="101"/>
        <v>0</v>
      </c>
      <c r="T156" s="33">
        <f t="shared" si="82"/>
        <v>0</v>
      </c>
      <c r="U156" s="33">
        <f t="shared" si="95"/>
        <v>0</v>
      </c>
      <c r="V156" s="33">
        <f t="shared" si="83"/>
        <v>0</v>
      </c>
      <c r="W156" s="33">
        <v>0</v>
      </c>
      <c r="X156" s="33">
        <f t="shared" si="84"/>
        <v>0</v>
      </c>
      <c r="Y156" s="38">
        <f t="shared" si="85"/>
        <v>0</v>
      </c>
      <c r="AA156" s="71">
        <v>151</v>
      </c>
      <c r="AB156" s="33">
        <f t="shared" si="86"/>
        <v>0</v>
      </c>
      <c r="AC156" s="305">
        <f t="shared" si="77"/>
        <v>0</v>
      </c>
      <c r="AD156" s="100">
        <f t="shared" si="87"/>
        <v>0</v>
      </c>
      <c r="AE156" s="100">
        <f t="shared" si="88"/>
        <v>0</v>
      </c>
      <c r="AF156" s="194">
        <f t="shared" si="102"/>
        <v>0</v>
      </c>
      <c r="AG156" s="194">
        <f t="shared" si="103"/>
        <v>0</v>
      </c>
      <c r="AH156" s="194">
        <f t="shared" si="104"/>
        <v>0</v>
      </c>
      <c r="AI156" s="199">
        <f t="shared" si="105"/>
        <v>0</v>
      </c>
      <c r="AK156" s="71">
        <v>151</v>
      </c>
      <c r="AL156" s="33">
        <f t="shared" si="89"/>
        <v>0</v>
      </c>
      <c r="AM156" s="33">
        <f t="shared" si="90"/>
        <v>0</v>
      </c>
      <c r="AN156" s="33">
        <f t="shared" si="91"/>
        <v>0</v>
      </c>
      <c r="AO156" s="33">
        <f t="shared" si="92"/>
        <v>0</v>
      </c>
      <c r="AP156" s="33">
        <f t="shared" si="93"/>
        <v>0</v>
      </c>
      <c r="AQ156" s="194">
        <f t="shared" si="79"/>
        <v>0</v>
      </c>
      <c r="AR156" s="194">
        <f t="shared" si="79"/>
        <v>0</v>
      </c>
      <c r="AS156" s="194">
        <f t="shared" si="79"/>
        <v>0</v>
      </c>
      <c r="AT156" s="194">
        <f t="shared" si="78"/>
        <v>0</v>
      </c>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96"/>
        <v>0</v>
      </c>
      <c r="K157" s="33">
        <f t="shared" si="97"/>
        <v>0</v>
      </c>
      <c r="L157" s="33">
        <f t="shared" si="98"/>
        <v>0</v>
      </c>
      <c r="M157" s="33">
        <f t="shared" si="99"/>
        <v>0</v>
      </c>
      <c r="N157" s="33">
        <f t="shared" si="80"/>
        <v>0</v>
      </c>
      <c r="O157" s="34">
        <f t="shared" si="81"/>
        <v>0</v>
      </c>
      <c r="P157" s="55">
        <v>152</v>
      </c>
      <c r="Q157" s="33">
        <f t="shared" si="94"/>
        <v>0</v>
      </c>
      <c r="R157" s="33">
        <f t="shared" si="100"/>
        <v>0</v>
      </c>
      <c r="S157" s="33">
        <f t="shared" si="101"/>
        <v>0</v>
      </c>
      <c r="T157" s="33">
        <f t="shared" si="82"/>
        <v>0</v>
      </c>
      <c r="U157" s="33">
        <f t="shared" si="95"/>
        <v>0</v>
      </c>
      <c r="V157" s="33">
        <f t="shared" si="83"/>
        <v>0</v>
      </c>
      <c r="W157" s="33">
        <v>0</v>
      </c>
      <c r="X157" s="33">
        <f t="shared" si="84"/>
        <v>0</v>
      </c>
      <c r="Y157" s="38">
        <f t="shared" si="85"/>
        <v>0</v>
      </c>
      <c r="AA157" s="71">
        <v>152</v>
      </c>
      <c r="AB157" s="33">
        <f t="shared" si="86"/>
        <v>0</v>
      </c>
      <c r="AC157" s="305">
        <f t="shared" si="77"/>
        <v>0</v>
      </c>
      <c r="AD157" s="100">
        <f t="shared" si="87"/>
        <v>0</v>
      </c>
      <c r="AE157" s="100">
        <f t="shared" si="88"/>
        <v>0</v>
      </c>
      <c r="AF157" s="194">
        <f t="shared" si="102"/>
        <v>0</v>
      </c>
      <c r="AG157" s="194">
        <f t="shared" si="103"/>
        <v>0</v>
      </c>
      <c r="AH157" s="194">
        <f t="shared" si="104"/>
        <v>0</v>
      </c>
      <c r="AI157" s="199">
        <f t="shared" si="105"/>
        <v>0</v>
      </c>
      <c r="AK157" s="71">
        <v>152</v>
      </c>
      <c r="AL157" s="33">
        <f t="shared" si="89"/>
        <v>0</v>
      </c>
      <c r="AM157" s="33">
        <f t="shared" si="90"/>
        <v>0</v>
      </c>
      <c r="AN157" s="33">
        <f t="shared" si="91"/>
        <v>0</v>
      </c>
      <c r="AO157" s="33">
        <f t="shared" si="92"/>
        <v>0</v>
      </c>
      <c r="AP157" s="33">
        <f t="shared" si="93"/>
        <v>0</v>
      </c>
      <c r="AQ157" s="194">
        <f t="shared" si="79"/>
        <v>0</v>
      </c>
      <c r="AR157" s="194">
        <f t="shared" si="79"/>
        <v>0</v>
      </c>
      <c r="AS157" s="194">
        <f t="shared" si="79"/>
        <v>0</v>
      </c>
      <c r="AT157" s="194">
        <f t="shared" si="78"/>
        <v>0</v>
      </c>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96"/>
        <v>0</v>
      </c>
      <c r="K158" s="33">
        <f t="shared" si="97"/>
        <v>0</v>
      </c>
      <c r="L158" s="33">
        <f t="shared" si="98"/>
        <v>0</v>
      </c>
      <c r="M158" s="33">
        <f t="shared" si="99"/>
        <v>0</v>
      </c>
      <c r="N158" s="33">
        <f t="shared" si="80"/>
        <v>0</v>
      </c>
      <c r="O158" s="34">
        <f t="shared" si="81"/>
        <v>0</v>
      </c>
      <c r="P158" s="55">
        <v>153</v>
      </c>
      <c r="Q158" s="33">
        <f t="shared" si="94"/>
        <v>0</v>
      </c>
      <c r="R158" s="33">
        <f t="shared" si="100"/>
        <v>0</v>
      </c>
      <c r="S158" s="33">
        <f t="shared" si="101"/>
        <v>0</v>
      </c>
      <c r="T158" s="33">
        <f t="shared" si="82"/>
        <v>0</v>
      </c>
      <c r="U158" s="33">
        <f t="shared" si="95"/>
        <v>0</v>
      </c>
      <c r="V158" s="33">
        <f t="shared" si="83"/>
        <v>0</v>
      </c>
      <c r="W158" s="33">
        <v>0</v>
      </c>
      <c r="X158" s="33">
        <f t="shared" si="84"/>
        <v>0</v>
      </c>
      <c r="Y158" s="38">
        <f t="shared" si="85"/>
        <v>0</v>
      </c>
      <c r="AA158" s="71">
        <v>153</v>
      </c>
      <c r="AB158" s="33">
        <f t="shared" si="86"/>
        <v>0</v>
      </c>
      <c r="AC158" s="305">
        <f t="shared" si="77"/>
        <v>0</v>
      </c>
      <c r="AD158" s="100">
        <f t="shared" si="87"/>
        <v>0</v>
      </c>
      <c r="AE158" s="100">
        <f t="shared" si="88"/>
        <v>0</v>
      </c>
      <c r="AF158" s="194">
        <f t="shared" si="102"/>
        <v>0</v>
      </c>
      <c r="AG158" s="194">
        <f t="shared" si="103"/>
        <v>0</v>
      </c>
      <c r="AH158" s="194">
        <f t="shared" si="104"/>
        <v>0</v>
      </c>
      <c r="AI158" s="199">
        <f t="shared" si="105"/>
        <v>0</v>
      </c>
      <c r="AK158" s="71">
        <v>153</v>
      </c>
      <c r="AL158" s="33">
        <f t="shared" si="89"/>
        <v>0</v>
      </c>
      <c r="AM158" s="33">
        <f t="shared" si="90"/>
        <v>0</v>
      </c>
      <c r="AN158" s="33">
        <f t="shared" si="91"/>
        <v>0</v>
      </c>
      <c r="AO158" s="33">
        <f t="shared" si="92"/>
        <v>0</v>
      </c>
      <c r="AP158" s="33">
        <f t="shared" si="93"/>
        <v>0</v>
      </c>
      <c r="AQ158" s="194">
        <f t="shared" si="79"/>
        <v>0</v>
      </c>
      <c r="AR158" s="194">
        <f t="shared" si="79"/>
        <v>0</v>
      </c>
      <c r="AS158" s="194">
        <f t="shared" si="79"/>
        <v>0</v>
      </c>
      <c r="AT158" s="194">
        <f t="shared" si="78"/>
        <v>0</v>
      </c>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96"/>
        <v>0</v>
      </c>
      <c r="K159" s="33">
        <f t="shared" si="97"/>
        <v>0</v>
      </c>
      <c r="L159" s="33">
        <f t="shared" si="98"/>
        <v>0</v>
      </c>
      <c r="M159" s="33">
        <f t="shared" si="99"/>
        <v>0</v>
      </c>
      <c r="N159" s="33">
        <f t="shared" si="80"/>
        <v>0</v>
      </c>
      <c r="O159" s="34">
        <f t="shared" si="81"/>
        <v>0</v>
      </c>
      <c r="P159" s="55">
        <v>154</v>
      </c>
      <c r="Q159" s="33">
        <f t="shared" si="94"/>
        <v>0</v>
      </c>
      <c r="R159" s="33">
        <f t="shared" si="100"/>
        <v>0</v>
      </c>
      <c r="S159" s="33">
        <f t="shared" si="101"/>
        <v>0</v>
      </c>
      <c r="T159" s="33">
        <f t="shared" si="82"/>
        <v>0</v>
      </c>
      <c r="U159" s="33">
        <f t="shared" si="95"/>
        <v>0</v>
      </c>
      <c r="V159" s="33">
        <f t="shared" si="83"/>
        <v>0</v>
      </c>
      <c r="W159" s="33">
        <v>0</v>
      </c>
      <c r="X159" s="33">
        <f t="shared" si="84"/>
        <v>0</v>
      </c>
      <c r="Y159" s="38">
        <f t="shared" si="85"/>
        <v>0</v>
      </c>
      <c r="AA159" s="71">
        <v>154</v>
      </c>
      <c r="AB159" s="33">
        <f t="shared" si="86"/>
        <v>0</v>
      </c>
      <c r="AC159" s="305">
        <f t="shared" ref="AC159:AC205" si="106">IF(AA159&lt;=$F$18,IFERROR(VLOOKUP($AA159,$B$82:$G$94,3,FALSE),0),)*50%</f>
        <v>0</v>
      </c>
      <c r="AD159" s="100">
        <f t="shared" si="87"/>
        <v>0</v>
      </c>
      <c r="AE159" s="100">
        <f t="shared" si="88"/>
        <v>0</v>
      </c>
      <c r="AF159" s="194">
        <f t="shared" si="102"/>
        <v>0</v>
      </c>
      <c r="AG159" s="194">
        <f t="shared" si="103"/>
        <v>0</v>
      </c>
      <c r="AH159" s="194">
        <f t="shared" si="104"/>
        <v>0</v>
      </c>
      <c r="AI159" s="199">
        <f t="shared" si="105"/>
        <v>0</v>
      </c>
      <c r="AK159" s="71">
        <v>154</v>
      </c>
      <c r="AL159" s="33">
        <f t="shared" si="89"/>
        <v>0</v>
      </c>
      <c r="AM159" s="33">
        <f t="shared" si="90"/>
        <v>0</v>
      </c>
      <c r="AN159" s="33">
        <f t="shared" si="91"/>
        <v>0</v>
      </c>
      <c r="AO159" s="33">
        <f t="shared" si="92"/>
        <v>0</v>
      </c>
      <c r="AP159" s="33">
        <f t="shared" si="93"/>
        <v>0</v>
      </c>
      <c r="AQ159" s="194">
        <f t="shared" si="79"/>
        <v>0</v>
      </c>
      <c r="AR159" s="194">
        <f t="shared" si="79"/>
        <v>0</v>
      </c>
      <c r="AS159" s="194">
        <f t="shared" si="79"/>
        <v>0</v>
      </c>
      <c r="AT159" s="194">
        <f t="shared" si="78"/>
        <v>0</v>
      </c>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96"/>
        <v>0</v>
      </c>
      <c r="K160" s="33">
        <f t="shared" si="97"/>
        <v>0</v>
      </c>
      <c r="L160" s="33">
        <f t="shared" si="98"/>
        <v>0</v>
      </c>
      <c r="M160" s="33">
        <f t="shared" si="99"/>
        <v>0</v>
      </c>
      <c r="N160" s="33">
        <f t="shared" si="80"/>
        <v>0</v>
      </c>
      <c r="O160" s="34">
        <f t="shared" si="81"/>
        <v>0</v>
      </c>
      <c r="P160" s="55">
        <v>155</v>
      </c>
      <c r="Q160" s="33">
        <f t="shared" si="94"/>
        <v>0</v>
      </c>
      <c r="R160" s="33">
        <f t="shared" si="100"/>
        <v>0</v>
      </c>
      <c r="S160" s="33">
        <f t="shared" si="101"/>
        <v>0</v>
      </c>
      <c r="T160" s="33">
        <f t="shared" si="82"/>
        <v>0</v>
      </c>
      <c r="U160" s="33">
        <f t="shared" si="95"/>
        <v>0</v>
      </c>
      <c r="V160" s="33">
        <f t="shared" si="83"/>
        <v>0</v>
      </c>
      <c r="W160" s="33">
        <v>0</v>
      </c>
      <c r="X160" s="33">
        <f t="shared" si="84"/>
        <v>0</v>
      </c>
      <c r="Y160" s="38">
        <f t="shared" si="85"/>
        <v>0</v>
      </c>
      <c r="AA160" s="71">
        <v>155</v>
      </c>
      <c r="AB160" s="33">
        <f t="shared" si="86"/>
        <v>0</v>
      </c>
      <c r="AC160" s="305">
        <f t="shared" si="106"/>
        <v>0</v>
      </c>
      <c r="AD160" s="100">
        <f t="shared" si="87"/>
        <v>0</v>
      </c>
      <c r="AE160" s="100">
        <f t="shared" si="88"/>
        <v>0</v>
      </c>
      <c r="AF160" s="194">
        <f t="shared" si="102"/>
        <v>0</v>
      </c>
      <c r="AG160" s="194">
        <f t="shared" si="103"/>
        <v>0</v>
      </c>
      <c r="AH160" s="194">
        <f t="shared" si="104"/>
        <v>0</v>
      </c>
      <c r="AI160" s="199">
        <f t="shared" si="105"/>
        <v>0</v>
      </c>
      <c r="AK160" s="71">
        <v>155</v>
      </c>
      <c r="AL160" s="33">
        <f t="shared" si="89"/>
        <v>0</v>
      </c>
      <c r="AM160" s="33">
        <f t="shared" si="90"/>
        <v>0</v>
      </c>
      <c r="AN160" s="33">
        <f t="shared" si="91"/>
        <v>0</v>
      </c>
      <c r="AO160" s="33">
        <f t="shared" si="92"/>
        <v>0</v>
      </c>
      <c r="AP160" s="33">
        <f t="shared" si="93"/>
        <v>0</v>
      </c>
      <c r="AQ160" s="194">
        <f t="shared" si="79"/>
        <v>0</v>
      </c>
      <c r="AR160" s="194">
        <f t="shared" si="79"/>
        <v>0</v>
      </c>
      <c r="AS160" s="194">
        <f t="shared" si="79"/>
        <v>0</v>
      </c>
      <c r="AT160" s="194">
        <f t="shared" si="78"/>
        <v>0</v>
      </c>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96"/>
        <v>0</v>
      </c>
      <c r="K161" s="33">
        <f t="shared" si="97"/>
        <v>0</v>
      </c>
      <c r="L161" s="33">
        <f t="shared" si="98"/>
        <v>0</v>
      </c>
      <c r="M161" s="33">
        <f t="shared" si="99"/>
        <v>0</v>
      </c>
      <c r="N161" s="33">
        <f t="shared" si="80"/>
        <v>0</v>
      </c>
      <c r="O161" s="34">
        <f t="shared" si="81"/>
        <v>0</v>
      </c>
      <c r="P161" s="55">
        <v>156</v>
      </c>
      <c r="Q161" s="33">
        <f t="shared" si="94"/>
        <v>0</v>
      </c>
      <c r="R161" s="33">
        <f t="shared" si="100"/>
        <v>0</v>
      </c>
      <c r="S161" s="33">
        <f t="shared" si="101"/>
        <v>0</v>
      </c>
      <c r="T161" s="33">
        <f t="shared" si="82"/>
        <v>0</v>
      </c>
      <c r="U161" s="33">
        <f t="shared" si="95"/>
        <v>0</v>
      </c>
      <c r="V161" s="33">
        <f t="shared" si="83"/>
        <v>0</v>
      </c>
      <c r="W161" s="33">
        <v>0</v>
      </c>
      <c r="X161" s="33">
        <f t="shared" si="84"/>
        <v>0</v>
      </c>
      <c r="Y161" s="38">
        <f t="shared" si="85"/>
        <v>0</v>
      </c>
      <c r="AA161" s="71">
        <v>156</v>
      </c>
      <c r="AB161" s="33">
        <f t="shared" si="86"/>
        <v>0</v>
      </c>
      <c r="AC161" s="305">
        <f t="shared" si="106"/>
        <v>0</v>
      </c>
      <c r="AD161" s="100">
        <f t="shared" si="87"/>
        <v>0</v>
      </c>
      <c r="AE161" s="100">
        <f t="shared" si="88"/>
        <v>0</v>
      </c>
      <c r="AF161" s="194">
        <f t="shared" si="102"/>
        <v>0</v>
      </c>
      <c r="AG161" s="194">
        <f t="shared" si="103"/>
        <v>0</v>
      </c>
      <c r="AH161" s="194">
        <f t="shared" si="104"/>
        <v>0</v>
      </c>
      <c r="AI161" s="199">
        <f t="shared" si="105"/>
        <v>0</v>
      </c>
      <c r="AK161" s="71">
        <v>156</v>
      </c>
      <c r="AL161" s="33">
        <f t="shared" si="89"/>
        <v>0</v>
      </c>
      <c r="AM161" s="33">
        <f t="shared" si="90"/>
        <v>0</v>
      </c>
      <c r="AN161" s="33">
        <f t="shared" si="91"/>
        <v>0</v>
      </c>
      <c r="AO161" s="33">
        <f t="shared" si="92"/>
        <v>0</v>
      </c>
      <c r="AP161" s="33">
        <f t="shared" si="93"/>
        <v>0</v>
      </c>
      <c r="AQ161" s="194">
        <f t="shared" si="79"/>
        <v>0</v>
      </c>
      <c r="AR161" s="194">
        <f t="shared" si="79"/>
        <v>0</v>
      </c>
      <c r="AS161" s="194">
        <f t="shared" si="79"/>
        <v>0</v>
      </c>
      <c r="AT161" s="194">
        <f t="shared" si="78"/>
        <v>0</v>
      </c>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96"/>
        <v>0</v>
      </c>
      <c r="K162" s="33">
        <f t="shared" si="97"/>
        <v>0</v>
      </c>
      <c r="L162" s="33">
        <f t="shared" si="98"/>
        <v>0</v>
      </c>
      <c r="M162" s="33">
        <f t="shared" si="99"/>
        <v>0</v>
      </c>
      <c r="N162" s="33">
        <f t="shared" si="80"/>
        <v>0</v>
      </c>
      <c r="O162" s="34">
        <f t="shared" si="81"/>
        <v>0</v>
      </c>
      <c r="P162" s="55">
        <v>157</v>
      </c>
      <c r="Q162" s="33">
        <f t="shared" si="94"/>
        <v>0</v>
      </c>
      <c r="R162" s="33">
        <f t="shared" si="100"/>
        <v>0</v>
      </c>
      <c r="S162" s="33">
        <f t="shared" si="101"/>
        <v>0</v>
      </c>
      <c r="T162" s="33">
        <f t="shared" si="82"/>
        <v>0</v>
      </c>
      <c r="U162" s="33">
        <f t="shared" si="95"/>
        <v>0</v>
      </c>
      <c r="V162" s="33">
        <f t="shared" si="83"/>
        <v>0</v>
      </c>
      <c r="W162" s="33">
        <v>0</v>
      </c>
      <c r="X162" s="33">
        <f t="shared" si="84"/>
        <v>0</v>
      </c>
      <c r="Y162" s="38">
        <f t="shared" si="85"/>
        <v>0</v>
      </c>
      <c r="AA162" s="71">
        <v>157</v>
      </c>
      <c r="AB162" s="33">
        <f t="shared" si="86"/>
        <v>0</v>
      </c>
      <c r="AC162" s="305">
        <f t="shared" si="106"/>
        <v>0</v>
      </c>
      <c r="AD162" s="100">
        <f t="shared" si="87"/>
        <v>0</v>
      </c>
      <c r="AE162" s="100">
        <f t="shared" si="88"/>
        <v>0</v>
      </c>
      <c r="AF162" s="194">
        <f t="shared" si="102"/>
        <v>0</v>
      </c>
      <c r="AG162" s="194">
        <f t="shared" si="103"/>
        <v>0</v>
      </c>
      <c r="AH162" s="194">
        <f t="shared" si="104"/>
        <v>0</v>
      </c>
      <c r="AI162" s="199">
        <f t="shared" si="105"/>
        <v>0</v>
      </c>
      <c r="AK162" s="71">
        <v>157</v>
      </c>
      <c r="AL162" s="33">
        <f t="shared" si="89"/>
        <v>0</v>
      </c>
      <c r="AM162" s="33">
        <f t="shared" si="90"/>
        <v>0</v>
      </c>
      <c r="AN162" s="33">
        <f t="shared" si="91"/>
        <v>0</v>
      </c>
      <c r="AO162" s="33">
        <f t="shared" si="92"/>
        <v>0</v>
      </c>
      <c r="AP162" s="33">
        <f t="shared" si="93"/>
        <v>0</v>
      </c>
      <c r="AQ162" s="194">
        <f t="shared" si="79"/>
        <v>0</v>
      </c>
      <c r="AR162" s="194">
        <f t="shared" si="79"/>
        <v>0</v>
      </c>
      <c r="AS162" s="194">
        <f t="shared" si="79"/>
        <v>0</v>
      </c>
      <c r="AT162" s="194">
        <f t="shared" si="78"/>
        <v>0</v>
      </c>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96"/>
        <v>0</v>
      </c>
      <c r="K163" s="33">
        <f t="shared" si="97"/>
        <v>0</v>
      </c>
      <c r="L163" s="33">
        <f t="shared" si="98"/>
        <v>0</v>
      </c>
      <c r="M163" s="33">
        <f t="shared" si="99"/>
        <v>0</v>
      </c>
      <c r="N163" s="33">
        <f t="shared" si="80"/>
        <v>0</v>
      </c>
      <c r="O163" s="34">
        <f t="shared" si="81"/>
        <v>0</v>
      </c>
      <c r="P163" s="55">
        <v>158</v>
      </c>
      <c r="Q163" s="33">
        <f t="shared" si="94"/>
        <v>0</v>
      </c>
      <c r="R163" s="33">
        <f t="shared" si="100"/>
        <v>0</v>
      </c>
      <c r="S163" s="33">
        <f t="shared" si="101"/>
        <v>0</v>
      </c>
      <c r="T163" s="33">
        <f t="shared" si="82"/>
        <v>0</v>
      </c>
      <c r="U163" s="33">
        <f t="shared" si="95"/>
        <v>0</v>
      </c>
      <c r="V163" s="33">
        <f t="shared" si="83"/>
        <v>0</v>
      </c>
      <c r="W163" s="33">
        <v>0</v>
      </c>
      <c r="X163" s="33">
        <f t="shared" si="84"/>
        <v>0</v>
      </c>
      <c r="Y163" s="38">
        <f t="shared" si="85"/>
        <v>0</v>
      </c>
      <c r="AA163" s="71">
        <v>158</v>
      </c>
      <c r="AB163" s="33">
        <f t="shared" si="86"/>
        <v>0</v>
      </c>
      <c r="AC163" s="305">
        <f t="shared" si="106"/>
        <v>0</v>
      </c>
      <c r="AD163" s="100">
        <f t="shared" si="87"/>
        <v>0</v>
      </c>
      <c r="AE163" s="100">
        <f t="shared" si="88"/>
        <v>0</v>
      </c>
      <c r="AF163" s="194">
        <f t="shared" si="102"/>
        <v>0</v>
      </c>
      <c r="AG163" s="194">
        <f t="shared" si="103"/>
        <v>0</v>
      </c>
      <c r="AH163" s="194">
        <f t="shared" si="104"/>
        <v>0</v>
      </c>
      <c r="AI163" s="199">
        <f t="shared" si="105"/>
        <v>0</v>
      </c>
      <c r="AK163" s="71">
        <v>158</v>
      </c>
      <c r="AL163" s="33">
        <f t="shared" si="89"/>
        <v>0</v>
      </c>
      <c r="AM163" s="33">
        <f t="shared" si="90"/>
        <v>0</v>
      </c>
      <c r="AN163" s="33">
        <f t="shared" si="91"/>
        <v>0</v>
      </c>
      <c r="AO163" s="33">
        <f t="shared" si="92"/>
        <v>0</v>
      </c>
      <c r="AP163" s="33">
        <f t="shared" si="93"/>
        <v>0</v>
      </c>
      <c r="AQ163" s="194">
        <f t="shared" si="79"/>
        <v>0</v>
      </c>
      <c r="AR163" s="194">
        <f t="shared" si="79"/>
        <v>0</v>
      </c>
      <c r="AS163" s="194">
        <f t="shared" si="79"/>
        <v>0</v>
      </c>
      <c r="AT163" s="194">
        <f t="shared" si="78"/>
        <v>0</v>
      </c>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96"/>
        <v>0</v>
      </c>
      <c r="K164" s="33">
        <f t="shared" si="97"/>
        <v>0</v>
      </c>
      <c r="L164" s="33">
        <f t="shared" si="98"/>
        <v>0</v>
      </c>
      <c r="M164" s="33">
        <f t="shared" si="99"/>
        <v>0</v>
      </c>
      <c r="N164" s="33">
        <f t="shared" si="80"/>
        <v>0</v>
      </c>
      <c r="O164" s="34">
        <f t="shared" si="81"/>
        <v>0</v>
      </c>
      <c r="P164" s="55">
        <v>159</v>
      </c>
      <c r="Q164" s="33">
        <f t="shared" si="94"/>
        <v>0</v>
      </c>
      <c r="R164" s="33">
        <f t="shared" si="100"/>
        <v>0</v>
      </c>
      <c r="S164" s="33">
        <f t="shared" si="101"/>
        <v>0</v>
      </c>
      <c r="T164" s="33">
        <f t="shared" si="82"/>
        <v>0</v>
      </c>
      <c r="U164" s="33">
        <f t="shared" si="95"/>
        <v>0</v>
      </c>
      <c r="V164" s="33">
        <f t="shared" si="83"/>
        <v>0</v>
      </c>
      <c r="W164" s="33">
        <v>0</v>
      </c>
      <c r="X164" s="33">
        <f t="shared" si="84"/>
        <v>0</v>
      </c>
      <c r="Y164" s="38">
        <f t="shared" si="85"/>
        <v>0</v>
      </c>
      <c r="AA164" s="71">
        <v>159</v>
      </c>
      <c r="AB164" s="33">
        <f t="shared" si="86"/>
        <v>0</v>
      </c>
      <c r="AC164" s="305">
        <f t="shared" si="106"/>
        <v>0</v>
      </c>
      <c r="AD164" s="100">
        <f t="shared" si="87"/>
        <v>0</v>
      </c>
      <c r="AE164" s="100">
        <f t="shared" si="88"/>
        <v>0</v>
      </c>
      <c r="AF164" s="194">
        <f t="shared" si="102"/>
        <v>0</v>
      </c>
      <c r="AG164" s="194">
        <f t="shared" si="103"/>
        <v>0</v>
      </c>
      <c r="AH164" s="194">
        <f t="shared" si="104"/>
        <v>0</v>
      </c>
      <c r="AI164" s="199">
        <f t="shared" si="105"/>
        <v>0</v>
      </c>
      <c r="AK164" s="71">
        <v>159</v>
      </c>
      <c r="AL164" s="33">
        <f t="shared" si="89"/>
        <v>0</v>
      </c>
      <c r="AM164" s="33">
        <f t="shared" si="90"/>
        <v>0</v>
      </c>
      <c r="AN164" s="33">
        <f t="shared" si="91"/>
        <v>0</v>
      </c>
      <c r="AO164" s="33">
        <f t="shared" si="92"/>
        <v>0</v>
      </c>
      <c r="AP164" s="33">
        <f t="shared" si="93"/>
        <v>0</v>
      </c>
      <c r="AQ164" s="194">
        <f t="shared" si="79"/>
        <v>0</v>
      </c>
      <c r="AR164" s="194">
        <f t="shared" si="79"/>
        <v>0</v>
      </c>
      <c r="AS164" s="194">
        <f t="shared" si="79"/>
        <v>0</v>
      </c>
      <c r="AT164" s="194">
        <f t="shared" si="78"/>
        <v>0</v>
      </c>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96"/>
        <v>0</v>
      </c>
      <c r="K165" s="33">
        <f t="shared" si="97"/>
        <v>0</v>
      </c>
      <c r="L165" s="33">
        <f t="shared" si="98"/>
        <v>0</v>
      </c>
      <c r="M165" s="33">
        <f t="shared" si="99"/>
        <v>0</v>
      </c>
      <c r="N165" s="33">
        <f t="shared" si="80"/>
        <v>0</v>
      </c>
      <c r="O165" s="34">
        <f t="shared" si="81"/>
        <v>0</v>
      </c>
      <c r="P165" s="55">
        <v>160</v>
      </c>
      <c r="Q165" s="33">
        <f t="shared" si="94"/>
        <v>0</v>
      </c>
      <c r="R165" s="33">
        <f t="shared" si="100"/>
        <v>0</v>
      </c>
      <c r="S165" s="33">
        <f t="shared" si="101"/>
        <v>0</v>
      </c>
      <c r="T165" s="33">
        <f t="shared" si="82"/>
        <v>0</v>
      </c>
      <c r="U165" s="33">
        <f t="shared" si="95"/>
        <v>0</v>
      </c>
      <c r="V165" s="33">
        <f t="shared" si="83"/>
        <v>0</v>
      </c>
      <c r="W165" s="33">
        <v>0</v>
      </c>
      <c r="X165" s="33">
        <f t="shared" si="84"/>
        <v>0</v>
      </c>
      <c r="Y165" s="38">
        <f t="shared" si="85"/>
        <v>0</v>
      </c>
      <c r="AA165" s="71">
        <v>160</v>
      </c>
      <c r="AB165" s="33">
        <f t="shared" si="86"/>
        <v>0</v>
      </c>
      <c r="AC165" s="305">
        <f t="shared" si="106"/>
        <v>0</v>
      </c>
      <c r="AD165" s="100">
        <f t="shared" si="87"/>
        <v>0</v>
      </c>
      <c r="AE165" s="100">
        <f t="shared" si="88"/>
        <v>0</v>
      </c>
      <c r="AF165" s="194">
        <f t="shared" si="102"/>
        <v>0</v>
      </c>
      <c r="AG165" s="194">
        <f t="shared" si="103"/>
        <v>0</v>
      </c>
      <c r="AH165" s="194">
        <f t="shared" si="104"/>
        <v>0</v>
      </c>
      <c r="AI165" s="199">
        <f t="shared" si="105"/>
        <v>0</v>
      </c>
      <c r="AK165" s="71">
        <v>160</v>
      </c>
      <c r="AL165" s="33">
        <f t="shared" si="89"/>
        <v>0</v>
      </c>
      <c r="AM165" s="33">
        <f t="shared" si="90"/>
        <v>0</v>
      </c>
      <c r="AN165" s="33">
        <f t="shared" si="91"/>
        <v>0</v>
      </c>
      <c r="AO165" s="33">
        <f t="shared" si="92"/>
        <v>0</v>
      </c>
      <c r="AP165" s="33">
        <f t="shared" si="93"/>
        <v>0</v>
      </c>
      <c r="AQ165" s="194">
        <f t="shared" si="79"/>
        <v>0</v>
      </c>
      <c r="AR165" s="194">
        <f t="shared" si="79"/>
        <v>0</v>
      </c>
      <c r="AS165" s="194">
        <f t="shared" si="79"/>
        <v>0</v>
      </c>
      <c r="AT165" s="194">
        <f t="shared" si="78"/>
        <v>0</v>
      </c>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96"/>
        <v>0</v>
      </c>
      <c r="K166" s="33">
        <f t="shared" si="97"/>
        <v>0</v>
      </c>
      <c r="L166" s="33">
        <f t="shared" si="98"/>
        <v>0</v>
      </c>
      <c r="M166" s="33">
        <f t="shared" si="99"/>
        <v>0</v>
      </c>
      <c r="N166" s="33">
        <f t="shared" si="80"/>
        <v>0</v>
      </c>
      <c r="O166" s="34">
        <f t="shared" si="81"/>
        <v>0</v>
      </c>
      <c r="P166" s="55">
        <v>161</v>
      </c>
      <c r="Q166" s="33">
        <f t="shared" si="94"/>
        <v>0</v>
      </c>
      <c r="R166" s="33">
        <f t="shared" si="100"/>
        <v>0</v>
      </c>
      <c r="S166" s="33">
        <f t="shared" si="101"/>
        <v>0</v>
      </c>
      <c r="T166" s="33">
        <f t="shared" si="82"/>
        <v>0</v>
      </c>
      <c r="U166" s="33">
        <f t="shared" si="95"/>
        <v>0</v>
      </c>
      <c r="V166" s="33">
        <f t="shared" si="83"/>
        <v>0</v>
      </c>
      <c r="W166" s="33">
        <v>0</v>
      </c>
      <c r="X166" s="33">
        <f t="shared" si="84"/>
        <v>0</v>
      </c>
      <c r="Y166" s="38">
        <f t="shared" si="85"/>
        <v>0</v>
      </c>
      <c r="AA166" s="71">
        <v>161</v>
      </c>
      <c r="AB166" s="33">
        <f t="shared" si="86"/>
        <v>0</v>
      </c>
      <c r="AC166" s="305">
        <f t="shared" si="106"/>
        <v>0</v>
      </c>
      <c r="AD166" s="100">
        <f t="shared" si="87"/>
        <v>0</v>
      </c>
      <c r="AE166" s="100">
        <f t="shared" si="88"/>
        <v>0</v>
      </c>
      <c r="AF166" s="194">
        <f t="shared" si="102"/>
        <v>0</v>
      </c>
      <c r="AG166" s="194">
        <f t="shared" si="103"/>
        <v>0</v>
      </c>
      <c r="AH166" s="194">
        <f t="shared" si="104"/>
        <v>0</v>
      </c>
      <c r="AI166" s="199">
        <f t="shared" si="105"/>
        <v>0</v>
      </c>
      <c r="AK166" s="71">
        <v>161</v>
      </c>
      <c r="AL166" s="33">
        <f t="shared" si="89"/>
        <v>0</v>
      </c>
      <c r="AM166" s="33">
        <f t="shared" si="90"/>
        <v>0</v>
      </c>
      <c r="AN166" s="33">
        <f t="shared" si="91"/>
        <v>0</v>
      </c>
      <c r="AO166" s="33">
        <f t="shared" si="92"/>
        <v>0</v>
      </c>
      <c r="AP166" s="33">
        <f t="shared" si="93"/>
        <v>0</v>
      </c>
      <c r="AQ166" s="194">
        <f t="shared" si="79"/>
        <v>0</v>
      </c>
      <c r="AR166" s="194">
        <f t="shared" si="79"/>
        <v>0</v>
      </c>
      <c r="AS166" s="194">
        <f t="shared" si="79"/>
        <v>0</v>
      </c>
      <c r="AT166" s="194">
        <f t="shared" si="78"/>
        <v>0</v>
      </c>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96"/>
        <v>0</v>
      </c>
      <c r="K167" s="33">
        <f t="shared" si="97"/>
        <v>0</v>
      </c>
      <c r="L167" s="33">
        <f t="shared" si="98"/>
        <v>0</v>
      </c>
      <c r="M167" s="33">
        <f t="shared" si="99"/>
        <v>0</v>
      </c>
      <c r="N167" s="33">
        <f t="shared" si="80"/>
        <v>0</v>
      </c>
      <c r="O167" s="34">
        <f t="shared" si="81"/>
        <v>0</v>
      </c>
      <c r="P167" s="55">
        <v>162</v>
      </c>
      <c r="Q167" s="33">
        <f t="shared" si="94"/>
        <v>0</v>
      </c>
      <c r="R167" s="33">
        <f t="shared" si="100"/>
        <v>0</v>
      </c>
      <c r="S167" s="33">
        <f t="shared" si="101"/>
        <v>0</v>
      </c>
      <c r="T167" s="33">
        <f t="shared" si="82"/>
        <v>0</v>
      </c>
      <c r="U167" s="33">
        <f t="shared" si="95"/>
        <v>0</v>
      </c>
      <c r="V167" s="33">
        <f t="shared" si="83"/>
        <v>0</v>
      </c>
      <c r="W167" s="33">
        <v>0</v>
      </c>
      <c r="X167" s="33">
        <f t="shared" si="84"/>
        <v>0</v>
      </c>
      <c r="Y167" s="38">
        <f t="shared" si="85"/>
        <v>0</v>
      </c>
      <c r="AA167" s="71">
        <v>162</v>
      </c>
      <c r="AB167" s="33">
        <f t="shared" si="86"/>
        <v>0</v>
      </c>
      <c r="AC167" s="305">
        <f t="shared" si="106"/>
        <v>0</v>
      </c>
      <c r="AD167" s="100">
        <f t="shared" si="87"/>
        <v>0</v>
      </c>
      <c r="AE167" s="100">
        <f t="shared" si="88"/>
        <v>0</v>
      </c>
      <c r="AF167" s="194">
        <f t="shared" si="102"/>
        <v>0</v>
      </c>
      <c r="AG167" s="194">
        <f t="shared" si="103"/>
        <v>0</v>
      </c>
      <c r="AH167" s="194">
        <f t="shared" si="104"/>
        <v>0</v>
      </c>
      <c r="AI167" s="199">
        <f t="shared" si="105"/>
        <v>0</v>
      </c>
      <c r="AK167" s="71">
        <v>162</v>
      </c>
      <c r="AL167" s="33">
        <f t="shared" si="89"/>
        <v>0</v>
      </c>
      <c r="AM167" s="33">
        <f t="shared" si="90"/>
        <v>0</v>
      </c>
      <c r="AN167" s="33">
        <f t="shared" si="91"/>
        <v>0</v>
      </c>
      <c r="AO167" s="33">
        <f t="shared" si="92"/>
        <v>0</v>
      </c>
      <c r="AP167" s="33">
        <f t="shared" si="93"/>
        <v>0</v>
      </c>
      <c r="AQ167" s="194">
        <f t="shared" si="79"/>
        <v>0</v>
      </c>
      <c r="AR167" s="194">
        <f t="shared" si="79"/>
        <v>0</v>
      </c>
      <c r="AS167" s="194">
        <f t="shared" si="79"/>
        <v>0</v>
      </c>
      <c r="AT167" s="194">
        <f t="shared" si="78"/>
        <v>0</v>
      </c>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96"/>
        <v>0</v>
      </c>
      <c r="K168" s="33">
        <f t="shared" si="97"/>
        <v>0</v>
      </c>
      <c r="L168" s="33">
        <f t="shared" si="98"/>
        <v>0</v>
      </c>
      <c r="M168" s="33">
        <f t="shared" si="99"/>
        <v>0</v>
      </c>
      <c r="N168" s="33">
        <f t="shared" si="80"/>
        <v>0</v>
      </c>
      <c r="O168" s="34">
        <f t="shared" si="81"/>
        <v>0</v>
      </c>
      <c r="P168" s="55">
        <v>163</v>
      </c>
      <c r="Q168" s="33">
        <f t="shared" si="94"/>
        <v>0</v>
      </c>
      <c r="R168" s="33">
        <f t="shared" si="100"/>
        <v>0</v>
      </c>
      <c r="S168" s="33">
        <f t="shared" si="101"/>
        <v>0</v>
      </c>
      <c r="T168" s="33">
        <f t="shared" si="82"/>
        <v>0</v>
      </c>
      <c r="U168" s="33">
        <f t="shared" si="95"/>
        <v>0</v>
      </c>
      <c r="V168" s="33">
        <f t="shared" si="83"/>
        <v>0</v>
      </c>
      <c r="W168" s="33">
        <v>0</v>
      </c>
      <c r="X168" s="33">
        <f t="shared" si="84"/>
        <v>0</v>
      </c>
      <c r="Y168" s="38">
        <f t="shared" si="85"/>
        <v>0</v>
      </c>
      <c r="AA168" s="71">
        <v>163</v>
      </c>
      <c r="AB168" s="33">
        <f t="shared" si="86"/>
        <v>0</v>
      </c>
      <c r="AC168" s="305">
        <f t="shared" si="106"/>
        <v>0</v>
      </c>
      <c r="AD168" s="100">
        <f t="shared" si="87"/>
        <v>0</v>
      </c>
      <c r="AE168" s="100">
        <f t="shared" si="88"/>
        <v>0</v>
      </c>
      <c r="AF168" s="194">
        <f t="shared" si="102"/>
        <v>0</v>
      </c>
      <c r="AG168" s="194">
        <f t="shared" si="103"/>
        <v>0</v>
      </c>
      <c r="AH168" s="194">
        <f t="shared" si="104"/>
        <v>0</v>
      </c>
      <c r="AI168" s="199">
        <f t="shared" si="105"/>
        <v>0</v>
      </c>
      <c r="AK168" s="71">
        <v>163</v>
      </c>
      <c r="AL168" s="33">
        <f t="shared" si="89"/>
        <v>0</v>
      </c>
      <c r="AM168" s="33">
        <f t="shared" si="90"/>
        <v>0</v>
      </c>
      <c r="AN168" s="33">
        <f t="shared" si="91"/>
        <v>0</v>
      </c>
      <c r="AO168" s="33">
        <f t="shared" si="92"/>
        <v>0</v>
      </c>
      <c r="AP168" s="33">
        <f t="shared" si="93"/>
        <v>0</v>
      </c>
      <c r="AQ168" s="194">
        <f t="shared" si="79"/>
        <v>0</v>
      </c>
      <c r="AR168" s="194">
        <f t="shared" si="79"/>
        <v>0</v>
      </c>
      <c r="AS168" s="194">
        <f t="shared" si="79"/>
        <v>0</v>
      </c>
      <c r="AT168" s="194">
        <f t="shared" si="78"/>
        <v>0</v>
      </c>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96"/>
        <v>0</v>
      </c>
      <c r="K169" s="33">
        <f t="shared" si="97"/>
        <v>0</v>
      </c>
      <c r="L169" s="33">
        <f t="shared" si="98"/>
        <v>0</v>
      </c>
      <c r="M169" s="33">
        <f t="shared" si="99"/>
        <v>0</v>
      </c>
      <c r="N169" s="33">
        <f t="shared" si="80"/>
        <v>0</v>
      </c>
      <c r="O169" s="34">
        <f t="shared" si="81"/>
        <v>0</v>
      </c>
      <c r="P169" s="55">
        <v>164</v>
      </c>
      <c r="Q169" s="33">
        <f t="shared" si="94"/>
        <v>0</v>
      </c>
      <c r="R169" s="33">
        <f t="shared" si="100"/>
        <v>0</v>
      </c>
      <c r="S169" s="33">
        <f t="shared" si="101"/>
        <v>0</v>
      </c>
      <c r="T169" s="33">
        <f t="shared" si="82"/>
        <v>0</v>
      </c>
      <c r="U169" s="33">
        <f t="shared" si="95"/>
        <v>0</v>
      </c>
      <c r="V169" s="33">
        <f t="shared" si="83"/>
        <v>0</v>
      </c>
      <c r="W169" s="33">
        <v>0</v>
      </c>
      <c r="X169" s="33">
        <f t="shared" si="84"/>
        <v>0</v>
      </c>
      <c r="Y169" s="38">
        <f t="shared" si="85"/>
        <v>0</v>
      </c>
      <c r="AA169" s="71">
        <v>164</v>
      </c>
      <c r="AB169" s="33">
        <f t="shared" si="86"/>
        <v>0</v>
      </c>
      <c r="AC169" s="305">
        <f t="shared" si="106"/>
        <v>0</v>
      </c>
      <c r="AD169" s="100">
        <f t="shared" si="87"/>
        <v>0</v>
      </c>
      <c r="AE169" s="100">
        <f t="shared" si="88"/>
        <v>0</v>
      </c>
      <c r="AF169" s="194">
        <f t="shared" si="102"/>
        <v>0</v>
      </c>
      <c r="AG169" s="194">
        <f t="shared" si="103"/>
        <v>0</v>
      </c>
      <c r="AH169" s="194">
        <f t="shared" si="104"/>
        <v>0</v>
      </c>
      <c r="AI169" s="199">
        <f t="shared" si="105"/>
        <v>0</v>
      </c>
      <c r="AK169" s="71">
        <v>164</v>
      </c>
      <c r="AL169" s="33">
        <f t="shared" si="89"/>
        <v>0</v>
      </c>
      <c r="AM169" s="33">
        <f t="shared" si="90"/>
        <v>0</v>
      </c>
      <c r="AN169" s="33">
        <f t="shared" si="91"/>
        <v>0</v>
      </c>
      <c r="AO169" s="33">
        <f t="shared" si="92"/>
        <v>0</v>
      </c>
      <c r="AP169" s="33">
        <f t="shared" si="93"/>
        <v>0</v>
      </c>
      <c r="AQ169" s="194">
        <f t="shared" si="79"/>
        <v>0</v>
      </c>
      <c r="AR169" s="194">
        <f t="shared" si="79"/>
        <v>0</v>
      </c>
      <c r="AS169" s="194">
        <f t="shared" si="79"/>
        <v>0</v>
      </c>
      <c r="AT169" s="194">
        <f t="shared" si="79"/>
        <v>0</v>
      </c>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96"/>
        <v>0</v>
      </c>
      <c r="K170" s="33">
        <f t="shared" si="97"/>
        <v>0</v>
      </c>
      <c r="L170" s="33">
        <f t="shared" si="98"/>
        <v>0</v>
      </c>
      <c r="M170" s="33">
        <f t="shared" si="99"/>
        <v>0</v>
      </c>
      <c r="N170" s="33">
        <f t="shared" si="80"/>
        <v>0</v>
      </c>
      <c r="O170" s="34">
        <f t="shared" si="81"/>
        <v>0</v>
      </c>
      <c r="P170" s="55">
        <v>165</v>
      </c>
      <c r="Q170" s="33">
        <f t="shared" si="94"/>
        <v>0</v>
      </c>
      <c r="R170" s="33">
        <f t="shared" si="100"/>
        <v>0</v>
      </c>
      <c r="S170" s="33">
        <f t="shared" si="101"/>
        <v>0</v>
      </c>
      <c r="T170" s="33">
        <f t="shared" si="82"/>
        <v>0</v>
      </c>
      <c r="U170" s="33">
        <f t="shared" si="95"/>
        <v>0</v>
      </c>
      <c r="V170" s="33">
        <f t="shared" si="83"/>
        <v>0</v>
      </c>
      <c r="W170" s="33">
        <v>0</v>
      </c>
      <c r="X170" s="33">
        <f t="shared" si="84"/>
        <v>0</v>
      </c>
      <c r="Y170" s="38">
        <f t="shared" si="85"/>
        <v>0</v>
      </c>
      <c r="AA170" s="71">
        <v>165</v>
      </c>
      <c r="AB170" s="33">
        <f t="shared" si="86"/>
        <v>0</v>
      </c>
      <c r="AC170" s="305">
        <f t="shared" si="106"/>
        <v>0</v>
      </c>
      <c r="AD170" s="100">
        <f t="shared" si="87"/>
        <v>0</v>
      </c>
      <c r="AE170" s="100">
        <f t="shared" si="88"/>
        <v>0</v>
      </c>
      <c r="AF170" s="194">
        <f t="shared" si="102"/>
        <v>0</v>
      </c>
      <c r="AG170" s="194">
        <f t="shared" si="103"/>
        <v>0</v>
      </c>
      <c r="AH170" s="194">
        <f t="shared" si="104"/>
        <v>0</v>
      </c>
      <c r="AI170" s="199">
        <f t="shared" si="105"/>
        <v>0</v>
      </c>
      <c r="AK170" s="71">
        <v>165</v>
      </c>
      <c r="AL170" s="33">
        <f t="shared" si="89"/>
        <v>0</v>
      </c>
      <c r="AM170" s="33">
        <f t="shared" si="90"/>
        <v>0</v>
      </c>
      <c r="AN170" s="33">
        <f t="shared" si="91"/>
        <v>0</v>
      </c>
      <c r="AO170" s="33">
        <f t="shared" si="92"/>
        <v>0</v>
      </c>
      <c r="AP170" s="33">
        <f t="shared" si="93"/>
        <v>0</v>
      </c>
      <c r="AQ170" s="194">
        <f t="shared" ref="AQ170:AT205" si="107">IF($AK170&lt;=$F$18,$AL170*AM170,)</f>
        <v>0</v>
      </c>
      <c r="AR170" s="194">
        <f t="shared" si="107"/>
        <v>0</v>
      </c>
      <c r="AS170" s="194">
        <f t="shared" si="107"/>
        <v>0</v>
      </c>
      <c r="AT170" s="194">
        <f t="shared" si="107"/>
        <v>0</v>
      </c>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96"/>
        <v>0</v>
      </c>
      <c r="K171" s="33">
        <f t="shared" si="97"/>
        <v>0</v>
      </c>
      <c r="L171" s="33">
        <f t="shared" si="98"/>
        <v>0</v>
      </c>
      <c r="M171" s="33">
        <f t="shared" si="99"/>
        <v>0</v>
      </c>
      <c r="N171" s="33">
        <f t="shared" si="80"/>
        <v>0</v>
      </c>
      <c r="O171" s="34">
        <f t="shared" si="81"/>
        <v>0</v>
      </c>
      <c r="P171" s="55">
        <v>166</v>
      </c>
      <c r="Q171" s="33">
        <f t="shared" si="94"/>
        <v>0</v>
      </c>
      <c r="R171" s="33">
        <f t="shared" si="100"/>
        <v>0</v>
      </c>
      <c r="S171" s="33">
        <f t="shared" si="101"/>
        <v>0</v>
      </c>
      <c r="T171" s="33">
        <f t="shared" si="82"/>
        <v>0</v>
      </c>
      <c r="U171" s="33">
        <f t="shared" si="95"/>
        <v>0</v>
      </c>
      <c r="V171" s="33">
        <f t="shared" si="83"/>
        <v>0</v>
      </c>
      <c r="W171" s="33">
        <v>0</v>
      </c>
      <c r="X171" s="33">
        <f t="shared" si="84"/>
        <v>0</v>
      </c>
      <c r="Y171" s="38">
        <f t="shared" si="85"/>
        <v>0</v>
      </c>
      <c r="AA171" s="71">
        <v>166</v>
      </c>
      <c r="AB171" s="33">
        <f t="shared" si="86"/>
        <v>0</v>
      </c>
      <c r="AC171" s="305">
        <f t="shared" si="106"/>
        <v>0</v>
      </c>
      <c r="AD171" s="100">
        <f t="shared" si="87"/>
        <v>0</v>
      </c>
      <c r="AE171" s="100">
        <f t="shared" si="88"/>
        <v>0</v>
      </c>
      <c r="AF171" s="194">
        <f t="shared" si="102"/>
        <v>0</v>
      </c>
      <c r="AG171" s="194">
        <f t="shared" si="103"/>
        <v>0</v>
      </c>
      <c r="AH171" s="194">
        <f t="shared" si="104"/>
        <v>0</v>
      </c>
      <c r="AI171" s="199">
        <f t="shared" si="105"/>
        <v>0</v>
      </c>
      <c r="AK171" s="71">
        <v>166</v>
      </c>
      <c r="AL171" s="33">
        <f t="shared" si="89"/>
        <v>0</v>
      </c>
      <c r="AM171" s="33">
        <f t="shared" si="90"/>
        <v>0</v>
      </c>
      <c r="AN171" s="33">
        <f t="shared" si="91"/>
        <v>0</v>
      </c>
      <c r="AO171" s="33">
        <f t="shared" si="92"/>
        <v>0</v>
      </c>
      <c r="AP171" s="33">
        <f t="shared" si="93"/>
        <v>0</v>
      </c>
      <c r="AQ171" s="194">
        <f t="shared" si="107"/>
        <v>0</v>
      </c>
      <c r="AR171" s="194">
        <f t="shared" si="107"/>
        <v>0</v>
      </c>
      <c r="AS171" s="194">
        <f t="shared" si="107"/>
        <v>0</v>
      </c>
      <c r="AT171" s="194">
        <f t="shared" si="107"/>
        <v>0</v>
      </c>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96"/>
        <v>0</v>
      </c>
      <c r="K172" s="33">
        <f t="shared" si="97"/>
        <v>0</v>
      </c>
      <c r="L172" s="33">
        <f t="shared" si="98"/>
        <v>0</v>
      </c>
      <c r="M172" s="33">
        <f t="shared" si="99"/>
        <v>0</v>
      </c>
      <c r="N172" s="33">
        <f t="shared" si="80"/>
        <v>0</v>
      </c>
      <c r="O172" s="34">
        <f t="shared" si="81"/>
        <v>0</v>
      </c>
      <c r="P172" s="55">
        <v>167</v>
      </c>
      <c r="Q172" s="33">
        <f t="shared" si="94"/>
        <v>0</v>
      </c>
      <c r="R172" s="33">
        <f t="shared" si="100"/>
        <v>0</v>
      </c>
      <c r="S172" s="33">
        <f t="shared" si="101"/>
        <v>0</v>
      </c>
      <c r="T172" s="33">
        <f t="shared" si="82"/>
        <v>0</v>
      </c>
      <c r="U172" s="33">
        <f t="shared" si="95"/>
        <v>0</v>
      </c>
      <c r="V172" s="33">
        <f t="shared" si="83"/>
        <v>0</v>
      </c>
      <c r="W172" s="33">
        <v>0</v>
      </c>
      <c r="X172" s="33">
        <f t="shared" si="84"/>
        <v>0</v>
      </c>
      <c r="Y172" s="38">
        <f t="shared" si="85"/>
        <v>0</v>
      </c>
      <c r="AA172" s="71">
        <v>167</v>
      </c>
      <c r="AB172" s="33">
        <f t="shared" si="86"/>
        <v>0</v>
      </c>
      <c r="AC172" s="305">
        <f t="shared" si="106"/>
        <v>0</v>
      </c>
      <c r="AD172" s="100">
        <f t="shared" si="87"/>
        <v>0</v>
      </c>
      <c r="AE172" s="100">
        <f t="shared" si="88"/>
        <v>0</v>
      </c>
      <c r="AF172" s="194">
        <f t="shared" si="102"/>
        <v>0</v>
      </c>
      <c r="AG172" s="194">
        <f t="shared" si="103"/>
        <v>0</v>
      </c>
      <c r="AH172" s="194">
        <f t="shared" si="104"/>
        <v>0</v>
      </c>
      <c r="AI172" s="199">
        <f t="shared" si="105"/>
        <v>0</v>
      </c>
      <c r="AK172" s="71">
        <v>167</v>
      </c>
      <c r="AL172" s="33">
        <f t="shared" si="89"/>
        <v>0</v>
      </c>
      <c r="AM172" s="33">
        <f t="shared" si="90"/>
        <v>0</v>
      </c>
      <c r="AN172" s="33">
        <f t="shared" si="91"/>
        <v>0</v>
      </c>
      <c r="AO172" s="33">
        <f t="shared" si="92"/>
        <v>0</v>
      </c>
      <c r="AP172" s="33">
        <f t="shared" si="93"/>
        <v>0</v>
      </c>
      <c r="AQ172" s="194">
        <f t="shared" si="107"/>
        <v>0</v>
      </c>
      <c r="AR172" s="194">
        <f t="shared" si="107"/>
        <v>0</v>
      </c>
      <c r="AS172" s="194">
        <f t="shared" si="107"/>
        <v>0</v>
      </c>
      <c r="AT172" s="194">
        <f t="shared" si="107"/>
        <v>0</v>
      </c>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96"/>
        <v>0</v>
      </c>
      <c r="K173" s="33">
        <f t="shared" si="97"/>
        <v>0</v>
      </c>
      <c r="L173" s="33">
        <f t="shared" si="98"/>
        <v>0</v>
      </c>
      <c r="M173" s="33">
        <f t="shared" si="99"/>
        <v>0</v>
      </c>
      <c r="N173" s="33">
        <f t="shared" si="80"/>
        <v>0</v>
      </c>
      <c r="O173" s="34">
        <f t="shared" si="81"/>
        <v>0</v>
      </c>
      <c r="P173" s="55">
        <v>168</v>
      </c>
      <c r="Q173" s="33">
        <f t="shared" si="94"/>
        <v>0</v>
      </c>
      <c r="R173" s="33">
        <f t="shared" si="100"/>
        <v>0</v>
      </c>
      <c r="S173" s="33">
        <f t="shared" si="101"/>
        <v>0</v>
      </c>
      <c r="T173" s="33">
        <f t="shared" si="82"/>
        <v>0</v>
      </c>
      <c r="U173" s="33">
        <f t="shared" si="95"/>
        <v>0</v>
      </c>
      <c r="V173" s="33">
        <f t="shared" si="83"/>
        <v>0</v>
      </c>
      <c r="W173" s="33">
        <v>0</v>
      </c>
      <c r="X173" s="33">
        <f t="shared" si="84"/>
        <v>0</v>
      </c>
      <c r="Y173" s="38">
        <f t="shared" si="85"/>
        <v>0</v>
      </c>
      <c r="AA173" s="71">
        <v>168</v>
      </c>
      <c r="AB173" s="33">
        <f t="shared" si="86"/>
        <v>0</v>
      </c>
      <c r="AC173" s="305">
        <f t="shared" si="106"/>
        <v>0</v>
      </c>
      <c r="AD173" s="100">
        <f t="shared" si="87"/>
        <v>0</v>
      </c>
      <c r="AE173" s="100">
        <f t="shared" si="88"/>
        <v>0</v>
      </c>
      <c r="AF173" s="194">
        <f t="shared" si="102"/>
        <v>0</v>
      </c>
      <c r="AG173" s="194">
        <f t="shared" si="103"/>
        <v>0</v>
      </c>
      <c r="AH173" s="194">
        <f t="shared" si="104"/>
        <v>0</v>
      </c>
      <c r="AI173" s="199">
        <f t="shared" si="105"/>
        <v>0</v>
      </c>
      <c r="AK173" s="71">
        <v>168</v>
      </c>
      <c r="AL173" s="33">
        <f t="shared" si="89"/>
        <v>0</v>
      </c>
      <c r="AM173" s="33">
        <f t="shared" si="90"/>
        <v>0</v>
      </c>
      <c r="AN173" s="33">
        <f t="shared" si="91"/>
        <v>0</v>
      </c>
      <c r="AO173" s="33">
        <f t="shared" si="92"/>
        <v>0</v>
      </c>
      <c r="AP173" s="33">
        <f t="shared" si="93"/>
        <v>0</v>
      </c>
      <c r="AQ173" s="194">
        <f t="shared" si="107"/>
        <v>0</v>
      </c>
      <c r="AR173" s="194">
        <f t="shared" si="107"/>
        <v>0</v>
      </c>
      <c r="AS173" s="194">
        <f t="shared" si="107"/>
        <v>0</v>
      </c>
      <c r="AT173" s="194">
        <f t="shared" si="107"/>
        <v>0</v>
      </c>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96"/>
        <v>0</v>
      </c>
      <c r="K174" s="33">
        <f t="shared" si="97"/>
        <v>0</v>
      </c>
      <c r="L174" s="33">
        <f t="shared" si="98"/>
        <v>0</v>
      </c>
      <c r="M174" s="33">
        <f t="shared" si="99"/>
        <v>0</v>
      </c>
      <c r="N174" s="33">
        <f t="shared" si="80"/>
        <v>0</v>
      </c>
      <c r="O174" s="34">
        <f t="shared" si="81"/>
        <v>0</v>
      </c>
      <c r="P174" s="55">
        <v>169</v>
      </c>
      <c r="Q174" s="33">
        <f t="shared" si="94"/>
        <v>0</v>
      </c>
      <c r="R174" s="33">
        <f t="shared" si="100"/>
        <v>0</v>
      </c>
      <c r="S174" s="33">
        <f t="shared" si="101"/>
        <v>0</v>
      </c>
      <c r="T174" s="33">
        <f t="shared" si="82"/>
        <v>0</v>
      </c>
      <c r="U174" s="33">
        <f t="shared" si="95"/>
        <v>0</v>
      </c>
      <c r="V174" s="33">
        <f t="shared" si="83"/>
        <v>0</v>
      </c>
      <c r="W174" s="33">
        <v>0</v>
      </c>
      <c r="X174" s="33">
        <f t="shared" si="84"/>
        <v>0</v>
      </c>
      <c r="Y174" s="38">
        <f t="shared" si="85"/>
        <v>0</v>
      </c>
      <c r="AA174" s="71">
        <v>169</v>
      </c>
      <c r="AB174" s="33">
        <f t="shared" si="86"/>
        <v>0</v>
      </c>
      <c r="AC174" s="305">
        <f t="shared" si="106"/>
        <v>0</v>
      </c>
      <c r="AD174" s="100">
        <f t="shared" si="87"/>
        <v>0</v>
      </c>
      <c r="AE174" s="100">
        <f t="shared" si="88"/>
        <v>0</v>
      </c>
      <c r="AF174" s="194">
        <f t="shared" si="102"/>
        <v>0</v>
      </c>
      <c r="AG174" s="194">
        <f t="shared" si="103"/>
        <v>0</v>
      </c>
      <c r="AH174" s="194">
        <f t="shared" si="104"/>
        <v>0</v>
      </c>
      <c r="AI174" s="199">
        <f t="shared" si="105"/>
        <v>0</v>
      </c>
      <c r="AK174" s="71">
        <v>169</v>
      </c>
      <c r="AL174" s="33">
        <f t="shared" si="89"/>
        <v>0</v>
      </c>
      <c r="AM174" s="33">
        <f t="shared" si="90"/>
        <v>0</v>
      </c>
      <c r="AN174" s="33">
        <f t="shared" si="91"/>
        <v>0</v>
      </c>
      <c r="AO174" s="33">
        <f t="shared" si="92"/>
        <v>0</v>
      </c>
      <c r="AP174" s="33">
        <f t="shared" si="93"/>
        <v>0</v>
      </c>
      <c r="AQ174" s="194">
        <f t="shared" si="107"/>
        <v>0</v>
      </c>
      <c r="AR174" s="194">
        <f t="shared" si="107"/>
        <v>0</v>
      </c>
      <c r="AS174" s="194">
        <f t="shared" si="107"/>
        <v>0</v>
      </c>
      <c r="AT174" s="194">
        <f t="shared" si="107"/>
        <v>0</v>
      </c>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96"/>
        <v>0</v>
      </c>
      <c r="K175" s="33">
        <f t="shared" si="97"/>
        <v>0</v>
      </c>
      <c r="L175" s="33">
        <f t="shared" si="98"/>
        <v>0</v>
      </c>
      <c r="M175" s="33">
        <f t="shared" si="99"/>
        <v>0</v>
      </c>
      <c r="N175" s="33">
        <f t="shared" si="80"/>
        <v>0</v>
      </c>
      <c r="O175" s="34">
        <f t="shared" si="81"/>
        <v>0</v>
      </c>
      <c r="P175" s="55">
        <v>170</v>
      </c>
      <c r="Q175" s="33">
        <f t="shared" si="94"/>
        <v>0</v>
      </c>
      <c r="R175" s="33">
        <f t="shared" si="100"/>
        <v>0</v>
      </c>
      <c r="S175" s="33">
        <f t="shared" si="101"/>
        <v>0</v>
      </c>
      <c r="T175" s="33">
        <f t="shared" si="82"/>
        <v>0</v>
      </c>
      <c r="U175" s="33">
        <f t="shared" si="95"/>
        <v>0</v>
      </c>
      <c r="V175" s="33">
        <f t="shared" si="83"/>
        <v>0</v>
      </c>
      <c r="W175" s="33">
        <v>0</v>
      </c>
      <c r="X175" s="33">
        <f t="shared" si="84"/>
        <v>0</v>
      </c>
      <c r="Y175" s="38">
        <f t="shared" si="85"/>
        <v>0</v>
      </c>
      <c r="AA175" s="71">
        <v>170</v>
      </c>
      <c r="AB175" s="33">
        <f t="shared" si="86"/>
        <v>0</v>
      </c>
      <c r="AC175" s="305">
        <f t="shared" si="106"/>
        <v>0</v>
      </c>
      <c r="AD175" s="100">
        <f t="shared" si="87"/>
        <v>0</v>
      </c>
      <c r="AE175" s="100">
        <f t="shared" si="88"/>
        <v>0</v>
      </c>
      <c r="AF175" s="194">
        <f t="shared" si="102"/>
        <v>0</v>
      </c>
      <c r="AG175" s="194">
        <f t="shared" si="103"/>
        <v>0</v>
      </c>
      <c r="AH175" s="194">
        <f t="shared" si="104"/>
        <v>0</v>
      </c>
      <c r="AI175" s="199">
        <f t="shared" si="105"/>
        <v>0</v>
      </c>
      <c r="AK175" s="71">
        <v>170</v>
      </c>
      <c r="AL175" s="33">
        <f t="shared" si="89"/>
        <v>0</v>
      </c>
      <c r="AM175" s="33">
        <f t="shared" si="90"/>
        <v>0</v>
      </c>
      <c r="AN175" s="33">
        <f t="shared" si="91"/>
        <v>0</v>
      </c>
      <c r="AO175" s="33">
        <f t="shared" si="92"/>
        <v>0</v>
      </c>
      <c r="AP175" s="33">
        <f t="shared" si="93"/>
        <v>0</v>
      </c>
      <c r="AQ175" s="194">
        <f t="shared" si="107"/>
        <v>0</v>
      </c>
      <c r="AR175" s="194">
        <f t="shared" si="107"/>
        <v>0</v>
      </c>
      <c r="AS175" s="194">
        <f t="shared" si="107"/>
        <v>0</v>
      </c>
      <c r="AT175" s="194">
        <f t="shared" si="107"/>
        <v>0</v>
      </c>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96"/>
        <v>0</v>
      </c>
      <c r="K176" s="33">
        <f t="shared" si="97"/>
        <v>0</v>
      </c>
      <c r="L176" s="33">
        <f t="shared" si="98"/>
        <v>0</v>
      </c>
      <c r="M176" s="33">
        <f t="shared" si="99"/>
        <v>0</v>
      </c>
      <c r="N176" s="33">
        <f t="shared" si="80"/>
        <v>0</v>
      </c>
      <c r="O176" s="34">
        <f t="shared" si="81"/>
        <v>0</v>
      </c>
      <c r="P176" s="55">
        <v>171</v>
      </c>
      <c r="Q176" s="33">
        <f t="shared" si="94"/>
        <v>0</v>
      </c>
      <c r="R176" s="33">
        <f t="shared" si="100"/>
        <v>0</v>
      </c>
      <c r="S176" s="33">
        <f t="shared" si="101"/>
        <v>0</v>
      </c>
      <c r="T176" s="33">
        <f t="shared" si="82"/>
        <v>0</v>
      </c>
      <c r="U176" s="33">
        <f t="shared" si="95"/>
        <v>0</v>
      </c>
      <c r="V176" s="33">
        <f t="shared" si="83"/>
        <v>0</v>
      </c>
      <c r="W176" s="33">
        <v>0</v>
      </c>
      <c r="X176" s="33">
        <f t="shared" si="84"/>
        <v>0</v>
      </c>
      <c r="Y176" s="38">
        <f t="shared" si="85"/>
        <v>0</v>
      </c>
      <c r="AA176" s="71">
        <v>171</v>
      </c>
      <c r="AB176" s="33">
        <f t="shared" si="86"/>
        <v>0</v>
      </c>
      <c r="AC176" s="305">
        <f t="shared" si="106"/>
        <v>0</v>
      </c>
      <c r="AD176" s="100">
        <f t="shared" si="87"/>
        <v>0</v>
      </c>
      <c r="AE176" s="100">
        <f t="shared" si="88"/>
        <v>0</v>
      </c>
      <c r="AF176" s="194">
        <f t="shared" si="102"/>
        <v>0</v>
      </c>
      <c r="AG176" s="194">
        <f t="shared" si="103"/>
        <v>0</v>
      </c>
      <c r="AH176" s="194">
        <f t="shared" si="104"/>
        <v>0</v>
      </c>
      <c r="AI176" s="199">
        <f t="shared" si="105"/>
        <v>0</v>
      </c>
      <c r="AK176" s="71">
        <v>171</v>
      </c>
      <c r="AL176" s="33">
        <f t="shared" si="89"/>
        <v>0</v>
      </c>
      <c r="AM176" s="33">
        <f t="shared" si="90"/>
        <v>0</v>
      </c>
      <c r="AN176" s="33">
        <f t="shared" si="91"/>
        <v>0</v>
      </c>
      <c r="AO176" s="33">
        <f t="shared" si="92"/>
        <v>0</v>
      </c>
      <c r="AP176" s="33">
        <f t="shared" si="93"/>
        <v>0</v>
      </c>
      <c r="AQ176" s="194">
        <f t="shared" si="107"/>
        <v>0</v>
      </c>
      <c r="AR176" s="194">
        <f t="shared" si="107"/>
        <v>0</v>
      </c>
      <c r="AS176" s="194">
        <f t="shared" si="107"/>
        <v>0</v>
      </c>
      <c r="AT176" s="194">
        <f t="shared" si="107"/>
        <v>0</v>
      </c>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96"/>
        <v>0</v>
      </c>
      <c r="K177" s="33">
        <f t="shared" si="97"/>
        <v>0</v>
      </c>
      <c r="L177" s="33">
        <f t="shared" si="98"/>
        <v>0</v>
      </c>
      <c r="M177" s="33">
        <f t="shared" si="99"/>
        <v>0</v>
      </c>
      <c r="N177" s="33">
        <f t="shared" si="80"/>
        <v>0</v>
      </c>
      <c r="O177" s="34">
        <f t="shared" si="81"/>
        <v>0</v>
      </c>
      <c r="P177" s="55">
        <v>172</v>
      </c>
      <c r="Q177" s="33">
        <f t="shared" si="94"/>
        <v>0</v>
      </c>
      <c r="R177" s="33">
        <f t="shared" si="100"/>
        <v>0</v>
      </c>
      <c r="S177" s="33">
        <f t="shared" si="101"/>
        <v>0</v>
      </c>
      <c r="T177" s="33">
        <f t="shared" si="82"/>
        <v>0</v>
      </c>
      <c r="U177" s="33">
        <f t="shared" si="95"/>
        <v>0</v>
      </c>
      <c r="V177" s="33">
        <f t="shared" si="83"/>
        <v>0</v>
      </c>
      <c r="W177" s="33">
        <v>0</v>
      </c>
      <c r="X177" s="33">
        <f t="shared" si="84"/>
        <v>0</v>
      </c>
      <c r="Y177" s="38">
        <f t="shared" si="85"/>
        <v>0</v>
      </c>
      <c r="AA177" s="71">
        <v>172</v>
      </c>
      <c r="AB177" s="33">
        <f t="shared" si="86"/>
        <v>0</v>
      </c>
      <c r="AC177" s="305">
        <f t="shared" si="106"/>
        <v>0</v>
      </c>
      <c r="AD177" s="100">
        <f t="shared" si="87"/>
        <v>0</v>
      </c>
      <c r="AE177" s="100">
        <f t="shared" si="88"/>
        <v>0</v>
      </c>
      <c r="AF177" s="194">
        <f t="shared" si="102"/>
        <v>0</v>
      </c>
      <c r="AG177" s="194">
        <f t="shared" si="103"/>
        <v>0</v>
      </c>
      <c r="AH177" s="194">
        <f t="shared" si="104"/>
        <v>0</v>
      </c>
      <c r="AI177" s="199">
        <f t="shared" si="105"/>
        <v>0</v>
      </c>
      <c r="AK177" s="71">
        <v>172</v>
      </c>
      <c r="AL177" s="33">
        <f t="shared" si="89"/>
        <v>0</v>
      </c>
      <c r="AM177" s="33">
        <f t="shared" si="90"/>
        <v>0</v>
      </c>
      <c r="AN177" s="33">
        <f t="shared" si="91"/>
        <v>0</v>
      </c>
      <c r="AO177" s="33">
        <f t="shared" si="92"/>
        <v>0</v>
      </c>
      <c r="AP177" s="33">
        <f t="shared" si="93"/>
        <v>0</v>
      </c>
      <c r="AQ177" s="194">
        <f t="shared" si="107"/>
        <v>0</v>
      </c>
      <c r="AR177" s="194">
        <f t="shared" si="107"/>
        <v>0</v>
      </c>
      <c r="AS177" s="194">
        <f t="shared" si="107"/>
        <v>0</v>
      </c>
      <c r="AT177" s="194">
        <f t="shared" si="107"/>
        <v>0</v>
      </c>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96"/>
        <v>0</v>
      </c>
      <c r="K178" s="33">
        <f t="shared" si="97"/>
        <v>0</v>
      </c>
      <c r="L178" s="33">
        <f t="shared" si="98"/>
        <v>0</v>
      </c>
      <c r="M178" s="33">
        <f t="shared" si="99"/>
        <v>0</v>
      </c>
      <c r="N178" s="33">
        <f t="shared" si="80"/>
        <v>0</v>
      </c>
      <c r="O178" s="34">
        <f t="shared" si="81"/>
        <v>0</v>
      </c>
      <c r="P178" s="55">
        <v>173</v>
      </c>
      <c r="Q178" s="33">
        <f t="shared" si="94"/>
        <v>0</v>
      </c>
      <c r="R178" s="33">
        <f t="shared" si="100"/>
        <v>0</v>
      </c>
      <c r="S178" s="33">
        <f t="shared" si="101"/>
        <v>0</v>
      </c>
      <c r="T178" s="33">
        <f t="shared" si="82"/>
        <v>0</v>
      </c>
      <c r="U178" s="33">
        <f t="shared" si="95"/>
        <v>0</v>
      </c>
      <c r="V178" s="33">
        <f t="shared" si="83"/>
        <v>0</v>
      </c>
      <c r="W178" s="33">
        <v>0</v>
      </c>
      <c r="X178" s="33">
        <f t="shared" si="84"/>
        <v>0</v>
      </c>
      <c r="Y178" s="38">
        <f t="shared" si="85"/>
        <v>0</v>
      </c>
      <c r="AA178" s="71">
        <v>173</v>
      </c>
      <c r="AB178" s="33">
        <f t="shared" si="86"/>
        <v>0</v>
      </c>
      <c r="AC178" s="305">
        <f t="shared" si="106"/>
        <v>0</v>
      </c>
      <c r="AD178" s="100">
        <f t="shared" si="87"/>
        <v>0</v>
      </c>
      <c r="AE178" s="100">
        <f t="shared" si="88"/>
        <v>0</v>
      </c>
      <c r="AF178" s="194">
        <f t="shared" si="102"/>
        <v>0</v>
      </c>
      <c r="AG178" s="194">
        <f t="shared" si="103"/>
        <v>0</v>
      </c>
      <c r="AH178" s="194">
        <f t="shared" si="104"/>
        <v>0</v>
      </c>
      <c r="AI178" s="199">
        <f t="shared" si="105"/>
        <v>0</v>
      </c>
      <c r="AK178" s="71">
        <v>173</v>
      </c>
      <c r="AL178" s="33">
        <f t="shared" si="89"/>
        <v>0</v>
      </c>
      <c r="AM178" s="33">
        <f t="shared" si="90"/>
        <v>0</v>
      </c>
      <c r="AN178" s="33">
        <f t="shared" si="91"/>
        <v>0</v>
      </c>
      <c r="AO178" s="33">
        <f t="shared" si="92"/>
        <v>0</v>
      </c>
      <c r="AP178" s="33">
        <f t="shared" si="93"/>
        <v>0</v>
      </c>
      <c r="AQ178" s="194">
        <f t="shared" si="107"/>
        <v>0</v>
      </c>
      <c r="AR178" s="194">
        <f t="shared" si="107"/>
        <v>0</v>
      </c>
      <c r="AS178" s="194">
        <f t="shared" si="107"/>
        <v>0</v>
      </c>
      <c r="AT178" s="194">
        <f t="shared" si="107"/>
        <v>0</v>
      </c>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96"/>
        <v>0</v>
      </c>
      <c r="K179" s="33">
        <f t="shared" si="97"/>
        <v>0</v>
      </c>
      <c r="L179" s="33">
        <f t="shared" si="98"/>
        <v>0</v>
      </c>
      <c r="M179" s="33">
        <f t="shared" si="99"/>
        <v>0</v>
      </c>
      <c r="N179" s="33">
        <f t="shared" si="80"/>
        <v>0</v>
      </c>
      <c r="O179" s="34">
        <f t="shared" si="81"/>
        <v>0</v>
      </c>
      <c r="P179" s="55">
        <v>174</v>
      </c>
      <c r="Q179" s="33">
        <f t="shared" si="94"/>
        <v>0</v>
      </c>
      <c r="R179" s="33">
        <f t="shared" si="100"/>
        <v>0</v>
      </c>
      <c r="S179" s="33">
        <f t="shared" si="101"/>
        <v>0</v>
      </c>
      <c r="T179" s="33">
        <f t="shared" si="82"/>
        <v>0</v>
      </c>
      <c r="U179" s="33">
        <f t="shared" si="95"/>
        <v>0</v>
      </c>
      <c r="V179" s="33">
        <f t="shared" si="83"/>
        <v>0</v>
      </c>
      <c r="W179" s="33">
        <v>0</v>
      </c>
      <c r="X179" s="33">
        <f t="shared" si="84"/>
        <v>0</v>
      </c>
      <c r="Y179" s="38">
        <f t="shared" si="85"/>
        <v>0</v>
      </c>
      <c r="AA179" s="71">
        <v>174</v>
      </c>
      <c r="AB179" s="33">
        <f t="shared" si="86"/>
        <v>0</v>
      </c>
      <c r="AC179" s="305">
        <f t="shared" si="106"/>
        <v>0</v>
      </c>
      <c r="AD179" s="100">
        <f t="shared" si="87"/>
        <v>0</v>
      </c>
      <c r="AE179" s="100">
        <f t="shared" si="88"/>
        <v>0</v>
      </c>
      <c r="AF179" s="194">
        <f t="shared" si="102"/>
        <v>0</v>
      </c>
      <c r="AG179" s="194">
        <f t="shared" si="103"/>
        <v>0</v>
      </c>
      <c r="AH179" s="194">
        <f t="shared" si="104"/>
        <v>0</v>
      </c>
      <c r="AI179" s="199">
        <f t="shared" si="105"/>
        <v>0</v>
      </c>
      <c r="AK179" s="71">
        <v>174</v>
      </c>
      <c r="AL179" s="33">
        <f t="shared" si="89"/>
        <v>0</v>
      </c>
      <c r="AM179" s="33">
        <f t="shared" si="90"/>
        <v>0</v>
      </c>
      <c r="AN179" s="33">
        <f t="shared" si="91"/>
        <v>0</v>
      </c>
      <c r="AO179" s="33">
        <f t="shared" si="92"/>
        <v>0</v>
      </c>
      <c r="AP179" s="33">
        <f t="shared" si="93"/>
        <v>0</v>
      </c>
      <c r="AQ179" s="194">
        <f t="shared" si="107"/>
        <v>0</v>
      </c>
      <c r="AR179" s="194">
        <f t="shared" si="107"/>
        <v>0</v>
      </c>
      <c r="AS179" s="194">
        <f t="shared" si="107"/>
        <v>0</v>
      </c>
      <c r="AT179" s="194">
        <f t="shared" si="107"/>
        <v>0</v>
      </c>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96"/>
        <v>0</v>
      </c>
      <c r="K180" s="33">
        <f t="shared" si="97"/>
        <v>0</v>
      </c>
      <c r="L180" s="33">
        <f t="shared" si="98"/>
        <v>0</v>
      </c>
      <c r="M180" s="33">
        <f t="shared" si="99"/>
        <v>0</v>
      </c>
      <c r="N180" s="33">
        <f t="shared" si="80"/>
        <v>0</v>
      </c>
      <c r="O180" s="34">
        <f t="shared" si="81"/>
        <v>0</v>
      </c>
      <c r="P180" s="55">
        <v>175</v>
      </c>
      <c r="Q180" s="33">
        <f t="shared" si="94"/>
        <v>0</v>
      </c>
      <c r="R180" s="33">
        <f t="shared" si="100"/>
        <v>0</v>
      </c>
      <c r="S180" s="33">
        <f t="shared" si="101"/>
        <v>0</v>
      </c>
      <c r="T180" s="33">
        <f t="shared" si="82"/>
        <v>0</v>
      </c>
      <c r="U180" s="33">
        <f t="shared" si="95"/>
        <v>0</v>
      </c>
      <c r="V180" s="33">
        <f t="shared" si="83"/>
        <v>0</v>
      </c>
      <c r="W180" s="33">
        <v>0</v>
      </c>
      <c r="X180" s="33">
        <f t="shared" si="84"/>
        <v>0</v>
      </c>
      <c r="Y180" s="38">
        <f t="shared" si="85"/>
        <v>0</v>
      </c>
      <c r="AA180" s="71">
        <v>175</v>
      </c>
      <c r="AB180" s="33">
        <f t="shared" si="86"/>
        <v>0</v>
      </c>
      <c r="AC180" s="305">
        <f t="shared" si="106"/>
        <v>0</v>
      </c>
      <c r="AD180" s="100">
        <f t="shared" si="87"/>
        <v>0</v>
      </c>
      <c r="AE180" s="100">
        <f t="shared" si="88"/>
        <v>0</v>
      </c>
      <c r="AF180" s="194">
        <f t="shared" si="102"/>
        <v>0</v>
      </c>
      <c r="AG180" s="194">
        <f t="shared" si="103"/>
        <v>0</v>
      </c>
      <c r="AH180" s="194">
        <f t="shared" si="104"/>
        <v>0</v>
      </c>
      <c r="AI180" s="199">
        <f t="shared" si="105"/>
        <v>0</v>
      </c>
      <c r="AK180" s="71">
        <v>175</v>
      </c>
      <c r="AL180" s="33">
        <f t="shared" si="89"/>
        <v>0</v>
      </c>
      <c r="AM180" s="33">
        <f t="shared" si="90"/>
        <v>0</v>
      </c>
      <c r="AN180" s="33">
        <f t="shared" si="91"/>
        <v>0</v>
      </c>
      <c r="AO180" s="33">
        <f t="shared" si="92"/>
        <v>0</v>
      </c>
      <c r="AP180" s="33">
        <f t="shared" si="93"/>
        <v>0</v>
      </c>
      <c r="AQ180" s="194">
        <f t="shared" si="107"/>
        <v>0</v>
      </c>
      <c r="AR180" s="194">
        <f t="shared" si="107"/>
        <v>0</v>
      </c>
      <c r="AS180" s="194">
        <f t="shared" si="107"/>
        <v>0</v>
      </c>
      <c r="AT180" s="194">
        <f t="shared" si="107"/>
        <v>0</v>
      </c>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96"/>
        <v>0</v>
      </c>
      <c r="K181" s="33">
        <f t="shared" si="97"/>
        <v>0</v>
      </c>
      <c r="L181" s="33">
        <f t="shared" si="98"/>
        <v>0</v>
      </c>
      <c r="M181" s="33">
        <f t="shared" si="99"/>
        <v>0</v>
      </c>
      <c r="N181" s="33">
        <f t="shared" si="80"/>
        <v>0</v>
      </c>
      <c r="O181" s="34">
        <f t="shared" si="81"/>
        <v>0</v>
      </c>
      <c r="P181" s="55">
        <v>176</v>
      </c>
      <c r="Q181" s="33">
        <f t="shared" si="94"/>
        <v>0</v>
      </c>
      <c r="R181" s="33">
        <f t="shared" si="100"/>
        <v>0</v>
      </c>
      <c r="S181" s="33">
        <f t="shared" si="101"/>
        <v>0</v>
      </c>
      <c r="T181" s="33">
        <f t="shared" si="82"/>
        <v>0</v>
      </c>
      <c r="U181" s="33">
        <f t="shared" si="95"/>
        <v>0</v>
      </c>
      <c r="V181" s="33">
        <f t="shared" si="83"/>
        <v>0</v>
      </c>
      <c r="W181" s="33">
        <v>0</v>
      </c>
      <c r="X181" s="33">
        <f t="shared" si="84"/>
        <v>0</v>
      </c>
      <c r="Y181" s="38">
        <f t="shared" si="85"/>
        <v>0</v>
      </c>
      <c r="AA181" s="71">
        <v>176</v>
      </c>
      <c r="AB181" s="33">
        <f t="shared" si="86"/>
        <v>0</v>
      </c>
      <c r="AC181" s="305">
        <f t="shared" si="106"/>
        <v>0</v>
      </c>
      <c r="AD181" s="100">
        <f t="shared" si="87"/>
        <v>0</v>
      </c>
      <c r="AE181" s="100">
        <f t="shared" si="88"/>
        <v>0</v>
      </c>
      <c r="AF181" s="194">
        <f t="shared" si="102"/>
        <v>0</v>
      </c>
      <c r="AG181" s="194">
        <f t="shared" si="103"/>
        <v>0</v>
      </c>
      <c r="AH181" s="194">
        <f t="shared" si="104"/>
        <v>0</v>
      </c>
      <c r="AI181" s="199">
        <f t="shared" si="105"/>
        <v>0</v>
      </c>
      <c r="AK181" s="71">
        <v>176</v>
      </c>
      <c r="AL181" s="33">
        <f t="shared" si="89"/>
        <v>0</v>
      </c>
      <c r="AM181" s="33">
        <f t="shared" si="90"/>
        <v>0</v>
      </c>
      <c r="AN181" s="33">
        <f t="shared" si="91"/>
        <v>0</v>
      </c>
      <c r="AO181" s="33">
        <f t="shared" si="92"/>
        <v>0</v>
      </c>
      <c r="AP181" s="33">
        <f t="shared" si="93"/>
        <v>0</v>
      </c>
      <c r="AQ181" s="194">
        <f t="shared" si="107"/>
        <v>0</v>
      </c>
      <c r="AR181" s="194">
        <f t="shared" si="107"/>
        <v>0</v>
      </c>
      <c r="AS181" s="194">
        <f t="shared" si="107"/>
        <v>0</v>
      </c>
      <c r="AT181" s="194">
        <f t="shared" si="107"/>
        <v>0</v>
      </c>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96"/>
        <v>0</v>
      </c>
      <c r="K182" s="33">
        <f t="shared" si="97"/>
        <v>0</v>
      </c>
      <c r="L182" s="33">
        <f t="shared" si="98"/>
        <v>0</v>
      </c>
      <c r="M182" s="33">
        <f t="shared" si="99"/>
        <v>0</v>
      </c>
      <c r="N182" s="33">
        <f t="shared" si="80"/>
        <v>0</v>
      </c>
      <c r="O182" s="34">
        <f t="shared" si="81"/>
        <v>0</v>
      </c>
      <c r="P182" s="55">
        <v>177</v>
      </c>
      <c r="Q182" s="33">
        <f t="shared" si="94"/>
        <v>0</v>
      </c>
      <c r="R182" s="33">
        <f t="shared" si="100"/>
        <v>0</v>
      </c>
      <c r="S182" s="33">
        <f t="shared" si="101"/>
        <v>0</v>
      </c>
      <c r="T182" s="33">
        <f t="shared" si="82"/>
        <v>0</v>
      </c>
      <c r="U182" s="33">
        <f t="shared" si="95"/>
        <v>0</v>
      </c>
      <c r="V182" s="33">
        <f t="shared" si="83"/>
        <v>0</v>
      </c>
      <c r="W182" s="33">
        <v>0</v>
      </c>
      <c r="X182" s="33">
        <f t="shared" si="84"/>
        <v>0</v>
      </c>
      <c r="Y182" s="38">
        <f t="shared" si="85"/>
        <v>0</v>
      </c>
      <c r="AA182" s="71">
        <v>177</v>
      </c>
      <c r="AB182" s="33">
        <f t="shared" si="86"/>
        <v>0</v>
      </c>
      <c r="AC182" s="305">
        <f t="shared" si="106"/>
        <v>0</v>
      </c>
      <c r="AD182" s="100">
        <f t="shared" si="87"/>
        <v>0</v>
      </c>
      <c r="AE182" s="100">
        <f t="shared" si="88"/>
        <v>0</v>
      </c>
      <c r="AF182" s="194">
        <f t="shared" si="102"/>
        <v>0</v>
      </c>
      <c r="AG182" s="194">
        <f t="shared" si="103"/>
        <v>0</v>
      </c>
      <c r="AH182" s="194">
        <f t="shared" si="104"/>
        <v>0</v>
      </c>
      <c r="AI182" s="199">
        <f t="shared" si="105"/>
        <v>0</v>
      </c>
      <c r="AK182" s="71">
        <v>177</v>
      </c>
      <c r="AL182" s="33">
        <f t="shared" si="89"/>
        <v>0</v>
      </c>
      <c r="AM182" s="33">
        <f t="shared" si="90"/>
        <v>0</v>
      </c>
      <c r="AN182" s="33">
        <f t="shared" si="91"/>
        <v>0</v>
      </c>
      <c r="AO182" s="33">
        <f t="shared" si="92"/>
        <v>0</v>
      </c>
      <c r="AP182" s="33">
        <f t="shared" si="93"/>
        <v>0</v>
      </c>
      <c r="AQ182" s="194">
        <f t="shared" si="107"/>
        <v>0</v>
      </c>
      <c r="AR182" s="194">
        <f t="shared" si="107"/>
        <v>0</v>
      </c>
      <c r="AS182" s="194">
        <f t="shared" si="107"/>
        <v>0</v>
      </c>
      <c r="AT182" s="194">
        <f t="shared" si="107"/>
        <v>0</v>
      </c>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96"/>
        <v>0</v>
      </c>
      <c r="K183" s="33">
        <f t="shared" si="97"/>
        <v>0</v>
      </c>
      <c r="L183" s="33">
        <f t="shared" si="98"/>
        <v>0</v>
      </c>
      <c r="M183" s="33">
        <f t="shared" si="99"/>
        <v>0</v>
      </c>
      <c r="N183" s="33">
        <f t="shared" si="80"/>
        <v>0</v>
      </c>
      <c r="O183" s="34">
        <f t="shared" si="81"/>
        <v>0</v>
      </c>
      <c r="P183" s="55">
        <v>178</v>
      </c>
      <c r="Q183" s="33">
        <f t="shared" si="94"/>
        <v>0</v>
      </c>
      <c r="R183" s="33">
        <f t="shared" si="100"/>
        <v>0</v>
      </c>
      <c r="S183" s="33">
        <f t="shared" si="101"/>
        <v>0</v>
      </c>
      <c r="T183" s="33">
        <f t="shared" si="82"/>
        <v>0</v>
      </c>
      <c r="U183" s="33">
        <f t="shared" si="95"/>
        <v>0</v>
      </c>
      <c r="V183" s="33">
        <f t="shared" si="83"/>
        <v>0</v>
      </c>
      <c r="W183" s="33">
        <v>0</v>
      </c>
      <c r="X183" s="33">
        <f t="shared" si="84"/>
        <v>0</v>
      </c>
      <c r="Y183" s="38">
        <f t="shared" si="85"/>
        <v>0</v>
      </c>
      <c r="AA183" s="71">
        <v>178</v>
      </c>
      <c r="AB183" s="33">
        <f t="shared" si="86"/>
        <v>0</v>
      </c>
      <c r="AC183" s="305">
        <f t="shared" si="106"/>
        <v>0</v>
      </c>
      <c r="AD183" s="100">
        <f t="shared" si="87"/>
        <v>0</v>
      </c>
      <c r="AE183" s="100">
        <f t="shared" si="88"/>
        <v>0</v>
      </c>
      <c r="AF183" s="194">
        <f t="shared" si="102"/>
        <v>0</v>
      </c>
      <c r="AG183" s="194">
        <f t="shared" si="103"/>
        <v>0</v>
      </c>
      <c r="AH183" s="194">
        <f t="shared" si="104"/>
        <v>0</v>
      </c>
      <c r="AI183" s="199">
        <f t="shared" si="105"/>
        <v>0</v>
      </c>
      <c r="AK183" s="71">
        <v>178</v>
      </c>
      <c r="AL183" s="33">
        <f t="shared" si="89"/>
        <v>0</v>
      </c>
      <c r="AM183" s="33">
        <f t="shared" si="90"/>
        <v>0</v>
      </c>
      <c r="AN183" s="33">
        <f t="shared" si="91"/>
        <v>0</v>
      </c>
      <c r="AO183" s="33">
        <f t="shared" si="92"/>
        <v>0</v>
      </c>
      <c r="AP183" s="33">
        <f t="shared" si="93"/>
        <v>0</v>
      </c>
      <c r="AQ183" s="194">
        <f t="shared" si="107"/>
        <v>0</v>
      </c>
      <c r="AR183" s="194">
        <f t="shared" si="107"/>
        <v>0</v>
      </c>
      <c r="AS183" s="194">
        <f t="shared" si="107"/>
        <v>0</v>
      </c>
      <c r="AT183" s="194">
        <f t="shared" si="107"/>
        <v>0</v>
      </c>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96"/>
        <v>0</v>
      </c>
      <c r="K184" s="33">
        <f t="shared" si="97"/>
        <v>0</v>
      </c>
      <c r="L184" s="33">
        <f t="shared" si="98"/>
        <v>0</v>
      </c>
      <c r="M184" s="33">
        <f t="shared" si="99"/>
        <v>0</v>
      </c>
      <c r="N184" s="33">
        <f t="shared" si="80"/>
        <v>0</v>
      </c>
      <c r="O184" s="34">
        <f t="shared" si="81"/>
        <v>0</v>
      </c>
      <c r="P184" s="55">
        <v>179</v>
      </c>
      <c r="Q184" s="33">
        <f t="shared" si="94"/>
        <v>0</v>
      </c>
      <c r="R184" s="33">
        <f t="shared" si="100"/>
        <v>0</v>
      </c>
      <c r="S184" s="33">
        <f t="shared" si="101"/>
        <v>0</v>
      </c>
      <c r="T184" s="33">
        <f t="shared" si="82"/>
        <v>0</v>
      </c>
      <c r="U184" s="33">
        <f t="shared" si="95"/>
        <v>0</v>
      </c>
      <c r="V184" s="33">
        <f t="shared" si="83"/>
        <v>0</v>
      </c>
      <c r="W184" s="33">
        <v>0</v>
      </c>
      <c r="X184" s="33">
        <f t="shared" si="84"/>
        <v>0</v>
      </c>
      <c r="Y184" s="38">
        <f t="shared" si="85"/>
        <v>0</v>
      </c>
      <c r="AA184" s="71">
        <v>179</v>
      </c>
      <c r="AB184" s="33">
        <f t="shared" si="86"/>
        <v>0</v>
      </c>
      <c r="AC184" s="305">
        <f t="shared" si="106"/>
        <v>0</v>
      </c>
      <c r="AD184" s="100">
        <f t="shared" si="87"/>
        <v>0</v>
      </c>
      <c r="AE184" s="100">
        <f t="shared" si="88"/>
        <v>0</v>
      </c>
      <c r="AF184" s="194">
        <f t="shared" si="102"/>
        <v>0</v>
      </c>
      <c r="AG184" s="194">
        <f t="shared" si="103"/>
        <v>0</v>
      </c>
      <c r="AH184" s="194">
        <f t="shared" si="104"/>
        <v>0</v>
      </c>
      <c r="AI184" s="199">
        <f t="shared" si="105"/>
        <v>0</v>
      </c>
      <c r="AK184" s="71">
        <v>179</v>
      </c>
      <c r="AL184" s="33">
        <f t="shared" si="89"/>
        <v>0</v>
      </c>
      <c r="AM184" s="33">
        <f t="shared" si="90"/>
        <v>0</v>
      </c>
      <c r="AN184" s="33">
        <f t="shared" si="91"/>
        <v>0</v>
      </c>
      <c r="AO184" s="33">
        <f t="shared" si="92"/>
        <v>0</v>
      </c>
      <c r="AP184" s="33">
        <f t="shared" si="93"/>
        <v>0</v>
      </c>
      <c r="AQ184" s="194">
        <f t="shared" si="107"/>
        <v>0</v>
      </c>
      <c r="AR184" s="194">
        <f t="shared" si="107"/>
        <v>0</v>
      </c>
      <c r="AS184" s="194">
        <f t="shared" si="107"/>
        <v>0</v>
      </c>
      <c r="AT184" s="194">
        <f t="shared" si="107"/>
        <v>0</v>
      </c>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96"/>
        <v>0</v>
      </c>
      <c r="K185" s="33">
        <f t="shared" si="97"/>
        <v>0</v>
      </c>
      <c r="L185" s="33">
        <f t="shared" si="98"/>
        <v>0</v>
      </c>
      <c r="M185" s="33">
        <f t="shared" si="99"/>
        <v>0</v>
      </c>
      <c r="N185" s="33">
        <f t="shared" si="80"/>
        <v>0</v>
      </c>
      <c r="O185" s="34">
        <f t="shared" si="81"/>
        <v>0</v>
      </c>
      <c r="P185" s="55">
        <v>180</v>
      </c>
      <c r="Q185" s="33">
        <f t="shared" si="94"/>
        <v>0</v>
      </c>
      <c r="R185" s="33">
        <f t="shared" si="100"/>
        <v>0</v>
      </c>
      <c r="S185" s="33">
        <f t="shared" si="101"/>
        <v>0</v>
      </c>
      <c r="T185" s="33">
        <f t="shared" si="82"/>
        <v>0</v>
      </c>
      <c r="U185" s="33">
        <f t="shared" si="95"/>
        <v>0</v>
      </c>
      <c r="V185" s="33">
        <f t="shared" si="83"/>
        <v>0</v>
      </c>
      <c r="W185" s="33">
        <v>0</v>
      </c>
      <c r="X185" s="33">
        <f t="shared" si="84"/>
        <v>0</v>
      </c>
      <c r="Y185" s="38">
        <f t="shared" si="85"/>
        <v>0</v>
      </c>
      <c r="AA185" s="71">
        <v>180</v>
      </c>
      <c r="AB185" s="33">
        <f t="shared" si="86"/>
        <v>0</v>
      </c>
      <c r="AC185" s="305">
        <f t="shared" si="106"/>
        <v>0</v>
      </c>
      <c r="AD185" s="100">
        <f t="shared" si="87"/>
        <v>0</v>
      </c>
      <c r="AE185" s="100">
        <f t="shared" si="88"/>
        <v>0</v>
      </c>
      <c r="AF185" s="194">
        <f t="shared" si="102"/>
        <v>0</v>
      </c>
      <c r="AG185" s="194">
        <f t="shared" si="103"/>
        <v>0</v>
      </c>
      <c r="AH185" s="194">
        <f t="shared" si="104"/>
        <v>0</v>
      </c>
      <c r="AI185" s="199">
        <f t="shared" si="105"/>
        <v>0</v>
      </c>
      <c r="AK185" s="71">
        <v>180</v>
      </c>
      <c r="AL185" s="33">
        <f t="shared" si="89"/>
        <v>0</v>
      </c>
      <c r="AM185" s="33">
        <f t="shared" si="90"/>
        <v>0</v>
      </c>
      <c r="AN185" s="33">
        <f t="shared" si="91"/>
        <v>0</v>
      </c>
      <c r="AO185" s="33">
        <f t="shared" si="92"/>
        <v>0</v>
      </c>
      <c r="AP185" s="33">
        <f t="shared" si="93"/>
        <v>0</v>
      </c>
      <c r="AQ185" s="194">
        <f t="shared" si="107"/>
        <v>0</v>
      </c>
      <c r="AR185" s="194">
        <f t="shared" si="107"/>
        <v>0</v>
      </c>
      <c r="AS185" s="194">
        <f t="shared" si="107"/>
        <v>0</v>
      </c>
      <c r="AT185" s="194">
        <f t="shared" si="107"/>
        <v>0</v>
      </c>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96"/>
        <v>0</v>
      </c>
      <c r="K186" s="33">
        <f t="shared" si="97"/>
        <v>0</v>
      </c>
      <c r="L186" s="33">
        <f t="shared" si="98"/>
        <v>0</v>
      </c>
      <c r="M186" s="33">
        <f t="shared" si="99"/>
        <v>0</v>
      </c>
      <c r="N186" s="33">
        <f t="shared" si="80"/>
        <v>0</v>
      </c>
      <c r="O186" s="34">
        <f t="shared" si="81"/>
        <v>0</v>
      </c>
      <c r="P186" s="55">
        <v>181</v>
      </c>
      <c r="Q186" s="33">
        <f t="shared" si="94"/>
        <v>0</v>
      </c>
      <c r="R186" s="33">
        <f t="shared" si="100"/>
        <v>0</v>
      </c>
      <c r="S186" s="33">
        <f t="shared" si="101"/>
        <v>0</v>
      </c>
      <c r="T186" s="33">
        <f t="shared" si="82"/>
        <v>0</v>
      </c>
      <c r="U186" s="33">
        <f t="shared" si="95"/>
        <v>0</v>
      </c>
      <c r="V186" s="33">
        <f t="shared" si="83"/>
        <v>0</v>
      </c>
      <c r="W186" s="33">
        <v>0</v>
      </c>
      <c r="X186" s="33">
        <f t="shared" si="84"/>
        <v>0</v>
      </c>
      <c r="Y186" s="38">
        <f t="shared" si="85"/>
        <v>0</v>
      </c>
      <c r="AA186" s="71">
        <v>181</v>
      </c>
      <c r="AB186" s="33">
        <f t="shared" si="86"/>
        <v>0</v>
      </c>
      <c r="AC186" s="305">
        <f t="shared" si="106"/>
        <v>0</v>
      </c>
      <c r="AD186" s="100">
        <f t="shared" si="87"/>
        <v>0</v>
      </c>
      <c r="AE186" s="100">
        <f t="shared" si="88"/>
        <v>0</v>
      </c>
      <c r="AF186" s="194">
        <f t="shared" si="102"/>
        <v>0</v>
      </c>
      <c r="AG186" s="194">
        <f t="shared" si="103"/>
        <v>0</v>
      </c>
      <c r="AH186" s="194">
        <f t="shared" si="104"/>
        <v>0</v>
      </c>
      <c r="AI186" s="199">
        <f t="shared" si="105"/>
        <v>0</v>
      </c>
      <c r="AK186" s="71">
        <v>181</v>
      </c>
      <c r="AL186" s="33">
        <f t="shared" si="89"/>
        <v>0</v>
      </c>
      <c r="AM186" s="33">
        <f t="shared" si="90"/>
        <v>0</v>
      </c>
      <c r="AN186" s="33">
        <f t="shared" si="91"/>
        <v>0</v>
      </c>
      <c r="AO186" s="33">
        <f t="shared" si="92"/>
        <v>0</v>
      </c>
      <c r="AP186" s="33">
        <f t="shared" si="93"/>
        <v>0</v>
      </c>
      <c r="AQ186" s="194">
        <f t="shared" si="107"/>
        <v>0</v>
      </c>
      <c r="AR186" s="194">
        <f t="shared" si="107"/>
        <v>0</v>
      </c>
      <c r="AS186" s="194">
        <f t="shared" si="107"/>
        <v>0</v>
      </c>
      <c r="AT186" s="194">
        <f t="shared" si="107"/>
        <v>0</v>
      </c>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96"/>
        <v>0</v>
      </c>
      <c r="K187" s="33">
        <f t="shared" si="97"/>
        <v>0</v>
      </c>
      <c r="L187" s="33">
        <f t="shared" si="98"/>
        <v>0</v>
      </c>
      <c r="M187" s="33">
        <f t="shared" si="99"/>
        <v>0</v>
      </c>
      <c r="N187" s="33">
        <f t="shared" si="80"/>
        <v>0</v>
      </c>
      <c r="O187" s="34">
        <f t="shared" si="81"/>
        <v>0</v>
      </c>
      <c r="P187" s="55">
        <v>182</v>
      </c>
      <c r="Q187" s="33">
        <f t="shared" si="94"/>
        <v>0</v>
      </c>
      <c r="R187" s="33">
        <f t="shared" si="100"/>
        <v>0</v>
      </c>
      <c r="S187" s="33">
        <f t="shared" si="101"/>
        <v>0</v>
      </c>
      <c r="T187" s="33">
        <f t="shared" si="82"/>
        <v>0</v>
      </c>
      <c r="U187" s="33">
        <f t="shared" si="95"/>
        <v>0</v>
      </c>
      <c r="V187" s="33">
        <f t="shared" si="83"/>
        <v>0</v>
      </c>
      <c r="W187" s="33">
        <v>0</v>
      </c>
      <c r="X187" s="33">
        <f t="shared" si="84"/>
        <v>0</v>
      </c>
      <c r="Y187" s="38">
        <f t="shared" si="85"/>
        <v>0</v>
      </c>
      <c r="AA187" s="71">
        <v>182</v>
      </c>
      <c r="AB187" s="33">
        <f t="shared" si="86"/>
        <v>0</v>
      </c>
      <c r="AC187" s="305">
        <f t="shared" si="106"/>
        <v>0</v>
      </c>
      <c r="AD187" s="100">
        <f t="shared" si="87"/>
        <v>0</v>
      </c>
      <c r="AE187" s="100">
        <f t="shared" si="88"/>
        <v>0</v>
      </c>
      <c r="AF187" s="194">
        <f t="shared" si="102"/>
        <v>0</v>
      </c>
      <c r="AG187" s="194">
        <f t="shared" si="103"/>
        <v>0</v>
      </c>
      <c r="AH187" s="194">
        <f t="shared" si="104"/>
        <v>0</v>
      </c>
      <c r="AI187" s="199">
        <f t="shared" si="105"/>
        <v>0</v>
      </c>
      <c r="AK187" s="71">
        <v>182</v>
      </c>
      <c r="AL187" s="33">
        <f t="shared" si="89"/>
        <v>0</v>
      </c>
      <c r="AM187" s="33">
        <f t="shared" si="90"/>
        <v>0</v>
      </c>
      <c r="AN187" s="33">
        <f t="shared" si="91"/>
        <v>0</v>
      </c>
      <c r="AO187" s="33">
        <f t="shared" si="92"/>
        <v>0</v>
      </c>
      <c r="AP187" s="33">
        <f t="shared" si="93"/>
        <v>0</v>
      </c>
      <c r="AQ187" s="194">
        <f t="shared" si="107"/>
        <v>0</v>
      </c>
      <c r="AR187" s="194">
        <f t="shared" si="107"/>
        <v>0</v>
      </c>
      <c r="AS187" s="194">
        <f t="shared" si="107"/>
        <v>0</v>
      </c>
      <c r="AT187" s="194">
        <f t="shared" si="107"/>
        <v>0</v>
      </c>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96"/>
        <v>0</v>
      </c>
      <c r="K188" s="33">
        <f t="shared" si="97"/>
        <v>0</v>
      </c>
      <c r="L188" s="33">
        <f t="shared" si="98"/>
        <v>0</v>
      </c>
      <c r="M188" s="33">
        <f t="shared" si="99"/>
        <v>0</v>
      </c>
      <c r="N188" s="33">
        <f t="shared" si="80"/>
        <v>0</v>
      </c>
      <c r="O188" s="34">
        <f t="shared" si="81"/>
        <v>0</v>
      </c>
      <c r="P188" s="55">
        <v>183</v>
      </c>
      <c r="Q188" s="33">
        <f t="shared" si="94"/>
        <v>0</v>
      </c>
      <c r="R188" s="33">
        <f t="shared" si="100"/>
        <v>0</v>
      </c>
      <c r="S188" s="33">
        <f t="shared" si="101"/>
        <v>0</v>
      </c>
      <c r="T188" s="33">
        <f t="shared" si="82"/>
        <v>0</v>
      </c>
      <c r="U188" s="33">
        <f t="shared" si="95"/>
        <v>0</v>
      </c>
      <c r="V188" s="33">
        <f t="shared" si="83"/>
        <v>0</v>
      </c>
      <c r="W188" s="33">
        <v>0</v>
      </c>
      <c r="X188" s="33">
        <f t="shared" si="84"/>
        <v>0</v>
      </c>
      <c r="Y188" s="38">
        <f t="shared" si="85"/>
        <v>0</v>
      </c>
      <c r="AA188" s="71">
        <v>183</v>
      </c>
      <c r="AB188" s="33">
        <f t="shared" si="86"/>
        <v>0</v>
      </c>
      <c r="AC188" s="305">
        <f t="shared" si="106"/>
        <v>0</v>
      </c>
      <c r="AD188" s="100">
        <f t="shared" si="87"/>
        <v>0</v>
      </c>
      <c r="AE188" s="100">
        <f t="shared" si="88"/>
        <v>0</v>
      </c>
      <c r="AF188" s="194">
        <f t="shared" si="102"/>
        <v>0</v>
      </c>
      <c r="AG188" s="194">
        <f t="shared" si="103"/>
        <v>0</v>
      </c>
      <c r="AH188" s="194">
        <f t="shared" si="104"/>
        <v>0</v>
      </c>
      <c r="AI188" s="199">
        <f t="shared" si="105"/>
        <v>0</v>
      </c>
      <c r="AK188" s="71">
        <v>183</v>
      </c>
      <c r="AL188" s="33">
        <f t="shared" si="89"/>
        <v>0</v>
      </c>
      <c r="AM188" s="33">
        <f t="shared" si="90"/>
        <v>0</v>
      </c>
      <c r="AN188" s="33">
        <f t="shared" si="91"/>
        <v>0</v>
      </c>
      <c r="AO188" s="33">
        <f t="shared" si="92"/>
        <v>0</v>
      </c>
      <c r="AP188" s="33">
        <f t="shared" si="93"/>
        <v>0</v>
      </c>
      <c r="AQ188" s="194">
        <f t="shared" si="107"/>
        <v>0</v>
      </c>
      <c r="AR188" s="194">
        <f t="shared" si="107"/>
        <v>0</v>
      </c>
      <c r="AS188" s="194">
        <f t="shared" si="107"/>
        <v>0</v>
      </c>
      <c r="AT188" s="194">
        <f t="shared" si="107"/>
        <v>0</v>
      </c>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96"/>
        <v>0</v>
      </c>
      <c r="K189" s="33">
        <f t="shared" si="97"/>
        <v>0</v>
      </c>
      <c r="L189" s="33">
        <f t="shared" si="98"/>
        <v>0</v>
      </c>
      <c r="M189" s="33">
        <f t="shared" si="99"/>
        <v>0</v>
      </c>
      <c r="N189" s="33">
        <f t="shared" si="80"/>
        <v>0</v>
      </c>
      <c r="O189" s="34">
        <f t="shared" si="81"/>
        <v>0</v>
      </c>
      <c r="P189" s="55">
        <v>184</v>
      </c>
      <c r="Q189" s="33">
        <f t="shared" si="94"/>
        <v>0</v>
      </c>
      <c r="R189" s="33">
        <f t="shared" si="100"/>
        <v>0</v>
      </c>
      <c r="S189" s="33">
        <f t="shared" si="101"/>
        <v>0</v>
      </c>
      <c r="T189" s="33">
        <f t="shared" si="82"/>
        <v>0</v>
      </c>
      <c r="U189" s="33">
        <f t="shared" si="95"/>
        <v>0</v>
      </c>
      <c r="V189" s="33">
        <f t="shared" si="83"/>
        <v>0</v>
      </c>
      <c r="W189" s="33">
        <v>0</v>
      </c>
      <c r="X189" s="33">
        <f t="shared" si="84"/>
        <v>0</v>
      </c>
      <c r="Y189" s="38">
        <f t="shared" si="85"/>
        <v>0</v>
      </c>
      <c r="AA189" s="71">
        <v>184</v>
      </c>
      <c r="AB189" s="33">
        <f t="shared" si="86"/>
        <v>0</v>
      </c>
      <c r="AC189" s="305">
        <f t="shared" si="106"/>
        <v>0</v>
      </c>
      <c r="AD189" s="100">
        <f t="shared" si="87"/>
        <v>0</v>
      </c>
      <c r="AE189" s="100">
        <f t="shared" si="88"/>
        <v>0</v>
      </c>
      <c r="AF189" s="194">
        <f t="shared" si="102"/>
        <v>0</v>
      </c>
      <c r="AG189" s="194">
        <f t="shared" si="103"/>
        <v>0</v>
      </c>
      <c r="AH189" s="194">
        <f t="shared" si="104"/>
        <v>0</v>
      </c>
      <c r="AI189" s="199">
        <f t="shared" si="105"/>
        <v>0</v>
      </c>
      <c r="AK189" s="71">
        <v>184</v>
      </c>
      <c r="AL189" s="33">
        <f t="shared" si="89"/>
        <v>0</v>
      </c>
      <c r="AM189" s="33">
        <f t="shared" si="90"/>
        <v>0</v>
      </c>
      <c r="AN189" s="33">
        <f t="shared" si="91"/>
        <v>0</v>
      </c>
      <c r="AO189" s="33">
        <f t="shared" si="92"/>
        <v>0</v>
      </c>
      <c r="AP189" s="33">
        <f t="shared" si="93"/>
        <v>0</v>
      </c>
      <c r="AQ189" s="194">
        <f t="shared" si="107"/>
        <v>0</v>
      </c>
      <c r="AR189" s="194">
        <f t="shared" si="107"/>
        <v>0</v>
      </c>
      <c r="AS189" s="194">
        <f t="shared" si="107"/>
        <v>0</v>
      </c>
      <c r="AT189" s="194">
        <f t="shared" si="107"/>
        <v>0</v>
      </c>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96"/>
        <v>0</v>
      </c>
      <c r="K190" s="33">
        <f t="shared" si="97"/>
        <v>0</v>
      </c>
      <c r="L190" s="33">
        <f t="shared" si="98"/>
        <v>0</v>
      </c>
      <c r="M190" s="33">
        <f t="shared" si="99"/>
        <v>0</v>
      </c>
      <c r="N190" s="33">
        <f t="shared" si="80"/>
        <v>0</v>
      </c>
      <c r="O190" s="34">
        <f t="shared" si="81"/>
        <v>0</v>
      </c>
      <c r="P190" s="55">
        <v>185</v>
      </c>
      <c r="Q190" s="33">
        <f t="shared" si="94"/>
        <v>0</v>
      </c>
      <c r="R190" s="33">
        <f t="shared" si="100"/>
        <v>0</v>
      </c>
      <c r="S190" s="33">
        <f t="shared" si="101"/>
        <v>0</v>
      </c>
      <c r="T190" s="33">
        <f t="shared" si="82"/>
        <v>0</v>
      </c>
      <c r="U190" s="33">
        <f t="shared" si="95"/>
        <v>0</v>
      </c>
      <c r="V190" s="33">
        <f t="shared" si="83"/>
        <v>0</v>
      </c>
      <c r="W190" s="33">
        <v>0</v>
      </c>
      <c r="X190" s="33">
        <f t="shared" si="84"/>
        <v>0</v>
      </c>
      <c r="Y190" s="38">
        <f t="shared" si="85"/>
        <v>0</v>
      </c>
      <c r="AA190" s="71">
        <v>185</v>
      </c>
      <c r="AB190" s="33">
        <f t="shared" si="86"/>
        <v>0</v>
      </c>
      <c r="AC190" s="305">
        <f t="shared" si="106"/>
        <v>0</v>
      </c>
      <c r="AD190" s="100">
        <f t="shared" si="87"/>
        <v>0</v>
      </c>
      <c r="AE190" s="100">
        <f t="shared" si="88"/>
        <v>0</v>
      </c>
      <c r="AF190" s="194">
        <f t="shared" si="102"/>
        <v>0</v>
      </c>
      <c r="AG190" s="194">
        <f t="shared" si="103"/>
        <v>0</v>
      </c>
      <c r="AH190" s="194">
        <f t="shared" si="104"/>
        <v>0</v>
      </c>
      <c r="AI190" s="199">
        <f t="shared" si="105"/>
        <v>0</v>
      </c>
      <c r="AK190" s="71">
        <v>185</v>
      </c>
      <c r="AL190" s="33">
        <f t="shared" si="89"/>
        <v>0</v>
      </c>
      <c r="AM190" s="33">
        <f t="shared" si="90"/>
        <v>0</v>
      </c>
      <c r="AN190" s="33">
        <f t="shared" si="91"/>
        <v>0</v>
      </c>
      <c r="AO190" s="33">
        <f t="shared" si="92"/>
        <v>0</v>
      </c>
      <c r="AP190" s="33">
        <f t="shared" si="93"/>
        <v>0</v>
      </c>
      <c r="AQ190" s="194">
        <f t="shared" si="107"/>
        <v>0</v>
      </c>
      <c r="AR190" s="194">
        <f t="shared" si="107"/>
        <v>0</v>
      </c>
      <c r="AS190" s="194">
        <f t="shared" si="107"/>
        <v>0</v>
      </c>
      <c r="AT190" s="194">
        <f t="shared" si="107"/>
        <v>0</v>
      </c>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96"/>
        <v>0</v>
      </c>
      <c r="K191" s="33">
        <f t="shared" si="97"/>
        <v>0</v>
      </c>
      <c r="L191" s="33">
        <f t="shared" si="98"/>
        <v>0</v>
      </c>
      <c r="M191" s="33">
        <f t="shared" si="99"/>
        <v>0</v>
      </c>
      <c r="N191" s="33">
        <f t="shared" si="80"/>
        <v>0</v>
      </c>
      <c r="O191" s="34">
        <f t="shared" si="81"/>
        <v>0</v>
      </c>
      <c r="P191" s="55">
        <v>186</v>
      </c>
      <c r="Q191" s="33">
        <f t="shared" si="94"/>
        <v>0</v>
      </c>
      <c r="R191" s="33">
        <f t="shared" si="100"/>
        <v>0</v>
      </c>
      <c r="S191" s="33">
        <f t="shared" si="101"/>
        <v>0</v>
      </c>
      <c r="T191" s="33">
        <f t="shared" si="82"/>
        <v>0</v>
      </c>
      <c r="U191" s="33">
        <f t="shared" si="95"/>
        <v>0</v>
      </c>
      <c r="V191" s="33">
        <f t="shared" si="83"/>
        <v>0</v>
      </c>
      <c r="W191" s="33">
        <v>0</v>
      </c>
      <c r="X191" s="33">
        <f t="shared" si="84"/>
        <v>0</v>
      </c>
      <c r="Y191" s="38">
        <f t="shared" si="85"/>
        <v>0</v>
      </c>
      <c r="AA191" s="71">
        <v>186</v>
      </c>
      <c r="AB191" s="33">
        <f t="shared" si="86"/>
        <v>0</v>
      </c>
      <c r="AC191" s="305">
        <f t="shared" si="106"/>
        <v>0</v>
      </c>
      <c r="AD191" s="100">
        <f t="shared" si="87"/>
        <v>0</v>
      </c>
      <c r="AE191" s="100">
        <f t="shared" si="88"/>
        <v>0</v>
      </c>
      <c r="AF191" s="194">
        <f t="shared" si="102"/>
        <v>0</v>
      </c>
      <c r="AG191" s="194">
        <f t="shared" si="103"/>
        <v>0</v>
      </c>
      <c r="AH191" s="194">
        <f t="shared" si="104"/>
        <v>0</v>
      </c>
      <c r="AI191" s="199">
        <f t="shared" si="105"/>
        <v>0</v>
      </c>
      <c r="AK191" s="71">
        <v>186</v>
      </c>
      <c r="AL191" s="33">
        <f t="shared" si="89"/>
        <v>0</v>
      </c>
      <c r="AM191" s="33">
        <f t="shared" si="90"/>
        <v>0</v>
      </c>
      <c r="AN191" s="33">
        <f t="shared" si="91"/>
        <v>0</v>
      </c>
      <c r="AO191" s="33">
        <f t="shared" si="92"/>
        <v>0</v>
      </c>
      <c r="AP191" s="33">
        <f t="shared" si="93"/>
        <v>0</v>
      </c>
      <c r="AQ191" s="194">
        <f t="shared" si="107"/>
        <v>0</v>
      </c>
      <c r="AR191" s="194">
        <f t="shared" si="107"/>
        <v>0</v>
      </c>
      <c r="AS191" s="194">
        <f t="shared" si="107"/>
        <v>0</v>
      </c>
      <c r="AT191" s="194">
        <f t="shared" si="107"/>
        <v>0</v>
      </c>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96"/>
        <v>0</v>
      </c>
      <c r="K192" s="33">
        <f t="shared" si="97"/>
        <v>0</v>
      </c>
      <c r="L192" s="33">
        <f t="shared" si="98"/>
        <v>0</v>
      </c>
      <c r="M192" s="33">
        <f t="shared" si="99"/>
        <v>0</v>
      </c>
      <c r="N192" s="33">
        <f t="shared" si="80"/>
        <v>0</v>
      </c>
      <c r="O192" s="34">
        <f t="shared" si="81"/>
        <v>0</v>
      </c>
      <c r="P192" s="55">
        <v>187</v>
      </c>
      <c r="Q192" s="33">
        <f t="shared" si="94"/>
        <v>0</v>
      </c>
      <c r="R192" s="33">
        <f t="shared" si="100"/>
        <v>0</v>
      </c>
      <c r="S192" s="33">
        <f t="shared" si="101"/>
        <v>0</v>
      </c>
      <c r="T192" s="33">
        <f t="shared" si="82"/>
        <v>0</v>
      </c>
      <c r="U192" s="33">
        <f t="shared" si="95"/>
        <v>0</v>
      </c>
      <c r="V192" s="33">
        <f t="shared" si="83"/>
        <v>0</v>
      </c>
      <c r="W192" s="33">
        <v>0</v>
      </c>
      <c r="X192" s="33">
        <f t="shared" si="84"/>
        <v>0</v>
      </c>
      <c r="Y192" s="38">
        <f t="shared" si="85"/>
        <v>0</v>
      </c>
      <c r="AA192" s="71">
        <v>187</v>
      </c>
      <c r="AB192" s="33">
        <f t="shared" si="86"/>
        <v>0</v>
      </c>
      <c r="AC192" s="305">
        <f t="shared" si="106"/>
        <v>0</v>
      </c>
      <c r="AD192" s="100">
        <f t="shared" si="87"/>
        <v>0</v>
      </c>
      <c r="AE192" s="100">
        <f t="shared" si="88"/>
        <v>0</v>
      </c>
      <c r="AF192" s="194">
        <f t="shared" si="102"/>
        <v>0</v>
      </c>
      <c r="AG192" s="194">
        <f t="shared" si="103"/>
        <v>0</v>
      </c>
      <c r="AH192" s="194">
        <f t="shared" si="104"/>
        <v>0</v>
      </c>
      <c r="AI192" s="199">
        <f t="shared" si="105"/>
        <v>0</v>
      </c>
      <c r="AK192" s="71">
        <v>187</v>
      </c>
      <c r="AL192" s="33">
        <f t="shared" si="89"/>
        <v>0</v>
      </c>
      <c r="AM192" s="33">
        <f t="shared" si="90"/>
        <v>0</v>
      </c>
      <c r="AN192" s="33">
        <f t="shared" si="91"/>
        <v>0</v>
      </c>
      <c r="AO192" s="33">
        <f t="shared" si="92"/>
        <v>0</v>
      </c>
      <c r="AP192" s="33">
        <f t="shared" si="93"/>
        <v>0</v>
      </c>
      <c r="AQ192" s="194">
        <f t="shared" si="107"/>
        <v>0</v>
      </c>
      <c r="AR192" s="194">
        <f t="shared" si="107"/>
        <v>0</v>
      </c>
      <c r="AS192" s="194">
        <f t="shared" si="107"/>
        <v>0</v>
      </c>
      <c r="AT192" s="194">
        <f t="shared" si="107"/>
        <v>0</v>
      </c>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96"/>
        <v>0</v>
      </c>
      <c r="K193" s="33">
        <f t="shared" si="97"/>
        <v>0</v>
      </c>
      <c r="L193" s="33">
        <f t="shared" si="98"/>
        <v>0</v>
      </c>
      <c r="M193" s="33">
        <f t="shared" si="99"/>
        <v>0</v>
      </c>
      <c r="N193" s="33">
        <f t="shared" si="80"/>
        <v>0</v>
      </c>
      <c r="O193" s="34">
        <f t="shared" si="81"/>
        <v>0</v>
      </c>
      <c r="P193" s="55">
        <v>188</v>
      </c>
      <c r="Q193" s="33">
        <f t="shared" si="94"/>
        <v>0</v>
      </c>
      <c r="R193" s="33">
        <f t="shared" si="100"/>
        <v>0</v>
      </c>
      <c r="S193" s="33">
        <f t="shared" si="101"/>
        <v>0</v>
      </c>
      <c r="T193" s="33">
        <f t="shared" si="82"/>
        <v>0</v>
      </c>
      <c r="U193" s="33">
        <f t="shared" si="95"/>
        <v>0</v>
      </c>
      <c r="V193" s="33">
        <f t="shared" si="83"/>
        <v>0</v>
      </c>
      <c r="W193" s="33">
        <v>0</v>
      </c>
      <c r="X193" s="33">
        <f t="shared" si="84"/>
        <v>0</v>
      </c>
      <c r="Y193" s="38">
        <f t="shared" si="85"/>
        <v>0</v>
      </c>
      <c r="AA193" s="71">
        <v>188</v>
      </c>
      <c r="AB193" s="33">
        <f t="shared" si="86"/>
        <v>0</v>
      </c>
      <c r="AC193" s="305">
        <f t="shared" si="106"/>
        <v>0</v>
      </c>
      <c r="AD193" s="100">
        <f t="shared" si="87"/>
        <v>0</v>
      </c>
      <c r="AE193" s="100">
        <f t="shared" si="88"/>
        <v>0</v>
      </c>
      <c r="AF193" s="194">
        <f t="shared" si="102"/>
        <v>0</v>
      </c>
      <c r="AG193" s="194">
        <f t="shared" si="103"/>
        <v>0</v>
      </c>
      <c r="AH193" s="194">
        <f t="shared" si="104"/>
        <v>0</v>
      </c>
      <c r="AI193" s="199">
        <f t="shared" si="105"/>
        <v>0</v>
      </c>
      <c r="AK193" s="71">
        <v>188</v>
      </c>
      <c r="AL193" s="33">
        <f t="shared" si="89"/>
        <v>0</v>
      </c>
      <c r="AM193" s="33">
        <f t="shared" si="90"/>
        <v>0</v>
      </c>
      <c r="AN193" s="33">
        <f t="shared" si="91"/>
        <v>0</v>
      </c>
      <c r="AO193" s="33">
        <f t="shared" si="92"/>
        <v>0</v>
      </c>
      <c r="AP193" s="33">
        <f t="shared" si="93"/>
        <v>0</v>
      </c>
      <c r="AQ193" s="194">
        <f t="shared" si="107"/>
        <v>0</v>
      </c>
      <c r="AR193" s="194">
        <f t="shared" si="107"/>
        <v>0</v>
      </c>
      <c r="AS193" s="194">
        <f t="shared" si="107"/>
        <v>0</v>
      </c>
      <c r="AT193" s="194">
        <f t="shared" si="107"/>
        <v>0</v>
      </c>
      <c r="AU193" s="33"/>
      <c r="AV193" s="33"/>
      <c r="AW193" s="33"/>
      <c r="AX193" s="33"/>
      <c r="AY193" s="76"/>
    </row>
    <row r="194" spans="3:51" x14ac:dyDescent="0.3">
      <c r="C194" s="168" t="s">
        <v>69</v>
      </c>
      <c r="D194" s="3">
        <v>0.42</v>
      </c>
      <c r="E194" s="188" t="s">
        <v>229</v>
      </c>
      <c r="F194" s="343">
        <f>IF(OR(Tableau145[[#This Row],[Type]]="Feuillus",Tableau145[[#This Row],[Type]]="Peupliers"),1.56,1.3)</f>
        <v>1.3</v>
      </c>
      <c r="I194" s="55">
        <v>189</v>
      </c>
      <c r="J194" s="33">
        <f t="shared" si="96"/>
        <v>0</v>
      </c>
      <c r="K194" s="33">
        <f t="shared" si="97"/>
        <v>0</v>
      </c>
      <c r="L194" s="33">
        <f t="shared" si="98"/>
        <v>0</v>
      </c>
      <c r="M194" s="33">
        <f t="shared" si="99"/>
        <v>0</v>
      </c>
      <c r="N194" s="33">
        <f t="shared" si="80"/>
        <v>0</v>
      </c>
      <c r="O194" s="34">
        <f t="shared" si="81"/>
        <v>0</v>
      </c>
      <c r="P194" s="55">
        <v>189</v>
      </c>
      <c r="Q194" s="33">
        <f t="shared" si="94"/>
        <v>0</v>
      </c>
      <c r="R194" s="33">
        <f t="shared" si="100"/>
        <v>0</v>
      </c>
      <c r="S194" s="33">
        <f t="shared" si="101"/>
        <v>0</v>
      </c>
      <c r="T194" s="33">
        <f t="shared" si="82"/>
        <v>0</v>
      </c>
      <c r="U194" s="33">
        <f t="shared" si="95"/>
        <v>0</v>
      </c>
      <c r="V194" s="33">
        <f t="shared" si="83"/>
        <v>0</v>
      </c>
      <c r="W194" s="33">
        <v>0</v>
      </c>
      <c r="X194" s="33">
        <f t="shared" si="84"/>
        <v>0</v>
      </c>
      <c r="Y194" s="38">
        <f t="shared" si="85"/>
        <v>0</v>
      </c>
      <c r="AA194" s="71">
        <v>189</v>
      </c>
      <c r="AB194" s="33">
        <f t="shared" si="86"/>
        <v>0</v>
      </c>
      <c r="AC194" s="305">
        <f t="shared" si="106"/>
        <v>0</v>
      </c>
      <c r="AD194" s="100">
        <f t="shared" si="87"/>
        <v>0</v>
      </c>
      <c r="AE194" s="100">
        <f t="shared" si="88"/>
        <v>0</v>
      </c>
      <c r="AF194" s="194">
        <f t="shared" si="102"/>
        <v>0</v>
      </c>
      <c r="AG194" s="194">
        <f t="shared" si="103"/>
        <v>0</v>
      </c>
      <c r="AH194" s="194">
        <f t="shared" si="104"/>
        <v>0</v>
      </c>
      <c r="AI194" s="199">
        <f t="shared" si="105"/>
        <v>0</v>
      </c>
      <c r="AK194" s="71">
        <v>189</v>
      </c>
      <c r="AL194" s="33">
        <f t="shared" si="89"/>
        <v>0</v>
      </c>
      <c r="AM194" s="33">
        <f t="shared" si="90"/>
        <v>0</v>
      </c>
      <c r="AN194" s="33">
        <f t="shared" si="91"/>
        <v>0</v>
      </c>
      <c r="AO194" s="33">
        <f t="shared" si="92"/>
        <v>0</v>
      </c>
      <c r="AP194" s="33">
        <f t="shared" si="93"/>
        <v>0</v>
      </c>
      <c r="AQ194" s="194">
        <f t="shared" si="107"/>
        <v>0</v>
      </c>
      <c r="AR194" s="194">
        <f t="shared" si="107"/>
        <v>0</v>
      </c>
      <c r="AS194" s="194">
        <f t="shared" si="107"/>
        <v>0</v>
      </c>
      <c r="AT194" s="194">
        <f t="shared" si="107"/>
        <v>0</v>
      </c>
      <c r="AU194" s="33"/>
      <c r="AV194" s="33"/>
      <c r="AW194" s="33"/>
      <c r="AX194" s="33"/>
      <c r="AY194" s="76"/>
    </row>
    <row r="195" spans="3:51" x14ac:dyDescent="0.3">
      <c r="C195" s="168" t="s">
        <v>70</v>
      </c>
      <c r="D195" s="3">
        <v>0.56999999999999995</v>
      </c>
      <c r="E195" s="188" t="s">
        <v>228</v>
      </c>
      <c r="F195" s="343">
        <f>IF(OR(Tableau145[[#This Row],[Type]]="Feuillus",Tableau145[[#This Row],[Type]]="Peupliers"),1.56,1.3)</f>
        <v>1.56</v>
      </c>
      <c r="I195" s="55">
        <v>190</v>
      </c>
      <c r="J195" s="33">
        <f t="shared" si="96"/>
        <v>0</v>
      </c>
      <c r="K195" s="33">
        <f t="shared" si="97"/>
        <v>0</v>
      </c>
      <c r="L195" s="33">
        <f t="shared" si="98"/>
        <v>0</v>
      </c>
      <c r="M195" s="33">
        <f t="shared" si="99"/>
        <v>0</v>
      </c>
      <c r="N195" s="33">
        <f t="shared" si="80"/>
        <v>0</v>
      </c>
      <c r="O195" s="34">
        <f t="shared" si="81"/>
        <v>0</v>
      </c>
      <c r="P195" s="55">
        <v>190</v>
      </c>
      <c r="Q195" s="33">
        <f t="shared" si="94"/>
        <v>0</v>
      </c>
      <c r="R195" s="33">
        <f t="shared" si="100"/>
        <v>0</v>
      </c>
      <c r="S195" s="33">
        <f t="shared" si="101"/>
        <v>0</v>
      </c>
      <c r="T195" s="33">
        <f t="shared" si="82"/>
        <v>0</v>
      </c>
      <c r="U195" s="33">
        <f t="shared" si="95"/>
        <v>0</v>
      </c>
      <c r="V195" s="33">
        <f t="shared" si="83"/>
        <v>0</v>
      </c>
      <c r="W195" s="33">
        <v>0</v>
      </c>
      <c r="X195" s="33">
        <f t="shared" si="84"/>
        <v>0</v>
      </c>
      <c r="Y195" s="38">
        <f t="shared" si="85"/>
        <v>0</v>
      </c>
      <c r="AA195" s="71">
        <v>190</v>
      </c>
      <c r="AB195" s="33">
        <f t="shared" si="86"/>
        <v>0</v>
      </c>
      <c r="AC195" s="305">
        <f t="shared" si="106"/>
        <v>0</v>
      </c>
      <c r="AD195" s="100">
        <f t="shared" si="87"/>
        <v>0</v>
      </c>
      <c r="AE195" s="100">
        <f t="shared" si="88"/>
        <v>0</v>
      </c>
      <c r="AF195" s="194">
        <f t="shared" si="102"/>
        <v>0</v>
      </c>
      <c r="AG195" s="194">
        <f t="shared" si="103"/>
        <v>0</v>
      </c>
      <c r="AH195" s="194">
        <f t="shared" si="104"/>
        <v>0</v>
      </c>
      <c r="AI195" s="199">
        <f t="shared" si="105"/>
        <v>0</v>
      </c>
      <c r="AK195" s="71">
        <v>190</v>
      </c>
      <c r="AL195" s="33">
        <f t="shared" si="89"/>
        <v>0</v>
      </c>
      <c r="AM195" s="33">
        <f t="shared" si="90"/>
        <v>0</v>
      </c>
      <c r="AN195" s="33">
        <f t="shared" si="91"/>
        <v>0</v>
      </c>
      <c r="AO195" s="33">
        <f t="shared" si="92"/>
        <v>0</v>
      </c>
      <c r="AP195" s="33">
        <f t="shared" si="93"/>
        <v>0</v>
      </c>
      <c r="AQ195" s="194">
        <f t="shared" si="107"/>
        <v>0</v>
      </c>
      <c r="AR195" s="194">
        <f t="shared" si="107"/>
        <v>0</v>
      </c>
      <c r="AS195" s="194">
        <f t="shared" si="107"/>
        <v>0</v>
      </c>
      <c r="AT195" s="194">
        <f t="shared" si="107"/>
        <v>0</v>
      </c>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96"/>
        <v>0</v>
      </c>
      <c r="K196" s="33">
        <f t="shared" si="97"/>
        <v>0</v>
      </c>
      <c r="L196" s="33">
        <f t="shared" si="98"/>
        <v>0</v>
      </c>
      <c r="M196" s="33">
        <f t="shared" si="99"/>
        <v>0</v>
      </c>
      <c r="N196" s="33">
        <f t="shared" si="80"/>
        <v>0</v>
      </c>
      <c r="O196" s="34">
        <f t="shared" si="81"/>
        <v>0</v>
      </c>
      <c r="P196" s="55">
        <v>191</v>
      </c>
      <c r="Q196" s="33">
        <f t="shared" si="94"/>
        <v>0</v>
      </c>
      <c r="R196" s="33">
        <f t="shared" si="100"/>
        <v>0</v>
      </c>
      <c r="S196" s="33">
        <f t="shared" si="101"/>
        <v>0</v>
      </c>
      <c r="T196" s="33">
        <f t="shared" si="82"/>
        <v>0</v>
      </c>
      <c r="U196" s="33">
        <f t="shared" si="95"/>
        <v>0</v>
      </c>
      <c r="V196" s="33">
        <f t="shared" si="83"/>
        <v>0</v>
      </c>
      <c r="W196" s="33">
        <v>0</v>
      </c>
      <c r="X196" s="33">
        <f t="shared" si="84"/>
        <v>0</v>
      </c>
      <c r="Y196" s="38">
        <f t="shared" si="85"/>
        <v>0</v>
      </c>
      <c r="AA196" s="71">
        <v>191</v>
      </c>
      <c r="AB196" s="33">
        <f t="shared" si="86"/>
        <v>0</v>
      </c>
      <c r="AC196" s="305">
        <f t="shared" si="106"/>
        <v>0</v>
      </c>
      <c r="AD196" s="100">
        <f t="shared" si="87"/>
        <v>0</v>
      </c>
      <c r="AE196" s="100">
        <f t="shared" si="88"/>
        <v>0</v>
      </c>
      <c r="AF196" s="194">
        <f t="shared" si="102"/>
        <v>0</v>
      </c>
      <c r="AG196" s="194">
        <f t="shared" si="103"/>
        <v>0</v>
      </c>
      <c r="AH196" s="194">
        <f t="shared" si="104"/>
        <v>0</v>
      </c>
      <c r="AI196" s="199">
        <f t="shared" si="105"/>
        <v>0</v>
      </c>
      <c r="AK196" s="71">
        <v>191</v>
      </c>
      <c r="AL196" s="33">
        <f t="shared" si="89"/>
        <v>0</v>
      </c>
      <c r="AM196" s="33">
        <f t="shared" si="90"/>
        <v>0</v>
      </c>
      <c r="AN196" s="33">
        <f t="shared" si="91"/>
        <v>0</v>
      </c>
      <c r="AO196" s="33">
        <f t="shared" si="92"/>
        <v>0</v>
      </c>
      <c r="AP196" s="33">
        <f t="shared" si="93"/>
        <v>0</v>
      </c>
      <c r="AQ196" s="194">
        <f t="shared" si="107"/>
        <v>0</v>
      </c>
      <c r="AR196" s="194">
        <f t="shared" si="107"/>
        <v>0</v>
      </c>
      <c r="AS196" s="194">
        <f t="shared" si="107"/>
        <v>0</v>
      </c>
      <c r="AT196" s="194">
        <f t="shared" si="107"/>
        <v>0</v>
      </c>
      <c r="AU196" s="33"/>
      <c r="AV196" s="33"/>
      <c r="AW196" s="33"/>
      <c r="AX196" s="33"/>
      <c r="AY196" s="76"/>
    </row>
    <row r="197" spans="3:51" x14ac:dyDescent="0.3">
      <c r="E197" s="24"/>
      <c r="I197" s="55">
        <v>192</v>
      </c>
      <c r="J197" s="33">
        <f t="shared" si="96"/>
        <v>0</v>
      </c>
      <c r="K197" s="33">
        <f t="shared" si="97"/>
        <v>0</v>
      </c>
      <c r="L197" s="33">
        <f t="shared" si="98"/>
        <v>0</v>
      </c>
      <c r="M197" s="33">
        <f t="shared" si="99"/>
        <v>0</v>
      </c>
      <c r="N197" s="33">
        <f t="shared" ref="N197:N204" si="108">IF(P198&lt;=$F$18,0,)</f>
        <v>0</v>
      </c>
      <c r="O197" s="34">
        <f t="shared" ref="O197:O205" si="109">((J197+K197)*0.475+L197+M197+N197)*44/12</f>
        <v>0</v>
      </c>
      <c r="P197" s="55">
        <v>192</v>
      </c>
      <c r="Q197" s="33">
        <f t="shared" si="94"/>
        <v>0</v>
      </c>
      <c r="R197" s="33">
        <f t="shared" si="100"/>
        <v>0</v>
      </c>
      <c r="S197" s="33">
        <f t="shared" si="101"/>
        <v>0</v>
      </c>
      <c r="T197" s="33">
        <f t="shared" ref="T197:T205" si="110">IF(S197=0,0,EXP(-1.0587+0.8836*LN(S197)+0.284))</f>
        <v>0</v>
      </c>
      <c r="U197" s="33">
        <f t="shared" si="95"/>
        <v>0</v>
      </c>
      <c r="V197" s="33">
        <f t="shared" ref="V197:V205" si="111">IF(P197&lt;=$F$18,IF(P197&lt;=30,P197*($F$16-$F$6)/30,$F$16-$F$6),)</f>
        <v>0</v>
      </c>
      <c r="W197" s="33">
        <v>0</v>
      </c>
      <c r="X197" s="33">
        <f t="shared" ref="X197:X205" si="112">((S197+T197)*0.475+U197+V197+W197)*44/12</f>
        <v>0</v>
      </c>
      <c r="Y197" s="38">
        <f t="shared" ref="Y197:Y205" si="113">IF(P197&lt;=$F$18,X197-O197,)</f>
        <v>0</v>
      </c>
      <c r="AA197" s="71">
        <v>192</v>
      </c>
      <c r="AB197" s="33">
        <f t="shared" ref="AB197:AB205" si="114">IF(AA197&lt;=$F$18,IFERROR(VLOOKUP($AA197,$B$82:$G$94,2,FALSE),0),)</f>
        <v>0</v>
      </c>
      <c r="AC197" s="305">
        <f t="shared" si="106"/>
        <v>0</v>
      </c>
      <c r="AD197" s="100">
        <f t="shared" ref="AD197:AD205" si="115">IF(AA197&lt;=$F$18,IFERROR(VLOOKUP($AA197,$B$82:$G$94,4,FALSE),0),)</f>
        <v>0</v>
      </c>
      <c r="AE197" s="100">
        <f t="shared" ref="AE197:AE205" si="116">IF(AA197&lt;=$F$18,IFERROR(VLOOKUP($AA197,$B$82:$G$94,5,FALSE),0),)</f>
        <v>0</v>
      </c>
      <c r="AF197" s="194">
        <f t="shared" si="102"/>
        <v>0</v>
      </c>
      <c r="AG197" s="194">
        <f t="shared" si="103"/>
        <v>0</v>
      </c>
      <c r="AH197" s="194">
        <f t="shared" si="104"/>
        <v>0</v>
      </c>
      <c r="AI197" s="199">
        <f t="shared" si="105"/>
        <v>0</v>
      </c>
      <c r="AK197" s="71">
        <v>192</v>
      </c>
      <c r="AL197" s="33">
        <f t="shared" ref="AL197:AL205" si="117">IF(AK197&lt;=$F$18,IFERROR(VLOOKUP($AA197,$B$82:$G$94,2,FALSE),0),)</f>
        <v>0</v>
      </c>
      <c r="AM197" s="33">
        <f t="shared" ref="AM197:AM205" si="118">IF(AK197&lt;=$F$18,IFERROR(VLOOKUP($AA197,$B$82:$G$94,3,FALSE),0),)</f>
        <v>0</v>
      </c>
      <c r="AN197" s="33">
        <f t="shared" ref="AN197:AN205" si="119">IF(AK197&lt;=$F$18,IFERROR(VLOOKUP($AA197,$B$82:$G$94,4,FALSE),0),)</f>
        <v>0</v>
      </c>
      <c r="AO197" s="33">
        <f t="shared" ref="AO197:AO205" si="120">IF(AK197&lt;=$F$18,IFERROR(VLOOKUP($AA197,$B$82:$G$94,5,FALSE),0),)</f>
        <v>0</v>
      </c>
      <c r="AP197" s="33">
        <f t="shared" ref="AP197:AP205" si="121">IF(AK197&lt;=$F$18,IFERROR(VLOOKUP($AA197,$B$82:$G$94,6,FALSE),0),)</f>
        <v>0</v>
      </c>
      <c r="AQ197" s="194">
        <f t="shared" si="107"/>
        <v>0</v>
      </c>
      <c r="AR197" s="194">
        <f t="shared" si="107"/>
        <v>0</v>
      </c>
      <c r="AS197" s="194">
        <f t="shared" si="107"/>
        <v>0</v>
      </c>
      <c r="AT197" s="194">
        <f t="shared" si="107"/>
        <v>0</v>
      </c>
      <c r="AU197" s="33"/>
      <c r="AV197" s="33"/>
      <c r="AW197" s="33"/>
      <c r="AX197" s="33"/>
      <c r="AY197" s="76"/>
    </row>
    <row r="198" spans="3:51" x14ac:dyDescent="0.3">
      <c r="E198" s="24"/>
      <c r="I198" s="55">
        <v>193</v>
      </c>
      <c r="J198" s="33">
        <f t="shared" si="96"/>
        <v>0</v>
      </c>
      <c r="K198" s="33">
        <f t="shared" si="97"/>
        <v>0</v>
      </c>
      <c r="L198" s="33">
        <f t="shared" si="98"/>
        <v>0</v>
      </c>
      <c r="M198" s="33">
        <f t="shared" si="99"/>
        <v>0</v>
      </c>
      <c r="N198" s="33">
        <f t="shared" si="108"/>
        <v>0</v>
      </c>
      <c r="O198" s="34">
        <f t="shared" si="109"/>
        <v>0</v>
      </c>
      <c r="P198" s="55">
        <v>193</v>
      </c>
      <c r="Q198" s="33">
        <f t="shared" ref="Q198:Q205" si="122">IF(P198&lt;=$F$18,LOOKUP(P198-1,$B$25:$B$78,$G$25:$G$78),)</f>
        <v>0</v>
      </c>
      <c r="R198" s="33">
        <f t="shared" si="100"/>
        <v>0</v>
      </c>
      <c r="S198" s="33">
        <f t="shared" si="101"/>
        <v>0</v>
      </c>
      <c r="T198" s="33">
        <f t="shared" si="110"/>
        <v>0</v>
      </c>
      <c r="U198" s="33">
        <f t="shared" ref="U198:U205" si="123">IF(P198&lt;=$F$18,$F$5+($F$15-$F$5)*(1-EXP(-0.0175*P198)),)</f>
        <v>0</v>
      </c>
      <c r="V198" s="33">
        <f t="shared" si="111"/>
        <v>0</v>
      </c>
      <c r="W198" s="33">
        <v>0</v>
      </c>
      <c r="X198" s="33">
        <f t="shared" si="112"/>
        <v>0</v>
      </c>
      <c r="Y198" s="38">
        <f t="shared" si="113"/>
        <v>0</v>
      </c>
      <c r="AA198" s="71">
        <v>193</v>
      </c>
      <c r="AB198" s="33">
        <f t="shared" si="114"/>
        <v>0</v>
      </c>
      <c r="AC198" s="305">
        <f t="shared" si="106"/>
        <v>0</v>
      </c>
      <c r="AD198" s="100">
        <f t="shared" si="115"/>
        <v>0</v>
      </c>
      <c r="AE198" s="100">
        <f t="shared" si="116"/>
        <v>0</v>
      </c>
      <c r="AF198" s="194">
        <f t="shared" si="102"/>
        <v>0</v>
      </c>
      <c r="AG198" s="194">
        <f t="shared" si="103"/>
        <v>0</v>
      </c>
      <c r="AH198" s="194">
        <f t="shared" si="104"/>
        <v>0</v>
      </c>
      <c r="AI198" s="199">
        <f t="shared" si="105"/>
        <v>0</v>
      </c>
      <c r="AK198" s="71">
        <v>193</v>
      </c>
      <c r="AL198" s="33">
        <f t="shared" si="117"/>
        <v>0</v>
      </c>
      <c r="AM198" s="33">
        <f t="shared" si="118"/>
        <v>0</v>
      </c>
      <c r="AN198" s="33">
        <f t="shared" si="119"/>
        <v>0</v>
      </c>
      <c r="AO198" s="33">
        <f t="shared" si="120"/>
        <v>0</v>
      </c>
      <c r="AP198" s="33">
        <f t="shared" si="121"/>
        <v>0</v>
      </c>
      <c r="AQ198" s="194">
        <f t="shared" si="107"/>
        <v>0</v>
      </c>
      <c r="AR198" s="194">
        <f t="shared" si="107"/>
        <v>0</v>
      </c>
      <c r="AS198" s="194">
        <f t="shared" si="107"/>
        <v>0</v>
      </c>
      <c r="AT198" s="194">
        <f t="shared" si="107"/>
        <v>0</v>
      </c>
      <c r="AU198" s="33"/>
      <c r="AV198" s="33"/>
      <c r="AW198" s="33"/>
      <c r="AX198" s="33"/>
      <c r="AY198" s="76"/>
    </row>
    <row r="199" spans="3:51" x14ac:dyDescent="0.3">
      <c r="E199" s="24"/>
      <c r="I199" s="55">
        <v>194</v>
      </c>
      <c r="J199" s="33">
        <f t="shared" ref="J199:J205" si="124">IF($I199&lt;=$F$10,$F$11*$F$13+J198,)</f>
        <v>0</v>
      </c>
      <c r="K199" s="33">
        <f t="shared" ref="K199:K205" si="125">IF(J199=0,0,EXP(-1.0587+0.8836*LN(J199)+0.284))</f>
        <v>0</v>
      </c>
      <c r="L199" s="33">
        <f t="shared" ref="L199:L205" si="126">IF(I199&lt;=$F$10,$F$5+($F$8-$F$5)*(1-EXP(-0.0175*I199)),)</f>
        <v>0</v>
      </c>
      <c r="M199" s="33">
        <f t="shared" ref="M199:M205" si="127">IF(I199&lt;=$F$10,IF(I199&lt;=30,I199*($F$9-$F$6)/30,$F$9-$F$6),)</f>
        <v>0</v>
      </c>
      <c r="N199" s="33">
        <f t="shared" si="108"/>
        <v>0</v>
      </c>
      <c r="O199" s="34">
        <f t="shared" si="109"/>
        <v>0</v>
      </c>
      <c r="P199" s="55">
        <v>194</v>
      </c>
      <c r="Q199" s="33">
        <f t="shared" si="122"/>
        <v>0</v>
      </c>
      <c r="R199" s="33">
        <f t="shared" ref="R199:R205" si="128">IF(P199&lt;=$F$18,Q199+R198,)</f>
        <v>0</v>
      </c>
      <c r="S199" s="33">
        <f t="shared" ref="S199:S205" si="129">$F$19*R199</f>
        <v>0</v>
      </c>
      <c r="T199" s="33">
        <f t="shared" si="110"/>
        <v>0</v>
      </c>
      <c r="U199" s="33">
        <f t="shared" si="123"/>
        <v>0</v>
      </c>
      <c r="V199" s="33">
        <f t="shared" si="111"/>
        <v>0</v>
      </c>
      <c r="W199" s="33">
        <v>0</v>
      </c>
      <c r="X199" s="33">
        <f t="shared" si="112"/>
        <v>0</v>
      </c>
      <c r="Y199" s="38">
        <f t="shared" si="113"/>
        <v>0</v>
      </c>
      <c r="AA199" s="71">
        <v>194</v>
      </c>
      <c r="AB199" s="33">
        <f t="shared" si="114"/>
        <v>0</v>
      </c>
      <c r="AC199" s="305">
        <f t="shared" si="106"/>
        <v>0</v>
      </c>
      <c r="AD199" s="100">
        <f t="shared" si="115"/>
        <v>0</v>
      </c>
      <c r="AE199" s="100">
        <f t="shared" si="116"/>
        <v>0</v>
      </c>
      <c r="AF199" s="194">
        <f t="shared" si="102"/>
        <v>0</v>
      </c>
      <c r="AG199" s="194">
        <f t="shared" si="103"/>
        <v>0</v>
      </c>
      <c r="AH199" s="194">
        <f t="shared" si="104"/>
        <v>0</v>
      </c>
      <c r="AI199" s="199">
        <f t="shared" si="105"/>
        <v>0</v>
      </c>
      <c r="AK199" s="71">
        <v>194</v>
      </c>
      <c r="AL199" s="33">
        <f t="shared" si="117"/>
        <v>0</v>
      </c>
      <c r="AM199" s="33">
        <f t="shared" si="118"/>
        <v>0</v>
      </c>
      <c r="AN199" s="33">
        <f t="shared" si="119"/>
        <v>0</v>
      </c>
      <c r="AO199" s="33">
        <f t="shared" si="120"/>
        <v>0</v>
      </c>
      <c r="AP199" s="33">
        <f t="shared" si="121"/>
        <v>0</v>
      </c>
      <c r="AQ199" s="194">
        <f t="shared" si="107"/>
        <v>0</v>
      </c>
      <c r="AR199" s="194">
        <f t="shared" si="107"/>
        <v>0</v>
      </c>
      <c r="AS199" s="194">
        <f t="shared" si="107"/>
        <v>0</v>
      </c>
      <c r="AT199" s="194">
        <f t="shared" si="107"/>
        <v>0</v>
      </c>
      <c r="AU199" s="33"/>
      <c r="AV199" s="33"/>
      <c r="AW199" s="33"/>
      <c r="AX199" s="33"/>
      <c r="AY199" s="76"/>
    </row>
    <row r="200" spans="3:51" x14ac:dyDescent="0.3">
      <c r="E200" s="24"/>
      <c r="I200" s="55">
        <v>195</v>
      </c>
      <c r="J200" s="33">
        <f t="shared" si="124"/>
        <v>0</v>
      </c>
      <c r="K200" s="33">
        <f t="shared" si="125"/>
        <v>0</v>
      </c>
      <c r="L200" s="33">
        <f t="shared" si="126"/>
        <v>0</v>
      </c>
      <c r="M200" s="33">
        <f t="shared" si="127"/>
        <v>0</v>
      </c>
      <c r="N200" s="33">
        <f t="shared" si="108"/>
        <v>0</v>
      </c>
      <c r="O200" s="34">
        <f t="shared" si="109"/>
        <v>0</v>
      </c>
      <c r="P200" s="55">
        <v>195</v>
      </c>
      <c r="Q200" s="33">
        <f t="shared" si="122"/>
        <v>0</v>
      </c>
      <c r="R200" s="33">
        <f t="shared" si="128"/>
        <v>0</v>
      </c>
      <c r="S200" s="33">
        <f t="shared" si="129"/>
        <v>0</v>
      </c>
      <c r="T200" s="33">
        <f t="shared" si="110"/>
        <v>0</v>
      </c>
      <c r="U200" s="33">
        <f t="shared" si="123"/>
        <v>0</v>
      </c>
      <c r="V200" s="33">
        <f t="shared" si="111"/>
        <v>0</v>
      </c>
      <c r="W200" s="33">
        <v>0</v>
      </c>
      <c r="X200" s="33">
        <f t="shared" si="112"/>
        <v>0</v>
      </c>
      <c r="Y200" s="38">
        <f t="shared" si="113"/>
        <v>0</v>
      </c>
      <c r="AA200" s="71">
        <v>195</v>
      </c>
      <c r="AB200" s="33">
        <f t="shared" si="114"/>
        <v>0</v>
      </c>
      <c r="AC200" s="305">
        <f t="shared" si="106"/>
        <v>0</v>
      </c>
      <c r="AD200" s="100">
        <f t="shared" si="115"/>
        <v>0</v>
      </c>
      <c r="AE200" s="100">
        <f t="shared" si="116"/>
        <v>0</v>
      </c>
      <c r="AF200" s="194">
        <f t="shared" si="102"/>
        <v>0</v>
      </c>
      <c r="AG200" s="194">
        <f t="shared" si="103"/>
        <v>0</v>
      </c>
      <c r="AH200" s="194">
        <f t="shared" si="104"/>
        <v>0</v>
      </c>
      <c r="AI200" s="199">
        <f t="shared" si="105"/>
        <v>0</v>
      </c>
      <c r="AK200" s="71">
        <v>195</v>
      </c>
      <c r="AL200" s="33">
        <f t="shared" si="117"/>
        <v>0</v>
      </c>
      <c r="AM200" s="33">
        <f t="shared" si="118"/>
        <v>0</v>
      </c>
      <c r="AN200" s="33">
        <f t="shared" si="119"/>
        <v>0</v>
      </c>
      <c r="AO200" s="33">
        <f t="shared" si="120"/>
        <v>0</v>
      </c>
      <c r="AP200" s="33">
        <f t="shared" si="121"/>
        <v>0</v>
      </c>
      <c r="AQ200" s="194">
        <f t="shared" si="107"/>
        <v>0</v>
      </c>
      <c r="AR200" s="194">
        <f t="shared" si="107"/>
        <v>0</v>
      </c>
      <c r="AS200" s="194">
        <f t="shared" si="107"/>
        <v>0</v>
      </c>
      <c r="AT200" s="194">
        <f t="shared" si="107"/>
        <v>0</v>
      </c>
      <c r="AU200" s="33"/>
      <c r="AV200" s="33"/>
      <c r="AW200" s="33"/>
      <c r="AX200" s="33"/>
      <c r="AY200" s="76"/>
    </row>
    <row r="201" spans="3:51" x14ac:dyDescent="0.3">
      <c r="E201" s="24"/>
      <c r="I201" s="55">
        <v>196</v>
      </c>
      <c r="J201" s="33">
        <f t="shared" si="124"/>
        <v>0</v>
      </c>
      <c r="K201" s="33">
        <f t="shared" si="125"/>
        <v>0</v>
      </c>
      <c r="L201" s="33">
        <f t="shared" si="126"/>
        <v>0</v>
      </c>
      <c r="M201" s="33">
        <f t="shared" si="127"/>
        <v>0</v>
      </c>
      <c r="N201" s="33">
        <f t="shared" si="108"/>
        <v>0</v>
      </c>
      <c r="O201" s="34">
        <f t="shared" si="109"/>
        <v>0</v>
      </c>
      <c r="P201" s="55">
        <v>196</v>
      </c>
      <c r="Q201" s="33">
        <f t="shared" si="122"/>
        <v>0</v>
      </c>
      <c r="R201" s="33">
        <f t="shared" si="128"/>
        <v>0</v>
      </c>
      <c r="S201" s="33">
        <f t="shared" si="129"/>
        <v>0</v>
      </c>
      <c r="T201" s="33">
        <f t="shared" si="110"/>
        <v>0</v>
      </c>
      <c r="U201" s="33">
        <f t="shared" si="123"/>
        <v>0</v>
      </c>
      <c r="V201" s="33">
        <f t="shared" si="111"/>
        <v>0</v>
      </c>
      <c r="W201" s="33">
        <v>0</v>
      </c>
      <c r="X201" s="33">
        <f t="shared" si="112"/>
        <v>0</v>
      </c>
      <c r="Y201" s="38">
        <f t="shared" si="113"/>
        <v>0</v>
      </c>
      <c r="AA201" s="71">
        <v>196</v>
      </c>
      <c r="AB201" s="33">
        <f t="shared" si="114"/>
        <v>0</v>
      </c>
      <c r="AC201" s="305">
        <f t="shared" si="106"/>
        <v>0</v>
      </c>
      <c r="AD201" s="100">
        <f t="shared" si="115"/>
        <v>0</v>
      </c>
      <c r="AE201" s="100">
        <f t="shared" si="116"/>
        <v>0</v>
      </c>
      <c r="AF201" s="194">
        <f t="shared" si="102"/>
        <v>0</v>
      </c>
      <c r="AG201" s="194">
        <f t="shared" si="103"/>
        <v>0</v>
      </c>
      <c r="AH201" s="194">
        <f t="shared" si="104"/>
        <v>0</v>
      </c>
      <c r="AI201" s="199">
        <f t="shared" si="105"/>
        <v>0</v>
      </c>
      <c r="AK201" s="71">
        <v>196</v>
      </c>
      <c r="AL201" s="33">
        <f t="shared" si="117"/>
        <v>0</v>
      </c>
      <c r="AM201" s="33">
        <f t="shared" si="118"/>
        <v>0</v>
      </c>
      <c r="AN201" s="33">
        <f t="shared" si="119"/>
        <v>0</v>
      </c>
      <c r="AO201" s="33">
        <f t="shared" si="120"/>
        <v>0</v>
      </c>
      <c r="AP201" s="33">
        <f t="shared" si="121"/>
        <v>0</v>
      </c>
      <c r="AQ201" s="194">
        <f t="shared" si="107"/>
        <v>0</v>
      </c>
      <c r="AR201" s="194">
        <f t="shared" si="107"/>
        <v>0</v>
      </c>
      <c r="AS201" s="194">
        <f t="shared" si="107"/>
        <v>0</v>
      </c>
      <c r="AT201" s="194">
        <f t="shared" si="107"/>
        <v>0</v>
      </c>
      <c r="AU201" s="33"/>
      <c r="AV201" s="33"/>
      <c r="AW201" s="33"/>
      <c r="AX201" s="33"/>
      <c r="AY201" s="76"/>
    </row>
    <row r="202" spans="3:51" x14ac:dyDescent="0.3">
      <c r="E202" s="24"/>
      <c r="I202" s="55">
        <v>197</v>
      </c>
      <c r="J202" s="33">
        <f t="shared" si="124"/>
        <v>0</v>
      </c>
      <c r="K202" s="33">
        <f t="shared" si="125"/>
        <v>0</v>
      </c>
      <c r="L202" s="33">
        <f t="shared" si="126"/>
        <v>0</v>
      </c>
      <c r="M202" s="33">
        <f t="shared" si="127"/>
        <v>0</v>
      </c>
      <c r="N202" s="33">
        <f t="shared" si="108"/>
        <v>0</v>
      </c>
      <c r="O202" s="34">
        <f t="shared" si="109"/>
        <v>0</v>
      </c>
      <c r="P202" s="55">
        <v>197</v>
      </c>
      <c r="Q202" s="33">
        <f t="shared" si="122"/>
        <v>0</v>
      </c>
      <c r="R202" s="33">
        <f t="shared" si="128"/>
        <v>0</v>
      </c>
      <c r="S202" s="33">
        <f t="shared" si="129"/>
        <v>0</v>
      </c>
      <c r="T202" s="33">
        <f t="shared" si="110"/>
        <v>0</v>
      </c>
      <c r="U202" s="33">
        <f t="shared" si="123"/>
        <v>0</v>
      </c>
      <c r="V202" s="33">
        <f t="shared" si="111"/>
        <v>0</v>
      </c>
      <c r="W202" s="33">
        <v>0</v>
      </c>
      <c r="X202" s="33">
        <f t="shared" si="112"/>
        <v>0</v>
      </c>
      <c r="Y202" s="38">
        <f t="shared" si="113"/>
        <v>0</v>
      </c>
      <c r="AA202" s="71">
        <v>197</v>
      </c>
      <c r="AB202" s="33">
        <f t="shared" si="114"/>
        <v>0</v>
      </c>
      <c r="AC202" s="305">
        <f t="shared" si="106"/>
        <v>0</v>
      </c>
      <c r="AD202" s="100">
        <f t="shared" si="115"/>
        <v>0</v>
      </c>
      <c r="AE202" s="100">
        <f t="shared" si="116"/>
        <v>0</v>
      </c>
      <c r="AF202" s="194">
        <f t="shared" si="102"/>
        <v>0</v>
      </c>
      <c r="AG202" s="194">
        <f t="shared" si="103"/>
        <v>0</v>
      </c>
      <c r="AH202" s="194">
        <f t="shared" si="104"/>
        <v>0</v>
      </c>
      <c r="AI202" s="199">
        <f t="shared" si="105"/>
        <v>0</v>
      </c>
      <c r="AK202" s="71">
        <v>197</v>
      </c>
      <c r="AL202" s="33">
        <f t="shared" si="117"/>
        <v>0</v>
      </c>
      <c r="AM202" s="33">
        <f t="shared" si="118"/>
        <v>0</v>
      </c>
      <c r="AN202" s="33">
        <f t="shared" si="119"/>
        <v>0</v>
      </c>
      <c r="AO202" s="33">
        <f t="shared" si="120"/>
        <v>0</v>
      </c>
      <c r="AP202" s="33">
        <f t="shared" si="121"/>
        <v>0</v>
      </c>
      <c r="AQ202" s="194">
        <f t="shared" si="107"/>
        <v>0</v>
      </c>
      <c r="AR202" s="194">
        <f t="shared" si="107"/>
        <v>0</v>
      </c>
      <c r="AS202" s="194">
        <f t="shared" si="107"/>
        <v>0</v>
      </c>
      <c r="AT202" s="194">
        <f t="shared" si="107"/>
        <v>0</v>
      </c>
      <c r="AU202" s="33"/>
      <c r="AV202" s="33"/>
      <c r="AW202" s="33"/>
      <c r="AX202" s="33"/>
      <c r="AY202" s="76"/>
    </row>
    <row r="203" spans="3:51" x14ac:dyDescent="0.3">
      <c r="E203" s="24"/>
      <c r="I203" s="55">
        <v>198</v>
      </c>
      <c r="J203" s="33">
        <f t="shared" si="124"/>
        <v>0</v>
      </c>
      <c r="K203" s="33">
        <f t="shared" si="125"/>
        <v>0</v>
      </c>
      <c r="L203" s="33">
        <f t="shared" si="126"/>
        <v>0</v>
      </c>
      <c r="M203" s="33">
        <f t="shared" si="127"/>
        <v>0</v>
      </c>
      <c r="N203" s="33">
        <f t="shared" si="108"/>
        <v>0</v>
      </c>
      <c r="O203" s="34">
        <f t="shared" si="109"/>
        <v>0</v>
      </c>
      <c r="P203" s="55">
        <v>198</v>
      </c>
      <c r="Q203" s="33">
        <f t="shared" si="122"/>
        <v>0</v>
      </c>
      <c r="R203" s="33">
        <f t="shared" si="128"/>
        <v>0</v>
      </c>
      <c r="S203" s="33">
        <f t="shared" si="129"/>
        <v>0</v>
      </c>
      <c r="T203" s="33">
        <f t="shared" si="110"/>
        <v>0</v>
      </c>
      <c r="U203" s="33">
        <f t="shared" si="123"/>
        <v>0</v>
      </c>
      <c r="V203" s="33">
        <f t="shared" si="111"/>
        <v>0</v>
      </c>
      <c r="W203" s="33">
        <v>0</v>
      </c>
      <c r="X203" s="33">
        <f t="shared" si="112"/>
        <v>0</v>
      </c>
      <c r="Y203" s="38">
        <f t="shared" si="113"/>
        <v>0</v>
      </c>
      <c r="AA203" s="71">
        <v>198</v>
      </c>
      <c r="AB203" s="33">
        <f t="shared" si="114"/>
        <v>0</v>
      </c>
      <c r="AC203" s="305">
        <f t="shared" si="106"/>
        <v>0</v>
      </c>
      <c r="AD203" s="100">
        <f t="shared" si="115"/>
        <v>0</v>
      </c>
      <c r="AE203" s="100">
        <f t="shared" si="116"/>
        <v>0</v>
      </c>
      <c r="AF203" s="194">
        <f t="shared" si="102"/>
        <v>0</v>
      </c>
      <c r="AG203" s="194">
        <f t="shared" si="103"/>
        <v>0</v>
      </c>
      <c r="AH203" s="194">
        <f t="shared" si="104"/>
        <v>0</v>
      </c>
      <c r="AI203" s="199">
        <f t="shared" si="105"/>
        <v>0</v>
      </c>
      <c r="AK203" s="71">
        <v>198</v>
      </c>
      <c r="AL203" s="33">
        <f t="shared" si="117"/>
        <v>0</v>
      </c>
      <c r="AM203" s="33">
        <f t="shared" si="118"/>
        <v>0</v>
      </c>
      <c r="AN203" s="33">
        <f t="shared" si="119"/>
        <v>0</v>
      </c>
      <c r="AO203" s="33">
        <f t="shared" si="120"/>
        <v>0</v>
      </c>
      <c r="AP203" s="33">
        <f t="shared" si="121"/>
        <v>0</v>
      </c>
      <c r="AQ203" s="194">
        <f t="shared" si="107"/>
        <v>0</v>
      </c>
      <c r="AR203" s="194">
        <f t="shared" si="107"/>
        <v>0</v>
      </c>
      <c r="AS203" s="194">
        <f t="shared" si="107"/>
        <v>0</v>
      </c>
      <c r="AT203" s="194">
        <f t="shared" si="107"/>
        <v>0</v>
      </c>
      <c r="AU203" s="33"/>
      <c r="AV203" s="33"/>
      <c r="AW203" s="33"/>
      <c r="AX203" s="33"/>
      <c r="AY203" s="76"/>
    </row>
    <row r="204" spans="3:51" x14ac:dyDescent="0.3">
      <c r="E204" s="24"/>
      <c r="I204" s="55">
        <v>199</v>
      </c>
      <c r="J204" s="33">
        <f t="shared" si="124"/>
        <v>0</v>
      </c>
      <c r="K204" s="33">
        <f t="shared" si="125"/>
        <v>0</v>
      </c>
      <c r="L204" s="33">
        <f t="shared" si="126"/>
        <v>0</v>
      </c>
      <c r="M204" s="33">
        <f t="shared" si="127"/>
        <v>0</v>
      </c>
      <c r="N204" s="33">
        <f t="shared" si="108"/>
        <v>0</v>
      </c>
      <c r="O204" s="34">
        <f t="shared" si="109"/>
        <v>0</v>
      </c>
      <c r="P204" s="55">
        <v>199</v>
      </c>
      <c r="Q204" s="33">
        <f t="shared" si="122"/>
        <v>0</v>
      </c>
      <c r="R204" s="33">
        <f t="shared" si="128"/>
        <v>0</v>
      </c>
      <c r="S204" s="33">
        <f t="shared" si="129"/>
        <v>0</v>
      </c>
      <c r="T204" s="33">
        <f t="shared" si="110"/>
        <v>0</v>
      </c>
      <c r="U204" s="33">
        <f t="shared" si="123"/>
        <v>0</v>
      </c>
      <c r="V204" s="33">
        <f t="shared" si="111"/>
        <v>0</v>
      </c>
      <c r="W204" s="33">
        <v>0</v>
      </c>
      <c r="X204" s="33">
        <f t="shared" si="112"/>
        <v>0</v>
      </c>
      <c r="Y204" s="38">
        <f t="shared" si="113"/>
        <v>0</v>
      </c>
      <c r="AA204" s="71">
        <v>199</v>
      </c>
      <c r="AB204" s="33">
        <f t="shared" si="114"/>
        <v>0</v>
      </c>
      <c r="AC204" s="305">
        <f t="shared" si="106"/>
        <v>0</v>
      </c>
      <c r="AD204" s="100">
        <f t="shared" si="115"/>
        <v>0</v>
      </c>
      <c r="AE204" s="100">
        <f t="shared" si="116"/>
        <v>0</v>
      </c>
      <c r="AF204" s="194">
        <f t="shared" si="102"/>
        <v>0</v>
      </c>
      <c r="AG204" s="194">
        <f t="shared" si="103"/>
        <v>0</v>
      </c>
      <c r="AH204" s="194">
        <f t="shared" si="104"/>
        <v>0</v>
      </c>
      <c r="AI204" s="199">
        <f t="shared" si="105"/>
        <v>0</v>
      </c>
      <c r="AK204" s="71">
        <v>199</v>
      </c>
      <c r="AL204" s="33">
        <f t="shared" si="117"/>
        <v>0</v>
      </c>
      <c r="AM204" s="33">
        <f t="shared" si="118"/>
        <v>0</v>
      </c>
      <c r="AN204" s="33">
        <f t="shared" si="119"/>
        <v>0</v>
      </c>
      <c r="AO204" s="33">
        <f t="shared" si="120"/>
        <v>0</v>
      </c>
      <c r="AP204" s="33">
        <f t="shared" si="121"/>
        <v>0</v>
      </c>
      <c r="AQ204" s="194">
        <f t="shared" si="107"/>
        <v>0</v>
      </c>
      <c r="AR204" s="194">
        <f t="shared" si="107"/>
        <v>0</v>
      </c>
      <c r="AS204" s="194">
        <f t="shared" si="107"/>
        <v>0</v>
      </c>
      <c r="AT204" s="194">
        <f t="shared" si="107"/>
        <v>0</v>
      </c>
      <c r="AU204" s="33"/>
      <c r="AV204" s="33"/>
      <c r="AW204" s="33"/>
      <c r="AX204" s="33"/>
      <c r="AY204" s="76"/>
    </row>
    <row r="205" spans="3:51" x14ac:dyDescent="0.3">
      <c r="E205" s="24"/>
      <c r="I205" s="56">
        <v>200</v>
      </c>
      <c r="J205" s="33">
        <f t="shared" si="124"/>
        <v>0</v>
      </c>
      <c r="K205" s="33">
        <f t="shared" si="125"/>
        <v>0</v>
      </c>
      <c r="L205" s="33">
        <f t="shared" si="126"/>
        <v>0</v>
      </c>
      <c r="M205" s="33">
        <f t="shared" si="127"/>
        <v>0</v>
      </c>
      <c r="N205" s="35">
        <f>IF(F208&lt;=$F$18,0,)</f>
        <v>0</v>
      </c>
      <c r="O205" s="34">
        <f t="shared" si="109"/>
        <v>0</v>
      </c>
      <c r="P205" s="56">
        <v>200</v>
      </c>
      <c r="Q205" s="35">
        <f t="shared" si="122"/>
        <v>0</v>
      </c>
      <c r="R205" s="35">
        <f t="shared" si="128"/>
        <v>0</v>
      </c>
      <c r="S205" s="35">
        <f t="shared" si="129"/>
        <v>0</v>
      </c>
      <c r="T205" s="35">
        <f t="shared" si="110"/>
        <v>0</v>
      </c>
      <c r="U205" s="35">
        <f t="shared" si="123"/>
        <v>0</v>
      </c>
      <c r="V205" s="35">
        <f t="shared" si="111"/>
        <v>0</v>
      </c>
      <c r="W205" s="35">
        <v>0</v>
      </c>
      <c r="X205" s="155">
        <f t="shared" si="112"/>
        <v>0</v>
      </c>
      <c r="Y205" s="39">
        <f t="shared" si="113"/>
        <v>0</v>
      </c>
      <c r="AA205" s="72">
        <v>200</v>
      </c>
      <c r="AB205" s="143">
        <f t="shared" si="114"/>
        <v>0</v>
      </c>
      <c r="AC205" s="305">
        <f t="shared" si="106"/>
        <v>0</v>
      </c>
      <c r="AD205" s="101">
        <f t="shared" si="115"/>
        <v>0</v>
      </c>
      <c r="AE205" s="101">
        <f t="shared" si="116"/>
        <v>0</v>
      </c>
      <c r="AF205" s="196">
        <f t="shared" si="102"/>
        <v>0</v>
      </c>
      <c r="AG205" s="196">
        <f t="shared" si="103"/>
        <v>0</v>
      </c>
      <c r="AH205" s="196">
        <f t="shared" si="104"/>
        <v>0</v>
      </c>
      <c r="AI205" s="203">
        <f t="shared" si="105"/>
        <v>0</v>
      </c>
      <c r="AK205" s="72">
        <v>200</v>
      </c>
      <c r="AL205" s="143">
        <f t="shared" si="117"/>
        <v>0</v>
      </c>
      <c r="AM205" s="35">
        <f t="shared" si="118"/>
        <v>0</v>
      </c>
      <c r="AN205" s="35">
        <f t="shared" si="119"/>
        <v>0</v>
      </c>
      <c r="AO205" s="35">
        <f t="shared" si="120"/>
        <v>0</v>
      </c>
      <c r="AP205" s="35">
        <f t="shared" si="121"/>
        <v>0</v>
      </c>
      <c r="AQ205" s="196">
        <f t="shared" si="107"/>
        <v>0</v>
      </c>
      <c r="AR205" s="196">
        <f t="shared" si="107"/>
        <v>0</v>
      </c>
      <c r="AS205" s="196">
        <f t="shared" si="107"/>
        <v>0</v>
      </c>
      <c r="AT205" s="196">
        <f t="shared" si="107"/>
        <v>0</v>
      </c>
      <c r="AU205" s="35"/>
      <c r="AV205" s="35"/>
      <c r="AW205" s="35"/>
      <c r="AX205" s="35"/>
      <c r="AY205" s="77"/>
    </row>
    <row r="206" spans="3:51" x14ac:dyDescent="0.3">
      <c r="E206" s="24"/>
    </row>
    <row r="207" spans="3:51" x14ac:dyDescent="0.3">
      <c r="E207" s="24"/>
    </row>
  </sheetData>
  <mergeCells count="29">
    <mergeCell ref="AK3:AY3"/>
    <mergeCell ref="B4:F4"/>
    <mergeCell ref="B7:B13"/>
    <mergeCell ref="C7:F7"/>
    <mergeCell ref="D8:E8"/>
    <mergeCell ref="D9:E9"/>
    <mergeCell ref="C10:C13"/>
    <mergeCell ref="D10:E10"/>
    <mergeCell ref="D11:E11"/>
    <mergeCell ref="D12:E12"/>
    <mergeCell ref="D13:E13"/>
    <mergeCell ref="B5:B6"/>
    <mergeCell ref="D5:E5"/>
    <mergeCell ref="D6:E6"/>
    <mergeCell ref="B80:G80"/>
    <mergeCell ref="I3:O3"/>
    <mergeCell ref="P3:X3"/>
    <mergeCell ref="AA3:AI3"/>
    <mergeCell ref="B14:B21"/>
    <mergeCell ref="C14:F14"/>
    <mergeCell ref="D15:E15"/>
    <mergeCell ref="D16:E16"/>
    <mergeCell ref="C17:C21"/>
    <mergeCell ref="D17:E17"/>
    <mergeCell ref="D18:E18"/>
    <mergeCell ref="D19:E19"/>
    <mergeCell ref="D20:E20"/>
    <mergeCell ref="D21:E21"/>
    <mergeCell ref="B23:G23"/>
  </mergeCells>
  <dataValidations count="4">
    <dataValidation type="list" allowBlank="1" showInputMessage="1" showErrorMessage="1" sqref="D8:E8 D5:E5 D15">
      <formula1>$B$97:$B$100</formula1>
    </dataValidation>
    <dataValidation type="list" allowBlank="1" showInputMessage="1" showErrorMessage="1" sqref="D81:G81">
      <formula1>$B$104:$B$108</formula1>
    </dataValidation>
    <dataValidation type="list" allowBlank="1" showInputMessage="1" showErrorMessage="1" sqref="F12">
      <formula1>$C$194:$C$195</formula1>
    </dataValidation>
    <dataValidation type="list" allowBlank="1" showInputMessage="1" showErrorMessage="1" sqref="F17">
      <formula1>$C$130:$C$195</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3:AY207"/>
  <sheetViews>
    <sheetView topLeftCell="A24" zoomScale="85" zoomScaleNormal="85" workbookViewId="0">
      <selection activeCell="B25" sqref="B25:C42"/>
    </sheetView>
  </sheetViews>
  <sheetFormatPr baseColWidth="10" defaultRowHeight="14.4" x14ac:dyDescent="0.3"/>
  <cols>
    <col min="3" max="5" width="13.6640625" customWidth="1"/>
    <col min="6" max="6" width="16.5546875" style="26" customWidth="1"/>
    <col min="7" max="7" width="14.44140625" style="24" customWidth="1"/>
    <col min="8" max="8" width="11.554687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4" max="54" width="19.33203125" customWidth="1"/>
  </cols>
  <sheetData>
    <row r="3" spans="2:51"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1" ht="45" customHeight="1" x14ac:dyDescent="0.3">
      <c r="B4" s="374" t="s">
        <v>173</v>
      </c>
      <c r="C4" s="374"/>
      <c r="D4" s="374"/>
      <c r="E4" s="374"/>
      <c r="F4" s="374"/>
      <c r="I4" s="59" t="s">
        <v>76</v>
      </c>
      <c r="J4" s="342" t="s">
        <v>108</v>
      </c>
      <c r="K4" s="342" t="s">
        <v>109</v>
      </c>
      <c r="L4" s="342" t="s">
        <v>72</v>
      </c>
      <c r="M4" s="342" t="s">
        <v>110</v>
      </c>
      <c r="N4" s="342" t="s">
        <v>111</v>
      </c>
      <c r="O4" s="88" t="s">
        <v>113</v>
      </c>
      <c r="P4" s="59" t="s">
        <v>76</v>
      </c>
      <c r="Q4" s="61" t="s">
        <v>118</v>
      </c>
      <c r="R4" s="61" t="s">
        <v>119</v>
      </c>
      <c r="S4" s="62" t="s">
        <v>105</v>
      </c>
      <c r="T4" s="63" t="s">
        <v>104</v>
      </c>
      <c r="U4" s="342" t="s">
        <v>3</v>
      </c>
      <c r="V4" s="342" t="s">
        <v>106</v>
      </c>
      <c r="W4" s="342"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row>
    <row r="5" spans="2:51" x14ac:dyDescent="0.3">
      <c r="B5" s="363" t="s">
        <v>133</v>
      </c>
      <c r="C5" s="91" t="s">
        <v>73</v>
      </c>
      <c r="D5" s="375" t="s">
        <v>1</v>
      </c>
      <c r="E5" s="375"/>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5">
        <f t="shared" ref="AC5:AC29" si="7">IF(AA5&lt;=$F$18,IFERROR(VLOOKUP($AA5,$B$82:$G$94,3,FALSE),0),)*50%</f>
        <v>0.47499999999999998</v>
      </c>
      <c r="AD5" s="100">
        <f t="shared" ref="AD5:AD68" si="8">IF(AA5&lt;=$F$18,IFERROR(VLOOKUP($AA5,$B$82:$G$94,4,FALSE),0),)</f>
        <v>2.8000000000000028E-2</v>
      </c>
      <c r="AE5" s="100">
        <f t="shared" ref="AE5:AE68" si="9">IF(AA5&lt;=$F$18,IFERROR(VLOOKUP($AA5,$B$82:$G$94,5,FALSE),0),)</f>
        <v>2.200000000000002E-2</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2.8000000000000028E-2</v>
      </c>
      <c r="AO5" s="33">
        <f t="shared" ref="AO5:AO35" si="13">IF(AK5&lt;=$F$18,IFERROR(VLOOKUP($AA5,$B$82:$G$94,5,FALSE),0),)</f>
        <v>2.200000000000002E-2</v>
      </c>
      <c r="AP5" s="33">
        <f t="shared" ref="AP5:AP35" si="14">IF(AK5&lt;=$F$18,IFERROR(VLOOKUP($AA5,$B$82:$G$94,6,FALSE),0),)</f>
        <v>0</v>
      </c>
      <c r="AQ5" s="194">
        <v>0</v>
      </c>
      <c r="AR5" s="194">
        <v>0</v>
      </c>
      <c r="AS5" s="194">
        <v>0</v>
      </c>
      <c r="AT5" s="194">
        <v>0</v>
      </c>
      <c r="AU5" s="33"/>
      <c r="AV5" s="33"/>
      <c r="AW5" s="33"/>
      <c r="AX5" s="33"/>
      <c r="AY5" s="164">
        <v>0</v>
      </c>
    </row>
    <row r="6" spans="2:51" x14ac:dyDescent="0.3">
      <c r="B6" s="364"/>
      <c r="C6" s="98" t="s">
        <v>74</v>
      </c>
      <c r="D6" s="366" t="s">
        <v>260</v>
      </c>
      <c r="E6" s="366"/>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5">
        <f t="shared" si="7"/>
        <v>0</v>
      </c>
      <c r="AD6" s="100">
        <f t="shared" si="8"/>
        <v>0</v>
      </c>
      <c r="AE6" s="100">
        <f t="shared" si="9"/>
        <v>0</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v>
      </c>
      <c r="AN6" s="33">
        <f t="shared" si="12"/>
        <v>0</v>
      </c>
      <c r="AO6" s="33">
        <f t="shared" si="13"/>
        <v>0</v>
      </c>
      <c r="AP6" s="33">
        <f t="shared" si="14"/>
        <v>0</v>
      </c>
      <c r="AQ6" s="194">
        <f t="shared" ref="AQ6:AT24" si="17">IF($AK6&lt;=$F$18,$AL6*AM6,)</f>
        <v>0</v>
      </c>
      <c r="AR6" s="194">
        <f t="shared" si="17"/>
        <v>0</v>
      </c>
      <c r="AS6" s="194">
        <f t="shared" si="17"/>
        <v>0</v>
      </c>
      <c r="AT6" s="194">
        <f t="shared" si="17"/>
        <v>0</v>
      </c>
      <c r="AU6" s="33"/>
      <c r="AV6" s="33"/>
      <c r="AW6" s="33"/>
      <c r="AX6" s="33"/>
      <c r="AY6" s="164">
        <f>IF(AK6&lt;=$F$18,AL6*$G$108+AY5,)</f>
        <v>0</v>
      </c>
    </row>
    <row r="7" spans="2:51" x14ac:dyDescent="0.3">
      <c r="B7" s="363" t="s">
        <v>134</v>
      </c>
      <c r="C7" s="376"/>
      <c r="D7" s="377"/>
      <c r="E7" s="377"/>
      <c r="F7" s="378"/>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7"/>
        <v>0</v>
      </c>
      <c r="AR7" s="194">
        <f t="shared" si="17"/>
        <v>0</v>
      </c>
      <c r="AS7" s="194">
        <f t="shared" si="17"/>
        <v>0</v>
      </c>
      <c r="AT7" s="194">
        <f t="shared" si="17"/>
        <v>0</v>
      </c>
      <c r="AU7" s="33"/>
      <c r="AV7" s="33"/>
      <c r="AW7" s="33"/>
      <c r="AX7" s="33"/>
      <c r="AY7" s="164">
        <f t="shared" ref="AY7:AY35" si="24">IF(AK7&lt;=$F$18,AL7*$G$108+AY6,)</f>
        <v>0</v>
      </c>
    </row>
    <row r="8" spans="2:51" x14ac:dyDescent="0.3">
      <c r="B8" s="373"/>
      <c r="C8" s="93" t="s">
        <v>73</v>
      </c>
      <c r="D8" s="369" t="s">
        <v>1</v>
      </c>
      <c r="E8" s="369"/>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7"/>
        <v>0</v>
      </c>
      <c r="AR8" s="194">
        <f t="shared" si="17"/>
        <v>0</v>
      </c>
      <c r="AS8" s="194">
        <f t="shared" si="17"/>
        <v>0</v>
      </c>
      <c r="AT8" s="194">
        <f t="shared" si="17"/>
        <v>0</v>
      </c>
      <c r="AU8" s="33"/>
      <c r="AV8" s="33"/>
      <c r="AW8" s="33"/>
      <c r="AX8" s="33"/>
      <c r="AY8" s="164">
        <f t="shared" si="24"/>
        <v>0</v>
      </c>
    </row>
    <row r="9" spans="2:51" x14ac:dyDescent="0.3">
      <c r="B9" s="373"/>
      <c r="C9" s="93" t="s">
        <v>74</v>
      </c>
      <c r="D9" s="365" t="str">
        <f>IF(D8=$B$100,"totale","néant")</f>
        <v>néant</v>
      </c>
      <c r="E9" s="365"/>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7"/>
        <v>0</v>
      </c>
      <c r="AR9" s="194">
        <f t="shared" si="17"/>
        <v>0</v>
      </c>
      <c r="AS9" s="194">
        <f t="shared" si="17"/>
        <v>0</v>
      </c>
      <c r="AT9" s="194">
        <f t="shared" si="17"/>
        <v>0</v>
      </c>
      <c r="AU9" s="33"/>
      <c r="AV9" s="33"/>
      <c r="AW9" s="33"/>
      <c r="AX9" s="33"/>
      <c r="AY9" s="164">
        <f t="shared" si="24"/>
        <v>0</v>
      </c>
    </row>
    <row r="10" spans="2:51" x14ac:dyDescent="0.3">
      <c r="B10" s="373"/>
      <c r="C10" s="367" t="s">
        <v>124</v>
      </c>
      <c r="D10" s="362" t="s">
        <v>136</v>
      </c>
      <c r="E10" s="362"/>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5">
        <f t="shared" si="7"/>
        <v>0</v>
      </c>
      <c r="AD10" s="100">
        <f t="shared" si="8"/>
        <v>0</v>
      </c>
      <c r="AE10" s="100">
        <f t="shared" si="9"/>
        <v>0</v>
      </c>
      <c r="AF10" s="194">
        <f t="shared" ref="AF10:AF24" si="25">IF(OR(AA10&lt;=$F$18,AA10&lt;=30),EXP(-LN(2)/$D$104)*AF9+((1-EXP(-LN(2)/$D$104))/(LN(2)/$D$104))*$AB10*AC10*0.475*$F$19*44/12,)</f>
        <v>0</v>
      </c>
      <c r="AG10" s="194">
        <f t="shared" ref="AG10:AG24" si="26">IF(OR(AA10&lt;=$F$18,AA10&lt;=30),EXP(-LN(2)/$D$106)*AG9+((1-EXP(-LN(2)/$D$106))/(LN(2)/$D$106))*$AB10*AD10*0.475*$F$19*44/12,)</f>
        <v>0</v>
      </c>
      <c r="AH10" s="194">
        <f t="shared" ref="AH10:AH24" si="27">IF(OR(AA10&lt;=$F$18,AA10&lt;=30),EXP(-LN(2)/$D$105)*AH9+((1-EXP(-LN(2)/$D$105))/(LN(2)/$D$105))*$AB10*AE10*0.475*$F$19*44/12,)</f>
        <v>0</v>
      </c>
      <c r="AI10" s="199">
        <f t="shared" ref="AI10:AI24" si="28">IF(OR(AA10&lt;=$F$18,AA10&lt;=30),SUM(AF10:AH10),)</f>
        <v>0</v>
      </c>
      <c r="AK10" s="71">
        <v>5</v>
      </c>
      <c r="AL10" s="33">
        <f t="shared" si="10"/>
        <v>0</v>
      </c>
      <c r="AM10" s="33">
        <f t="shared" si="11"/>
        <v>0</v>
      </c>
      <c r="AN10" s="33">
        <f t="shared" si="12"/>
        <v>0</v>
      </c>
      <c r="AO10" s="33">
        <f t="shared" si="13"/>
        <v>0</v>
      </c>
      <c r="AP10" s="33">
        <f t="shared" si="14"/>
        <v>0</v>
      </c>
      <c r="AQ10" s="194">
        <f t="shared" si="17"/>
        <v>0</v>
      </c>
      <c r="AR10" s="194">
        <f t="shared" si="17"/>
        <v>0</v>
      </c>
      <c r="AS10" s="194">
        <f t="shared" si="17"/>
        <v>0</v>
      </c>
      <c r="AT10" s="194">
        <f t="shared" si="17"/>
        <v>0</v>
      </c>
      <c r="AU10" s="33"/>
      <c r="AV10" s="33"/>
      <c r="AW10" s="33"/>
      <c r="AX10" s="33"/>
      <c r="AY10" s="164">
        <f t="shared" si="24"/>
        <v>0</v>
      </c>
    </row>
    <row r="11" spans="2:51" x14ac:dyDescent="0.3">
      <c r="B11" s="373"/>
      <c r="C11" s="367"/>
      <c r="D11" s="365" t="s">
        <v>139</v>
      </c>
      <c r="E11" s="365"/>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5">
        <f t="shared" si="7"/>
        <v>0</v>
      </c>
      <c r="AD11" s="100">
        <f t="shared" si="8"/>
        <v>0</v>
      </c>
      <c r="AE11" s="100">
        <f t="shared" si="9"/>
        <v>0</v>
      </c>
      <c r="AF11" s="194">
        <f t="shared" si="25"/>
        <v>0</v>
      </c>
      <c r="AG11" s="194">
        <f t="shared" si="26"/>
        <v>0</v>
      </c>
      <c r="AH11" s="194">
        <f t="shared" si="27"/>
        <v>0</v>
      </c>
      <c r="AI11" s="199">
        <f t="shared" si="28"/>
        <v>0</v>
      </c>
      <c r="AK11" s="71">
        <v>6</v>
      </c>
      <c r="AL11" s="33">
        <f t="shared" si="10"/>
        <v>0</v>
      </c>
      <c r="AM11" s="33">
        <f t="shared" si="11"/>
        <v>0</v>
      </c>
      <c r="AN11" s="33">
        <f t="shared" si="12"/>
        <v>0</v>
      </c>
      <c r="AO11" s="33">
        <f t="shared" si="13"/>
        <v>0</v>
      </c>
      <c r="AP11" s="33">
        <f t="shared" si="14"/>
        <v>0</v>
      </c>
      <c r="AQ11" s="194">
        <f t="shared" si="17"/>
        <v>0</v>
      </c>
      <c r="AR11" s="194">
        <f t="shared" si="17"/>
        <v>0</v>
      </c>
      <c r="AS11" s="194">
        <f t="shared" si="17"/>
        <v>0</v>
      </c>
      <c r="AT11" s="194">
        <f t="shared" si="17"/>
        <v>0</v>
      </c>
      <c r="AU11" s="33"/>
      <c r="AV11" s="33"/>
      <c r="AW11" s="33"/>
      <c r="AX11" s="33"/>
      <c r="AY11" s="164">
        <f t="shared" si="24"/>
        <v>0</v>
      </c>
    </row>
    <row r="12" spans="2:51" x14ac:dyDescent="0.3">
      <c r="B12" s="373"/>
      <c r="C12" s="367"/>
      <c r="D12" s="362" t="s">
        <v>131</v>
      </c>
      <c r="E12" s="362"/>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5">
        <f t="shared" si="7"/>
        <v>0</v>
      </c>
      <c r="AD12" s="100">
        <f t="shared" si="8"/>
        <v>0</v>
      </c>
      <c r="AE12" s="100">
        <f t="shared" si="9"/>
        <v>0</v>
      </c>
      <c r="AF12" s="194">
        <f t="shared" si="25"/>
        <v>0</v>
      </c>
      <c r="AG12" s="194">
        <f t="shared" si="26"/>
        <v>0</v>
      </c>
      <c r="AH12" s="194">
        <f t="shared" si="27"/>
        <v>0</v>
      </c>
      <c r="AI12" s="199">
        <f t="shared" si="28"/>
        <v>0</v>
      </c>
      <c r="AK12" s="71">
        <v>7</v>
      </c>
      <c r="AL12" s="33">
        <f t="shared" si="10"/>
        <v>0</v>
      </c>
      <c r="AM12" s="33">
        <f t="shared" si="11"/>
        <v>0</v>
      </c>
      <c r="AN12" s="33">
        <f t="shared" si="12"/>
        <v>0</v>
      </c>
      <c r="AO12" s="33">
        <f t="shared" si="13"/>
        <v>0</v>
      </c>
      <c r="AP12" s="33">
        <f t="shared" si="14"/>
        <v>0</v>
      </c>
      <c r="AQ12" s="194">
        <f t="shared" si="17"/>
        <v>0</v>
      </c>
      <c r="AR12" s="194">
        <f t="shared" si="17"/>
        <v>0</v>
      </c>
      <c r="AS12" s="194">
        <f t="shared" si="17"/>
        <v>0</v>
      </c>
      <c r="AT12" s="194">
        <f t="shared" si="17"/>
        <v>0</v>
      </c>
      <c r="AU12" s="33"/>
      <c r="AV12" s="33"/>
      <c r="AW12" s="33"/>
      <c r="AX12" s="33"/>
      <c r="AY12" s="164">
        <f t="shared" si="24"/>
        <v>0</v>
      </c>
    </row>
    <row r="13" spans="2:51" x14ac:dyDescent="0.3">
      <c r="B13" s="364"/>
      <c r="C13" s="368"/>
      <c r="D13" s="366" t="s">
        <v>155</v>
      </c>
      <c r="E13" s="366"/>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5">
        <f t="shared" si="7"/>
        <v>0</v>
      </c>
      <c r="AD13" s="100">
        <f t="shared" si="8"/>
        <v>0</v>
      </c>
      <c r="AE13" s="100">
        <f t="shared" si="9"/>
        <v>0</v>
      </c>
      <c r="AF13" s="194">
        <f t="shared" si="25"/>
        <v>0</v>
      </c>
      <c r="AG13" s="194">
        <f t="shared" si="26"/>
        <v>0</v>
      </c>
      <c r="AH13" s="194">
        <f t="shared" si="27"/>
        <v>0</v>
      </c>
      <c r="AI13" s="199">
        <f t="shared" si="28"/>
        <v>0</v>
      </c>
      <c r="AK13" s="71">
        <v>8</v>
      </c>
      <c r="AL13" s="33">
        <f t="shared" si="10"/>
        <v>0</v>
      </c>
      <c r="AM13" s="33">
        <f t="shared" si="11"/>
        <v>0</v>
      </c>
      <c r="AN13" s="33">
        <f t="shared" si="12"/>
        <v>0</v>
      </c>
      <c r="AO13" s="33">
        <f t="shared" si="13"/>
        <v>0</v>
      </c>
      <c r="AP13" s="33">
        <f t="shared" si="14"/>
        <v>0</v>
      </c>
      <c r="AQ13" s="194">
        <f t="shared" si="17"/>
        <v>0</v>
      </c>
      <c r="AR13" s="194">
        <f t="shared" si="17"/>
        <v>0</v>
      </c>
      <c r="AS13" s="194">
        <f t="shared" si="17"/>
        <v>0</v>
      </c>
      <c r="AT13" s="194">
        <f t="shared" si="17"/>
        <v>0</v>
      </c>
      <c r="AU13" s="33"/>
      <c r="AV13" s="33"/>
      <c r="AW13" s="33"/>
      <c r="AX13" s="33"/>
      <c r="AY13" s="164">
        <f t="shared" si="24"/>
        <v>0</v>
      </c>
    </row>
    <row r="14" spans="2:51" x14ac:dyDescent="0.3">
      <c r="B14" s="363" t="s">
        <v>132</v>
      </c>
      <c r="C14" s="359"/>
      <c r="D14" s="360"/>
      <c r="E14" s="360"/>
      <c r="F14" s="361"/>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5">
        <f t="shared" si="7"/>
        <v>0</v>
      </c>
      <c r="AD14" s="100">
        <f t="shared" si="8"/>
        <v>0</v>
      </c>
      <c r="AE14" s="100">
        <f t="shared" si="9"/>
        <v>0</v>
      </c>
      <c r="AF14" s="194">
        <f t="shared" si="25"/>
        <v>0</v>
      </c>
      <c r="AG14" s="194">
        <f t="shared" si="26"/>
        <v>0</v>
      </c>
      <c r="AH14" s="194">
        <f t="shared" si="27"/>
        <v>0</v>
      </c>
      <c r="AI14" s="199">
        <f t="shared" si="28"/>
        <v>0</v>
      </c>
      <c r="AK14" s="71">
        <v>9</v>
      </c>
      <c r="AL14" s="33">
        <f t="shared" si="10"/>
        <v>0</v>
      </c>
      <c r="AM14" s="33">
        <f t="shared" si="11"/>
        <v>0</v>
      </c>
      <c r="AN14" s="33">
        <f t="shared" si="12"/>
        <v>0</v>
      </c>
      <c r="AO14" s="33">
        <f t="shared" si="13"/>
        <v>0</v>
      </c>
      <c r="AP14" s="33">
        <f t="shared" si="14"/>
        <v>0</v>
      </c>
      <c r="AQ14" s="194">
        <f t="shared" si="17"/>
        <v>0</v>
      </c>
      <c r="AR14" s="194">
        <f t="shared" si="17"/>
        <v>0</v>
      </c>
      <c r="AS14" s="194">
        <f t="shared" si="17"/>
        <v>0</v>
      </c>
      <c r="AT14" s="194">
        <f t="shared" si="17"/>
        <v>0</v>
      </c>
      <c r="AU14" s="33"/>
      <c r="AV14" s="33"/>
      <c r="AW14" s="33"/>
      <c r="AX14" s="33"/>
      <c r="AY14" s="164">
        <f t="shared" si="24"/>
        <v>0</v>
      </c>
    </row>
    <row r="15" spans="2:51" x14ac:dyDescent="0.3">
      <c r="B15" s="373"/>
      <c r="C15" s="93" t="s">
        <v>73</v>
      </c>
      <c r="D15" s="369" t="s">
        <v>135</v>
      </c>
      <c r="E15" s="369"/>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5">
        <f t="shared" si="7"/>
        <v>0</v>
      </c>
      <c r="AD15" s="100">
        <f t="shared" si="8"/>
        <v>0</v>
      </c>
      <c r="AE15" s="100">
        <f t="shared" si="9"/>
        <v>0</v>
      </c>
      <c r="AF15" s="194">
        <f t="shared" si="25"/>
        <v>0</v>
      </c>
      <c r="AG15" s="194">
        <f t="shared" si="26"/>
        <v>0</v>
      </c>
      <c r="AH15" s="194">
        <f t="shared" si="27"/>
        <v>0</v>
      </c>
      <c r="AI15" s="199">
        <f t="shared" si="28"/>
        <v>0</v>
      </c>
      <c r="AK15" s="71">
        <v>10</v>
      </c>
      <c r="AL15" s="33">
        <f t="shared" si="10"/>
        <v>0</v>
      </c>
      <c r="AM15" s="33">
        <f t="shared" si="11"/>
        <v>0</v>
      </c>
      <c r="AN15" s="33">
        <f t="shared" si="12"/>
        <v>0</v>
      </c>
      <c r="AO15" s="33">
        <f t="shared" si="13"/>
        <v>0</v>
      </c>
      <c r="AP15" s="33">
        <f t="shared" si="14"/>
        <v>0</v>
      </c>
      <c r="AQ15" s="194">
        <f t="shared" si="17"/>
        <v>0</v>
      </c>
      <c r="AR15" s="194">
        <f t="shared" si="17"/>
        <v>0</v>
      </c>
      <c r="AS15" s="194">
        <f t="shared" si="17"/>
        <v>0</v>
      </c>
      <c r="AT15" s="194">
        <f t="shared" si="17"/>
        <v>0</v>
      </c>
      <c r="AU15" s="33"/>
      <c r="AV15" s="33"/>
      <c r="AW15" s="33"/>
      <c r="AX15" s="33"/>
      <c r="AY15" s="164">
        <f t="shared" si="24"/>
        <v>0</v>
      </c>
    </row>
    <row r="16" spans="2:51" x14ac:dyDescent="0.3">
      <c r="B16" s="373"/>
      <c r="C16" s="93" t="s">
        <v>74</v>
      </c>
      <c r="D16" s="365" t="s">
        <v>138</v>
      </c>
      <c r="E16" s="365"/>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5">
        <f t="shared" si="7"/>
        <v>0</v>
      </c>
      <c r="AD16" s="100">
        <f t="shared" si="8"/>
        <v>0</v>
      </c>
      <c r="AE16" s="100">
        <f t="shared" si="9"/>
        <v>0</v>
      </c>
      <c r="AF16" s="194">
        <f t="shared" si="25"/>
        <v>0</v>
      </c>
      <c r="AG16" s="194">
        <f t="shared" si="26"/>
        <v>0</v>
      </c>
      <c r="AH16" s="194">
        <f t="shared" si="27"/>
        <v>0</v>
      </c>
      <c r="AI16" s="199">
        <f t="shared" si="28"/>
        <v>0</v>
      </c>
      <c r="AK16" s="71">
        <v>11</v>
      </c>
      <c r="AL16" s="33">
        <f t="shared" si="10"/>
        <v>0</v>
      </c>
      <c r="AM16" s="33">
        <f t="shared" si="11"/>
        <v>0</v>
      </c>
      <c r="AN16" s="33">
        <f t="shared" si="12"/>
        <v>0</v>
      </c>
      <c r="AO16" s="33">
        <f t="shared" si="13"/>
        <v>0</v>
      </c>
      <c r="AP16" s="33">
        <f t="shared" si="14"/>
        <v>0</v>
      </c>
      <c r="AQ16" s="194">
        <f t="shared" si="17"/>
        <v>0</v>
      </c>
      <c r="AR16" s="194">
        <f t="shared" si="17"/>
        <v>0</v>
      </c>
      <c r="AS16" s="194">
        <f t="shared" si="17"/>
        <v>0</v>
      </c>
      <c r="AT16" s="194">
        <f t="shared" si="17"/>
        <v>0</v>
      </c>
      <c r="AU16" s="33"/>
      <c r="AV16" s="33"/>
      <c r="AW16" s="33"/>
      <c r="AX16" s="33"/>
      <c r="AY16" s="164">
        <f t="shared" si="24"/>
        <v>0</v>
      </c>
    </row>
    <row r="17" spans="2:51" x14ac:dyDescent="0.3">
      <c r="B17" s="373"/>
      <c r="C17" s="367" t="s">
        <v>124</v>
      </c>
      <c r="D17" s="362" t="s">
        <v>131</v>
      </c>
      <c r="E17" s="362"/>
      <c r="F17" s="96" t="s">
        <v>63</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5">
        <f t="shared" si="7"/>
        <v>0</v>
      </c>
      <c r="AD17" s="100">
        <f t="shared" si="8"/>
        <v>0</v>
      </c>
      <c r="AE17" s="100">
        <f t="shared" si="9"/>
        <v>0</v>
      </c>
      <c r="AF17" s="194">
        <f t="shared" si="25"/>
        <v>0</v>
      </c>
      <c r="AG17" s="194">
        <f t="shared" si="26"/>
        <v>0</v>
      </c>
      <c r="AH17" s="194">
        <f t="shared" si="27"/>
        <v>0</v>
      </c>
      <c r="AI17" s="199">
        <f t="shared" si="28"/>
        <v>0</v>
      </c>
      <c r="AK17" s="71">
        <v>12</v>
      </c>
      <c r="AL17" s="33">
        <f t="shared" si="10"/>
        <v>0</v>
      </c>
      <c r="AM17" s="33">
        <f t="shared" si="11"/>
        <v>0</v>
      </c>
      <c r="AN17" s="33">
        <f t="shared" si="12"/>
        <v>0</v>
      </c>
      <c r="AO17" s="33">
        <f t="shared" si="13"/>
        <v>0</v>
      </c>
      <c r="AP17" s="33">
        <f t="shared" si="14"/>
        <v>0</v>
      </c>
      <c r="AQ17" s="194">
        <f t="shared" si="17"/>
        <v>0</v>
      </c>
      <c r="AR17" s="194">
        <f t="shared" si="17"/>
        <v>0</v>
      </c>
      <c r="AS17" s="194">
        <f t="shared" si="17"/>
        <v>0</v>
      </c>
      <c r="AT17" s="194">
        <f t="shared" si="17"/>
        <v>0</v>
      </c>
      <c r="AU17" s="33"/>
      <c r="AV17" s="33"/>
      <c r="AW17" s="33"/>
      <c r="AX17" s="33"/>
      <c r="AY17" s="164">
        <f t="shared" si="24"/>
        <v>0</v>
      </c>
    </row>
    <row r="18" spans="2:51" x14ac:dyDescent="0.3">
      <c r="B18" s="373"/>
      <c r="C18" s="367"/>
      <c r="D18" s="362" t="s">
        <v>136</v>
      </c>
      <c r="E18" s="362"/>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5">
        <f t="shared" si="7"/>
        <v>0</v>
      </c>
      <c r="AD18" s="100">
        <f t="shared" si="8"/>
        <v>0</v>
      </c>
      <c r="AE18" s="100">
        <f t="shared" si="9"/>
        <v>0</v>
      </c>
      <c r="AF18" s="194">
        <f t="shared" si="25"/>
        <v>0</v>
      </c>
      <c r="AG18" s="194">
        <f t="shared" si="26"/>
        <v>0</v>
      </c>
      <c r="AH18" s="194">
        <f t="shared" si="27"/>
        <v>0</v>
      </c>
      <c r="AI18" s="199">
        <f t="shared" si="28"/>
        <v>0</v>
      </c>
      <c r="AK18" s="71">
        <v>13</v>
      </c>
      <c r="AL18" s="33">
        <f t="shared" si="10"/>
        <v>0</v>
      </c>
      <c r="AM18" s="33">
        <f t="shared" si="11"/>
        <v>0</v>
      </c>
      <c r="AN18" s="33">
        <f t="shared" si="12"/>
        <v>0</v>
      </c>
      <c r="AO18" s="33">
        <f t="shared" si="13"/>
        <v>0</v>
      </c>
      <c r="AP18" s="33">
        <f t="shared" si="14"/>
        <v>0</v>
      </c>
      <c r="AQ18" s="194">
        <f t="shared" si="17"/>
        <v>0</v>
      </c>
      <c r="AR18" s="194">
        <f t="shared" si="17"/>
        <v>0</v>
      </c>
      <c r="AS18" s="194">
        <f t="shared" si="17"/>
        <v>0</v>
      </c>
      <c r="AT18" s="194">
        <f t="shared" si="17"/>
        <v>0</v>
      </c>
      <c r="AU18" s="33"/>
      <c r="AV18" s="33"/>
      <c r="AW18" s="33"/>
      <c r="AX18" s="33"/>
      <c r="AY18" s="164">
        <f t="shared" si="24"/>
        <v>0</v>
      </c>
    </row>
    <row r="19" spans="2:51" x14ac:dyDescent="0.3">
      <c r="B19" s="373"/>
      <c r="C19" s="367"/>
      <c r="D19" s="365" t="s">
        <v>155</v>
      </c>
      <c r="E19" s="365"/>
      <c r="F19" s="36">
        <f>IF(ISBLANK(F$17),,VLOOKUP(F$17,C131:D195,2,FALSE))</f>
        <v>0.38</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5">
        <f t="shared" si="7"/>
        <v>0</v>
      </c>
      <c r="AD19" s="100">
        <f t="shared" si="8"/>
        <v>0</v>
      </c>
      <c r="AE19" s="100">
        <f t="shared" si="9"/>
        <v>0</v>
      </c>
      <c r="AF19" s="194">
        <f t="shared" si="25"/>
        <v>0</v>
      </c>
      <c r="AG19" s="194">
        <f t="shared" si="26"/>
        <v>0</v>
      </c>
      <c r="AH19" s="194">
        <f t="shared" si="27"/>
        <v>0</v>
      </c>
      <c r="AI19" s="199">
        <f t="shared" si="28"/>
        <v>0</v>
      </c>
      <c r="AK19" s="71">
        <v>14</v>
      </c>
      <c r="AL19" s="33">
        <f t="shared" si="10"/>
        <v>0</v>
      </c>
      <c r="AM19" s="33">
        <f t="shared" si="11"/>
        <v>0</v>
      </c>
      <c r="AN19" s="33">
        <f t="shared" si="12"/>
        <v>0</v>
      </c>
      <c r="AO19" s="33">
        <f t="shared" si="13"/>
        <v>0</v>
      </c>
      <c r="AP19" s="33">
        <f t="shared" si="14"/>
        <v>0</v>
      </c>
      <c r="AQ19" s="194">
        <f t="shared" si="17"/>
        <v>0</v>
      </c>
      <c r="AR19" s="194">
        <f t="shared" si="17"/>
        <v>0</v>
      </c>
      <c r="AS19" s="194">
        <f t="shared" si="17"/>
        <v>0</v>
      </c>
      <c r="AT19" s="194">
        <f t="shared" si="17"/>
        <v>0</v>
      </c>
      <c r="AU19" s="33"/>
      <c r="AV19" s="33"/>
      <c r="AW19" s="33"/>
      <c r="AX19" s="33"/>
      <c r="AY19" s="164">
        <f t="shared" si="24"/>
        <v>0</v>
      </c>
    </row>
    <row r="20" spans="2:51" x14ac:dyDescent="0.3">
      <c r="B20" s="373"/>
      <c r="C20" s="367"/>
      <c r="D20" s="365" t="s">
        <v>140</v>
      </c>
      <c r="E20" s="365"/>
      <c r="F20" s="36">
        <f>IF(ISBLANK(F$17),,VLOOKUP(F17,Tableau14594[#All],4,FALSE))</f>
        <v>1.3</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5">
        <f t="shared" si="7"/>
        <v>0</v>
      </c>
      <c r="AD20" s="100">
        <f t="shared" si="8"/>
        <v>0</v>
      </c>
      <c r="AE20" s="100">
        <f t="shared" si="9"/>
        <v>0</v>
      </c>
      <c r="AF20" s="194">
        <f t="shared" si="25"/>
        <v>0</v>
      </c>
      <c r="AG20" s="194">
        <f t="shared" si="26"/>
        <v>0</v>
      </c>
      <c r="AH20" s="194">
        <f t="shared" si="27"/>
        <v>0</v>
      </c>
      <c r="AI20" s="199">
        <f t="shared" si="28"/>
        <v>0</v>
      </c>
      <c r="AK20" s="71">
        <v>15</v>
      </c>
      <c r="AL20" s="33">
        <f t="shared" si="10"/>
        <v>0</v>
      </c>
      <c r="AM20" s="33">
        <f t="shared" si="11"/>
        <v>0</v>
      </c>
      <c r="AN20" s="33">
        <f t="shared" si="12"/>
        <v>0</v>
      </c>
      <c r="AO20" s="33">
        <f t="shared" si="13"/>
        <v>0</v>
      </c>
      <c r="AP20" s="33">
        <f t="shared" si="14"/>
        <v>0</v>
      </c>
      <c r="AQ20" s="194">
        <f t="shared" si="17"/>
        <v>0</v>
      </c>
      <c r="AR20" s="194">
        <f t="shared" si="17"/>
        <v>0</v>
      </c>
      <c r="AS20" s="194">
        <f t="shared" si="17"/>
        <v>0</v>
      </c>
      <c r="AT20" s="194">
        <f t="shared" si="17"/>
        <v>0</v>
      </c>
      <c r="AU20" s="33"/>
      <c r="AV20" s="33"/>
      <c r="AW20" s="33"/>
      <c r="AX20" s="33"/>
      <c r="AY20" s="164">
        <f t="shared" si="24"/>
        <v>0</v>
      </c>
    </row>
    <row r="21" spans="2:51" x14ac:dyDescent="0.3">
      <c r="B21" s="364"/>
      <c r="C21" s="368"/>
      <c r="D21" s="366" t="s">
        <v>143</v>
      </c>
      <c r="E21" s="366"/>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5">
        <f t="shared" si="7"/>
        <v>0</v>
      </c>
      <c r="AD21" s="100">
        <f t="shared" si="8"/>
        <v>0</v>
      </c>
      <c r="AE21" s="100">
        <f t="shared" si="9"/>
        <v>0</v>
      </c>
      <c r="AF21" s="194">
        <f t="shared" si="25"/>
        <v>0</v>
      </c>
      <c r="AG21" s="194">
        <f t="shared" si="26"/>
        <v>0</v>
      </c>
      <c r="AH21" s="194">
        <f t="shared" si="27"/>
        <v>0</v>
      </c>
      <c r="AI21" s="199">
        <f t="shared" si="28"/>
        <v>0</v>
      </c>
      <c r="AK21" s="71">
        <v>16</v>
      </c>
      <c r="AL21" s="33">
        <f t="shared" si="10"/>
        <v>0</v>
      </c>
      <c r="AM21" s="33">
        <f t="shared" si="11"/>
        <v>0</v>
      </c>
      <c r="AN21" s="33">
        <f t="shared" si="12"/>
        <v>0</v>
      </c>
      <c r="AO21" s="33">
        <f t="shared" si="13"/>
        <v>0</v>
      </c>
      <c r="AP21" s="33">
        <f t="shared" si="14"/>
        <v>0</v>
      </c>
      <c r="AQ21" s="194">
        <f t="shared" si="17"/>
        <v>0</v>
      </c>
      <c r="AR21" s="194">
        <f t="shared" si="17"/>
        <v>0</v>
      </c>
      <c r="AS21" s="194">
        <f t="shared" si="17"/>
        <v>0</v>
      </c>
      <c r="AT21" s="194">
        <f t="shared" si="17"/>
        <v>0</v>
      </c>
      <c r="AU21" s="33"/>
      <c r="AV21" s="33"/>
      <c r="AW21" s="33"/>
      <c r="AX21" s="33"/>
      <c r="AY21" s="164">
        <f t="shared" si="24"/>
        <v>0</v>
      </c>
    </row>
    <row r="22" spans="2:51" x14ac:dyDescent="0.3">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5">
        <f t="shared" si="7"/>
        <v>0</v>
      </c>
      <c r="AD22" s="100">
        <f t="shared" si="8"/>
        <v>0</v>
      </c>
      <c r="AE22" s="100">
        <f t="shared" si="9"/>
        <v>0</v>
      </c>
      <c r="AF22" s="194">
        <f t="shared" si="25"/>
        <v>0</v>
      </c>
      <c r="AG22" s="194">
        <f t="shared" si="26"/>
        <v>0</v>
      </c>
      <c r="AH22" s="194">
        <f t="shared" si="27"/>
        <v>0</v>
      </c>
      <c r="AI22" s="199">
        <f t="shared" si="28"/>
        <v>0</v>
      </c>
      <c r="AK22" s="71">
        <v>17</v>
      </c>
      <c r="AL22" s="33">
        <f t="shared" si="10"/>
        <v>0</v>
      </c>
      <c r="AM22" s="33">
        <f t="shared" si="11"/>
        <v>0</v>
      </c>
      <c r="AN22" s="33">
        <f t="shared" si="12"/>
        <v>0</v>
      </c>
      <c r="AO22" s="33">
        <f t="shared" si="13"/>
        <v>0</v>
      </c>
      <c r="AP22" s="33">
        <f t="shared" si="14"/>
        <v>0</v>
      </c>
      <c r="AQ22" s="194">
        <f t="shared" si="17"/>
        <v>0</v>
      </c>
      <c r="AR22" s="194">
        <f t="shared" si="17"/>
        <v>0</v>
      </c>
      <c r="AS22" s="194">
        <f t="shared" si="17"/>
        <v>0</v>
      </c>
      <c r="AT22" s="194">
        <f t="shared" si="17"/>
        <v>0</v>
      </c>
      <c r="AU22" s="33"/>
      <c r="AV22" s="33"/>
      <c r="AW22" s="33"/>
      <c r="AX22" s="33"/>
      <c r="AY22" s="164">
        <f t="shared" si="24"/>
        <v>0</v>
      </c>
    </row>
    <row r="23" spans="2:51" x14ac:dyDescent="0.3">
      <c r="B23" s="385" t="s">
        <v>142</v>
      </c>
      <c r="C23" s="386"/>
      <c r="D23" s="386"/>
      <c r="E23" s="386"/>
      <c r="F23" s="386"/>
      <c r="G23" s="387"/>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5">
        <f t="shared" si="7"/>
        <v>0</v>
      </c>
      <c r="AD23" s="100">
        <f t="shared" si="8"/>
        <v>0</v>
      </c>
      <c r="AE23" s="100">
        <f t="shared" si="9"/>
        <v>0</v>
      </c>
      <c r="AF23" s="194">
        <f t="shared" si="25"/>
        <v>0</v>
      </c>
      <c r="AG23" s="194">
        <f t="shared" si="26"/>
        <v>0</v>
      </c>
      <c r="AH23" s="194">
        <f t="shared" si="27"/>
        <v>0</v>
      </c>
      <c r="AI23" s="199">
        <f t="shared" si="28"/>
        <v>0</v>
      </c>
      <c r="AK23" s="71">
        <v>18</v>
      </c>
      <c r="AL23" s="33">
        <f t="shared" si="10"/>
        <v>0</v>
      </c>
      <c r="AM23" s="33">
        <f t="shared" si="11"/>
        <v>0</v>
      </c>
      <c r="AN23" s="33">
        <f t="shared" si="12"/>
        <v>0</v>
      </c>
      <c r="AO23" s="33">
        <f t="shared" si="13"/>
        <v>0</v>
      </c>
      <c r="AP23" s="33">
        <f t="shared" si="14"/>
        <v>0</v>
      </c>
      <c r="AQ23" s="194">
        <f t="shared" si="17"/>
        <v>0</v>
      </c>
      <c r="AR23" s="194">
        <f t="shared" si="17"/>
        <v>0</v>
      </c>
      <c r="AS23" s="194">
        <f t="shared" si="17"/>
        <v>0</v>
      </c>
      <c r="AT23" s="194">
        <f t="shared" si="17"/>
        <v>0</v>
      </c>
      <c r="AU23" s="33"/>
      <c r="AV23" s="33"/>
      <c r="AW23" s="33"/>
      <c r="AX23" s="33"/>
      <c r="AY23" s="164">
        <f t="shared" si="24"/>
        <v>0</v>
      </c>
    </row>
    <row r="24" spans="2:51" x14ac:dyDescent="0.3">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5">
        <f t="shared" si="7"/>
        <v>0</v>
      </c>
      <c r="AD24" s="100">
        <f t="shared" si="8"/>
        <v>0</v>
      </c>
      <c r="AE24" s="100">
        <f t="shared" si="9"/>
        <v>0</v>
      </c>
      <c r="AF24" s="194">
        <f t="shared" si="25"/>
        <v>0</v>
      </c>
      <c r="AG24" s="194">
        <f t="shared" si="26"/>
        <v>0</v>
      </c>
      <c r="AH24" s="194">
        <f t="shared" si="27"/>
        <v>0</v>
      </c>
      <c r="AI24" s="199">
        <f t="shared" si="28"/>
        <v>0</v>
      </c>
      <c r="AK24" s="71">
        <v>19</v>
      </c>
      <c r="AL24" s="33">
        <f t="shared" si="10"/>
        <v>0</v>
      </c>
      <c r="AM24" s="33">
        <f t="shared" si="11"/>
        <v>0</v>
      </c>
      <c r="AN24" s="33">
        <f t="shared" si="12"/>
        <v>0</v>
      </c>
      <c r="AO24" s="33">
        <f t="shared" si="13"/>
        <v>0</v>
      </c>
      <c r="AP24" s="33">
        <f t="shared" si="14"/>
        <v>0</v>
      </c>
      <c r="AQ24" s="194">
        <f t="shared" si="17"/>
        <v>0</v>
      </c>
      <c r="AR24" s="194">
        <f t="shared" si="17"/>
        <v>0</v>
      </c>
      <c r="AS24" s="194">
        <f t="shared" si="17"/>
        <v>0</v>
      </c>
      <c r="AT24" s="194">
        <f t="shared" si="17"/>
        <v>0</v>
      </c>
      <c r="AU24" s="33"/>
      <c r="AV24" s="33"/>
      <c r="AW24" s="33"/>
      <c r="AX24" s="33"/>
      <c r="AY24" s="164">
        <f t="shared" si="24"/>
        <v>0</v>
      </c>
    </row>
    <row r="25" spans="2:51" x14ac:dyDescent="0.3">
      <c r="B25" s="45">
        <v>0</v>
      </c>
      <c r="C25" s="334">
        <v>15</v>
      </c>
      <c r="D25" s="136">
        <f>D26+0</f>
        <v>82</v>
      </c>
      <c r="E25" s="140">
        <f t="shared" ref="E25:E52" si="29">$F$20</f>
        <v>1.3</v>
      </c>
      <c r="F25" s="46">
        <f t="shared" ref="F25:F52" si="30">D25*E25</f>
        <v>106.60000000000001</v>
      </c>
      <c r="G25" s="50">
        <f>F25/(C25-B25)</f>
        <v>7.1066666666666674</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0</v>
      </c>
      <c r="AH25" s="194">
        <f>IF(OR(AA25&lt;=$F$18,AA25&lt;=30),EXP(-LN(2)/$D$105)*AH24+((1-EXP(-LN(2)/$D$105))/(LN(2)/$D$105))*$AB25*AE25*0.475*$F$19*44/12,)</f>
        <v>0</v>
      </c>
      <c r="AI25" s="199">
        <f>IF(OR(AA25&lt;=$F$18,AA25&lt;=30),SUM(AF25:AH25),)</f>
        <v>0</v>
      </c>
      <c r="AK25" s="71">
        <v>20</v>
      </c>
      <c r="AL25" s="33">
        <f t="shared" si="10"/>
        <v>0</v>
      </c>
      <c r="AM25" s="33">
        <f t="shared" si="11"/>
        <v>0</v>
      </c>
      <c r="AN25" s="33">
        <f t="shared" si="12"/>
        <v>0</v>
      </c>
      <c r="AO25" s="33">
        <f t="shared" si="13"/>
        <v>0</v>
      </c>
      <c r="AP25" s="33">
        <f t="shared" si="14"/>
        <v>0</v>
      </c>
      <c r="AQ25" s="194">
        <f>IF($AK25&lt;=$F$18,$AL25*AM25,)</f>
        <v>0</v>
      </c>
      <c r="AR25" s="194">
        <f>IF($AK25&lt;=$F$18,$AL25*AN25,)</f>
        <v>0</v>
      </c>
      <c r="AS25" s="194">
        <f>IF($AK25&lt;=$F$18,$AL25*AO25,)</f>
        <v>0</v>
      </c>
      <c r="AT25" s="194">
        <f>IF($AK25&lt;=$F$18,$AL25*AP25,)</f>
        <v>0</v>
      </c>
      <c r="AU25" s="33"/>
      <c r="AV25" s="33"/>
      <c r="AW25" s="33"/>
      <c r="AX25" s="33"/>
      <c r="AY25" s="164">
        <f t="shared" si="24"/>
        <v>0</v>
      </c>
    </row>
    <row r="26" spans="2:51" x14ac:dyDescent="0.3">
      <c r="B26" s="40">
        <f t="shared" ref="B26:B52" si="31">C25</f>
        <v>15</v>
      </c>
      <c r="C26" s="41">
        <f>B26+1</f>
        <v>16</v>
      </c>
      <c r="D26" s="137">
        <v>82</v>
      </c>
      <c r="E26" s="141">
        <f t="shared" si="29"/>
        <v>1.3</v>
      </c>
      <c r="F26" s="42">
        <f t="shared" si="30"/>
        <v>106.60000000000001</v>
      </c>
      <c r="G26" s="142">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5">
        <f t="shared" si="7"/>
        <v>0</v>
      </c>
      <c r="AD26" s="100">
        <f t="shared" si="8"/>
        <v>0</v>
      </c>
      <c r="AE26" s="100">
        <f t="shared" si="9"/>
        <v>0</v>
      </c>
      <c r="AF26" s="194">
        <f>IF(OR(AA26&lt;=$F$18,AA26&lt;=30),EXP(-LN(2)/$D$104)*AF25+((1-EXP(-LN(2)/$D$104))/(LN(2)/$D$104))*$AB26*AC26*0.475*$F$19*44/12,)</f>
        <v>0</v>
      </c>
      <c r="AG26" s="194">
        <f>IF(OR(AA26&lt;=$F$18,AA26&lt;=30),EXP(-LN(2)/$D$106)*AG25+((1-EXP(-LN(2)/$D$106))/(LN(2)/$D$106))*$AB26*AD26*0.475*$F$19*44/12,)</f>
        <v>0</v>
      </c>
      <c r="AH26" s="194">
        <f>IF(OR(AA26&lt;=$F$18,AA26&lt;=30),EXP(-LN(2)/$D$105)*AH25+((1-EXP(-LN(2)/$D$105))/(LN(2)/$D$105))*$AB26*AE26*0.475*$F$19*44/12,)</f>
        <v>0</v>
      </c>
      <c r="AI26" s="199">
        <f>IF(OR(AA26&lt;=$F$18,AA26&lt;=30),SUM(AF26:AH26),)</f>
        <v>0</v>
      </c>
      <c r="AK26" s="71">
        <v>21</v>
      </c>
      <c r="AL26" s="33">
        <f t="shared" si="10"/>
        <v>0</v>
      </c>
      <c r="AM26" s="33">
        <f t="shared" si="11"/>
        <v>0</v>
      </c>
      <c r="AN26" s="33">
        <f t="shared" si="12"/>
        <v>0</v>
      </c>
      <c r="AO26" s="33">
        <f t="shared" si="13"/>
        <v>0</v>
      </c>
      <c r="AP26" s="33">
        <f t="shared" si="14"/>
        <v>0</v>
      </c>
      <c r="AQ26" s="194">
        <f t="shared" ref="AQ26:AT35" si="32">IF($AK26&lt;=$F$18,$AL26*AM26,)</f>
        <v>0</v>
      </c>
      <c r="AR26" s="194">
        <f t="shared" si="32"/>
        <v>0</v>
      </c>
      <c r="AS26" s="194">
        <f t="shared" si="32"/>
        <v>0</v>
      </c>
      <c r="AT26" s="194">
        <f t="shared" si="32"/>
        <v>0</v>
      </c>
      <c r="AU26" s="33"/>
      <c r="AV26" s="33"/>
      <c r="AW26" s="33"/>
      <c r="AX26" s="33"/>
      <c r="AY26" s="164">
        <f t="shared" si="24"/>
        <v>0</v>
      </c>
    </row>
    <row r="27" spans="2:51" x14ac:dyDescent="0.3">
      <c r="B27" s="40">
        <f t="shared" si="31"/>
        <v>16</v>
      </c>
      <c r="C27" s="152">
        <f>C25+5</f>
        <v>20</v>
      </c>
      <c r="D27" s="137">
        <f>D28+88</f>
        <v>219</v>
      </c>
      <c r="E27" s="141">
        <f t="shared" si="29"/>
        <v>1.3</v>
      </c>
      <c r="F27" s="42">
        <f t="shared" si="30"/>
        <v>284.7</v>
      </c>
      <c r="G27" s="51">
        <f t="shared" ref="G27:G52" si="33">(F27-F26)/(C27-B27)</f>
        <v>44.524999999999991</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5">
        <f t="shared" si="7"/>
        <v>0</v>
      </c>
      <c r="AD27" s="100">
        <f t="shared" si="8"/>
        <v>0</v>
      </c>
      <c r="AE27" s="100">
        <f t="shared" si="9"/>
        <v>0</v>
      </c>
      <c r="AF27" s="194">
        <f t="shared" ref="AF27:AF90" si="34">IF(OR(AA27&lt;=$F$18,AA27&lt;=30),EXP(-LN(2)/$D$104)*AF26+((1-EXP(-LN(2)/$D$104))/(LN(2)/$D$104))*$AB27*AC27*0.475*$F$19*44/12,)</f>
        <v>0</v>
      </c>
      <c r="AG27" s="194">
        <f t="shared" ref="AG27:AG90" si="35">IF(OR(AA27&lt;=$F$18,AA27&lt;=30),EXP(-LN(2)/$D$106)*AG26+((1-EXP(-LN(2)/$D$106))/(LN(2)/$D$106))*$AB27*AD27*0.475*$F$19*44/12,)</f>
        <v>0</v>
      </c>
      <c r="AH27" s="194">
        <f t="shared" ref="AH27:AH90" si="36">IF(OR(AA27&lt;=$F$18,AA27&lt;=30),EXP(-LN(2)/$D$105)*AH26+((1-EXP(-LN(2)/$D$105))/(LN(2)/$D$105))*$AB27*AE27*0.475*$F$19*44/12,)</f>
        <v>0</v>
      </c>
      <c r="AI27" s="199">
        <f t="shared" ref="AI27:AI90" si="37">IF(OR(AA27&lt;=$F$18,AA27&lt;=30),SUM(AF27:AH27),)</f>
        <v>0</v>
      </c>
      <c r="AK27" s="71">
        <v>22</v>
      </c>
      <c r="AL27" s="33">
        <f t="shared" si="10"/>
        <v>0</v>
      </c>
      <c r="AM27" s="33">
        <f t="shared" si="11"/>
        <v>0</v>
      </c>
      <c r="AN27" s="33">
        <f t="shared" si="12"/>
        <v>0</v>
      </c>
      <c r="AO27" s="33">
        <f t="shared" si="13"/>
        <v>0</v>
      </c>
      <c r="AP27" s="33">
        <f t="shared" si="14"/>
        <v>0</v>
      </c>
      <c r="AQ27" s="194">
        <f t="shared" si="32"/>
        <v>0</v>
      </c>
      <c r="AR27" s="194">
        <f t="shared" si="32"/>
        <v>0</v>
      </c>
      <c r="AS27" s="194">
        <f t="shared" si="32"/>
        <v>0</v>
      </c>
      <c r="AT27" s="194">
        <f t="shared" si="32"/>
        <v>0</v>
      </c>
      <c r="AU27" s="33"/>
      <c r="AV27" s="33"/>
      <c r="AW27" s="33"/>
      <c r="AX27" s="33"/>
      <c r="AY27" s="164">
        <f t="shared" si="24"/>
        <v>0</v>
      </c>
    </row>
    <row r="28" spans="2:51" x14ac:dyDescent="0.3">
      <c r="B28" s="40">
        <f t="shared" si="31"/>
        <v>20</v>
      </c>
      <c r="C28" s="152">
        <f>C26+5</f>
        <v>21</v>
      </c>
      <c r="D28" s="137">
        <v>131</v>
      </c>
      <c r="E28" s="141">
        <f t="shared" si="29"/>
        <v>1.3</v>
      </c>
      <c r="F28" s="42">
        <f t="shared" si="30"/>
        <v>170.3</v>
      </c>
      <c r="G28" s="51">
        <f t="shared" si="33"/>
        <v>-114.39999999999998</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5">
        <f t="shared" si="7"/>
        <v>0</v>
      </c>
      <c r="AD28" s="100">
        <f t="shared" si="8"/>
        <v>0</v>
      </c>
      <c r="AE28" s="100">
        <f t="shared" si="9"/>
        <v>0</v>
      </c>
      <c r="AF28" s="194">
        <f t="shared" si="34"/>
        <v>0</v>
      </c>
      <c r="AG28" s="194">
        <f t="shared" si="35"/>
        <v>0</v>
      </c>
      <c r="AH28" s="194">
        <f t="shared" si="36"/>
        <v>0</v>
      </c>
      <c r="AI28" s="199">
        <f t="shared" si="37"/>
        <v>0</v>
      </c>
      <c r="AK28" s="71">
        <v>23</v>
      </c>
      <c r="AL28" s="33">
        <f t="shared" si="10"/>
        <v>0</v>
      </c>
      <c r="AM28" s="33">
        <f t="shared" si="11"/>
        <v>0</v>
      </c>
      <c r="AN28" s="33">
        <f t="shared" si="12"/>
        <v>0</v>
      </c>
      <c r="AO28" s="33">
        <f t="shared" si="13"/>
        <v>0</v>
      </c>
      <c r="AP28" s="33">
        <f t="shared" si="14"/>
        <v>0</v>
      </c>
      <c r="AQ28" s="194">
        <f t="shared" si="32"/>
        <v>0</v>
      </c>
      <c r="AR28" s="194">
        <f t="shared" si="32"/>
        <v>0</v>
      </c>
      <c r="AS28" s="194">
        <f t="shared" si="32"/>
        <v>0</v>
      </c>
      <c r="AT28" s="194">
        <f t="shared" si="32"/>
        <v>0</v>
      </c>
      <c r="AU28" s="33"/>
      <c r="AV28" s="33"/>
      <c r="AW28" s="33"/>
      <c r="AX28" s="33"/>
      <c r="AY28" s="164">
        <f t="shared" si="24"/>
        <v>0</v>
      </c>
    </row>
    <row r="29" spans="2:51" x14ac:dyDescent="0.3">
      <c r="B29" s="40">
        <f t="shared" si="31"/>
        <v>21</v>
      </c>
      <c r="C29" s="152">
        <f t="shared" ref="C29:C52" si="38">C27+5</f>
        <v>25</v>
      </c>
      <c r="D29" s="137">
        <f>D30+91</f>
        <v>317</v>
      </c>
      <c r="E29" s="141">
        <f t="shared" si="29"/>
        <v>1.3</v>
      </c>
      <c r="F29" s="42">
        <f t="shared" si="30"/>
        <v>412.1</v>
      </c>
      <c r="G29" s="51">
        <f t="shared" si="33"/>
        <v>60.45</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5">
        <f t="shared" si="7"/>
        <v>0</v>
      </c>
      <c r="AD29" s="100">
        <f t="shared" si="8"/>
        <v>0</v>
      </c>
      <c r="AE29" s="100">
        <f t="shared" si="9"/>
        <v>0</v>
      </c>
      <c r="AF29" s="194">
        <f t="shared" si="34"/>
        <v>0</v>
      </c>
      <c r="AG29" s="194">
        <f t="shared" si="35"/>
        <v>0</v>
      </c>
      <c r="AH29" s="194">
        <f t="shared" si="36"/>
        <v>0</v>
      </c>
      <c r="AI29" s="199">
        <f t="shared" si="37"/>
        <v>0</v>
      </c>
      <c r="AK29" s="71">
        <v>24</v>
      </c>
      <c r="AL29" s="33">
        <f t="shared" si="10"/>
        <v>0</v>
      </c>
      <c r="AM29" s="33">
        <f t="shared" si="11"/>
        <v>0</v>
      </c>
      <c r="AN29" s="33">
        <f t="shared" si="12"/>
        <v>0</v>
      </c>
      <c r="AO29" s="33">
        <f t="shared" si="13"/>
        <v>0</v>
      </c>
      <c r="AP29" s="33">
        <f t="shared" si="14"/>
        <v>0</v>
      </c>
      <c r="AQ29" s="194">
        <f t="shared" si="32"/>
        <v>0</v>
      </c>
      <c r="AR29" s="194">
        <f t="shared" si="32"/>
        <v>0</v>
      </c>
      <c r="AS29" s="194">
        <f t="shared" si="32"/>
        <v>0</v>
      </c>
      <c r="AT29" s="194">
        <f t="shared" si="32"/>
        <v>0</v>
      </c>
      <c r="AU29" s="33"/>
      <c r="AV29" s="33"/>
      <c r="AW29" s="33"/>
      <c r="AX29" s="33"/>
      <c r="AY29" s="164">
        <f t="shared" si="24"/>
        <v>0</v>
      </c>
    </row>
    <row r="30" spans="2:51" x14ac:dyDescent="0.3">
      <c r="B30" s="40">
        <f t="shared" si="31"/>
        <v>25</v>
      </c>
      <c r="C30" s="152">
        <f t="shared" si="38"/>
        <v>26</v>
      </c>
      <c r="D30" s="137">
        <v>226</v>
      </c>
      <c r="E30" s="141">
        <f t="shared" si="29"/>
        <v>1.3</v>
      </c>
      <c r="F30" s="42">
        <f t="shared" si="30"/>
        <v>293.8</v>
      </c>
      <c r="G30" s="51">
        <f t="shared" si="33"/>
        <v>-118.30000000000001</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5">
        <f>IF(AA30&lt;=$F$18,IFERROR(VLOOKUP($AA30,$B$82:$G$94,3,FALSE),0),)*50%</f>
        <v>0</v>
      </c>
      <c r="AD30" s="100">
        <f t="shared" si="8"/>
        <v>0</v>
      </c>
      <c r="AE30" s="100">
        <f t="shared" si="9"/>
        <v>0</v>
      </c>
      <c r="AF30" s="194">
        <f t="shared" si="34"/>
        <v>0</v>
      </c>
      <c r="AG30" s="194">
        <f t="shared" si="35"/>
        <v>0</v>
      </c>
      <c r="AH30" s="194">
        <f t="shared" si="36"/>
        <v>0</v>
      </c>
      <c r="AI30" s="199">
        <f t="shared" si="37"/>
        <v>0</v>
      </c>
      <c r="AK30" s="71">
        <v>25</v>
      </c>
      <c r="AL30" s="33">
        <f t="shared" si="10"/>
        <v>0</v>
      </c>
      <c r="AM30" s="33">
        <f t="shared" si="11"/>
        <v>0</v>
      </c>
      <c r="AN30" s="33">
        <f t="shared" si="12"/>
        <v>0</v>
      </c>
      <c r="AO30" s="33">
        <f t="shared" si="13"/>
        <v>0</v>
      </c>
      <c r="AP30" s="33">
        <f t="shared" si="14"/>
        <v>0</v>
      </c>
      <c r="AQ30" s="194">
        <f t="shared" si="32"/>
        <v>0</v>
      </c>
      <c r="AR30" s="194">
        <f t="shared" si="32"/>
        <v>0</v>
      </c>
      <c r="AS30" s="194">
        <f t="shared" si="32"/>
        <v>0</v>
      </c>
      <c r="AT30" s="194">
        <f t="shared" si="32"/>
        <v>0</v>
      </c>
      <c r="AU30" s="33"/>
      <c r="AV30" s="33"/>
      <c r="AW30" s="33"/>
      <c r="AX30" s="33"/>
      <c r="AY30" s="164">
        <f t="shared" si="24"/>
        <v>0</v>
      </c>
    </row>
    <row r="31" spans="2:51" x14ac:dyDescent="0.3">
      <c r="B31" s="40">
        <f t="shared" si="31"/>
        <v>26</v>
      </c>
      <c r="C31" s="152">
        <f t="shared" si="38"/>
        <v>30</v>
      </c>
      <c r="D31" s="137">
        <f>D32+91</f>
        <v>429</v>
      </c>
      <c r="E31" s="141">
        <f t="shared" si="29"/>
        <v>1.3</v>
      </c>
      <c r="F31" s="42">
        <f t="shared" si="30"/>
        <v>557.70000000000005</v>
      </c>
      <c r="G31" s="51">
        <f t="shared" si="33"/>
        <v>65.975000000000009</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5">
        <f t="shared" ref="AC31:AC94" si="39">IF(AA31&lt;=$F$18,IFERROR(VLOOKUP($AA31,$B$82:$G$94,3,FALSE),0),)*50%</f>
        <v>0</v>
      </c>
      <c r="AD31" s="100">
        <f t="shared" si="8"/>
        <v>0</v>
      </c>
      <c r="AE31" s="100">
        <f t="shared" si="9"/>
        <v>0</v>
      </c>
      <c r="AF31" s="194">
        <f t="shared" si="34"/>
        <v>0</v>
      </c>
      <c r="AG31" s="194">
        <f t="shared" si="35"/>
        <v>0</v>
      </c>
      <c r="AH31" s="194">
        <f t="shared" si="36"/>
        <v>0</v>
      </c>
      <c r="AI31" s="199">
        <f t="shared" si="37"/>
        <v>0</v>
      </c>
      <c r="AK31" s="71">
        <v>26</v>
      </c>
      <c r="AL31" s="33">
        <f t="shared" si="10"/>
        <v>0</v>
      </c>
      <c r="AM31" s="33">
        <f t="shared" si="11"/>
        <v>0</v>
      </c>
      <c r="AN31" s="33">
        <f t="shared" si="12"/>
        <v>0</v>
      </c>
      <c r="AO31" s="33">
        <f t="shared" si="13"/>
        <v>0</v>
      </c>
      <c r="AP31" s="33">
        <f t="shared" si="14"/>
        <v>0</v>
      </c>
      <c r="AQ31" s="194">
        <f t="shared" si="32"/>
        <v>0</v>
      </c>
      <c r="AR31" s="194">
        <f t="shared" si="32"/>
        <v>0</v>
      </c>
      <c r="AS31" s="194">
        <f t="shared" si="32"/>
        <v>0</v>
      </c>
      <c r="AT31" s="194">
        <f t="shared" si="32"/>
        <v>0</v>
      </c>
      <c r="AU31" s="33"/>
      <c r="AV31" s="33"/>
      <c r="AW31" s="33"/>
      <c r="AX31" s="33"/>
      <c r="AY31" s="164">
        <f t="shared" si="24"/>
        <v>0</v>
      </c>
    </row>
    <row r="32" spans="2:51" x14ac:dyDescent="0.3">
      <c r="B32" s="40">
        <f t="shared" si="31"/>
        <v>30</v>
      </c>
      <c r="C32" s="152">
        <f t="shared" si="38"/>
        <v>31</v>
      </c>
      <c r="D32" s="137">
        <v>338</v>
      </c>
      <c r="E32" s="141">
        <f t="shared" si="29"/>
        <v>1.3</v>
      </c>
      <c r="F32" s="42">
        <f t="shared" si="30"/>
        <v>439.40000000000003</v>
      </c>
      <c r="G32" s="51">
        <f t="shared" si="33"/>
        <v>-118.30000000000001</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5">
        <f t="shared" si="39"/>
        <v>0</v>
      </c>
      <c r="AD32" s="100">
        <f t="shared" si="8"/>
        <v>0</v>
      </c>
      <c r="AE32" s="100">
        <f t="shared" si="9"/>
        <v>0</v>
      </c>
      <c r="AF32" s="194">
        <f t="shared" si="34"/>
        <v>0</v>
      </c>
      <c r="AG32" s="194">
        <f t="shared" si="35"/>
        <v>0</v>
      </c>
      <c r="AH32" s="194">
        <f t="shared" si="36"/>
        <v>0</v>
      </c>
      <c r="AI32" s="199">
        <f t="shared" si="37"/>
        <v>0</v>
      </c>
      <c r="AK32" s="71">
        <v>27</v>
      </c>
      <c r="AL32" s="33">
        <f t="shared" si="10"/>
        <v>0</v>
      </c>
      <c r="AM32" s="33">
        <f t="shared" si="11"/>
        <v>0</v>
      </c>
      <c r="AN32" s="33">
        <f t="shared" si="12"/>
        <v>0</v>
      </c>
      <c r="AO32" s="33">
        <f t="shared" si="13"/>
        <v>0</v>
      </c>
      <c r="AP32" s="33">
        <f t="shared" si="14"/>
        <v>0</v>
      </c>
      <c r="AQ32" s="194">
        <f t="shared" si="32"/>
        <v>0</v>
      </c>
      <c r="AR32" s="194">
        <f t="shared" si="32"/>
        <v>0</v>
      </c>
      <c r="AS32" s="194">
        <f t="shared" si="32"/>
        <v>0</v>
      </c>
      <c r="AT32" s="194">
        <f t="shared" si="32"/>
        <v>0</v>
      </c>
      <c r="AU32" s="33"/>
      <c r="AV32" s="33"/>
      <c r="AW32" s="33"/>
      <c r="AX32" s="33"/>
      <c r="AY32" s="164">
        <f t="shared" si="24"/>
        <v>0</v>
      </c>
    </row>
    <row r="33" spans="2:51" x14ac:dyDescent="0.3">
      <c r="B33" s="40">
        <f t="shared" si="31"/>
        <v>31</v>
      </c>
      <c r="C33" s="152">
        <f t="shared" si="38"/>
        <v>35</v>
      </c>
      <c r="D33" s="137">
        <f>D34+91</f>
        <v>536</v>
      </c>
      <c r="E33" s="141">
        <f t="shared" si="29"/>
        <v>1.3</v>
      </c>
      <c r="F33" s="42">
        <f t="shared" si="30"/>
        <v>696.80000000000007</v>
      </c>
      <c r="G33" s="51">
        <f t="shared" si="33"/>
        <v>64.350000000000009</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5">
        <f t="shared" si="39"/>
        <v>0</v>
      </c>
      <c r="AD33" s="100">
        <f t="shared" si="8"/>
        <v>0</v>
      </c>
      <c r="AE33" s="100">
        <f t="shared" si="9"/>
        <v>0</v>
      </c>
      <c r="AF33" s="194">
        <f t="shared" si="34"/>
        <v>0</v>
      </c>
      <c r="AG33" s="194">
        <f t="shared" si="35"/>
        <v>0</v>
      </c>
      <c r="AH33" s="194">
        <f t="shared" si="36"/>
        <v>0</v>
      </c>
      <c r="AI33" s="199">
        <f t="shared" si="37"/>
        <v>0</v>
      </c>
      <c r="AK33" s="71">
        <v>28</v>
      </c>
      <c r="AL33" s="33">
        <f t="shared" si="10"/>
        <v>0</v>
      </c>
      <c r="AM33" s="33">
        <f t="shared" si="11"/>
        <v>0</v>
      </c>
      <c r="AN33" s="33">
        <f t="shared" si="12"/>
        <v>0</v>
      </c>
      <c r="AO33" s="33">
        <f t="shared" si="13"/>
        <v>0</v>
      </c>
      <c r="AP33" s="33">
        <f t="shared" si="14"/>
        <v>0</v>
      </c>
      <c r="AQ33" s="194">
        <f t="shared" si="32"/>
        <v>0</v>
      </c>
      <c r="AR33" s="194">
        <f t="shared" si="32"/>
        <v>0</v>
      </c>
      <c r="AS33" s="194">
        <f t="shared" si="32"/>
        <v>0</v>
      </c>
      <c r="AT33" s="194">
        <f t="shared" si="32"/>
        <v>0</v>
      </c>
      <c r="AU33" s="33"/>
      <c r="AV33" s="33"/>
      <c r="AW33" s="33"/>
      <c r="AX33" s="33"/>
      <c r="AY33" s="164">
        <f t="shared" si="24"/>
        <v>0</v>
      </c>
    </row>
    <row r="34" spans="2:51" ht="15" thickBot="1" x14ac:dyDescent="0.35">
      <c r="B34" s="40">
        <f t="shared" si="31"/>
        <v>35</v>
      </c>
      <c r="C34" s="152">
        <f t="shared" si="38"/>
        <v>36</v>
      </c>
      <c r="D34" s="137">
        <v>445</v>
      </c>
      <c r="E34" s="141">
        <f t="shared" si="29"/>
        <v>1.3</v>
      </c>
      <c r="F34" s="42">
        <f t="shared" si="30"/>
        <v>578.5</v>
      </c>
      <c r="G34" s="51">
        <f t="shared" si="33"/>
        <v>-118.30000000000007</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3">
        <f t="shared" si="6"/>
        <v>0</v>
      </c>
      <c r="AC34" s="305">
        <f t="shared" si="39"/>
        <v>0</v>
      </c>
      <c r="AD34" s="101">
        <f t="shared" si="8"/>
        <v>0</v>
      </c>
      <c r="AE34" s="101">
        <f t="shared" si="9"/>
        <v>0</v>
      </c>
      <c r="AF34" s="196">
        <f t="shared" si="34"/>
        <v>0</v>
      </c>
      <c r="AG34" s="196">
        <f t="shared" si="35"/>
        <v>0</v>
      </c>
      <c r="AH34" s="194">
        <f t="shared" si="36"/>
        <v>0</v>
      </c>
      <c r="AI34" s="199">
        <f t="shared" si="37"/>
        <v>0</v>
      </c>
      <c r="AK34" s="71">
        <v>29</v>
      </c>
      <c r="AL34" s="143">
        <f t="shared" si="10"/>
        <v>0</v>
      </c>
      <c r="AM34" s="35">
        <f t="shared" si="11"/>
        <v>0</v>
      </c>
      <c r="AN34" s="35">
        <f t="shared" si="12"/>
        <v>0</v>
      </c>
      <c r="AO34" s="35">
        <f t="shared" si="13"/>
        <v>0</v>
      </c>
      <c r="AP34" s="35">
        <f t="shared" si="14"/>
        <v>0</v>
      </c>
      <c r="AQ34" s="194">
        <f t="shared" si="32"/>
        <v>0</v>
      </c>
      <c r="AR34" s="194">
        <f t="shared" si="32"/>
        <v>0</v>
      </c>
      <c r="AS34" s="194">
        <f t="shared" si="32"/>
        <v>0</v>
      </c>
      <c r="AT34" s="194">
        <f t="shared" si="32"/>
        <v>0</v>
      </c>
      <c r="AU34" s="33"/>
      <c r="AV34" s="33"/>
      <c r="AW34" s="33"/>
      <c r="AX34" s="33"/>
      <c r="AY34" s="164">
        <f t="shared" si="24"/>
        <v>0</v>
      </c>
    </row>
    <row r="35" spans="2:51" ht="15" thickBot="1" x14ac:dyDescent="0.35">
      <c r="B35" s="40">
        <f t="shared" si="31"/>
        <v>36</v>
      </c>
      <c r="C35" s="152">
        <f t="shared" si="38"/>
        <v>40</v>
      </c>
      <c r="D35" s="137">
        <f>D36+91</f>
        <v>627</v>
      </c>
      <c r="E35" s="141">
        <f t="shared" si="29"/>
        <v>1.3</v>
      </c>
      <c r="F35" s="42">
        <f t="shared" si="30"/>
        <v>815.1</v>
      </c>
      <c r="G35" s="51">
        <f t="shared" si="33"/>
        <v>59.150000000000006</v>
      </c>
      <c r="I35" s="87">
        <v>30</v>
      </c>
      <c r="J35" s="159">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3">
        <f t="shared" si="6"/>
        <v>0</v>
      </c>
      <c r="AC35" s="305">
        <f t="shared" si="39"/>
        <v>0</v>
      </c>
      <c r="AD35" s="101">
        <f t="shared" si="8"/>
        <v>0</v>
      </c>
      <c r="AE35" s="101">
        <f t="shared" si="9"/>
        <v>0</v>
      </c>
      <c r="AF35" s="200">
        <f t="shared" si="34"/>
        <v>0</v>
      </c>
      <c r="AG35" s="195">
        <f t="shared" si="35"/>
        <v>0</v>
      </c>
      <c r="AH35" s="201">
        <f t="shared" si="36"/>
        <v>0</v>
      </c>
      <c r="AI35" s="202">
        <f t="shared" si="37"/>
        <v>0</v>
      </c>
      <c r="AK35" s="73">
        <v>30</v>
      </c>
      <c r="AL35" s="143">
        <f t="shared" si="10"/>
        <v>0</v>
      </c>
      <c r="AM35" s="35">
        <f t="shared" si="11"/>
        <v>0</v>
      </c>
      <c r="AN35" s="35">
        <f t="shared" si="12"/>
        <v>0</v>
      </c>
      <c r="AO35" s="35">
        <f t="shared" si="13"/>
        <v>0</v>
      </c>
      <c r="AP35" s="35">
        <f t="shared" si="14"/>
        <v>0</v>
      </c>
      <c r="AQ35" s="195">
        <f t="shared" si="32"/>
        <v>0</v>
      </c>
      <c r="AR35" s="195">
        <f t="shared" si="32"/>
        <v>0</v>
      </c>
      <c r="AS35" s="195">
        <f t="shared" si="32"/>
        <v>0</v>
      </c>
      <c r="AT35" s="195">
        <f t="shared" si="32"/>
        <v>0</v>
      </c>
      <c r="AU35" s="53"/>
      <c r="AV35" s="53"/>
      <c r="AW35" s="53"/>
      <c r="AX35" s="53"/>
      <c r="AY35" s="165">
        <f t="shared" si="24"/>
        <v>0</v>
      </c>
    </row>
    <row r="36" spans="2:51" x14ac:dyDescent="0.3">
      <c r="B36" s="40">
        <f t="shared" si="31"/>
        <v>40</v>
      </c>
      <c r="C36" s="152">
        <f t="shared" si="38"/>
        <v>41</v>
      </c>
      <c r="D36" s="137">
        <v>536</v>
      </c>
      <c r="E36" s="141">
        <f t="shared" si="29"/>
        <v>1.3</v>
      </c>
      <c r="F36" s="42">
        <f t="shared" si="30"/>
        <v>696.80000000000007</v>
      </c>
      <c r="G36" s="51">
        <f t="shared" si="33"/>
        <v>-118.29999999999995</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5">
        <f t="shared" si="39"/>
        <v>0</v>
      </c>
      <c r="AD36" s="100">
        <f t="shared" si="8"/>
        <v>0</v>
      </c>
      <c r="AE36" s="100">
        <f t="shared" si="9"/>
        <v>0</v>
      </c>
      <c r="AF36" s="194">
        <f t="shared" si="34"/>
        <v>0</v>
      </c>
      <c r="AG36" s="194">
        <f t="shared" si="35"/>
        <v>0</v>
      </c>
      <c r="AH36" s="194">
        <f t="shared" si="36"/>
        <v>0</v>
      </c>
      <c r="AI36" s="199">
        <f t="shared" si="37"/>
        <v>0</v>
      </c>
      <c r="AK36" s="71">
        <v>31</v>
      </c>
      <c r="AL36" s="33"/>
      <c r="AM36" s="33"/>
      <c r="AN36" s="33"/>
      <c r="AO36" s="33"/>
      <c r="AP36" s="33"/>
      <c r="AQ36" s="194"/>
      <c r="AR36" s="194"/>
      <c r="AS36" s="194"/>
      <c r="AT36" s="194"/>
      <c r="AU36" s="33"/>
      <c r="AV36" s="33"/>
      <c r="AW36" s="33"/>
      <c r="AX36" s="33"/>
      <c r="AY36" s="76"/>
    </row>
    <row r="37" spans="2:51" x14ac:dyDescent="0.3">
      <c r="B37" s="40">
        <f t="shared" si="31"/>
        <v>41</v>
      </c>
      <c r="C37" s="152">
        <f t="shared" si="38"/>
        <v>45</v>
      </c>
      <c r="D37" s="137">
        <f>D38+74</f>
        <v>701</v>
      </c>
      <c r="E37" s="141">
        <f t="shared" si="29"/>
        <v>1.3</v>
      </c>
      <c r="F37" s="42">
        <f t="shared" si="30"/>
        <v>911.30000000000007</v>
      </c>
      <c r="G37" s="51">
        <f t="shared" si="33"/>
        <v>53.625</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5">
        <f t="shared" si="39"/>
        <v>0</v>
      </c>
      <c r="AD37" s="100">
        <f t="shared" si="8"/>
        <v>0</v>
      </c>
      <c r="AE37" s="100">
        <f t="shared" si="9"/>
        <v>0</v>
      </c>
      <c r="AF37" s="194">
        <f t="shared" si="34"/>
        <v>0</v>
      </c>
      <c r="AG37" s="194">
        <f t="shared" si="35"/>
        <v>0</v>
      </c>
      <c r="AH37" s="194">
        <f t="shared" si="36"/>
        <v>0</v>
      </c>
      <c r="AI37" s="199">
        <f t="shared" si="37"/>
        <v>0</v>
      </c>
      <c r="AK37" s="71">
        <v>32</v>
      </c>
      <c r="AL37" s="33"/>
      <c r="AM37" s="33"/>
      <c r="AN37" s="33"/>
      <c r="AO37" s="33"/>
      <c r="AP37" s="33"/>
      <c r="AQ37" s="194"/>
      <c r="AR37" s="194"/>
      <c r="AS37" s="194"/>
      <c r="AT37" s="194"/>
      <c r="AU37" s="33"/>
      <c r="AV37" s="33"/>
      <c r="AW37" s="33"/>
      <c r="AX37" s="33"/>
      <c r="AY37" s="76"/>
    </row>
    <row r="38" spans="2:51" x14ac:dyDescent="0.3">
      <c r="B38" s="40">
        <f t="shared" si="31"/>
        <v>45</v>
      </c>
      <c r="C38" s="152">
        <f t="shared" si="38"/>
        <v>46</v>
      </c>
      <c r="D38" s="137">
        <v>627</v>
      </c>
      <c r="E38" s="141">
        <f t="shared" si="29"/>
        <v>1.3</v>
      </c>
      <c r="F38" s="42">
        <f t="shared" si="30"/>
        <v>815.1</v>
      </c>
      <c r="G38" s="51">
        <f t="shared" si="33"/>
        <v>-96.200000000000045</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5">
        <f t="shared" si="39"/>
        <v>0</v>
      </c>
      <c r="AD38" s="100">
        <f t="shared" si="8"/>
        <v>0</v>
      </c>
      <c r="AE38" s="100">
        <f t="shared" si="9"/>
        <v>0</v>
      </c>
      <c r="AF38" s="194">
        <f t="shared" si="34"/>
        <v>0</v>
      </c>
      <c r="AG38" s="194">
        <f t="shared" si="35"/>
        <v>0</v>
      </c>
      <c r="AH38" s="194">
        <f t="shared" si="36"/>
        <v>0</v>
      </c>
      <c r="AI38" s="199">
        <f t="shared" si="37"/>
        <v>0</v>
      </c>
      <c r="AK38" s="71">
        <v>33</v>
      </c>
      <c r="AL38" s="33"/>
      <c r="AM38" s="33"/>
      <c r="AN38" s="33"/>
      <c r="AO38" s="33"/>
      <c r="AP38" s="33"/>
      <c r="AQ38" s="194"/>
      <c r="AR38" s="194"/>
      <c r="AS38" s="194"/>
      <c r="AT38" s="194"/>
      <c r="AU38" s="33"/>
      <c r="AV38" s="33"/>
      <c r="AW38" s="33"/>
      <c r="AX38" s="33"/>
      <c r="AY38" s="76"/>
    </row>
    <row r="39" spans="2:51" x14ac:dyDescent="0.3">
      <c r="B39" s="40">
        <f t="shared" si="31"/>
        <v>46</v>
      </c>
      <c r="C39" s="152">
        <f t="shared" si="38"/>
        <v>50</v>
      </c>
      <c r="D39" s="137">
        <f>D40+63</f>
        <v>773</v>
      </c>
      <c r="E39" s="141">
        <f t="shared" si="29"/>
        <v>1.3</v>
      </c>
      <c r="F39" s="42">
        <f t="shared" si="30"/>
        <v>1004.9000000000001</v>
      </c>
      <c r="G39" s="51">
        <f t="shared" si="33"/>
        <v>47.450000000000017</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5">
        <f t="shared" si="39"/>
        <v>0</v>
      </c>
      <c r="AD39" s="100">
        <f t="shared" si="8"/>
        <v>0</v>
      </c>
      <c r="AE39" s="100">
        <f t="shared" si="9"/>
        <v>0</v>
      </c>
      <c r="AF39" s="194">
        <f t="shared" si="34"/>
        <v>0</v>
      </c>
      <c r="AG39" s="194">
        <f t="shared" si="35"/>
        <v>0</v>
      </c>
      <c r="AH39" s="194">
        <f t="shared" si="36"/>
        <v>0</v>
      </c>
      <c r="AI39" s="199">
        <f t="shared" si="37"/>
        <v>0</v>
      </c>
      <c r="AK39" s="71">
        <v>34</v>
      </c>
      <c r="AL39" s="33"/>
      <c r="AM39" s="33"/>
      <c r="AN39" s="33"/>
      <c r="AO39" s="33"/>
      <c r="AP39" s="33"/>
      <c r="AQ39" s="194"/>
      <c r="AR39" s="194"/>
      <c r="AS39" s="194"/>
      <c r="AT39" s="194"/>
      <c r="AU39" s="33"/>
      <c r="AV39" s="33"/>
      <c r="AW39" s="33"/>
      <c r="AX39" s="33"/>
      <c r="AY39" s="76"/>
    </row>
    <row r="40" spans="2:51" x14ac:dyDescent="0.3">
      <c r="B40" s="40">
        <f t="shared" si="31"/>
        <v>50</v>
      </c>
      <c r="C40" s="152">
        <f t="shared" si="38"/>
        <v>51</v>
      </c>
      <c r="D40" s="137">
        <v>710</v>
      </c>
      <c r="E40" s="141">
        <f t="shared" si="29"/>
        <v>1.3</v>
      </c>
      <c r="F40" s="42">
        <f t="shared" si="30"/>
        <v>923</v>
      </c>
      <c r="G40" s="51">
        <f t="shared" si="33"/>
        <v>-81.900000000000091</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5">
        <f t="shared" si="39"/>
        <v>0</v>
      </c>
      <c r="AD40" s="100">
        <f t="shared" si="8"/>
        <v>0</v>
      </c>
      <c r="AE40" s="100">
        <f t="shared" si="9"/>
        <v>0</v>
      </c>
      <c r="AF40" s="194">
        <f t="shared" si="34"/>
        <v>0</v>
      </c>
      <c r="AG40" s="194">
        <f t="shared" si="35"/>
        <v>0</v>
      </c>
      <c r="AH40" s="194">
        <f t="shared" si="36"/>
        <v>0</v>
      </c>
      <c r="AI40" s="199">
        <f t="shared" si="37"/>
        <v>0</v>
      </c>
      <c r="AK40" s="71">
        <v>35</v>
      </c>
      <c r="AL40" s="33"/>
      <c r="AM40" s="33"/>
      <c r="AN40" s="33"/>
      <c r="AO40" s="33"/>
      <c r="AP40" s="33"/>
      <c r="AQ40" s="194"/>
      <c r="AR40" s="194"/>
      <c r="AS40" s="194"/>
      <c r="AT40" s="194"/>
      <c r="AU40" s="33"/>
      <c r="AV40" s="33"/>
      <c r="AW40" s="33"/>
      <c r="AX40" s="33"/>
      <c r="AY40" s="76"/>
    </row>
    <row r="41" spans="2:51" x14ac:dyDescent="0.3">
      <c r="B41" s="40">
        <f t="shared" si="31"/>
        <v>51</v>
      </c>
      <c r="C41" s="152">
        <f t="shared" si="38"/>
        <v>55</v>
      </c>
      <c r="D41" s="137">
        <f>D42+55</f>
        <v>839</v>
      </c>
      <c r="E41" s="141">
        <f t="shared" si="29"/>
        <v>1.3</v>
      </c>
      <c r="F41" s="42">
        <f t="shared" si="30"/>
        <v>1090.7</v>
      </c>
      <c r="G41" s="51">
        <f t="shared" si="33"/>
        <v>41.925000000000011</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5">
        <f t="shared" si="39"/>
        <v>0</v>
      </c>
      <c r="AD41" s="100">
        <f t="shared" si="8"/>
        <v>0</v>
      </c>
      <c r="AE41" s="100">
        <f t="shared" si="9"/>
        <v>0</v>
      </c>
      <c r="AF41" s="194">
        <f t="shared" si="34"/>
        <v>0</v>
      </c>
      <c r="AG41" s="194">
        <f t="shared" si="35"/>
        <v>0</v>
      </c>
      <c r="AH41" s="194">
        <f t="shared" si="36"/>
        <v>0</v>
      </c>
      <c r="AI41" s="199">
        <f t="shared" si="37"/>
        <v>0</v>
      </c>
      <c r="AK41" s="71">
        <v>36</v>
      </c>
      <c r="AL41" s="33"/>
      <c r="AM41" s="33"/>
      <c r="AN41" s="33"/>
      <c r="AO41" s="33"/>
      <c r="AP41" s="33"/>
      <c r="AQ41" s="194"/>
      <c r="AR41" s="194"/>
      <c r="AS41" s="194"/>
      <c r="AT41" s="194"/>
      <c r="AU41" s="33"/>
      <c r="AV41" s="33"/>
      <c r="AW41" s="33"/>
      <c r="AX41" s="33"/>
      <c r="AY41" s="76"/>
    </row>
    <row r="42" spans="2:51" x14ac:dyDescent="0.3">
      <c r="B42" s="40">
        <f t="shared" si="31"/>
        <v>55</v>
      </c>
      <c r="C42" s="152">
        <f t="shared" si="38"/>
        <v>56</v>
      </c>
      <c r="D42" s="137">
        <v>784</v>
      </c>
      <c r="E42" s="141">
        <f t="shared" si="29"/>
        <v>1.3</v>
      </c>
      <c r="F42" s="42">
        <f t="shared" si="30"/>
        <v>1019.2</v>
      </c>
      <c r="G42" s="51">
        <f t="shared" si="33"/>
        <v>-71.5</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5">
        <f t="shared" si="39"/>
        <v>0</v>
      </c>
      <c r="AD42" s="100">
        <f t="shared" si="8"/>
        <v>0</v>
      </c>
      <c r="AE42" s="100">
        <f t="shared" si="9"/>
        <v>0</v>
      </c>
      <c r="AF42" s="194">
        <f t="shared" si="34"/>
        <v>0</v>
      </c>
      <c r="AG42" s="194">
        <f t="shared" si="35"/>
        <v>0</v>
      </c>
      <c r="AH42" s="194">
        <f t="shared" si="36"/>
        <v>0</v>
      </c>
      <c r="AI42" s="199">
        <f t="shared" si="37"/>
        <v>0</v>
      </c>
      <c r="AK42" s="71">
        <v>37</v>
      </c>
      <c r="AL42" s="33"/>
      <c r="AM42" s="33"/>
      <c r="AN42" s="33"/>
      <c r="AO42" s="33"/>
      <c r="AP42" s="33"/>
      <c r="AQ42" s="194"/>
      <c r="AR42" s="194"/>
      <c r="AS42" s="194"/>
      <c r="AT42" s="194"/>
      <c r="AU42" s="33"/>
      <c r="AV42" s="33"/>
      <c r="AW42" s="33"/>
      <c r="AX42" s="33"/>
      <c r="AY42" s="76"/>
    </row>
    <row r="43" spans="2:51" x14ac:dyDescent="0.3">
      <c r="B43" s="40">
        <f t="shared" si="31"/>
        <v>56</v>
      </c>
      <c r="C43" s="152">
        <f t="shared" si="38"/>
        <v>60</v>
      </c>
      <c r="D43" s="137">
        <f>D44+48</f>
        <v>895</v>
      </c>
      <c r="E43" s="141">
        <f t="shared" si="29"/>
        <v>1.3</v>
      </c>
      <c r="F43" s="42">
        <f t="shared" si="30"/>
        <v>1163.5</v>
      </c>
      <c r="G43" s="51">
        <f t="shared" si="33"/>
        <v>36.074999999999989</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5">
        <f t="shared" si="39"/>
        <v>0</v>
      </c>
      <c r="AD43" s="100">
        <f t="shared" si="8"/>
        <v>0</v>
      </c>
      <c r="AE43" s="100">
        <f t="shared" si="9"/>
        <v>0</v>
      </c>
      <c r="AF43" s="194">
        <f t="shared" si="34"/>
        <v>0</v>
      </c>
      <c r="AG43" s="194">
        <f t="shared" si="35"/>
        <v>0</v>
      </c>
      <c r="AH43" s="194">
        <f t="shared" si="36"/>
        <v>0</v>
      </c>
      <c r="AI43" s="199">
        <f t="shared" si="37"/>
        <v>0</v>
      </c>
      <c r="AK43" s="71">
        <v>38</v>
      </c>
      <c r="AL43" s="33"/>
      <c r="AM43" s="33"/>
      <c r="AN43" s="33"/>
      <c r="AO43" s="33"/>
      <c r="AP43" s="33"/>
      <c r="AQ43" s="194"/>
      <c r="AR43" s="194"/>
      <c r="AS43" s="194"/>
      <c r="AT43" s="194"/>
      <c r="AU43" s="33"/>
      <c r="AV43" s="33"/>
      <c r="AW43" s="33"/>
      <c r="AX43" s="33"/>
      <c r="AY43" s="76"/>
    </row>
    <row r="44" spans="2:51" x14ac:dyDescent="0.3">
      <c r="B44" s="40">
        <f t="shared" si="31"/>
        <v>60</v>
      </c>
      <c r="C44" s="152">
        <f t="shared" si="38"/>
        <v>61</v>
      </c>
      <c r="D44" s="137">
        <v>847</v>
      </c>
      <c r="E44" s="141">
        <f t="shared" si="29"/>
        <v>1.3</v>
      </c>
      <c r="F44" s="42">
        <f t="shared" si="30"/>
        <v>1101.1000000000001</v>
      </c>
      <c r="G44" s="51">
        <f t="shared" si="33"/>
        <v>-62.399999999999864</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5">
        <f t="shared" si="39"/>
        <v>0</v>
      </c>
      <c r="AD44" s="100">
        <f t="shared" si="8"/>
        <v>0</v>
      </c>
      <c r="AE44" s="100">
        <f t="shared" si="9"/>
        <v>0</v>
      </c>
      <c r="AF44" s="194">
        <f t="shared" si="34"/>
        <v>0</v>
      </c>
      <c r="AG44" s="194">
        <f t="shared" si="35"/>
        <v>0</v>
      </c>
      <c r="AH44" s="194">
        <f t="shared" si="36"/>
        <v>0</v>
      </c>
      <c r="AI44" s="199">
        <f t="shared" si="37"/>
        <v>0</v>
      </c>
      <c r="AK44" s="71">
        <v>39</v>
      </c>
      <c r="AL44" s="33"/>
      <c r="AM44" s="33"/>
      <c r="AN44" s="33"/>
      <c r="AO44" s="33"/>
      <c r="AP44" s="33"/>
      <c r="AQ44" s="194"/>
      <c r="AR44" s="194"/>
      <c r="AS44" s="194"/>
      <c r="AT44" s="194"/>
      <c r="AU44" s="33"/>
      <c r="AV44" s="33"/>
      <c r="AW44" s="33"/>
      <c r="AX44" s="33"/>
      <c r="AY44" s="76"/>
    </row>
    <row r="45" spans="2:51" x14ac:dyDescent="0.3">
      <c r="B45" s="40">
        <f t="shared" si="31"/>
        <v>61</v>
      </c>
      <c r="C45" s="152">
        <f t="shared" si="38"/>
        <v>65</v>
      </c>
      <c r="D45" s="137">
        <f>D46+43</f>
        <v>942</v>
      </c>
      <c r="E45" s="141">
        <f t="shared" si="29"/>
        <v>1.3</v>
      </c>
      <c r="F45" s="42">
        <f t="shared" si="30"/>
        <v>1224.6000000000001</v>
      </c>
      <c r="G45" s="51">
        <f t="shared" si="33"/>
        <v>30.875</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5">
        <f t="shared" si="39"/>
        <v>0</v>
      </c>
      <c r="AD45" s="100">
        <f t="shared" si="8"/>
        <v>0</v>
      </c>
      <c r="AE45" s="100">
        <f t="shared" si="9"/>
        <v>0</v>
      </c>
      <c r="AF45" s="194">
        <f t="shared" si="34"/>
        <v>0</v>
      </c>
      <c r="AG45" s="194">
        <f t="shared" si="35"/>
        <v>0</v>
      </c>
      <c r="AH45" s="194">
        <f t="shared" si="36"/>
        <v>0</v>
      </c>
      <c r="AI45" s="199">
        <f t="shared" si="37"/>
        <v>0</v>
      </c>
      <c r="AK45" s="71">
        <v>40</v>
      </c>
      <c r="AL45" s="33"/>
      <c r="AM45" s="33"/>
      <c r="AN45" s="33"/>
      <c r="AO45" s="33"/>
      <c r="AP45" s="33"/>
      <c r="AQ45" s="194"/>
      <c r="AR45" s="194"/>
      <c r="AS45" s="194"/>
      <c r="AT45" s="194"/>
      <c r="AU45" s="33"/>
      <c r="AV45" s="33"/>
      <c r="AW45" s="33"/>
      <c r="AX45" s="33"/>
      <c r="AY45" s="76"/>
    </row>
    <row r="46" spans="2:51" x14ac:dyDescent="0.3">
      <c r="B46" s="40">
        <f t="shared" si="31"/>
        <v>65</v>
      </c>
      <c r="C46" s="152">
        <f t="shared" si="38"/>
        <v>66</v>
      </c>
      <c r="D46" s="137">
        <v>899</v>
      </c>
      <c r="E46" s="141">
        <f t="shared" si="29"/>
        <v>1.3</v>
      </c>
      <c r="F46" s="42">
        <f t="shared" si="30"/>
        <v>1168.7</v>
      </c>
      <c r="G46" s="51">
        <f t="shared" si="33"/>
        <v>-55.900000000000091</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5">
        <f t="shared" si="39"/>
        <v>0</v>
      </c>
      <c r="AD46" s="100">
        <f t="shared" si="8"/>
        <v>0</v>
      </c>
      <c r="AE46" s="100">
        <f t="shared" si="9"/>
        <v>0</v>
      </c>
      <c r="AF46" s="194">
        <f t="shared" si="34"/>
        <v>0</v>
      </c>
      <c r="AG46" s="194">
        <f t="shared" si="35"/>
        <v>0</v>
      </c>
      <c r="AH46" s="194">
        <f t="shared" si="36"/>
        <v>0</v>
      </c>
      <c r="AI46" s="199">
        <f t="shared" si="37"/>
        <v>0</v>
      </c>
      <c r="AK46" s="71">
        <v>41</v>
      </c>
      <c r="AL46" s="33"/>
      <c r="AM46" s="33"/>
      <c r="AN46" s="33"/>
      <c r="AO46" s="33"/>
      <c r="AP46" s="33"/>
      <c r="AQ46" s="194"/>
      <c r="AR46" s="194"/>
      <c r="AS46" s="194"/>
      <c r="AT46" s="194"/>
      <c r="AU46" s="33"/>
      <c r="AV46" s="33"/>
      <c r="AW46" s="33"/>
      <c r="AX46" s="33"/>
      <c r="AY46" s="76"/>
    </row>
    <row r="47" spans="2:51" x14ac:dyDescent="0.3">
      <c r="B47" s="40">
        <f t="shared" si="31"/>
        <v>66</v>
      </c>
      <c r="C47" s="152">
        <f t="shared" si="38"/>
        <v>70</v>
      </c>
      <c r="D47" s="137">
        <f>D48+38</f>
        <v>978</v>
      </c>
      <c r="E47" s="141">
        <f t="shared" si="29"/>
        <v>1.3</v>
      </c>
      <c r="F47" s="42">
        <f t="shared" si="30"/>
        <v>1271.4000000000001</v>
      </c>
      <c r="G47" s="51">
        <f t="shared" si="33"/>
        <v>25.675000000000011</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5">
        <f t="shared" si="39"/>
        <v>0</v>
      </c>
      <c r="AD47" s="100">
        <f t="shared" si="8"/>
        <v>0</v>
      </c>
      <c r="AE47" s="100">
        <f t="shared" si="9"/>
        <v>0</v>
      </c>
      <c r="AF47" s="194">
        <f t="shared" si="34"/>
        <v>0</v>
      </c>
      <c r="AG47" s="194">
        <f t="shared" si="35"/>
        <v>0</v>
      </c>
      <c r="AH47" s="194">
        <f t="shared" si="36"/>
        <v>0</v>
      </c>
      <c r="AI47" s="199">
        <f t="shared" si="37"/>
        <v>0</v>
      </c>
      <c r="AK47" s="71">
        <v>42</v>
      </c>
      <c r="AL47" s="33"/>
      <c r="AM47" s="33"/>
      <c r="AN47" s="33"/>
      <c r="AO47" s="33"/>
      <c r="AP47" s="33"/>
      <c r="AQ47" s="194"/>
      <c r="AR47" s="194"/>
      <c r="AS47" s="194"/>
      <c r="AT47" s="194"/>
      <c r="AU47" s="33"/>
      <c r="AV47" s="33"/>
      <c r="AW47" s="33"/>
      <c r="AX47" s="33"/>
      <c r="AY47" s="76"/>
    </row>
    <row r="48" spans="2:51" x14ac:dyDescent="0.3">
      <c r="B48" s="40">
        <f t="shared" si="31"/>
        <v>70</v>
      </c>
      <c r="C48" s="152">
        <f t="shared" si="38"/>
        <v>71</v>
      </c>
      <c r="D48" s="137">
        <v>940</v>
      </c>
      <c r="E48" s="141">
        <f t="shared" si="29"/>
        <v>1.3</v>
      </c>
      <c r="F48" s="42">
        <f t="shared" si="30"/>
        <v>1222</v>
      </c>
      <c r="G48" s="51">
        <f t="shared" si="33"/>
        <v>-49.400000000000091</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5">
        <f t="shared" si="39"/>
        <v>0</v>
      </c>
      <c r="AD48" s="100">
        <f t="shared" si="8"/>
        <v>0</v>
      </c>
      <c r="AE48" s="100">
        <f t="shared" si="9"/>
        <v>0</v>
      </c>
      <c r="AF48" s="194">
        <f t="shared" si="34"/>
        <v>0</v>
      </c>
      <c r="AG48" s="194">
        <f t="shared" si="35"/>
        <v>0</v>
      </c>
      <c r="AH48" s="194">
        <f t="shared" si="36"/>
        <v>0</v>
      </c>
      <c r="AI48" s="199">
        <f t="shared" si="37"/>
        <v>0</v>
      </c>
      <c r="AK48" s="71">
        <v>43</v>
      </c>
      <c r="AL48" s="33"/>
      <c r="AM48" s="33"/>
      <c r="AN48" s="33"/>
      <c r="AO48" s="33"/>
      <c r="AP48" s="33"/>
      <c r="AQ48" s="194"/>
      <c r="AR48" s="194"/>
      <c r="AS48" s="194"/>
      <c r="AT48" s="194"/>
      <c r="AU48" s="33"/>
      <c r="AV48" s="33"/>
      <c r="AW48" s="33"/>
      <c r="AX48" s="33"/>
      <c r="AY48" s="76"/>
    </row>
    <row r="49" spans="2:51" x14ac:dyDescent="0.3">
      <c r="B49" s="40">
        <f t="shared" si="31"/>
        <v>71</v>
      </c>
      <c r="C49" s="152">
        <f t="shared" si="38"/>
        <v>75</v>
      </c>
      <c r="D49" s="137">
        <f>D50+33</f>
        <v>1005</v>
      </c>
      <c r="E49" s="141">
        <f t="shared" si="29"/>
        <v>1.3</v>
      </c>
      <c r="F49" s="42">
        <f t="shared" si="30"/>
        <v>1306.5</v>
      </c>
      <c r="G49" s="51">
        <f t="shared" si="33"/>
        <v>21.125</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5">
        <f t="shared" si="39"/>
        <v>0</v>
      </c>
      <c r="AD49" s="100">
        <f t="shared" si="8"/>
        <v>0</v>
      </c>
      <c r="AE49" s="100">
        <f t="shared" si="9"/>
        <v>0</v>
      </c>
      <c r="AF49" s="194">
        <f t="shared" si="34"/>
        <v>0</v>
      </c>
      <c r="AG49" s="194">
        <f t="shared" si="35"/>
        <v>0</v>
      </c>
      <c r="AH49" s="194">
        <f t="shared" si="36"/>
        <v>0</v>
      </c>
      <c r="AI49" s="199">
        <f t="shared" si="37"/>
        <v>0</v>
      </c>
      <c r="AK49" s="71">
        <v>44</v>
      </c>
      <c r="AL49" s="33"/>
      <c r="AM49" s="33"/>
      <c r="AN49" s="33"/>
      <c r="AO49" s="33"/>
      <c r="AP49" s="33"/>
      <c r="AQ49" s="194"/>
      <c r="AR49" s="194"/>
      <c r="AS49" s="194"/>
      <c r="AT49" s="194"/>
      <c r="AU49" s="33"/>
      <c r="AV49" s="33"/>
      <c r="AW49" s="33"/>
      <c r="AX49" s="33"/>
      <c r="AY49" s="76"/>
    </row>
    <row r="50" spans="2:51" x14ac:dyDescent="0.3">
      <c r="B50" s="40">
        <f t="shared" si="31"/>
        <v>75</v>
      </c>
      <c r="C50" s="152">
        <f t="shared" si="38"/>
        <v>76</v>
      </c>
      <c r="D50" s="137">
        <v>972</v>
      </c>
      <c r="E50" s="141">
        <f t="shared" si="29"/>
        <v>1.3</v>
      </c>
      <c r="F50" s="42">
        <f t="shared" si="30"/>
        <v>1263.6000000000001</v>
      </c>
      <c r="G50" s="51">
        <f t="shared" si="33"/>
        <v>-42.899999999999864</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5">
        <f t="shared" si="39"/>
        <v>0</v>
      </c>
      <c r="AD50" s="100">
        <f t="shared" si="8"/>
        <v>0</v>
      </c>
      <c r="AE50" s="100">
        <f t="shared" si="9"/>
        <v>0</v>
      </c>
      <c r="AF50" s="194">
        <f t="shared" si="34"/>
        <v>0</v>
      </c>
      <c r="AG50" s="194">
        <f t="shared" si="35"/>
        <v>0</v>
      </c>
      <c r="AH50" s="194">
        <f t="shared" si="36"/>
        <v>0</v>
      </c>
      <c r="AI50" s="199">
        <f t="shared" si="37"/>
        <v>0</v>
      </c>
      <c r="AK50" s="71">
        <v>45</v>
      </c>
      <c r="AL50" s="33"/>
      <c r="AM50" s="33"/>
      <c r="AN50" s="33"/>
      <c r="AO50" s="33"/>
      <c r="AP50" s="33"/>
      <c r="AQ50" s="194"/>
      <c r="AR50" s="194"/>
      <c r="AS50" s="194"/>
      <c r="AT50" s="194"/>
      <c r="AU50" s="33"/>
      <c r="AV50" s="33"/>
      <c r="AW50" s="33"/>
      <c r="AX50" s="33"/>
      <c r="AY50" s="76"/>
    </row>
    <row r="51" spans="2:51" x14ac:dyDescent="0.3">
      <c r="B51" s="40">
        <f t="shared" si="31"/>
        <v>76</v>
      </c>
      <c r="C51" s="152">
        <f t="shared" si="38"/>
        <v>80</v>
      </c>
      <c r="D51" s="137">
        <f>D52+29</f>
        <v>1020</v>
      </c>
      <c r="E51" s="141">
        <f t="shared" si="29"/>
        <v>1.3</v>
      </c>
      <c r="F51" s="42">
        <f t="shared" si="30"/>
        <v>1326</v>
      </c>
      <c r="G51" s="51">
        <f t="shared" si="33"/>
        <v>15.599999999999966</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5">
        <f t="shared" si="39"/>
        <v>0</v>
      </c>
      <c r="AD51" s="100">
        <f t="shared" si="8"/>
        <v>0</v>
      </c>
      <c r="AE51" s="100">
        <f t="shared" si="9"/>
        <v>0</v>
      </c>
      <c r="AF51" s="194">
        <f t="shared" si="34"/>
        <v>0</v>
      </c>
      <c r="AG51" s="194">
        <f t="shared" si="35"/>
        <v>0</v>
      </c>
      <c r="AH51" s="194">
        <f t="shared" si="36"/>
        <v>0</v>
      </c>
      <c r="AI51" s="199">
        <f t="shared" si="37"/>
        <v>0</v>
      </c>
      <c r="AK51" s="71">
        <v>46</v>
      </c>
      <c r="AL51" s="33"/>
      <c r="AM51" s="33"/>
      <c r="AN51" s="33"/>
      <c r="AO51" s="33"/>
      <c r="AP51" s="33"/>
      <c r="AQ51" s="194"/>
      <c r="AR51" s="194"/>
      <c r="AS51" s="194"/>
      <c r="AT51" s="194"/>
      <c r="AU51" s="33"/>
      <c r="AV51" s="33"/>
      <c r="AW51" s="33"/>
      <c r="AX51" s="33"/>
      <c r="AY51" s="76"/>
    </row>
    <row r="52" spans="2:51" x14ac:dyDescent="0.3">
      <c r="B52" s="40">
        <f t="shared" si="31"/>
        <v>80</v>
      </c>
      <c r="C52" s="152">
        <f t="shared" si="38"/>
        <v>81</v>
      </c>
      <c r="D52" s="137">
        <v>991</v>
      </c>
      <c r="E52" s="141">
        <f t="shared" si="29"/>
        <v>1.3</v>
      </c>
      <c r="F52" s="42">
        <f t="shared" si="30"/>
        <v>1288.3</v>
      </c>
      <c r="G52" s="51">
        <f t="shared" si="33"/>
        <v>-37.700000000000045</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5">
        <f t="shared" si="39"/>
        <v>0</v>
      </c>
      <c r="AD52" s="100">
        <f t="shared" si="8"/>
        <v>0</v>
      </c>
      <c r="AE52" s="100">
        <f t="shared" si="9"/>
        <v>0</v>
      </c>
      <c r="AF52" s="194">
        <f t="shared" si="34"/>
        <v>0</v>
      </c>
      <c r="AG52" s="194">
        <f t="shared" si="35"/>
        <v>0</v>
      </c>
      <c r="AH52" s="194">
        <f t="shared" si="36"/>
        <v>0</v>
      </c>
      <c r="AI52" s="199">
        <f t="shared" si="37"/>
        <v>0</v>
      </c>
      <c r="AK52" s="71">
        <v>47</v>
      </c>
      <c r="AL52" s="33"/>
      <c r="AM52" s="33"/>
      <c r="AN52" s="33"/>
      <c r="AO52" s="33"/>
      <c r="AP52" s="33"/>
      <c r="AQ52" s="194"/>
      <c r="AR52" s="194"/>
      <c r="AS52" s="194"/>
      <c r="AT52" s="194"/>
      <c r="AU52" s="33"/>
      <c r="AV52" s="33"/>
      <c r="AW52" s="33"/>
      <c r="AX52" s="33"/>
      <c r="AY52" s="76"/>
    </row>
    <row r="53" spans="2:51" x14ac:dyDescent="0.3">
      <c r="B53" s="40"/>
      <c r="C53" s="152"/>
      <c r="D53" s="137"/>
      <c r="E53" s="141"/>
      <c r="F53" s="42"/>
      <c r="G53" s="51"/>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5">
        <f t="shared" si="39"/>
        <v>0</v>
      </c>
      <c r="AD53" s="100">
        <f t="shared" si="8"/>
        <v>0</v>
      </c>
      <c r="AE53" s="100">
        <f t="shared" si="9"/>
        <v>0</v>
      </c>
      <c r="AF53" s="194">
        <f t="shared" si="34"/>
        <v>0</v>
      </c>
      <c r="AG53" s="194">
        <f t="shared" si="35"/>
        <v>0</v>
      </c>
      <c r="AH53" s="194">
        <f t="shared" si="36"/>
        <v>0</v>
      </c>
      <c r="AI53" s="199">
        <f t="shared" si="37"/>
        <v>0</v>
      </c>
      <c r="AK53" s="71">
        <v>48</v>
      </c>
      <c r="AL53" s="33"/>
      <c r="AM53" s="33"/>
      <c r="AN53" s="33"/>
      <c r="AO53" s="33"/>
      <c r="AP53" s="33"/>
      <c r="AQ53" s="194"/>
      <c r="AR53" s="194"/>
      <c r="AS53" s="194"/>
      <c r="AT53" s="194"/>
      <c r="AU53" s="33"/>
      <c r="AV53" s="33"/>
      <c r="AW53" s="33"/>
      <c r="AX53" s="33"/>
      <c r="AY53" s="76"/>
    </row>
    <row r="54" spans="2:51" x14ac:dyDescent="0.3">
      <c r="B54" s="40"/>
      <c r="C54" s="152"/>
      <c r="D54" s="137"/>
      <c r="E54" s="141"/>
      <c r="F54" s="42"/>
      <c r="G54" s="51"/>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5">
        <f t="shared" si="39"/>
        <v>0</v>
      </c>
      <c r="AD54" s="100">
        <f t="shared" si="8"/>
        <v>0</v>
      </c>
      <c r="AE54" s="100">
        <f t="shared" si="9"/>
        <v>0</v>
      </c>
      <c r="AF54" s="194">
        <f t="shared" si="34"/>
        <v>0</v>
      </c>
      <c r="AG54" s="194">
        <f t="shared" si="35"/>
        <v>0</v>
      </c>
      <c r="AH54" s="194">
        <f t="shared" si="36"/>
        <v>0</v>
      </c>
      <c r="AI54" s="199">
        <f t="shared" si="37"/>
        <v>0</v>
      </c>
      <c r="AK54" s="71">
        <v>49</v>
      </c>
      <c r="AL54" s="33"/>
      <c r="AM54" s="33"/>
      <c r="AN54" s="33"/>
      <c r="AO54" s="33"/>
      <c r="AP54" s="33"/>
      <c r="AQ54" s="194"/>
      <c r="AR54" s="194"/>
      <c r="AS54" s="194"/>
      <c r="AT54" s="194"/>
      <c r="AU54" s="33"/>
      <c r="AV54" s="33"/>
      <c r="AW54" s="33"/>
      <c r="AX54" s="33"/>
      <c r="AY54" s="76"/>
    </row>
    <row r="55" spans="2:51" x14ac:dyDescent="0.3">
      <c r="B55" s="40"/>
      <c r="C55" s="152"/>
      <c r="D55" s="137"/>
      <c r="E55" s="141"/>
      <c r="F55" s="42"/>
      <c r="G55" s="51"/>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5">
        <f t="shared" si="39"/>
        <v>0</v>
      </c>
      <c r="AD55" s="100">
        <f t="shared" si="8"/>
        <v>0</v>
      </c>
      <c r="AE55" s="100">
        <f t="shared" si="9"/>
        <v>0</v>
      </c>
      <c r="AF55" s="194">
        <f t="shared" si="34"/>
        <v>0</v>
      </c>
      <c r="AG55" s="194">
        <f t="shared" si="35"/>
        <v>0</v>
      </c>
      <c r="AH55" s="194">
        <f t="shared" si="36"/>
        <v>0</v>
      </c>
      <c r="AI55" s="199">
        <f t="shared" si="37"/>
        <v>0</v>
      </c>
      <c r="AK55" s="71">
        <v>50</v>
      </c>
      <c r="AL55" s="33"/>
      <c r="AM55" s="33"/>
      <c r="AN55" s="33"/>
      <c r="AO55" s="33"/>
      <c r="AP55" s="33"/>
      <c r="AQ55" s="194"/>
      <c r="AR55" s="194"/>
      <c r="AS55" s="194"/>
      <c r="AT55" s="194"/>
      <c r="AU55" s="33"/>
      <c r="AV55" s="33"/>
      <c r="AW55" s="33"/>
      <c r="AX55" s="33"/>
      <c r="AY55" s="76"/>
    </row>
    <row r="56" spans="2:51" x14ac:dyDescent="0.3">
      <c r="B56" s="40"/>
      <c r="C56" s="152"/>
      <c r="D56" s="137"/>
      <c r="E56" s="141"/>
      <c r="F56" s="42"/>
      <c r="G56" s="51"/>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5">
        <f t="shared" si="39"/>
        <v>0</v>
      </c>
      <c r="AD56" s="100">
        <f t="shared" si="8"/>
        <v>0</v>
      </c>
      <c r="AE56" s="100">
        <f t="shared" si="9"/>
        <v>0</v>
      </c>
      <c r="AF56" s="194">
        <f t="shared" si="34"/>
        <v>0</v>
      </c>
      <c r="AG56" s="194">
        <f t="shared" si="35"/>
        <v>0</v>
      </c>
      <c r="AH56" s="194">
        <f t="shared" si="36"/>
        <v>0</v>
      </c>
      <c r="AI56" s="199">
        <f t="shared" si="37"/>
        <v>0</v>
      </c>
      <c r="AK56" s="71">
        <v>51</v>
      </c>
      <c r="AL56" s="33"/>
      <c r="AM56" s="33"/>
      <c r="AN56" s="33"/>
      <c r="AO56" s="33"/>
      <c r="AP56" s="33"/>
      <c r="AQ56" s="194"/>
      <c r="AR56" s="194"/>
      <c r="AS56" s="194"/>
      <c r="AT56" s="194"/>
      <c r="AU56" s="33"/>
      <c r="AV56" s="33"/>
      <c r="AW56" s="33"/>
      <c r="AX56" s="33"/>
      <c r="AY56" s="76"/>
    </row>
    <row r="57" spans="2:51" x14ac:dyDescent="0.3">
      <c r="B57" s="40"/>
      <c r="C57" s="152"/>
      <c r="D57" s="137"/>
      <c r="E57" s="141"/>
      <c r="F57" s="42"/>
      <c r="G57" s="51"/>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5">
        <f t="shared" si="39"/>
        <v>0</v>
      </c>
      <c r="AD57" s="100">
        <f t="shared" si="8"/>
        <v>0</v>
      </c>
      <c r="AE57" s="100">
        <f t="shared" si="9"/>
        <v>0</v>
      </c>
      <c r="AF57" s="194">
        <f t="shared" si="34"/>
        <v>0</v>
      </c>
      <c r="AG57" s="194">
        <f t="shared" si="35"/>
        <v>0</v>
      </c>
      <c r="AH57" s="194">
        <f t="shared" si="36"/>
        <v>0</v>
      </c>
      <c r="AI57" s="199">
        <f t="shared" si="37"/>
        <v>0</v>
      </c>
      <c r="AK57" s="71">
        <v>52</v>
      </c>
      <c r="AL57" s="33"/>
      <c r="AM57" s="33"/>
      <c r="AN57" s="33"/>
      <c r="AO57" s="33"/>
      <c r="AP57" s="33"/>
      <c r="AQ57" s="194"/>
      <c r="AR57" s="194"/>
      <c r="AS57" s="194"/>
      <c r="AT57" s="194"/>
      <c r="AU57" s="33"/>
      <c r="AV57" s="33"/>
      <c r="AW57" s="33"/>
      <c r="AX57" s="33"/>
      <c r="AY57" s="76"/>
    </row>
    <row r="58" spans="2:51" x14ac:dyDescent="0.3">
      <c r="B58" s="40"/>
      <c r="C58" s="152"/>
      <c r="D58" s="137"/>
      <c r="E58" s="141"/>
      <c r="F58" s="42"/>
      <c r="G58" s="51"/>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5">
        <f t="shared" si="39"/>
        <v>0</v>
      </c>
      <c r="AD58" s="100">
        <f t="shared" si="8"/>
        <v>0</v>
      </c>
      <c r="AE58" s="100">
        <f t="shared" si="9"/>
        <v>0</v>
      </c>
      <c r="AF58" s="194">
        <f t="shared" si="34"/>
        <v>0</v>
      </c>
      <c r="AG58" s="194">
        <f t="shared" si="35"/>
        <v>0</v>
      </c>
      <c r="AH58" s="194">
        <f t="shared" si="36"/>
        <v>0</v>
      </c>
      <c r="AI58" s="199">
        <f t="shared" si="37"/>
        <v>0</v>
      </c>
      <c r="AK58" s="71">
        <v>53</v>
      </c>
      <c r="AL58" s="33"/>
      <c r="AM58" s="33"/>
      <c r="AN58" s="33"/>
      <c r="AO58" s="33"/>
      <c r="AP58" s="33"/>
      <c r="AQ58" s="194"/>
      <c r="AR58" s="194"/>
      <c r="AS58" s="194"/>
      <c r="AT58" s="194"/>
      <c r="AU58" s="33"/>
      <c r="AV58" s="33"/>
      <c r="AW58" s="33"/>
      <c r="AX58" s="33"/>
      <c r="AY58" s="76"/>
    </row>
    <row r="59" spans="2:51" x14ac:dyDescent="0.3">
      <c r="B59" s="40"/>
      <c r="C59" s="152"/>
      <c r="D59" s="137"/>
      <c r="E59" s="141"/>
      <c r="F59" s="42"/>
      <c r="G59" s="51"/>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5">
        <f t="shared" si="39"/>
        <v>0</v>
      </c>
      <c r="AD59" s="100">
        <f t="shared" si="8"/>
        <v>0</v>
      </c>
      <c r="AE59" s="100">
        <f t="shared" si="9"/>
        <v>0</v>
      </c>
      <c r="AF59" s="194">
        <f t="shared" si="34"/>
        <v>0</v>
      </c>
      <c r="AG59" s="194">
        <f t="shared" si="35"/>
        <v>0</v>
      </c>
      <c r="AH59" s="194">
        <f t="shared" si="36"/>
        <v>0</v>
      </c>
      <c r="AI59" s="199">
        <f t="shared" si="37"/>
        <v>0</v>
      </c>
      <c r="AK59" s="71">
        <v>54</v>
      </c>
      <c r="AL59" s="33"/>
      <c r="AM59" s="33"/>
      <c r="AN59" s="33"/>
      <c r="AO59" s="33"/>
      <c r="AP59" s="33"/>
      <c r="AQ59" s="194"/>
      <c r="AR59" s="194"/>
      <c r="AS59" s="194"/>
      <c r="AT59" s="194"/>
      <c r="AU59" s="33"/>
      <c r="AV59" s="33"/>
      <c r="AW59" s="33"/>
      <c r="AX59" s="33"/>
      <c r="AY59" s="76"/>
    </row>
    <row r="60" spans="2:51" x14ac:dyDescent="0.3">
      <c r="B60" s="40"/>
      <c r="C60" s="152"/>
      <c r="D60" s="137"/>
      <c r="E60" s="141"/>
      <c r="F60" s="42"/>
      <c r="G60" s="51"/>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5">
        <f t="shared" si="39"/>
        <v>0</v>
      </c>
      <c r="AD60" s="100">
        <f t="shared" si="8"/>
        <v>0</v>
      </c>
      <c r="AE60" s="100">
        <f t="shared" si="9"/>
        <v>0</v>
      </c>
      <c r="AF60" s="194">
        <f t="shared" si="34"/>
        <v>0</v>
      </c>
      <c r="AG60" s="194">
        <f t="shared" si="35"/>
        <v>0</v>
      </c>
      <c r="AH60" s="194">
        <f t="shared" si="36"/>
        <v>0</v>
      </c>
      <c r="AI60" s="199">
        <f t="shared" si="37"/>
        <v>0</v>
      </c>
      <c r="AK60" s="71">
        <v>55</v>
      </c>
      <c r="AL60" s="33"/>
      <c r="AM60" s="33"/>
      <c r="AN60" s="33"/>
      <c r="AO60" s="33"/>
      <c r="AP60" s="33"/>
      <c r="AQ60" s="194"/>
      <c r="AR60" s="194"/>
      <c r="AS60" s="194"/>
      <c r="AT60" s="194"/>
      <c r="AU60" s="33"/>
      <c r="AV60" s="33"/>
      <c r="AW60" s="33"/>
      <c r="AX60" s="33"/>
      <c r="AY60" s="76"/>
    </row>
    <row r="61" spans="2:51" x14ac:dyDescent="0.3">
      <c r="B61" s="40"/>
      <c r="C61" s="152"/>
      <c r="D61" s="137"/>
      <c r="E61" s="141"/>
      <c r="F61" s="42"/>
      <c r="G61" s="51"/>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5">
        <f t="shared" si="39"/>
        <v>0</v>
      </c>
      <c r="AD61" s="100">
        <f t="shared" si="8"/>
        <v>0</v>
      </c>
      <c r="AE61" s="100">
        <f t="shared" si="9"/>
        <v>0</v>
      </c>
      <c r="AF61" s="194">
        <f t="shared" si="34"/>
        <v>0</v>
      </c>
      <c r="AG61" s="194">
        <f t="shared" si="35"/>
        <v>0</v>
      </c>
      <c r="AH61" s="194">
        <f t="shared" si="36"/>
        <v>0</v>
      </c>
      <c r="AI61" s="199">
        <f t="shared" si="37"/>
        <v>0</v>
      </c>
      <c r="AK61" s="71">
        <v>56</v>
      </c>
      <c r="AL61" s="33"/>
      <c r="AM61" s="33"/>
      <c r="AN61" s="33"/>
      <c r="AO61" s="33"/>
      <c r="AP61" s="33"/>
      <c r="AQ61" s="194"/>
      <c r="AR61" s="194"/>
      <c r="AS61" s="194"/>
      <c r="AT61" s="194"/>
      <c r="AU61" s="33"/>
      <c r="AV61" s="33"/>
      <c r="AW61" s="33"/>
      <c r="AX61" s="33"/>
      <c r="AY61" s="76"/>
    </row>
    <row r="62" spans="2:51" x14ac:dyDescent="0.3">
      <c r="B62" s="40"/>
      <c r="C62" s="152"/>
      <c r="D62" s="137"/>
      <c r="E62" s="141"/>
      <c r="F62" s="42"/>
      <c r="G62" s="51"/>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5">
        <f t="shared" si="39"/>
        <v>0</v>
      </c>
      <c r="AD62" s="100">
        <f t="shared" si="8"/>
        <v>0</v>
      </c>
      <c r="AE62" s="100">
        <f t="shared" si="9"/>
        <v>0</v>
      </c>
      <c r="AF62" s="194">
        <f t="shared" si="34"/>
        <v>0</v>
      </c>
      <c r="AG62" s="194">
        <f t="shared" si="35"/>
        <v>0</v>
      </c>
      <c r="AH62" s="194">
        <f t="shared" si="36"/>
        <v>0</v>
      </c>
      <c r="AI62" s="199">
        <f t="shared" si="37"/>
        <v>0</v>
      </c>
      <c r="AK62" s="71">
        <v>57</v>
      </c>
      <c r="AL62" s="33"/>
      <c r="AM62" s="33"/>
      <c r="AN62" s="33"/>
      <c r="AO62" s="33"/>
      <c r="AP62" s="33"/>
      <c r="AQ62" s="194"/>
      <c r="AR62" s="194"/>
      <c r="AS62" s="194"/>
      <c r="AT62" s="194"/>
      <c r="AU62" s="33"/>
      <c r="AV62" s="33"/>
      <c r="AW62" s="33"/>
      <c r="AX62" s="33"/>
      <c r="AY62" s="76"/>
    </row>
    <row r="63" spans="2:51" x14ac:dyDescent="0.3">
      <c r="B63" s="40"/>
      <c r="C63" s="152"/>
      <c r="D63" s="137"/>
      <c r="E63" s="141"/>
      <c r="F63" s="42"/>
      <c r="G63" s="51"/>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5">
        <f t="shared" si="39"/>
        <v>0</v>
      </c>
      <c r="AD63" s="100">
        <f t="shared" si="8"/>
        <v>0</v>
      </c>
      <c r="AE63" s="100">
        <f t="shared" si="9"/>
        <v>0</v>
      </c>
      <c r="AF63" s="194">
        <f t="shared" si="34"/>
        <v>0</v>
      </c>
      <c r="AG63" s="194">
        <f t="shared" si="35"/>
        <v>0</v>
      </c>
      <c r="AH63" s="194">
        <f t="shared" si="36"/>
        <v>0</v>
      </c>
      <c r="AI63" s="199">
        <f t="shared" si="37"/>
        <v>0</v>
      </c>
      <c r="AK63" s="71">
        <v>58</v>
      </c>
      <c r="AL63" s="33"/>
      <c r="AM63" s="33"/>
      <c r="AN63" s="33"/>
      <c r="AO63" s="33"/>
      <c r="AP63" s="33"/>
      <c r="AQ63" s="194"/>
      <c r="AR63" s="194"/>
      <c r="AS63" s="194"/>
      <c r="AT63" s="194"/>
      <c r="AU63" s="33"/>
      <c r="AV63" s="33"/>
      <c r="AW63" s="33"/>
      <c r="AX63" s="33"/>
      <c r="AY63" s="76"/>
    </row>
    <row r="64" spans="2:51" x14ac:dyDescent="0.3">
      <c r="B64" s="40"/>
      <c r="C64" s="152"/>
      <c r="D64" s="137"/>
      <c r="E64" s="141"/>
      <c r="F64" s="42"/>
      <c r="G64" s="51"/>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5">
        <f t="shared" si="39"/>
        <v>0</v>
      </c>
      <c r="AD64" s="100">
        <f t="shared" si="8"/>
        <v>0</v>
      </c>
      <c r="AE64" s="100">
        <f t="shared" si="9"/>
        <v>0</v>
      </c>
      <c r="AF64" s="194">
        <f t="shared" si="34"/>
        <v>0</v>
      </c>
      <c r="AG64" s="194">
        <f t="shared" si="35"/>
        <v>0</v>
      </c>
      <c r="AH64" s="194">
        <f t="shared" si="36"/>
        <v>0</v>
      </c>
      <c r="AI64" s="199">
        <f t="shared" si="37"/>
        <v>0</v>
      </c>
      <c r="AK64" s="71">
        <v>59</v>
      </c>
      <c r="AL64" s="33"/>
      <c r="AM64" s="33"/>
      <c r="AN64" s="33"/>
      <c r="AO64" s="33"/>
      <c r="AP64" s="33"/>
      <c r="AQ64" s="194"/>
      <c r="AR64" s="194"/>
      <c r="AS64" s="194"/>
      <c r="AT64" s="194"/>
      <c r="AU64" s="33"/>
      <c r="AV64" s="33"/>
      <c r="AW64" s="33"/>
      <c r="AX64" s="33"/>
      <c r="AY64" s="76"/>
    </row>
    <row r="65" spans="2:51" x14ac:dyDescent="0.3">
      <c r="B65" s="40"/>
      <c r="C65" s="152"/>
      <c r="D65" s="137"/>
      <c r="E65" s="141"/>
      <c r="F65" s="42"/>
      <c r="G65" s="51"/>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5">
        <f t="shared" si="39"/>
        <v>0</v>
      </c>
      <c r="AD65" s="100">
        <f t="shared" si="8"/>
        <v>0</v>
      </c>
      <c r="AE65" s="100">
        <f t="shared" si="9"/>
        <v>0</v>
      </c>
      <c r="AF65" s="194">
        <f t="shared" si="34"/>
        <v>0</v>
      </c>
      <c r="AG65" s="194">
        <f t="shared" si="35"/>
        <v>0</v>
      </c>
      <c r="AH65" s="194">
        <f t="shared" si="36"/>
        <v>0</v>
      </c>
      <c r="AI65" s="199">
        <f t="shared" si="37"/>
        <v>0</v>
      </c>
      <c r="AK65" s="71">
        <v>60</v>
      </c>
      <c r="AL65" s="33"/>
      <c r="AM65" s="33"/>
      <c r="AN65" s="33"/>
      <c r="AO65" s="33"/>
      <c r="AP65" s="33"/>
      <c r="AQ65" s="194"/>
      <c r="AR65" s="194"/>
      <c r="AS65" s="194"/>
      <c r="AT65" s="194"/>
      <c r="AU65" s="33"/>
      <c r="AV65" s="33"/>
      <c r="AW65" s="33"/>
      <c r="AX65" s="33"/>
      <c r="AY65" s="76"/>
    </row>
    <row r="66" spans="2:51" x14ac:dyDescent="0.3">
      <c r="B66" s="40"/>
      <c r="C66" s="152"/>
      <c r="D66" s="137"/>
      <c r="E66" s="141"/>
      <c r="F66" s="42"/>
      <c r="G66" s="51"/>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5">
        <f t="shared" si="39"/>
        <v>0</v>
      </c>
      <c r="AD66" s="100">
        <f t="shared" si="8"/>
        <v>0</v>
      </c>
      <c r="AE66" s="100">
        <f t="shared" si="9"/>
        <v>0</v>
      </c>
      <c r="AF66" s="194">
        <f t="shared" si="34"/>
        <v>0</v>
      </c>
      <c r="AG66" s="194">
        <f t="shared" si="35"/>
        <v>0</v>
      </c>
      <c r="AH66" s="194">
        <f t="shared" si="36"/>
        <v>0</v>
      </c>
      <c r="AI66" s="199">
        <f t="shared" si="37"/>
        <v>0</v>
      </c>
      <c r="AK66" s="71">
        <v>61</v>
      </c>
      <c r="AL66" s="33"/>
      <c r="AM66" s="33"/>
      <c r="AN66" s="33"/>
      <c r="AO66" s="33"/>
      <c r="AP66" s="33"/>
      <c r="AQ66" s="194"/>
      <c r="AR66" s="194"/>
      <c r="AS66" s="194"/>
      <c r="AT66" s="194"/>
      <c r="AU66" s="33"/>
      <c r="AV66" s="33"/>
      <c r="AW66" s="33"/>
      <c r="AX66" s="33"/>
      <c r="AY66" s="76"/>
    </row>
    <row r="67" spans="2:51" x14ac:dyDescent="0.3">
      <c r="B67" s="40"/>
      <c r="C67" s="152"/>
      <c r="D67" s="137"/>
      <c r="E67" s="141"/>
      <c r="F67" s="42"/>
      <c r="G67" s="51"/>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5">
        <f t="shared" si="39"/>
        <v>0</v>
      </c>
      <c r="AD67" s="100">
        <f t="shared" si="8"/>
        <v>0</v>
      </c>
      <c r="AE67" s="100">
        <f t="shared" si="9"/>
        <v>0</v>
      </c>
      <c r="AF67" s="194">
        <f t="shared" si="34"/>
        <v>0</v>
      </c>
      <c r="AG67" s="194">
        <f t="shared" si="35"/>
        <v>0</v>
      </c>
      <c r="AH67" s="194">
        <f t="shared" si="36"/>
        <v>0</v>
      </c>
      <c r="AI67" s="199">
        <f t="shared" si="37"/>
        <v>0</v>
      </c>
      <c r="AK67" s="71">
        <v>62</v>
      </c>
      <c r="AL67" s="33"/>
      <c r="AM67" s="33"/>
      <c r="AN67" s="33"/>
      <c r="AO67" s="33"/>
      <c r="AP67" s="33"/>
      <c r="AQ67" s="194"/>
      <c r="AR67" s="194"/>
      <c r="AS67" s="194"/>
      <c r="AT67" s="194"/>
      <c r="AU67" s="33"/>
      <c r="AV67" s="33"/>
      <c r="AW67" s="33"/>
      <c r="AX67" s="33"/>
      <c r="AY67" s="76"/>
    </row>
    <row r="68" spans="2:51" x14ac:dyDescent="0.3">
      <c r="B68" s="40"/>
      <c r="C68" s="152"/>
      <c r="D68" s="137"/>
      <c r="E68" s="141"/>
      <c r="F68" s="42"/>
      <c r="G68" s="51"/>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5">
        <f t="shared" si="39"/>
        <v>0</v>
      </c>
      <c r="AD68" s="100">
        <f t="shared" si="8"/>
        <v>0</v>
      </c>
      <c r="AE68" s="100">
        <f t="shared" si="9"/>
        <v>0</v>
      </c>
      <c r="AF68" s="194">
        <f t="shared" si="34"/>
        <v>0</v>
      </c>
      <c r="AG68" s="194">
        <f t="shared" si="35"/>
        <v>0</v>
      </c>
      <c r="AH68" s="194">
        <f t="shared" si="36"/>
        <v>0</v>
      </c>
      <c r="AI68" s="199">
        <f t="shared" si="37"/>
        <v>0</v>
      </c>
      <c r="AK68" s="71">
        <v>63</v>
      </c>
      <c r="AL68" s="33"/>
      <c r="AM68" s="33"/>
      <c r="AN68" s="33"/>
      <c r="AO68" s="33"/>
      <c r="AP68" s="33"/>
      <c r="AQ68" s="194"/>
      <c r="AR68" s="194"/>
      <c r="AS68" s="194"/>
      <c r="AT68" s="194"/>
      <c r="AU68" s="33"/>
      <c r="AV68" s="33"/>
      <c r="AW68" s="33"/>
      <c r="AX68" s="33"/>
      <c r="AY68" s="76"/>
    </row>
    <row r="69" spans="2:51" x14ac:dyDescent="0.3">
      <c r="B69" s="40"/>
      <c r="C69" s="152"/>
      <c r="D69" s="137"/>
      <c r="E69" s="141"/>
      <c r="F69" s="42"/>
      <c r="G69" s="51"/>
      <c r="I69" s="55">
        <v>64</v>
      </c>
      <c r="J69" s="33">
        <f t="shared" si="18"/>
        <v>0</v>
      </c>
      <c r="K69" s="33">
        <f t="shared" si="19"/>
        <v>0</v>
      </c>
      <c r="L69" s="33">
        <f t="shared" si="20"/>
        <v>0</v>
      </c>
      <c r="M69" s="33">
        <f t="shared" si="21"/>
        <v>0</v>
      </c>
      <c r="N69" s="33">
        <f t="shared" ref="N69:N132" si="40">IF(P70&lt;=$F$18,0,)</f>
        <v>0</v>
      </c>
      <c r="O69" s="34">
        <f t="shared" ref="O69:O132" si="41">((J69+K69)*0.475+L69+M69+N69)*44/12</f>
        <v>0</v>
      </c>
      <c r="P69" s="55">
        <v>64</v>
      </c>
      <c r="Q69" s="33">
        <f t="shared" si="15"/>
        <v>0</v>
      </c>
      <c r="R69" s="33">
        <f t="shared" si="22"/>
        <v>0</v>
      </c>
      <c r="S69" s="33">
        <f t="shared" si="23"/>
        <v>0</v>
      </c>
      <c r="T69" s="33">
        <f t="shared" ref="T69:T132" si="42">IF(S69=0,0,EXP(-1.0587+0.8836*LN(S69)+0.284))</f>
        <v>0</v>
      </c>
      <c r="U69" s="33">
        <f t="shared" si="16"/>
        <v>0</v>
      </c>
      <c r="V69" s="33">
        <f t="shared" ref="V69:V132" si="43">IF(P69&lt;=$F$18,IF(P69&lt;=30,P69*($F$16-$F$6)/30,$F$16-$F$6),)</f>
        <v>0</v>
      </c>
      <c r="W69" s="33">
        <v>0</v>
      </c>
      <c r="X69" s="33">
        <f t="shared" ref="X69:X132" si="44">((S69+T69)*0.475+U69+V69+W69)*44/12</f>
        <v>0</v>
      </c>
      <c r="Y69" s="38">
        <f t="shared" ref="Y69:Y132" si="45">IF(P69&lt;=$F$18,X69-O69,)</f>
        <v>0</v>
      </c>
      <c r="AA69" s="71">
        <v>64</v>
      </c>
      <c r="AB69" s="33">
        <f t="shared" ref="AB69:AB132" si="46">IF(AA69&lt;=$F$18,IFERROR(VLOOKUP($AA69,$B$82:$G$94,2,FALSE),0),)</f>
        <v>0</v>
      </c>
      <c r="AC69" s="305">
        <f t="shared" si="39"/>
        <v>0</v>
      </c>
      <c r="AD69" s="100">
        <f t="shared" ref="AD69:AD132" si="47">IF(AA69&lt;=$F$18,IFERROR(VLOOKUP($AA69,$B$82:$G$94,4,FALSE),0),)</f>
        <v>0</v>
      </c>
      <c r="AE69" s="100">
        <f t="shared" ref="AE69:AE132" si="48">IF(AA69&lt;=$F$18,IFERROR(VLOOKUP($AA69,$B$82:$G$94,5,FALSE),0),)</f>
        <v>0</v>
      </c>
      <c r="AF69" s="194">
        <f t="shared" si="34"/>
        <v>0</v>
      </c>
      <c r="AG69" s="194">
        <f t="shared" si="35"/>
        <v>0</v>
      </c>
      <c r="AH69" s="194">
        <f t="shared" si="36"/>
        <v>0</v>
      </c>
      <c r="AI69" s="199">
        <f t="shared" si="37"/>
        <v>0</v>
      </c>
      <c r="AK69" s="71">
        <v>64</v>
      </c>
      <c r="AL69" s="33"/>
      <c r="AM69" s="33"/>
      <c r="AN69" s="33"/>
      <c r="AO69" s="33"/>
      <c r="AP69" s="33"/>
      <c r="AQ69" s="194"/>
      <c r="AR69" s="194"/>
      <c r="AS69" s="194"/>
      <c r="AT69" s="194"/>
      <c r="AU69" s="33"/>
      <c r="AV69" s="33"/>
      <c r="AW69" s="33"/>
      <c r="AX69" s="33"/>
      <c r="AY69" s="76"/>
    </row>
    <row r="70" spans="2:51" x14ac:dyDescent="0.3">
      <c r="B70" s="40"/>
      <c r="C70" s="152"/>
      <c r="D70" s="137"/>
      <c r="E70" s="141"/>
      <c r="F70" s="42"/>
      <c r="G70" s="51"/>
      <c r="I70" s="55">
        <v>65</v>
      </c>
      <c r="J70" s="33">
        <f t="shared" si="18"/>
        <v>0</v>
      </c>
      <c r="K70" s="33">
        <f t="shared" si="19"/>
        <v>0</v>
      </c>
      <c r="L70" s="33">
        <f t="shared" si="20"/>
        <v>0</v>
      </c>
      <c r="M70" s="33">
        <f t="shared" si="21"/>
        <v>0</v>
      </c>
      <c r="N70" s="33">
        <f t="shared" si="40"/>
        <v>0</v>
      </c>
      <c r="O70" s="34">
        <f t="shared" si="41"/>
        <v>0</v>
      </c>
      <c r="P70" s="55">
        <v>65</v>
      </c>
      <c r="Q70" s="33">
        <f t="shared" ref="Q70:Q133" si="49">IF(P70&lt;=$F$18,LOOKUP(P70-1,$B$25:$B$78,$G$25:$G$78),)</f>
        <v>0</v>
      </c>
      <c r="R70" s="33">
        <f t="shared" si="22"/>
        <v>0</v>
      </c>
      <c r="S70" s="33">
        <f t="shared" si="23"/>
        <v>0</v>
      </c>
      <c r="T70" s="33">
        <f t="shared" si="42"/>
        <v>0</v>
      </c>
      <c r="U70" s="33">
        <f t="shared" ref="U70:U133" si="50">IF(P70&lt;=$F$18,$F$5+($F$15-$F$5)*(1-EXP(-0.0175*P70)),)</f>
        <v>0</v>
      </c>
      <c r="V70" s="33">
        <f t="shared" si="43"/>
        <v>0</v>
      </c>
      <c r="W70" s="33">
        <v>0</v>
      </c>
      <c r="X70" s="33">
        <f t="shared" si="44"/>
        <v>0</v>
      </c>
      <c r="Y70" s="38">
        <f t="shared" si="45"/>
        <v>0</v>
      </c>
      <c r="AA70" s="71">
        <v>65</v>
      </c>
      <c r="AB70" s="33">
        <f t="shared" si="46"/>
        <v>0</v>
      </c>
      <c r="AC70" s="305">
        <f t="shared" si="39"/>
        <v>0</v>
      </c>
      <c r="AD70" s="100">
        <f t="shared" si="47"/>
        <v>0</v>
      </c>
      <c r="AE70" s="100">
        <f t="shared" si="48"/>
        <v>0</v>
      </c>
      <c r="AF70" s="194">
        <f t="shared" si="34"/>
        <v>0</v>
      </c>
      <c r="AG70" s="194">
        <f t="shared" si="35"/>
        <v>0</v>
      </c>
      <c r="AH70" s="194">
        <f t="shared" si="36"/>
        <v>0</v>
      </c>
      <c r="AI70" s="199">
        <f t="shared" si="37"/>
        <v>0</v>
      </c>
      <c r="AK70" s="71">
        <v>65</v>
      </c>
      <c r="AL70" s="33"/>
      <c r="AM70" s="33"/>
      <c r="AN70" s="33"/>
      <c r="AO70" s="33"/>
      <c r="AP70" s="33"/>
      <c r="AQ70" s="194"/>
      <c r="AR70" s="194"/>
      <c r="AS70" s="194"/>
      <c r="AT70" s="194"/>
      <c r="AU70" s="33"/>
      <c r="AV70" s="33"/>
      <c r="AW70" s="33"/>
      <c r="AX70" s="33"/>
      <c r="AY70" s="76"/>
    </row>
    <row r="71" spans="2:51" x14ac:dyDescent="0.3">
      <c r="B71" s="40"/>
      <c r="C71" s="152"/>
      <c r="D71" s="137"/>
      <c r="E71" s="141"/>
      <c r="F71" s="42"/>
      <c r="G71" s="51"/>
      <c r="I71" s="55">
        <v>66</v>
      </c>
      <c r="J71" s="33">
        <f t="shared" ref="J71:J134" si="51">IF($I71&lt;=$F$10,$F$11*$F$13+J70,)</f>
        <v>0</v>
      </c>
      <c r="K71" s="33">
        <f t="shared" ref="K71:K134" si="52">IF(J71=0,0,EXP(-1.0587+0.8836*LN(J71)+0.284))</f>
        <v>0</v>
      </c>
      <c r="L71" s="33">
        <f t="shared" ref="L71:L134" si="53">IF(I71&lt;=$F$10,$F$5+($F$8-$F$5)*(1-EXP(-0.0175*I71)),)</f>
        <v>0</v>
      </c>
      <c r="M71" s="33">
        <f t="shared" ref="M71:M134" si="54">IF(I71&lt;=$F$10,IF(I71&lt;=30,I71*($F$9-$F$6)/30,$F$9-$F$6),)</f>
        <v>0</v>
      </c>
      <c r="N71" s="33">
        <f t="shared" si="40"/>
        <v>0</v>
      </c>
      <c r="O71" s="34">
        <f t="shared" si="41"/>
        <v>0</v>
      </c>
      <c r="P71" s="55">
        <v>66</v>
      </c>
      <c r="Q71" s="33">
        <f t="shared" si="49"/>
        <v>0</v>
      </c>
      <c r="R71" s="33">
        <f t="shared" ref="R71:R134" si="55">IF(P71&lt;=$F$18,Q71+R70,)</f>
        <v>0</v>
      </c>
      <c r="S71" s="33">
        <f t="shared" ref="S71:S134" si="56">$F$19*R71</f>
        <v>0</v>
      </c>
      <c r="T71" s="33">
        <f t="shared" si="42"/>
        <v>0</v>
      </c>
      <c r="U71" s="33">
        <f t="shared" si="50"/>
        <v>0</v>
      </c>
      <c r="V71" s="33">
        <f t="shared" si="43"/>
        <v>0</v>
      </c>
      <c r="W71" s="33">
        <v>0</v>
      </c>
      <c r="X71" s="33">
        <f t="shared" si="44"/>
        <v>0</v>
      </c>
      <c r="Y71" s="38">
        <f t="shared" si="45"/>
        <v>0</v>
      </c>
      <c r="AA71" s="71">
        <v>66</v>
      </c>
      <c r="AB71" s="33">
        <f t="shared" si="46"/>
        <v>0</v>
      </c>
      <c r="AC71" s="305">
        <f t="shared" si="39"/>
        <v>0</v>
      </c>
      <c r="AD71" s="100">
        <f t="shared" si="47"/>
        <v>0</v>
      </c>
      <c r="AE71" s="100">
        <f t="shared" si="48"/>
        <v>0</v>
      </c>
      <c r="AF71" s="194">
        <f t="shared" si="34"/>
        <v>0</v>
      </c>
      <c r="AG71" s="194">
        <f t="shared" si="35"/>
        <v>0</v>
      </c>
      <c r="AH71" s="194">
        <f t="shared" si="36"/>
        <v>0</v>
      </c>
      <c r="AI71" s="199">
        <f t="shared" si="37"/>
        <v>0</v>
      </c>
      <c r="AK71" s="71">
        <v>66</v>
      </c>
      <c r="AL71" s="33"/>
      <c r="AM71" s="33"/>
      <c r="AN71" s="33"/>
      <c r="AO71" s="33"/>
      <c r="AP71" s="33"/>
      <c r="AQ71" s="194"/>
      <c r="AR71" s="194"/>
      <c r="AS71" s="194"/>
      <c r="AT71" s="194"/>
      <c r="AU71" s="33"/>
      <c r="AV71" s="33"/>
      <c r="AW71" s="33"/>
      <c r="AX71" s="33"/>
      <c r="AY71" s="76"/>
    </row>
    <row r="72" spans="2:51" x14ac:dyDescent="0.3">
      <c r="B72" s="40"/>
      <c r="C72" s="152"/>
      <c r="D72" s="137"/>
      <c r="E72" s="141"/>
      <c r="F72" s="42"/>
      <c r="G72" s="51"/>
      <c r="I72" s="55">
        <v>67</v>
      </c>
      <c r="J72" s="33">
        <f t="shared" si="51"/>
        <v>0</v>
      </c>
      <c r="K72" s="33">
        <f t="shared" si="52"/>
        <v>0</v>
      </c>
      <c r="L72" s="33">
        <f t="shared" si="53"/>
        <v>0</v>
      </c>
      <c r="M72" s="33">
        <f t="shared" si="54"/>
        <v>0</v>
      </c>
      <c r="N72" s="33">
        <f t="shared" si="40"/>
        <v>0</v>
      </c>
      <c r="O72" s="34">
        <f t="shared" si="41"/>
        <v>0</v>
      </c>
      <c r="P72" s="55">
        <v>67</v>
      </c>
      <c r="Q72" s="33">
        <f t="shared" si="49"/>
        <v>0</v>
      </c>
      <c r="R72" s="33">
        <f t="shared" si="55"/>
        <v>0</v>
      </c>
      <c r="S72" s="33">
        <f t="shared" si="56"/>
        <v>0</v>
      </c>
      <c r="T72" s="33">
        <f t="shared" si="42"/>
        <v>0</v>
      </c>
      <c r="U72" s="33">
        <f t="shared" si="50"/>
        <v>0</v>
      </c>
      <c r="V72" s="33">
        <f t="shared" si="43"/>
        <v>0</v>
      </c>
      <c r="W72" s="33">
        <v>0</v>
      </c>
      <c r="X72" s="33">
        <f t="shared" si="44"/>
        <v>0</v>
      </c>
      <c r="Y72" s="38">
        <f t="shared" si="45"/>
        <v>0</v>
      </c>
      <c r="AA72" s="71">
        <v>67</v>
      </c>
      <c r="AB72" s="33">
        <f t="shared" si="46"/>
        <v>0</v>
      </c>
      <c r="AC72" s="305">
        <f t="shared" si="39"/>
        <v>0</v>
      </c>
      <c r="AD72" s="100">
        <f t="shared" si="47"/>
        <v>0</v>
      </c>
      <c r="AE72" s="100">
        <f t="shared" si="48"/>
        <v>0</v>
      </c>
      <c r="AF72" s="194">
        <f t="shared" si="34"/>
        <v>0</v>
      </c>
      <c r="AG72" s="194">
        <f t="shared" si="35"/>
        <v>0</v>
      </c>
      <c r="AH72" s="194">
        <f t="shared" si="36"/>
        <v>0</v>
      </c>
      <c r="AI72" s="199">
        <f t="shared" si="37"/>
        <v>0</v>
      </c>
      <c r="AK72" s="71">
        <v>67</v>
      </c>
      <c r="AL72" s="33"/>
      <c r="AM72" s="33"/>
      <c r="AN72" s="33"/>
      <c r="AO72" s="33"/>
      <c r="AP72" s="33"/>
      <c r="AQ72" s="194"/>
      <c r="AR72" s="194"/>
      <c r="AS72" s="194"/>
      <c r="AT72" s="194"/>
      <c r="AU72" s="33"/>
      <c r="AV72" s="33"/>
      <c r="AW72" s="33"/>
      <c r="AX72" s="33"/>
      <c r="AY72" s="76"/>
    </row>
    <row r="73" spans="2:51" x14ac:dyDescent="0.3">
      <c r="B73" s="40"/>
      <c r="C73" s="152"/>
      <c r="D73" s="137"/>
      <c r="E73" s="141"/>
      <c r="F73" s="42"/>
      <c r="G73" s="51"/>
      <c r="I73" s="55">
        <v>68</v>
      </c>
      <c r="J73" s="33">
        <f t="shared" si="51"/>
        <v>0</v>
      </c>
      <c r="K73" s="33">
        <f t="shared" si="52"/>
        <v>0</v>
      </c>
      <c r="L73" s="33">
        <f t="shared" si="53"/>
        <v>0</v>
      </c>
      <c r="M73" s="33">
        <f t="shared" si="54"/>
        <v>0</v>
      </c>
      <c r="N73" s="33">
        <f t="shared" si="40"/>
        <v>0</v>
      </c>
      <c r="O73" s="34">
        <f t="shared" si="41"/>
        <v>0</v>
      </c>
      <c r="P73" s="55">
        <v>68</v>
      </c>
      <c r="Q73" s="33">
        <f t="shared" si="49"/>
        <v>0</v>
      </c>
      <c r="R73" s="33">
        <f t="shared" si="55"/>
        <v>0</v>
      </c>
      <c r="S73" s="33">
        <f t="shared" si="56"/>
        <v>0</v>
      </c>
      <c r="T73" s="33">
        <f t="shared" si="42"/>
        <v>0</v>
      </c>
      <c r="U73" s="33">
        <f t="shared" si="50"/>
        <v>0</v>
      </c>
      <c r="V73" s="33">
        <f t="shared" si="43"/>
        <v>0</v>
      </c>
      <c r="W73" s="33">
        <v>0</v>
      </c>
      <c r="X73" s="33">
        <f t="shared" si="44"/>
        <v>0</v>
      </c>
      <c r="Y73" s="38">
        <f t="shared" si="45"/>
        <v>0</v>
      </c>
      <c r="AA73" s="71">
        <v>68</v>
      </c>
      <c r="AB73" s="33">
        <f t="shared" si="46"/>
        <v>0</v>
      </c>
      <c r="AC73" s="305">
        <f t="shared" si="39"/>
        <v>0</v>
      </c>
      <c r="AD73" s="100">
        <f t="shared" si="47"/>
        <v>0</v>
      </c>
      <c r="AE73" s="100">
        <f t="shared" si="48"/>
        <v>0</v>
      </c>
      <c r="AF73" s="194">
        <f t="shared" si="34"/>
        <v>0</v>
      </c>
      <c r="AG73" s="194">
        <f t="shared" si="35"/>
        <v>0</v>
      </c>
      <c r="AH73" s="194">
        <f t="shared" si="36"/>
        <v>0</v>
      </c>
      <c r="AI73" s="199">
        <f t="shared" si="37"/>
        <v>0</v>
      </c>
      <c r="AK73" s="71">
        <v>68</v>
      </c>
      <c r="AL73" s="33"/>
      <c r="AM73" s="33"/>
      <c r="AN73" s="33"/>
      <c r="AO73" s="33"/>
      <c r="AP73" s="33"/>
      <c r="AQ73" s="194"/>
      <c r="AR73" s="194"/>
      <c r="AS73" s="194"/>
      <c r="AT73" s="194"/>
      <c r="AU73" s="33"/>
      <c r="AV73" s="33"/>
      <c r="AW73" s="33"/>
      <c r="AX73" s="33"/>
      <c r="AY73" s="76"/>
    </row>
    <row r="74" spans="2:51" x14ac:dyDescent="0.3">
      <c r="B74" s="40"/>
      <c r="C74" s="152"/>
      <c r="D74" s="137"/>
      <c r="E74" s="141"/>
      <c r="F74" s="42"/>
      <c r="G74" s="51"/>
      <c r="I74" s="55">
        <v>69</v>
      </c>
      <c r="J74" s="33">
        <f t="shared" si="51"/>
        <v>0</v>
      </c>
      <c r="K74" s="33">
        <f t="shared" si="52"/>
        <v>0</v>
      </c>
      <c r="L74" s="33">
        <f t="shared" si="53"/>
        <v>0</v>
      </c>
      <c r="M74" s="33">
        <f t="shared" si="54"/>
        <v>0</v>
      </c>
      <c r="N74" s="33">
        <f t="shared" si="40"/>
        <v>0</v>
      </c>
      <c r="O74" s="34">
        <f t="shared" si="41"/>
        <v>0</v>
      </c>
      <c r="P74" s="55">
        <v>69</v>
      </c>
      <c r="Q74" s="33">
        <f t="shared" si="49"/>
        <v>0</v>
      </c>
      <c r="R74" s="33">
        <f t="shared" si="55"/>
        <v>0</v>
      </c>
      <c r="S74" s="33">
        <f t="shared" si="56"/>
        <v>0</v>
      </c>
      <c r="T74" s="33">
        <f t="shared" si="42"/>
        <v>0</v>
      </c>
      <c r="U74" s="33">
        <f t="shared" si="50"/>
        <v>0</v>
      </c>
      <c r="V74" s="33">
        <f t="shared" si="43"/>
        <v>0</v>
      </c>
      <c r="W74" s="33">
        <v>0</v>
      </c>
      <c r="X74" s="33">
        <f t="shared" si="44"/>
        <v>0</v>
      </c>
      <c r="Y74" s="38">
        <f t="shared" si="45"/>
        <v>0</v>
      </c>
      <c r="AA74" s="71">
        <v>69</v>
      </c>
      <c r="AB74" s="33">
        <f t="shared" si="46"/>
        <v>0</v>
      </c>
      <c r="AC74" s="305">
        <f t="shared" si="39"/>
        <v>0</v>
      </c>
      <c r="AD74" s="100">
        <f t="shared" si="47"/>
        <v>0</v>
      </c>
      <c r="AE74" s="100">
        <f t="shared" si="48"/>
        <v>0</v>
      </c>
      <c r="AF74" s="194">
        <f t="shared" si="34"/>
        <v>0</v>
      </c>
      <c r="AG74" s="194">
        <f t="shared" si="35"/>
        <v>0</v>
      </c>
      <c r="AH74" s="194">
        <f t="shared" si="36"/>
        <v>0</v>
      </c>
      <c r="AI74" s="199">
        <f t="shared" si="37"/>
        <v>0</v>
      </c>
      <c r="AK74" s="71">
        <v>69</v>
      </c>
      <c r="AL74" s="33"/>
      <c r="AM74" s="33"/>
      <c r="AN74" s="33"/>
      <c r="AO74" s="33"/>
      <c r="AP74" s="33"/>
      <c r="AQ74" s="194"/>
      <c r="AR74" s="194"/>
      <c r="AS74" s="194"/>
      <c r="AT74" s="194"/>
      <c r="AU74" s="33"/>
      <c r="AV74" s="33"/>
      <c r="AW74" s="33"/>
      <c r="AX74" s="33"/>
      <c r="AY74" s="76"/>
    </row>
    <row r="75" spans="2:51" x14ac:dyDescent="0.3">
      <c r="B75" s="40"/>
      <c r="C75" s="152"/>
      <c r="D75" s="137"/>
      <c r="E75" s="141"/>
      <c r="F75" s="42"/>
      <c r="G75" s="51"/>
      <c r="I75" s="55">
        <v>70</v>
      </c>
      <c r="J75" s="33">
        <f t="shared" si="51"/>
        <v>0</v>
      </c>
      <c r="K75" s="33">
        <f t="shared" si="52"/>
        <v>0</v>
      </c>
      <c r="L75" s="33">
        <f t="shared" si="53"/>
        <v>0</v>
      </c>
      <c r="M75" s="33">
        <f t="shared" si="54"/>
        <v>0</v>
      </c>
      <c r="N75" s="33">
        <f t="shared" si="40"/>
        <v>0</v>
      </c>
      <c r="O75" s="34">
        <f t="shared" si="41"/>
        <v>0</v>
      </c>
      <c r="P75" s="55">
        <v>70</v>
      </c>
      <c r="Q75" s="33">
        <f t="shared" si="49"/>
        <v>0</v>
      </c>
      <c r="R75" s="33">
        <f t="shared" si="55"/>
        <v>0</v>
      </c>
      <c r="S75" s="33">
        <f t="shared" si="56"/>
        <v>0</v>
      </c>
      <c r="T75" s="33">
        <f t="shared" si="42"/>
        <v>0</v>
      </c>
      <c r="U75" s="33">
        <f t="shared" si="50"/>
        <v>0</v>
      </c>
      <c r="V75" s="33">
        <f t="shared" si="43"/>
        <v>0</v>
      </c>
      <c r="W75" s="33">
        <v>0</v>
      </c>
      <c r="X75" s="33">
        <f t="shared" si="44"/>
        <v>0</v>
      </c>
      <c r="Y75" s="38">
        <f t="shared" si="45"/>
        <v>0</v>
      </c>
      <c r="AA75" s="71">
        <v>70</v>
      </c>
      <c r="AB75" s="33">
        <f t="shared" si="46"/>
        <v>0</v>
      </c>
      <c r="AC75" s="305">
        <f t="shared" si="39"/>
        <v>0</v>
      </c>
      <c r="AD75" s="100">
        <f t="shared" si="47"/>
        <v>0</v>
      </c>
      <c r="AE75" s="100">
        <f t="shared" si="48"/>
        <v>0</v>
      </c>
      <c r="AF75" s="194">
        <f t="shared" si="34"/>
        <v>0</v>
      </c>
      <c r="AG75" s="194">
        <f t="shared" si="35"/>
        <v>0</v>
      </c>
      <c r="AH75" s="194">
        <f t="shared" si="36"/>
        <v>0</v>
      </c>
      <c r="AI75" s="199">
        <f t="shared" si="37"/>
        <v>0</v>
      </c>
      <c r="AK75" s="71">
        <v>70</v>
      </c>
      <c r="AL75" s="33"/>
      <c r="AM75" s="33"/>
      <c r="AN75" s="33"/>
      <c r="AO75" s="33"/>
      <c r="AP75" s="33"/>
      <c r="AQ75" s="194"/>
      <c r="AR75" s="194"/>
      <c r="AS75" s="194"/>
      <c r="AT75" s="194"/>
      <c r="AU75" s="33"/>
      <c r="AV75" s="33"/>
      <c r="AW75" s="33"/>
      <c r="AX75" s="33"/>
      <c r="AY75" s="76"/>
    </row>
    <row r="76" spans="2:51" x14ac:dyDescent="0.3">
      <c r="B76" s="40"/>
      <c r="C76" s="152"/>
      <c r="D76" s="137"/>
      <c r="E76" s="141"/>
      <c r="F76" s="42"/>
      <c r="G76" s="51"/>
      <c r="I76" s="55">
        <v>71</v>
      </c>
      <c r="J76" s="33">
        <f t="shared" si="51"/>
        <v>0</v>
      </c>
      <c r="K76" s="33">
        <f t="shared" si="52"/>
        <v>0</v>
      </c>
      <c r="L76" s="33">
        <f t="shared" si="53"/>
        <v>0</v>
      </c>
      <c r="M76" s="33">
        <f t="shared" si="54"/>
        <v>0</v>
      </c>
      <c r="N76" s="33">
        <f t="shared" si="40"/>
        <v>0</v>
      </c>
      <c r="O76" s="34">
        <f t="shared" si="41"/>
        <v>0</v>
      </c>
      <c r="P76" s="55">
        <v>71</v>
      </c>
      <c r="Q76" s="33">
        <f t="shared" si="49"/>
        <v>0</v>
      </c>
      <c r="R76" s="33">
        <f t="shared" si="55"/>
        <v>0</v>
      </c>
      <c r="S76" s="33">
        <f t="shared" si="56"/>
        <v>0</v>
      </c>
      <c r="T76" s="33">
        <f t="shared" si="42"/>
        <v>0</v>
      </c>
      <c r="U76" s="33">
        <f t="shared" si="50"/>
        <v>0</v>
      </c>
      <c r="V76" s="33">
        <f t="shared" si="43"/>
        <v>0</v>
      </c>
      <c r="W76" s="33">
        <v>0</v>
      </c>
      <c r="X76" s="33">
        <f t="shared" si="44"/>
        <v>0</v>
      </c>
      <c r="Y76" s="38">
        <f t="shared" si="45"/>
        <v>0</v>
      </c>
      <c r="AA76" s="71">
        <v>71</v>
      </c>
      <c r="AB76" s="33">
        <f t="shared" si="46"/>
        <v>0</v>
      </c>
      <c r="AC76" s="305">
        <f t="shared" si="39"/>
        <v>0</v>
      </c>
      <c r="AD76" s="100">
        <f t="shared" si="47"/>
        <v>0</v>
      </c>
      <c r="AE76" s="100">
        <f t="shared" si="48"/>
        <v>0</v>
      </c>
      <c r="AF76" s="194">
        <f t="shared" si="34"/>
        <v>0</v>
      </c>
      <c r="AG76" s="194">
        <f t="shared" si="35"/>
        <v>0</v>
      </c>
      <c r="AH76" s="194">
        <f t="shared" si="36"/>
        <v>0</v>
      </c>
      <c r="AI76" s="199">
        <f t="shared" si="37"/>
        <v>0</v>
      </c>
      <c r="AK76" s="71">
        <v>71</v>
      </c>
      <c r="AL76" s="33"/>
      <c r="AM76" s="33"/>
      <c r="AN76" s="33"/>
      <c r="AO76" s="33"/>
      <c r="AP76" s="33"/>
      <c r="AQ76" s="194"/>
      <c r="AR76" s="194"/>
      <c r="AS76" s="194"/>
      <c r="AT76" s="194"/>
      <c r="AU76" s="33"/>
      <c r="AV76" s="33"/>
      <c r="AW76" s="33"/>
      <c r="AX76" s="33"/>
      <c r="AY76" s="76"/>
    </row>
    <row r="77" spans="2:51" x14ac:dyDescent="0.3">
      <c r="B77" s="40"/>
      <c r="C77" s="152"/>
      <c r="D77" s="137"/>
      <c r="E77" s="141"/>
      <c r="F77" s="42"/>
      <c r="G77" s="51"/>
      <c r="I77" s="55">
        <v>72</v>
      </c>
      <c r="J77" s="33">
        <f t="shared" si="51"/>
        <v>0</v>
      </c>
      <c r="K77" s="33">
        <f t="shared" si="52"/>
        <v>0</v>
      </c>
      <c r="L77" s="33">
        <f t="shared" si="53"/>
        <v>0</v>
      </c>
      <c r="M77" s="33">
        <f t="shared" si="54"/>
        <v>0</v>
      </c>
      <c r="N77" s="33">
        <f t="shared" si="40"/>
        <v>0</v>
      </c>
      <c r="O77" s="34">
        <f t="shared" si="41"/>
        <v>0</v>
      </c>
      <c r="P77" s="55">
        <v>72</v>
      </c>
      <c r="Q77" s="33">
        <f t="shared" si="49"/>
        <v>0</v>
      </c>
      <c r="R77" s="33">
        <f t="shared" si="55"/>
        <v>0</v>
      </c>
      <c r="S77" s="33">
        <f t="shared" si="56"/>
        <v>0</v>
      </c>
      <c r="T77" s="33">
        <f t="shared" si="42"/>
        <v>0</v>
      </c>
      <c r="U77" s="33">
        <f t="shared" si="50"/>
        <v>0</v>
      </c>
      <c r="V77" s="33">
        <f t="shared" si="43"/>
        <v>0</v>
      </c>
      <c r="W77" s="33">
        <v>0</v>
      </c>
      <c r="X77" s="33">
        <f t="shared" si="44"/>
        <v>0</v>
      </c>
      <c r="Y77" s="38">
        <f t="shared" si="45"/>
        <v>0</v>
      </c>
      <c r="AA77" s="71">
        <v>72</v>
      </c>
      <c r="AB77" s="33">
        <f t="shared" si="46"/>
        <v>0</v>
      </c>
      <c r="AC77" s="305">
        <f t="shared" si="39"/>
        <v>0</v>
      </c>
      <c r="AD77" s="100">
        <f t="shared" si="47"/>
        <v>0</v>
      </c>
      <c r="AE77" s="100">
        <f t="shared" si="48"/>
        <v>0</v>
      </c>
      <c r="AF77" s="194">
        <f t="shared" si="34"/>
        <v>0</v>
      </c>
      <c r="AG77" s="194">
        <f t="shared" si="35"/>
        <v>0</v>
      </c>
      <c r="AH77" s="194">
        <f t="shared" si="36"/>
        <v>0</v>
      </c>
      <c r="AI77" s="199">
        <f t="shared" si="37"/>
        <v>0</v>
      </c>
      <c r="AK77" s="71">
        <v>72</v>
      </c>
      <c r="AL77" s="33"/>
      <c r="AM77" s="33"/>
      <c r="AN77" s="33"/>
      <c r="AO77" s="33"/>
      <c r="AP77" s="33"/>
      <c r="AQ77" s="194"/>
      <c r="AR77" s="194"/>
      <c r="AS77" s="194"/>
      <c r="AT77" s="194"/>
      <c r="AU77" s="33"/>
      <c r="AV77" s="33"/>
      <c r="AW77" s="33"/>
      <c r="AX77" s="33"/>
      <c r="AY77" s="76"/>
    </row>
    <row r="78" spans="2:51" x14ac:dyDescent="0.3">
      <c r="B78" s="43"/>
      <c r="C78" s="153"/>
      <c r="D78" s="154"/>
      <c r="E78" s="144"/>
      <c r="F78" s="44"/>
      <c r="G78" s="52"/>
      <c r="I78" s="55">
        <v>73</v>
      </c>
      <c r="J78" s="33">
        <f t="shared" si="51"/>
        <v>0</v>
      </c>
      <c r="K78" s="33">
        <f t="shared" si="52"/>
        <v>0</v>
      </c>
      <c r="L78" s="33">
        <f t="shared" si="53"/>
        <v>0</v>
      </c>
      <c r="M78" s="33">
        <f t="shared" si="54"/>
        <v>0</v>
      </c>
      <c r="N78" s="33">
        <f t="shared" si="40"/>
        <v>0</v>
      </c>
      <c r="O78" s="34">
        <f t="shared" si="41"/>
        <v>0</v>
      </c>
      <c r="P78" s="55">
        <v>73</v>
      </c>
      <c r="Q78" s="33">
        <f t="shared" si="49"/>
        <v>0</v>
      </c>
      <c r="R78" s="33">
        <f t="shared" si="55"/>
        <v>0</v>
      </c>
      <c r="S78" s="33">
        <f t="shared" si="56"/>
        <v>0</v>
      </c>
      <c r="T78" s="33">
        <f t="shared" si="42"/>
        <v>0</v>
      </c>
      <c r="U78" s="33">
        <f t="shared" si="50"/>
        <v>0</v>
      </c>
      <c r="V78" s="33">
        <f t="shared" si="43"/>
        <v>0</v>
      </c>
      <c r="W78" s="33">
        <v>0</v>
      </c>
      <c r="X78" s="33">
        <f t="shared" si="44"/>
        <v>0</v>
      </c>
      <c r="Y78" s="38">
        <f t="shared" si="45"/>
        <v>0</v>
      </c>
      <c r="AA78" s="71">
        <v>73</v>
      </c>
      <c r="AB78" s="33">
        <f t="shared" si="46"/>
        <v>0</v>
      </c>
      <c r="AC78" s="305">
        <f t="shared" si="39"/>
        <v>0</v>
      </c>
      <c r="AD78" s="100">
        <f t="shared" si="47"/>
        <v>0</v>
      </c>
      <c r="AE78" s="100">
        <f t="shared" si="48"/>
        <v>0</v>
      </c>
      <c r="AF78" s="194">
        <f t="shared" si="34"/>
        <v>0</v>
      </c>
      <c r="AG78" s="194">
        <f t="shared" si="35"/>
        <v>0</v>
      </c>
      <c r="AH78" s="194">
        <f t="shared" si="36"/>
        <v>0</v>
      </c>
      <c r="AI78" s="199">
        <f t="shared" si="37"/>
        <v>0</v>
      </c>
      <c r="AK78" s="71">
        <v>73</v>
      </c>
      <c r="AL78" s="33"/>
      <c r="AM78" s="33"/>
      <c r="AN78" s="33"/>
      <c r="AO78" s="33"/>
      <c r="AP78" s="33"/>
      <c r="AQ78" s="194"/>
      <c r="AR78" s="194"/>
      <c r="AS78" s="194"/>
      <c r="AT78" s="194"/>
      <c r="AU78" s="33"/>
      <c r="AV78" s="33"/>
      <c r="AW78" s="33"/>
      <c r="AX78" s="33"/>
      <c r="AY78" s="76"/>
    </row>
    <row r="79" spans="2:51" x14ac:dyDescent="0.3">
      <c r="I79" s="55">
        <v>74</v>
      </c>
      <c r="J79" s="33">
        <f t="shared" si="51"/>
        <v>0</v>
      </c>
      <c r="K79" s="33">
        <f t="shared" si="52"/>
        <v>0</v>
      </c>
      <c r="L79" s="33">
        <f t="shared" si="53"/>
        <v>0</v>
      </c>
      <c r="M79" s="33">
        <f t="shared" si="54"/>
        <v>0</v>
      </c>
      <c r="N79" s="33">
        <f t="shared" si="40"/>
        <v>0</v>
      </c>
      <c r="O79" s="34">
        <f t="shared" si="41"/>
        <v>0</v>
      </c>
      <c r="P79" s="55">
        <v>74</v>
      </c>
      <c r="Q79" s="33">
        <f t="shared" si="49"/>
        <v>0</v>
      </c>
      <c r="R79" s="33">
        <f t="shared" si="55"/>
        <v>0</v>
      </c>
      <c r="S79" s="33">
        <f t="shared" si="56"/>
        <v>0</v>
      </c>
      <c r="T79" s="33">
        <f t="shared" si="42"/>
        <v>0</v>
      </c>
      <c r="U79" s="33">
        <f t="shared" si="50"/>
        <v>0</v>
      </c>
      <c r="V79" s="33">
        <f t="shared" si="43"/>
        <v>0</v>
      </c>
      <c r="W79" s="33">
        <v>0</v>
      </c>
      <c r="X79" s="33">
        <f t="shared" si="44"/>
        <v>0</v>
      </c>
      <c r="Y79" s="38">
        <f t="shared" si="45"/>
        <v>0</v>
      </c>
      <c r="AA79" s="71">
        <v>74</v>
      </c>
      <c r="AB79" s="33">
        <f t="shared" si="46"/>
        <v>0</v>
      </c>
      <c r="AC79" s="305">
        <f t="shared" si="39"/>
        <v>0</v>
      </c>
      <c r="AD79" s="100">
        <f t="shared" si="47"/>
        <v>0</v>
      </c>
      <c r="AE79" s="100">
        <f t="shared" si="48"/>
        <v>0</v>
      </c>
      <c r="AF79" s="194">
        <f t="shared" si="34"/>
        <v>0</v>
      </c>
      <c r="AG79" s="194">
        <f t="shared" si="35"/>
        <v>0</v>
      </c>
      <c r="AH79" s="194">
        <f t="shared" si="36"/>
        <v>0</v>
      </c>
      <c r="AI79" s="199">
        <f t="shared" si="37"/>
        <v>0</v>
      </c>
      <c r="AK79" s="71">
        <v>74</v>
      </c>
      <c r="AL79" s="33"/>
      <c r="AM79" s="33"/>
      <c r="AN79" s="33"/>
      <c r="AO79" s="33"/>
      <c r="AP79" s="33"/>
      <c r="AQ79" s="194"/>
      <c r="AR79" s="194"/>
      <c r="AS79" s="194"/>
      <c r="AT79" s="194"/>
      <c r="AU79" s="33"/>
      <c r="AV79" s="33"/>
      <c r="AW79" s="33"/>
      <c r="AX79" s="33"/>
      <c r="AY79" s="76"/>
    </row>
    <row r="80" spans="2:51" x14ac:dyDescent="0.3">
      <c r="B80" s="356" t="s">
        <v>259</v>
      </c>
      <c r="C80" s="357"/>
      <c r="D80" s="357"/>
      <c r="E80" s="357"/>
      <c r="F80" s="357"/>
      <c r="G80" s="358"/>
      <c r="H80" s="23"/>
      <c r="I80" s="55">
        <v>75</v>
      </c>
      <c r="J80" s="33">
        <f t="shared" si="51"/>
        <v>0</v>
      </c>
      <c r="K80" s="33">
        <f t="shared" si="52"/>
        <v>0</v>
      </c>
      <c r="L80" s="33">
        <f t="shared" si="53"/>
        <v>0</v>
      </c>
      <c r="M80" s="33">
        <f t="shared" si="54"/>
        <v>0</v>
      </c>
      <c r="N80" s="33">
        <f t="shared" si="40"/>
        <v>0</v>
      </c>
      <c r="O80" s="34">
        <f t="shared" si="41"/>
        <v>0</v>
      </c>
      <c r="P80" s="55">
        <v>75</v>
      </c>
      <c r="Q80" s="33">
        <f t="shared" si="49"/>
        <v>0</v>
      </c>
      <c r="R80" s="33">
        <f t="shared" si="55"/>
        <v>0</v>
      </c>
      <c r="S80" s="33">
        <f t="shared" si="56"/>
        <v>0</v>
      </c>
      <c r="T80" s="33">
        <f t="shared" si="42"/>
        <v>0</v>
      </c>
      <c r="U80" s="33">
        <f t="shared" si="50"/>
        <v>0</v>
      </c>
      <c r="V80" s="33">
        <f t="shared" si="43"/>
        <v>0</v>
      </c>
      <c r="W80" s="33">
        <v>0</v>
      </c>
      <c r="X80" s="33">
        <f t="shared" si="44"/>
        <v>0</v>
      </c>
      <c r="Y80" s="38">
        <f t="shared" si="45"/>
        <v>0</v>
      </c>
      <c r="AA80" s="71">
        <v>75</v>
      </c>
      <c r="AB80" s="33">
        <f t="shared" si="46"/>
        <v>0</v>
      </c>
      <c r="AC80" s="305">
        <f t="shared" si="39"/>
        <v>0</v>
      </c>
      <c r="AD80" s="100">
        <f t="shared" si="47"/>
        <v>0</v>
      </c>
      <c r="AE80" s="100">
        <f t="shared" si="48"/>
        <v>0</v>
      </c>
      <c r="AF80" s="194">
        <f t="shared" si="34"/>
        <v>0</v>
      </c>
      <c r="AG80" s="194">
        <f t="shared" si="35"/>
        <v>0</v>
      </c>
      <c r="AH80" s="194">
        <f t="shared" si="36"/>
        <v>0</v>
      </c>
      <c r="AI80" s="199">
        <f t="shared" si="37"/>
        <v>0</v>
      </c>
      <c r="AK80" s="71">
        <v>75</v>
      </c>
      <c r="AL80" s="33"/>
      <c r="AM80" s="33"/>
      <c r="AN80" s="33"/>
      <c r="AO80" s="33"/>
      <c r="AP80" s="33"/>
      <c r="AQ80" s="194"/>
      <c r="AR80" s="194"/>
      <c r="AS80" s="194"/>
      <c r="AT80" s="194"/>
      <c r="AU80" s="33"/>
      <c r="AV80" s="33"/>
      <c r="AW80" s="33"/>
      <c r="AX80" s="33"/>
      <c r="AY80" s="76"/>
    </row>
    <row r="81" spans="2:51" x14ac:dyDescent="0.3">
      <c r="B81" s="156" t="s">
        <v>76</v>
      </c>
      <c r="C81" s="132" t="s">
        <v>156</v>
      </c>
      <c r="D81" s="130" t="s">
        <v>78</v>
      </c>
      <c r="E81" s="130" t="s">
        <v>81</v>
      </c>
      <c r="F81" s="130" t="s">
        <v>80</v>
      </c>
      <c r="G81" s="131" t="s">
        <v>79</v>
      </c>
      <c r="H81" s="57"/>
      <c r="I81" s="55">
        <v>76</v>
      </c>
      <c r="J81" s="33">
        <f t="shared" si="51"/>
        <v>0</v>
      </c>
      <c r="K81" s="33">
        <f t="shared" si="52"/>
        <v>0</v>
      </c>
      <c r="L81" s="33">
        <f t="shared" si="53"/>
        <v>0</v>
      </c>
      <c r="M81" s="33">
        <f t="shared" si="54"/>
        <v>0</v>
      </c>
      <c r="N81" s="33">
        <f t="shared" si="40"/>
        <v>0</v>
      </c>
      <c r="O81" s="34">
        <f t="shared" si="41"/>
        <v>0</v>
      </c>
      <c r="P81" s="55">
        <v>76</v>
      </c>
      <c r="Q81" s="33">
        <f t="shared" si="49"/>
        <v>0</v>
      </c>
      <c r="R81" s="33">
        <f t="shared" si="55"/>
        <v>0</v>
      </c>
      <c r="S81" s="33">
        <f t="shared" si="56"/>
        <v>0</v>
      </c>
      <c r="T81" s="33">
        <f t="shared" si="42"/>
        <v>0</v>
      </c>
      <c r="U81" s="33">
        <f t="shared" si="50"/>
        <v>0</v>
      </c>
      <c r="V81" s="33">
        <f t="shared" si="43"/>
        <v>0</v>
      </c>
      <c r="W81" s="33">
        <v>0</v>
      </c>
      <c r="X81" s="33">
        <f t="shared" si="44"/>
        <v>0</v>
      </c>
      <c r="Y81" s="38">
        <f t="shared" si="45"/>
        <v>0</v>
      </c>
      <c r="AA81" s="71">
        <v>76</v>
      </c>
      <c r="AB81" s="33">
        <f t="shared" si="46"/>
        <v>0</v>
      </c>
      <c r="AC81" s="305">
        <f t="shared" si="39"/>
        <v>0</v>
      </c>
      <c r="AD81" s="100">
        <f t="shared" si="47"/>
        <v>0</v>
      </c>
      <c r="AE81" s="100">
        <f t="shared" si="48"/>
        <v>0</v>
      </c>
      <c r="AF81" s="194">
        <f t="shared" si="34"/>
        <v>0</v>
      </c>
      <c r="AG81" s="194">
        <f t="shared" si="35"/>
        <v>0</v>
      </c>
      <c r="AH81" s="194">
        <f t="shared" si="36"/>
        <v>0</v>
      </c>
      <c r="AI81" s="199">
        <f t="shared" si="37"/>
        <v>0</v>
      </c>
      <c r="AK81" s="71">
        <v>76</v>
      </c>
      <c r="AL81" s="33"/>
      <c r="AM81" s="33"/>
      <c r="AN81" s="33"/>
      <c r="AO81" s="33"/>
      <c r="AP81" s="33"/>
      <c r="AQ81" s="194"/>
      <c r="AR81" s="194"/>
      <c r="AS81" s="194"/>
      <c r="AT81" s="194"/>
      <c r="AU81" s="33"/>
      <c r="AV81" s="33"/>
      <c r="AW81" s="33"/>
      <c r="AX81" s="33"/>
      <c r="AY81" s="76"/>
    </row>
    <row r="82" spans="2:51" x14ac:dyDescent="0.3">
      <c r="B82" s="170" t="str">
        <f>IF(C25&lt;=$F$18,C25+1,"-")</f>
        <v>-</v>
      </c>
      <c r="C82" s="145">
        <f>D25-D26</f>
        <v>0</v>
      </c>
      <c r="D82" s="146"/>
      <c r="E82" s="171">
        <f>IF(G82+D82&lt;&gt;1,(1-(G82+D82))*56%,0)</f>
        <v>0.56000000000000005</v>
      </c>
      <c r="F82" s="171">
        <f>IF(G82+D82&lt;&gt;1,(1-(G82+D82))*44%,0)</f>
        <v>0.44</v>
      </c>
      <c r="G82" s="147"/>
      <c r="H82" s="58">
        <f t="shared" ref="H82:H94" si="57">IF(C82=0,0,IF(SUM(D82:G82)&lt;&gt;1,"erreur",))</f>
        <v>0</v>
      </c>
      <c r="I82" s="55">
        <v>77</v>
      </c>
      <c r="J82" s="33">
        <f t="shared" si="51"/>
        <v>0</v>
      </c>
      <c r="K82" s="33">
        <f t="shared" si="52"/>
        <v>0</v>
      </c>
      <c r="L82" s="33">
        <f t="shared" si="53"/>
        <v>0</v>
      </c>
      <c r="M82" s="33">
        <f t="shared" si="54"/>
        <v>0</v>
      </c>
      <c r="N82" s="33">
        <f t="shared" si="40"/>
        <v>0</v>
      </c>
      <c r="O82" s="34">
        <f t="shared" si="41"/>
        <v>0</v>
      </c>
      <c r="P82" s="55">
        <v>77</v>
      </c>
      <c r="Q82" s="33">
        <f t="shared" si="49"/>
        <v>0</v>
      </c>
      <c r="R82" s="33">
        <f t="shared" si="55"/>
        <v>0</v>
      </c>
      <c r="S82" s="33">
        <f t="shared" si="56"/>
        <v>0</v>
      </c>
      <c r="T82" s="33">
        <f t="shared" si="42"/>
        <v>0</v>
      </c>
      <c r="U82" s="33">
        <f t="shared" si="50"/>
        <v>0</v>
      </c>
      <c r="V82" s="33">
        <f t="shared" si="43"/>
        <v>0</v>
      </c>
      <c r="W82" s="33">
        <v>0</v>
      </c>
      <c r="X82" s="33">
        <f t="shared" si="44"/>
        <v>0</v>
      </c>
      <c r="Y82" s="38">
        <f t="shared" si="45"/>
        <v>0</v>
      </c>
      <c r="AA82" s="71">
        <v>77</v>
      </c>
      <c r="AB82" s="33">
        <f t="shared" si="46"/>
        <v>0</v>
      </c>
      <c r="AC82" s="305">
        <f t="shared" si="39"/>
        <v>0</v>
      </c>
      <c r="AD82" s="100">
        <f t="shared" si="47"/>
        <v>0</v>
      </c>
      <c r="AE82" s="100">
        <f t="shared" si="48"/>
        <v>0</v>
      </c>
      <c r="AF82" s="194">
        <f t="shared" si="34"/>
        <v>0</v>
      </c>
      <c r="AG82" s="194">
        <f t="shared" si="35"/>
        <v>0</v>
      </c>
      <c r="AH82" s="194">
        <f t="shared" si="36"/>
        <v>0</v>
      </c>
      <c r="AI82" s="199">
        <f t="shared" si="37"/>
        <v>0</v>
      </c>
      <c r="AK82" s="71">
        <v>77</v>
      </c>
      <c r="AL82" s="33"/>
      <c r="AM82" s="33"/>
      <c r="AN82" s="33"/>
      <c r="AO82" s="33"/>
      <c r="AP82" s="33"/>
      <c r="AQ82" s="194"/>
      <c r="AR82" s="194"/>
      <c r="AS82" s="194"/>
      <c r="AT82" s="194"/>
      <c r="AU82" s="33"/>
      <c r="AV82" s="33"/>
      <c r="AW82" s="33"/>
      <c r="AX82" s="33"/>
      <c r="AY82" s="76"/>
    </row>
    <row r="83" spans="2:51" x14ac:dyDescent="0.3">
      <c r="B83" s="172" t="str">
        <f>IF(C27&lt;=$F$18,C27+1,"-")</f>
        <v>-</v>
      </c>
      <c r="C83" s="148">
        <f>D27-D28</f>
        <v>88</v>
      </c>
      <c r="D83" s="149"/>
      <c r="E83" s="129">
        <f t="shared" ref="E83:E94" si="58">IF(G83+D83&lt;&gt;1,(1-(G83+D83))*56%,0)</f>
        <v>0.56000000000000005</v>
      </c>
      <c r="F83" s="129">
        <f t="shared" ref="F83:F94" si="59">IF(G83+D83&lt;&gt;1,(1-(G83+D83))*44%,0)</f>
        <v>0.44</v>
      </c>
      <c r="G83" s="150"/>
      <c r="H83" s="58">
        <f t="shared" si="57"/>
        <v>0</v>
      </c>
      <c r="I83" s="55">
        <v>78</v>
      </c>
      <c r="J83" s="33">
        <f t="shared" si="51"/>
        <v>0</v>
      </c>
      <c r="K83" s="33">
        <f t="shared" si="52"/>
        <v>0</v>
      </c>
      <c r="L83" s="33">
        <f t="shared" si="53"/>
        <v>0</v>
      </c>
      <c r="M83" s="33">
        <f t="shared" si="54"/>
        <v>0</v>
      </c>
      <c r="N83" s="33">
        <f t="shared" si="40"/>
        <v>0</v>
      </c>
      <c r="O83" s="34">
        <f t="shared" si="41"/>
        <v>0</v>
      </c>
      <c r="P83" s="55">
        <v>78</v>
      </c>
      <c r="Q83" s="33">
        <f t="shared" si="49"/>
        <v>0</v>
      </c>
      <c r="R83" s="33">
        <f t="shared" si="55"/>
        <v>0</v>
      </c>
      <c r="S83" s="33">
        <f t="shared" si="56"/>
        <v>0</v>
      </c>
      <c r="T83" s="33">
        <f t="shared" si="42"/>
        <v>0</v>
      </c>
      <c r="U83" s="33">
        <f t="shared" si="50"/>
        <v>0</v>
      </c>
      <c r="V83" s="33">
        <f t="shared" si="43"/>
        <v>0</v>
      </c>
      <c r="W83" s="33">
        <v>0</v>
      </c>
      <c r="X83" s="33">
        <f t="shared" si="44"/>
        <v>0</v>
      </c>
      <c r="Y83" s="38">
        <f t="shared" si="45"/>
        <v>0</v>
      </c>
      <c r="AA83" s="71">
        <v>78</v>
      </c>
      <c r="AB83" s="33">
        <f t="shared" si="46"/>
        <v>0</v>
      </c>
      <c r="AC83" s="305">
        <f t="shared" si="39"/>
        <v>0</v>
      </c>
      <c r="AD83" s="100">
        <f t="shared" si="47"/>
        <v>0</v>
      </c>
      <c r="AE83" s="100">
        <f t="shared" si="48"/>
        <v>0</v>
      </c>
      <c r="AF83" s="194">
        <f t="shared" si="34"/>
        <v>0</v>
      </c>
      <c r="AG83" s="194">
        <f t="shared" si="35"/>
        <v>0</v>
      </c>
      <c r="AH83" s="194">
        <f t="shared" si="36"/>
        <v>0</v>
      </c>
      <c r="AI83" s="199">
        <f t="shared" si="37"/>
        <v>0</v>
      </c>
      <c r="AK83" s="71">
        <v>78</v>
      </c>
      <c r="AL83" s="33"/>
      <c r="AM83" s="33"/>
      <c r="AN83" s="33"/>
      <c r="AO83" s="33"/>
      <c r="AP83" s="33"/>
      <c r="AQ83" s="194"/>
      <c r="AR83" s="194"/>
      <c r="AS83" s="194"/>
      <c r="AT83" s="194"/>
      <c r="AU83" s="33"/>
      <c r="AV83" s="33"/>
      <c r="AW83" s="33"/>
      <c r="AX83" s="33"/>
      <c r="AY83" s="76"/>
    </row>
    <row r="84" spans="2:51" x14ac:dyDescent="0.3">
      <c r="B84" s="187" t="str">
        <f>IF(C29&lt;=$F$18,C29+1,"-")</f>
        <v>-</v>
      </c>
      <c r="C84" s="148">
        <f>D29-D30</f>
        <v>91</v>
      </c>
      <c r="D84" s="149"/>
      <c r="E84" s="129">
        <f t="shared" si="58"/>
        <v>0.56000000000000005</v>
      </c>
      <c r="F84" s="129">
        <f t="shared" si="59"/>
        <v>0.44</v>
      </c>
      <c r="G84" s="150"/>
      <c r="H84" s="58">
        <f t="shared" si="57"/>
        <v>0</v>
      </c>
      <c r="I84" s="55">
        <v>79</v>
      </c>
      <c r="J84" s="33">
        <f t="shared" si="51"/>
        <v>0</v>
      </c>
      <c r="K84" s="33">
        <f t="shared" si="52"/>
        <v>0</v>
      </c>
      <c r="L84" s="33">
        <f t="shared" si="53"/>
        <v>0</v>
      </c>
      <c r="M84" s="33">
        <f t="shared" si="54"/>
        <v>0</v>
      </c>
      <c r="N84" s="33">
        <f t="shared" si="40"/>
        <v>0</v>
      </c>
      <c r="O84" s="34">
        <f t="shared" si="41"/>
        <v>0</v>
      </c>
      <c r="P84" s="55">
        <v>79</v>
      </c>
      <c r="Q84" s="33">
        <f t="shared" si="49"/>
        <v>0</v>
      </c>
      <c r="R84" s="33">
        <f t="shared" si="55"/>
        <v>0</v>
      </c>
      <c r="S84" s="33">
        <f t="shared" si="56"/>
        <v>0</v>
      </c>
      <c r="T84" s="33">
        <f t="shared" si="42"/>
        <v>0</v>
      </c>
      <c r="U84" s="33">
        <f t="shared" si="50"/>
        <v>0</v>
      </c>
      <c r="V84" s="33">
        <f t="shared" si="43"/>
        <v>0</v>
      </c>
      <c r="W84" s="33">
        <v>0</v>
      </c>
      <c r="X84" s="33">
        <f t="shared" si="44"/>
        <v>0</v>
      </c>
      <c r="Y84" s="38">
        <f t="shared" si="45"/>
        <v>0</v>
      </c>
      <c r="AA84" s="71">
        <v>79</v>
      </c>
      <c r="AB84" s="33">
        <f t="shared" si="46"/>
        <v>0</v>
      </c>
      <c r="AC84" s="305">
        <f t="shared" si="39"/>
        <v>0</v>
      </c>
      <c r="AD84" s="100">
        <f t="shared" si="47"/>
        <v>0</v>
      </c>
      <c r="AE84" s="100">
        <f t="shared" si="48"/>
        <v>0</v>
      </c>
      <c r="AF84" s="194">
        <f t="shared" si="34"/>
        <v>0</v>
      </c>
      <c r="AG84" s="194">
        <f t="shared" si="35"/>
        <v>0</v>
      </c>
      <c r="AH84" s="194">
        <f t="shared" si="36"/>
        <v>0</v>
      </c>
      <c r="AI84" s="199">
        <f t="shared" si="37"/>
        <v>0</v>
      </c>
      <c r="AK84" s="71">
        <v>79</v>
      </c>
      <c r="AL84" s="33"/>
      <c r="AM84" s="33"/>
      <c r="AN84" s="33"/>
      <c r="AO84" s="33"/>
      <c r="AP84" s="33"/>
      <c r="AQ84" s="194"/>
      <c r="AR84" s="194"/>
      <c r="AS84" s="194"/>
      <c r="AT84" s="194"/>
      <c r="AU84" s="33"/>
      <c r="AV84" s="33"/>
      <c r="AW84" s="33"/>
      <c r="AX84" s="33"/>
      <c r="AY84" s="76"/>
    </row>
    <row r="85" spans="2:51" x14ac:dyDescent="0.3">
      <c r="B85" s="172" t="str">
        <f>IF(C31&lt;=$F$18,C31+1,"-")</f>
        <v>-</v>
      </c>
      <c r="C85" s="148">
        <f>D31-D32</f>
        <v>91</v>
      </c>
      <c r="D85" s="149">
        <v>0.2</v>
      </c>
      <c r="E85" s="129">
        <f t="shared" si="58"/>
        <v>0.44800000000000006</v>
      </c>
      <c r="F85" s="129">
        <f t="shared" si="59"/>
        <v>0.35200000000000004</v>
      </c>
      <c r="G85" s="150"/>
      <c r="H85" s="58">
        <f t="shared" si="57"/>
        <v>0</v>
      </c>
      <c r="I85" s="55">
        <v>80</v>
      </c>
      <c r="J85" s="33">
        <f t="shared" si="51"/>
        <v>0</v>
      </c>
      <c r="K85" s="33">
        <f t="shared" si="52"/>
        <v>0</v>
      </c>
      <c r="L85" s="33">
        <f t="shared" si="53"/>
        <v>0</v>
      </c>
      <c r="M85" s="33">
        <f t="shared" si="54"/>
        <v>0</v>
      </c>
      <c r="N85" s="33">
        <f t="shared" si="40"/>
        <v>0</v>
      </c>
      <c r="O85" s="34">
        <f t="shared" si="41"/>
        <v>0</v>
      </c>
      <c r="P85" s="55">
        <v>80</v>
      </c>
      <c r="Q85" s="33">
        <f t="shared" si="49"/>
        <v>0</v>
      </c>
      <c r="R85" s="33">
        <f t="shared" si="55"/>
        <v>0</v>
      </c>
      <c r="S85" s="33">
        <f t="shared" si="56"/>
        <v>0</v>
      </c>
      <c r="T85" s="33">
        <f t="shared" si="42"/>
        <v>0</v>
      </c>
      <c r="U85" s="33">
        <f t="shared" si="50"/>
        <v>0</v>
      </c>
      <c r="V85" s="33">
        <f t="shared" si="43"/>
        <v>0</v>
      </c>
      <c r="W85" s="33">
        <v>0</v>
      </c>
      <c r="X85" s="33">
        <f t="shared" si="44"/>
        <v>0</v>
      </c>
      <c r="Y85" s="38">
        <f t="shared" si="45"/>
        <v>0</v>
      </c>
      <c r="AA85" s="71">
        <v>80</v>
      </c>
      <c r="AB85" s="33">
        <f t="shared" si="46"/>
        <v>0</v>
      </c>
      <c r="AC85" s="305">
        <f t="shared" si="39"/>
        <v>0</v>
      </c>
      <c r="AD85" s="100">
        <f t="shared" si="47"/>
        <v>0</v>
      </c>
      <c r="AE85" s="100">
        <f t="shared" si="48"/>
        <v>0</v>
      </c>
      <c r="AF85" s="194">
        <f t="shared" si="34"/>
        <v>0</v>
      </c>
      <c r="AG85" s="194">
        <f t="shared" si="35"/>
        <v>0</v>
      </c>
      <c r="AH85" s="194">
        <f t="shared" si="36"/>
        <v>0</v>
      </c>
      <c r="AI85" s="199">
        <f t="shared" si="37"/>
        <v>0</v>
      </c>
      <c r="AK85" s="71">
        <v>80</v>
      </c>
      <c r="AL85" s="33"/>
      <c r="AM85" s="33"/>
      <c r="AN85" s="33"/>
      <c r="AO85" s="33"/>
      <c r="AP85" s="33"/>
      <c r="AQ85" s="194"/>
      <c r="AR85" s="194"/>
      <c r="AS85" s="194"/>
      <c r="AT85" s="194"/>
      <c r="AU85" s="33"/>
      <c r="AV85" s="33"/>
      <c r="AW85" s="33"/>
      <c r="AX85" s="33"/>
      <c r="AY85" s="76"/>
    </row>
    <row r="86" spans="2:51" x14ac:dyDescent="0.3">
      <c r="B86" s="172" t="str">
        <f>IF(C33&lt;=$F$18,C33+1,"-")</f>
        <v>-</v>
      </c>
      <c r="C86" s="148">
        <f>D33-D34</f>
        <v>91</v>
      </c>
      <c r="D86" s="149">
        <v>0.3</v>
      </c>
      <c r="E86" s="129">
        <f t="shared" si="58"/>
        <v>0.39200000000000002</v>
      </c>
      <c r="F86" s="129">
        <f t="shared" si="59"/>
        <v>0.308</v>
      </c>
      <c r="G86" s="150"/>
      <c r="H86" s="58">
        <f t="shared" si="57"/>
        <v>0</v>
      </c>
      <c r="I86" s="55">
        <v>81</v>
      </c>
      <c r="J86" s="33">
        <f t="shared" si="51"/>
        <v>0</v>
      </c>
      <c r="K86" s="33">
        <f t="shared" si="52"/>
        <v>0</v>
      </c>
      <c r="L86" s="33">
        <f t="shared" si="53"/>
        <v>0</v>
      </c>
      <c r="M86" s="33">
        <f t="shared" si="54"/>
        <v>0</v>
      </c>
      <c r="N86" s="33">
        <f t="shared" si="40"/>
        <v>0</v>
      </c>
      <c r="O86" s="34">
        <f t="shared" si="41"/>
        <v>0</v>
      </c>
      <c r="P86" s="55">
        <v>81</v>
      </c>
      <c r="Q86" s="33">
        <f t="shared" si="49"/>
        <v>0</v>
      </c>
      <c r="R86" s="33">
        <f t="shared" si="55"/>
        <v>0</v>
      </c>
      <c r="S86" s="33">
        <f t="shared" si="56"/>
        <v>0</v>
      </c>
      <c r="T86" s="33">
        <f t="shared" si="42"/>
        <v>0</v>
      </c>
      <c r="U86" s="33">
        <f t="shared" si="50"/>
        <v>0</v>
      </c>
      <c r="V86" s="33">
        <f t="shared" si="43"/>
        <v>0</v>
      </c>
      <c r="W86" s="33">
        <v>0</v>
      </c>
      <c r="X86" s="33">
        <f t="shared" si="44"/>
        <v>0</v>
      </c>
      <c r="Y86" s="38">
        <f t="shared" si="45"/>
        <v>0</v>
      </c>
      <c r="AA86" s="71">
        <v>81</v>
      </c>
      <c r="AB86" s="33">
        <f t="shared" si="46"/>
        <v>0</v>
      </c>
      <c r="AC86" s="305">
        <f t="shared" si="39"/>
        <v>0</v>
      </c>
      <c r="AD86" s="100">
        <f t="shared" si="47"/>
        <v>0</v>
      </c>
      <c r="AE86" s="100">
        <f t="shared" si="48"/>
        <v>0</v>
      </c>
      <c r="AF86" s="194">
        <f t="shared" si="34"/>
        <v>0</v>
      </c>
      <c r="AG86" s="194">
        <f t="shared" si="35"/>
        <v>0</v>
      </c>
      <c r="AH86" s="194">
        <f t="shared" si="36"/>
        <v>0</v>
      </c>
      <c r="AI86" s="199">
        <f t="shared" si="37"/>
        <v>0</v>
      </c>
      <c r="AK86" s="71">
        <v>81</v>
      </c>
      <c r="AL86" s="33"/>
      <c r="AM86" s="33"/>
      <c r="AN86" s="33"/>
      <c r="AO86" s="33"/>
      <c r="AP86" s="33"/>
      <c r="AQ86" s="194"/>
      <c r="AR86" s="194"/>
      <c r="AS86" s="194"/>
      <c r="AT86" s="194"/>
      <c r="AU86" s="33"/>
      <c r="AV86" s="33"/>
      <c r="AW86" s="33"/>
      <c r="AX86" s="33"/>
      <c r="AY86" s="76"/>
    </row>
    <row r="87" spans="2:51" x14ac:dyDescent="0.3">
      <c r="B87" s="172" t="str">
        <f>IF(C35&lt;=$F$18,C35+1,"-")</f>
        <v>-</v>
      </c>
      <c r="C87" s="148">
        <f>D35-D36</f>
        <v>91</v>
      </c>
      <c r="D87" s="149">
        <v>0.4</v>
      </c>
      <c r="E87" s="129">
        <f t="shared" si="58"/>
        <v>0.33600000000000002</v>
      </c>
      <c r="F87" s="129">
        <f t="shared" si="59"/>
        <v>0.26400000000000001</v>
      </c>
      <c r="G87" s="150"/>
      <c r="H87" s="58">
        <f t="shared" si="57"/>
        <v>0</v>
      </c>
      <c r="I87" s="55">
        <v>82</v>
      </c>
      <c r="J87" s="33">
        <f t="shared" si="51"/>
        <v>0</v>
      </c>
      <c r="K87" s="33">
        <f t="shared" si="52"/>
        <v>0</v>
      </c>
      <c r="L87" s="33">
        <f t="shared" si="53"/>
        <v>0</v>
      </c>
      <c r="M87" s="33">
        <f t="shared" si="54"/>
        <v>0</v>
      </c>
      <c r="N87" s="33">
        <f t="shared" si="40"/>
        <v>0</v>
      </c>
      <c r="O87" s="34">
        <f t="shared" si="41"/>
        <v>0</v>
      </c>
      <c r="P87" s="55">
        <v>82</v>
      </c>
      <c r="Q87" s="33">
        <f t="shared" si="49"/>
        <v>0</v>
      </c>
      <c r="R87" s="33">
        <f t="shared" si="55"/>
        <v>0</v>
      </c>
      <c r="S87" s="33">
        <f t="shared" si="56"/>
        <v>0</v>
      </c>
      <c r="T87" s="33">
        <f t="shared" si="42"/>
        <v>0</v>
      </c>
      <c r="U87" s="33">
        <f t="shared" si="50"/>
        <v>0</v>
      </c>
      <c r="V87" s="33">
        <f t="shared" si="43"/>
        <v>0</v>
      </c>
      <c r="W87" s="33">
        <v>0</v>
      </c>
      <c r="X87" s="33">
        <f t="shared" si="44"/>
        <v>0</v>
      </c>
      <c r="Y87" s="38">
        <f t="shared" si="45"/>
        <v>0</v>
      </c>
      <c r="AA87" s="71">
        <v>82</v>
      </c>
      <c r="AB87" s="33">
        <f t="shared" si="46"/>
        <v>0</v>
      </c>
      <c r="AC87" s="305">
        <f t="shared" si="39"/>
        <v>0</v>
      </c>
      <c r="AD87" s="100">
        <f t="shared" si="47"/>
        <v>0</v>
      </c>
      <c r="AE87" s="100">
        <f t="shared" si="48"/>
        <v>0</v>
      </c>
      <c r="AF87" s="194">
        <f t="shared" si="34"/>
        <v>0</v>
      </c>
      <c r="AG87" s="194">
        <f t="shared" si="35"/>
        <v>0</v>
      </c>
      <c r="AH87" s="194">
        <f t="shared" si="36"/>
        <v>0</v>
      </c>
      <c r="AI87" s="199">
        <f t="shared" si="37"/>
        <v>0</v>
      </c>
      <c r="AK87" s="71">
        <v>82</v>
      </c>
      <c r="AL87" s="33"/>
      <c r="AM87" s="33"/>
      <c r="AN87" s="33"/>
      <c r="AO87" s="33"/>
      <c r="AP87" s="33"/>
      <c r="AQ87" s="194"/>
      <c r="AR87" s="194"/>
      <c r="AS87" s="194"/>
      <c r="AT87" s="194"/>
      <c r="AU87" s="33"/>
      <c r="AV87" s="33"/>
      <c r="AW87" s="33"/>
      <c r="AX87" s="33"/>
      <c r="AY87" s="76"/>
    </row>
    <row r="88" spans="2:51" x14ac:dyDescent="0.3">
      <c r="B88" s="172" t="str">
        <f>IF(C37&lt;=$F$18,C37+1,"-")</f>
        <v>-</v>
      </c>
      <c r="C88" s="148">
        <f>D37-D38</f>
        <v>74</v>
      </c>
      <c r="D88" s="149">
        <v>0.5</v>
      </c>
      <c r="E88" s="129">
        <f t="shared" si="58"/>
        <v>0.28000000000000003</v>
      </c>
      <c r="F88" s="129">
        <f t="shared" si="59"/>
        <v>0.22</v>
      </c>
      <c r="G88" s="150"/>
      <c r="H88" s="58">
        <f t="shared" si="57"/>
        <v>0</v>
      </c>
      <c r="I88" s="55">
        <v>83</v>
      </c>
      <c r="J88" s="33">
        <f t="shared" si="51"/>
        <v>0</v>
      </c>
      <c r="K88" s="33">
        <f t="shared" si="52"/>
        <v>0</v>
      </c>
      <c r="L88" s="33">
        <f t="shared" si="53"/>
        <v>0</v>
      </c>
      <c r="M88" s="33">
        <f t="shared" si="54"/>
        <v>0</v>
      </c>
      <c r="N88" s="33">
        <f t="shared" si="40"/>
        <v>0</v>
      </c>
      <c r="O88" s="34">
        <f t="shared" si="41"/>
        <v>0</v>
      </c>
      <c r="P88" s="55">
        <v>83</v>
      </c>
      <c r="Q88" s="33">
        <f t="shared" si="49"/>
        <v>0</v>
      </c>
      <c r="R88" s="33">
        <f t="shared" si="55"/>
        <v>0</v>
      </c>
      <c r="S88" s="33">
        <f t="shared" si="56"/>
        <v>0</v>
      </c>
      <c r="T88" s="33">
        <f t="shared" si="42"/>
        <v>0</v>
      </c>
      <c r="U88" s="33">
        <f t="shared" si="50"/>
        <v>0</v>
      </c>
      <c r="V88" s="33">
        <f t="shared" si="43"/>
        <v>0</v>
      </c>
      <c r="W88" s="33">
        <v>0</v>
      </c>
      <c r="X88" s="33">
        <f t="shared" si="44"/>
        <v>0</v>
      </c>
      <c r="Y88" s="38">
        <f t="shared" si="45"/>
        <v>0</v>
      </c>
      <c r="AA88" s="71">
        <v>83</v>
      </c>
      <c r="AB88" s="33">
        <f t="shared" si="46"/>
        <v>0</v>
      </c>
      <c r="AC88" s="305">
        <f t="shared" si="39"/>
        <v>0</v>
      </c>
      <c r="AD88" s="100">
        <f t="shared" si="47"/>
        <v>0</v>
      </c>
      <c r="AE88" s="100">
        <f t="shared" si="48"/>
        <v>0</v>
      </c>
      <c r="AF88" s="194">
        <f t="shared" si="34"/>
        <v>0</v>
      </c>
      <c r="AG88" s="194">
        <f t="shared" si="35"/>
        <v>0</v>
      </c>
      <c r="AH88" s="194">
        <f t="shared" si="36"/>
        <v>0</v>
      </c>
      <c r="AI88" s="199">
        <f t="shared" si="37"/>
        <v>0</v>
      </c>
      <c r="AK88" s="71">
        <v>83</v>
      </c>
      <c r="AL88" s="33"/>
      <c r="AM88" s="33"/>
      <c r="AN88" s="33"/>
      <c r="AO88" s="33"/>
      <c r="AP88" s="33"/>
      <c r="AQ88" s="194"/>
      <c r="AR88" s="194"/>
      <c r="AS88" s="194"/>
      <c r="AT88" s="194"/>
      <c r="AU88" s="33"/>
      <c r="AV88" s="33"/>
      <c r="AW88" s="33"/>
      <c r="AX88" s="33"/>
      <c r="AY88" s="76"/>
    </row>
    <row r="89" spans="2:51" x14ac:dyDescent="0.3">
      <c r="B89" s="172" t="str">
        <f>IF(C39&lt;=$F$18,C39+1,"-")</f>
        <v>-</v>
      </c>
      <c r="C89" s="148">
        <f>D39-D40</f>
        <v>63</v>
      </c>
      <c r="D89" s="149">
        <v>0.6</v>
      </c>
      <c r="E89" s="129">
        <f t="shared" si="58"/>
        <v>0.22400000000000003</v>
      </c>
      <c r="F89" s="129">
        <f t="shared" si="59"/>
        <v>0.17600000000000002</v>
      </c>
      <c r="G89" s="150"/>
      <c r="H89" s="58">
        <f t="shared" si="57"/>
        <v>0</v>
      </c>
      <c r="I89" s="55">
        <v>84</v>
      </c>
      <c r="J89" s="33">
        <f t="shared" si="51"/>
        <v>0</v>
      </c>
      <c r="K89" s="33">
        <f t="shared" si="52"/>
        <v>0</v>
      </c>
      <c r="L89" s="33">
        <f t="shared" si="53"/>
        <v>0</v>
      </c>
      <c r="M89" s="33">
        <f t="shared" si="54"/>
        <v>0</v>
      </c>
      <c r="N89" s="33">
        <f t="shared" si="40"/>
        <v>0</v>
      </c>
      <c r="O89" s="34">
        <f t="shared" si="41"/>
        <v>0</v>
      </c>
      <c r="P89" s="55">
        <v>84</v>
      </c>
      <c r="Q89" s="33">
        <f t="shared" si="49"/>
        <v>0</v>
      </c>
      <c r="R89" s="33">
        <f t="shared" si="55"/>
        <v>0</v>
      </c>
      <c r="S89" s="33">
        <f t="shared" si="56"/>
        <v>0</v>
      </c>
      <c r="T89" s="33">
        <f t="shared" si="42"/>
        <v>0</v>
      </c>
      <c r="U89" s="33">
        <f t="shared" si="50"/>
        <v>0</v>
      </c>
      <c r="V89" s="33">
        <f t="shared" si="43"/>
        <v>0</v>
      </c>
      <c r="W89" s="33">
        <v>0</v>
      </c>
      <c r="X89" s="33">
        <f t="shared" si="44"/>
        <v>0</v>
      </c>
      <c r="Y89" s="38">
        <f t="shared" si="45"/>
        <v>0</v>
      </c>
      <c r="AA89" s="71">
        <v>84</v>
      </c>
      <c r="AB89" s="33">
        <f t="shared" si="46"/>
        <v>0</v>
      </c>
      <c r="AC89" s="305">
        <f t="shared" si="39"/>
        <v>0</v>
      </c>
      <c r="AD89" s="100">
        <f t="shared" si="47"/>
        <v>0</v>
      </c>
      <c r="AE89" s="100">
        <f t="shared" si="48"/>
        <v>0</v>
      </c>
      <c r="AF89" s="194">
        <f t="shared" si="34"/>
        <v>0</v>
      </c>
      <c r="AG89" s="194">
        <f t="shared" si="35"/>
        <v>0</v>
      </c>
      <c r="AH89" s="194">
        <f t="shared" si="36"/>
        <v>0</v>
      </c>
      <c r="AI89" s="199">
        <f t="shared" si="37"/>
        <v>0</v>
      </c>
      <c r="AK89" s="71">
        <v>84</v>
      </c>
      <c r="AL89" s="33"/>
      <c r="AM89" s="33"/>
      <c r="AN89" s="33"/>
      <c r="AO89" s="33"/>
      <c r="AP89" s="33"/>
      <c r="AQ89" s="194"/>
      <c r="AR89" s="194"/>
      <c r="AS89" s="194"/>
      <c r="AT89" s="194"/>
      <c r="AU89" s="33"/>
      <c r="AV89" s="33"/>
      <c r="AW89" s="33"/>
      <c r="AX89" s="33"/>
      <c r="AY89" s="76"/>
    </row>
    <row r="90" spans="2:51" x14ac:dyDescent="0.3">
      <c r="B90" s="172" t="str">
        <f>IF(C41&lt;=$F$18,C41+1,"-")</f>
        <v>-</v>
      </c>
      <c r="C90" s="148">
        <f>D41-D42</f>
        <v>55</v>
      </c>
      <c r="D90" s="149">
        <v>0.7</v>
      </c>
      <c r="E90" s="129">
        <f t="shared" si="58"/>
        <v>0.16800000000000004</v>
      </c>
      <c r="F90" s="129">
        <f t="shared" si="59"/>
        <v>0.13200000000000003</v>
      </c>
      <c r="G90" s="150"/>
      <c r="H90" s="58">
        <f t="shared" si="57"/>
        <v>0</v>
      </c>
      <c r="I90" s="55">
        <v>85</v>
      </c>
      <c r="J90" s="33">
        <f t="shared" si="51"/>
        <v>0</v>
      </c>
      <c r="K90" s="33">
        <f t="shared" si="52"/>
        <v>0</v>
      </c>
      <c r="L90" s="33">
        <f t="shared" si="53"/>
        <v>0</v>
      </c>
      <c r="M90" s="33">
        <f t="shared" si="54"/>
        <v>0</v>
      </c>
      <c r="N90" s="33">
        <f t="shared" si="40"/>
        <v>0</v>
      </c>
      <c r="O90" s="34">
        <f t="shared" si="41"/>
        <v>0</v>
      </c>
      <c r="P90" s="55">
        <v>85</v>
      </c>
      <c r="Q90" s="33">
        <f t="shared" si="49"/>
        <v>0</v>
      </c>
      <c r="R90" s="33">
        <f t="shared" si="55"/>
        <v>0</v>
      </c>
      <c r="S90" s="33">
        <f t="shared" si="56"/>
        <v>0</v>
      </c>
      <c r="T90" s="33">
        <f t="shared" si="42"/>
        <v>0</v>
      </c>
      <c r="U90" s="33">
        <f t="shared" si="50"/>
        <v>0</v>
      </c>
      <c r="V90" s="33">
        <f t="shared" si="43"/>
        <v>0</v>
      </c>
      <c r="W90" s="33">
        <v>0</v>
      </c>
      <c r="X90" s="33">
        <f t="shared" si="44"/>
        <v>0</v>
      </c>
      <c r="Y90" s="38">
        <f t="shared" si="45"/>
        <v>0</v>
      </c>
      <c r="AA90" s="71">
        <v>85</v>
      </c>
      <c r="AB90" s="33">
        <f t="shared" si="46"/>
        <v>0</v>
      </c>
      <c r="AC90" s="305">
        <f t="shared" si="39"/>
        <v>0</v>
      </c>
      <c r="AD90" s="100">
        <f t="shared" si="47"/>
        <v>0</v>
      </c>
      <c r="AE90" s="100">
        <f t="shared" si="48"/>
        <v>0</v>
      </c>
      <c r="AF90" s="194">
        <f t="shared" si="34"/>
        <v>0</v>
      </c>
      <c r="AG90" s="194">
        <f t="shared" si="35"/>
        <v>0</v>
      </c>
      <c r="AH90" s="194">
        <f t="shared" si="36"/>
        <v>0</v>
      </c>
      <c r="AI90" s="199">
        <f t="shared" si="37"/>
        <v>0</v>
      </c>
      <c r="AK90" s="71">
        <v>85</v>
      </c>
      <c r="AL90" s="33"/>
      <c r="AM90" s="33"/>
      <c r="AN90" s="33"/>
      <c r="AO90" s="33"/>
      <c r="AP90" s="33"/>
      <c r="AQ90" s="194"/>
      <c r="AR90" s="194"/>
      <c r="AS90" s="194"/>
      <c r="AT90" s="194"/>
      <c r="AU90" s="33"/>
      <c r="AV90" s="33"/>
      <c r="AW90" s="33"/>
      <c r="AX90" s="33"/>
      <c r="AY90" s="76"/>
    </row>
    <row r="91" spans="2:51" x14ac:dyDescent="0.3">
      <c r="B91" s="172" t="str">
        <f>IF(C43&lt;=$F$18,C43+1,"-")</f>
        <v>-</v>
      </c>
      <c r="C91" s="148">
        <f>D43-D44</f>
        <v>48</v>
      </c>
      <c r="D91" s="149">
        <v>0.8</v>
      </c>
      <c r="E91" s="129">
        <f t="shared" si="58"/>
        <v>0.11199999999999999</v>
      </c>
      <c r="F91" s="129">
        <f t="shared" si="59"/>
        <v>8.7999999999999981E-2</v>
      </c>
      <c r="G91" s="150"/>
      <c r="H91" s="58">
        <f t="shared" si="57"/>
        <v>0</v>
      </c>
      <c r="I91" s="55">
        <v>86</v>
      </c>
      <c r="J91" s="33">
        <f t="shared" si="51"/>
        <v>0</v>
      </c>
      <c r="K91" s="33">
        <f t="shared" si="52"/>
        <v>0</v>
      </c>
      <c r="L91" s="33">
        <f t="shared" si="53"/>
        <v>0</v>
      </c>
      <c r="M91" s="33">
        <f t="shared" si="54"/>
        <v>0</v>
      </c>
      <c r="N91" s="33">
        <f t="shared" si="40"/>
        <v>0</v>
      </c>
      <c r="O91" s="34">
        <f t="shared" si="41"/>
        <v>0</v>
      </c>
      <c r="P91" s="55">
        <v>86</v>
      </c>
      <c r="Q91" s="33">
        <f t="shared" si="49"/>
        <v>0</v>
      </c>
      <c r="R91" s="33">
        <f t="shared" si="55"/>
        <v>0</v>
      </c>
      <c r="S91" s="33">
        <f t="shared" si="56"/>
        <v>0</v>
      </c>
      <c r="T91" s="33">
        <f t="shared" si="42"/>
        <v>0</v>
      </c>
      <c r="U91" s="33">
        <f t="shared" si="50"/>
        <v>0</v>
      </c>
      <c r="V91" s="33">
        <f t="shared" si="43"/>
        <v>0</v>
      </c>
      <c r="W91" s="33">
        <v>0</v>
      </c>
      <c r="X91" s="33">
        <f t="shared" si="44"/>
        <v>0</v>
      </c>
      <c r="Y91" s="38">
        <f t="shared" si="45"/>
        <v>0</v>
      </c>
      <c r="AA91" s="71">
        <v>86</v>
      </c>
      <c r="AB91" s="33">
        <f t="shared" si="46"/>
        <v>0</v>
      </c>
      <c r="AC91" s="305">
        <f t="shared" si="39"/>
        <v>0</v>
      </c>
      <c r="AD91" s="100">
        <f t="shared" si="47"/>
        <v>0</v>
      </c>
      <c r="AE91" s="100">
        <f t="shared" si="48"/>
        <v>0</v>
      </c>
      <c r="AF91" s="194">
        <f t="shared" ref="AF91:AF154" si="60">IF(OR(AA91&lt;=$F$18,AA91&lt;=30),EXP(-LN(2)/$D$104)*AF90+((1-EXP(-LN(2)/$D$104))/(LN(2)/$D$104))*$AB91*AC91*0.475*$F$19*44/12,)</f>
        <v>0</v>
      </c>
      <c r="AG91" s="194">
        <f t="shared" ref="AG91:AG154" si="61">IF(OR(AA91&lt;=$F$18,AA91&lt;=30),EXP(-LN(2)/$D$106)*AG90+((1-EXP(-LN(2)/$D$106))/(LN(2)/$D$106))*$AB91*AD91*0.475*$F$19*44/12,)</f>
        <v>0</v>
      </c>
      <c r="AH91" s="194">
        <f t="shared" ref="AH91:AH154" si="62">IF(OR(AA91&lt;=$F$18,AA91&lt;=30),EXP(-LN(2)/$D$105)*AH90+((1-EXP(-LN(2)/$D$105))/(LN(2)/$D$105))*$AB91*AE91*0.475*$F$19*44/12,)</f>
        <v>0</v>
      </c>
      <c r="AI91" s="199">
        <f t="shared" ref="AI91:AI154" si="63">IF(OR(AA91&lt;=$F$18,AA91&lt;=30),SUM(AF91:AH91),)</f>
        <v>0</v>
      </c>
      <c r="AK91" s="71">
        <v>86</v>
      </c>
      <c r="AL91" s="33"/>
      <c r="AM91" s="33"/>
      <c r="AN91" s="33"/>
      <c r="AO91" s="33"/>
      <c r="AP91" s="33"/>
      <c r="AQ91" s="194"/>
      <c r="AR91" s="194"/>
      <c r="AS91" s="194"/>
      <c r="AT91" s="194"/>
      <c r="AU91" s="33"/>
      <c r="AV91" s="33"/>
      <c r="AW91" s="33"/>
      <c r="AX91" s="33"/>
      <c r="AY91" s="76"/>
    </row>
    <row r="92" spans="2:51" x14ac:dyDescent="0.3">
      <c r="B92" s="172" t="str">
        <f>IF(C45&lt;=$F$18,C45+1,"-")</f>
        <v>-</v>
      </c>
      <c r="C92" s="148">
        <f>D45-D46</f>
        <v>43</v>
      </c>
      <c r="D92" s="149">
        <v>0.9</v>
      </c>
      <c r="E92" s="129">
        <f t="shared" si="58"/>
        <v>5.5999999999999994E-2</v>
      </c>
      <c r="F92" s="129">
        <f t="shared" si="59"/>
        <v>4.3999999999999991E-2</v>
      </c>
      <c r="G92" s="150"/>
      <c r="H92" s="58">
        <f t="shared" si="57"/>
        <v>0</v>
      </c>
      <c r="I92" s="55">
        <v>87</v>
      </c>
      <c r="J92" s="33">
        <f t="shared" si="51"/>
        <v>0</v>
      </c>
      <c r="K92" s="33">
        <f t="shared" si="52"/>
        <v>0</v>
      </c>
      <c r="L92" s="33">
        <f t="shared" si="53"/>
        <v>0</v>
      </c>
      <c r="M92" s="33">
        <f t="shared" si="54"/>
        <v>0</v>
      </c>
      <c r="N92" s="33">
        <f t="shared" si="40"/>
        <v>0</v>
      </c>
      <c r="O92" s="34">
        <f t="shared" si="41"/>
        <v>0</v>
      </c>
      <c r="P92" s="55">
        <v>87</v>
      </c>
      <c r="Q92" s="33">
        <f t="shared" si="49"/>
        <v>0</v>
      </c>
      <c r="R92" s="33">
        <f t="shared" si="55"/>
        <v>0</v>
      </c>
      <c r="S92" s="33">
        <f t="shared" si="56"/>
        <v>0</v>
      </c>
      <c r="T92" s="33">
        <f t="shared" si="42"/>
        <v>0</v>
      </c>
      <c r="U92" s="33">
        <f t="shared" si="50"/>
        <v>0</v>
      </c>
      <c r="V92" s="33">
        <f t="shared" si="43"/>
        <v>0</v>
      </c>
      <c r="W92" s="33">
        <v>0</v>
      </c>
      <c r="X92" s="33">
        <f t="shared" si="44"/>
        <v>0</v>
      </c>
      <c r="Y92" s="38">
        <f t="shared" si="45"/>
        <v>0</v>
      </c>
      <c r="AA92" s="71">
        <v>87</v>
      </c>
      <c r="AB92" s="33">
        <f t="shared" si="46"/>
        <v>0</v>
      </c>
      <c r="AC92" s="305">
        <f t="shared" si="39"/>
        <v>0</v>
      </c>
      <c r="AD92" s="100">
        <f t="shared" si="47"/>
        <v>0</v>
      </c>
      <c r="AE92" s="100">
        <f t="shared" si="48"/>
        <v>0</v>
      </c>
      <c r="AF92" s="194">
        <f t="shared" si="60"/>
        <v>0</v>
      </c>
      <c r="AG92" s="194">
        <f t="shared" si="61"/>
        <v>0</v>
      </c>
      <c r="AH92" s="194">
        <f t="shared" si="62"/>
        <v>0</v>
      </c>
      <c r="AI92" s="199">
        <f t="shared" si="63"/>
        <v>0</v>
      </c>
      <c r="AK92" s="71">
        <v>87</v>
      </c>
      <c r="AL92" s="33"/>
      <c r="AM92" s="33"/>
      <c r="AN92" s="33"/>
      <c r="AO92" s="33"/>
      <c r="AP92" s="33"/>
      <c r="AQ92" s="194"/>
      <c r="AR92" s="194"/>
      <c r="AS92" s="194"/>
      <c r="AT92" s="194"/>
      <c r="AU92" s="33"/>
      <c r="AV92" s="33"/>
      <c r="AW92" s="33"/>
      <c r="AX92" s="33"/>
      <c r="AY92" s="76"/>
    </row>
    <row r="93" spans="2:51" x14ac:dyDescent="0.3">
      <c r="B93" s="172" t="str">
        <f>IF(C47&lt;=$F$18,C47+1,"-")</f>
        <v>-</v>
      </c>
      <c r="C93" s="148">
        <f>D47-D48</f>
        <v>38</v>
      </c>
      <c r="D93" s="149">
        <v>0.9</v>
      </c>
      <c r="E93" s="129">
        <f t="shared" si="58"/>
        <v>5.5999999999999994E-2</v>
      </c>
      <c r="F93" s="129">
        <f t="shared" si="59"/>
        <v>4.3999999999999991E-2</v>
      </c>
      <c r="G93" s="150"/>
      <c r="H93" s="58">
        <f t="shared" si="57"/>
        <v>0</v>
      </c>
      <c r="I93" s="55">
        <v>88</v>
      </c>
      <c r="J93" s="33">
        <f t="shared" si="51"/>
        <v>0</v>
      </c>
      <c r="K93" s="33">
        <f t="shared" si="52"/>
        <v>0</v>
      </c>
      <c r="L93" s="33">
        <f t="shared" si="53"/>
        <v>0</v>
      </c>
      <c r="M93" s="33">
        <f t="shared" si="54"/>
        <v>0</v>
      </c>
      <c r="N93" s="33">
        <f t="shared" si="40"/>
        <v>0</v>
      </c>
      <c r="O93" s="34">
        <f t="shared" si="41"/>
        <v>0</v>
      </c>
      <c r="P93" s="55">
        <v>88</v>
      </c>
      <c r="Q93" s="33">
        <f t="shared" si="49"/>
        <v>0</v>
      </c>
      <c r="R93" s="33">
        <f t="shared" si="55"/>
        <v>0</v>
      </c>
      <c r="S93" s="33">
        <f t="shared" si="56"/>
        <v>0</v>
      </c>
      <c r="T93" s="33">
        <f t="shared" si="42"/>
        <v>0</v>
      </c>
      <c r="U93" s="33">
        <f t="shared" si="50"/>
        <v>0</v>
      </c>
      <c r="V93" s="33">
        <f t="shared" si="43"/>
        <v>0</v>
      </c>
      <c r="W93" s="33">
        <v>0</v>
      </c>
      <c r="X93" s="33">
        <f t="shared" si="44"/>
        <v>0</v>
      </c>
      <c r="Y93" s="38">
        <f t="shared" si="45"/>
        <v>0</v>
      </c>
      <c r="AA93" s="71">
        <v>88</v>
      </c>
      <c r="AB93" s="33">
        <f t="shared" si="46"/>
        <v>0</v>
      </c>
      <c r="AC93" s="305">
        <f t="shared" si="39"/>
        <v>0</v>
      </c>
      <c r="AD93" s="100">
        <f t="shared" si="47"/>
        <v>0</v>
      </c>
      <c r="AE93" s="100">
        <f t="shared" si="48"/>
        <v>0</v>
      </c>
      <c r="AF93" s="194">
        <f t="shared" si="60"/>
        <v>0</v>
      </c>
      <c r="AG93" s="194">
        <f t="shared" si="61"/>
        <v>0</v>
      </c>
      <c r="AH93" s="194">
        <f t="shared" si="62"/>
        <v>0</v>
      </c>
      <c r="AI93" s="199">
        <f t="shared" si="63"/>
        <v>0</v>
      </c>
      <c r="AK93" s="71">
        <v>88</v>
      </c>
      <c r="AL93" s="33"/>
      <c r="AM93" s="33"/>
      <c r="AN93" s="33"/>
      <c r="AO93" s="33"/>
      <c r="AP93" s="33"/>
      <c r="AQ93" s="194"/>
      <c r="AR93" s="194"/>
      <c r="AS93" s="194"/>
      <c r="AT93" s="194"/>
      <c r="AU93" s="33"/>
      <c r="AV93" s="33"/>
      <c r="AW93" s="33"/>
      <c r="AX93" s="33"/>
      <c r="AY93" s="76"/>
    </row>
    <row r="94" spans="2:51" x14ac:dyDescent="0.3">
      <c r="B94" s="184">
        <f>F18</f>
        <v>0</v>
      </c>
      <c r="C94" s="181">
        <f>IFERROR(VLOOKUP(B94,C25:D78,2),)</f>
        <v>0</v>
      </c>
      <c r="D94" s="182">
        <v>0.95</v>
      </c>
      <c r="E94" s="183">
        <f t="shared" si="58"/>
        <v>2.8000000000000028E-2</v>
      </c>
      <c r="F94" s="183">
        <f t="shared" si="59"/>
        <v>2.200000000000002E-2</v>
      </c>
      <c r="G94" s="151"/>
      <c r="H94" s="58">
        <f t="shared" si="57"/>
        <v>0</v>
      </c>
      <c r="I94" s="55">
        <v>89</v>
      </c>
      <c r="J94" s="33">
        <f t="shared" si="51"/>
        <v>0</v>
      </c>
      <c r="K94" s="33">
        <f t="shared" si="52"/>
        <v>0</v>
      </c>
      <c r="L94" s="33">
        <f t="shared" si="53"/>
        <v>0</v>
      </c>
      <c r="M94" s="33">
        <f t="shared" si="54"/>
        <v>0</v>
      </c>
      <c r="N94" s="33">
        <f t="shared" si="40"/>
        <v>0</v>
      </c>
      <c r="O94" s="34">
        <f t="shared" si="41"/>
        <v>0</v>
      </c>
      <c r="P94" s="55">
        <v>89</v>
      </c>
      <c r="Q94" s="33">
        <f t="shared" si="49"/>
        <v>0</v>
      </c>
      <c r="R94" s="33">
        <f t="shared" si="55"/>
        <v>0</v>
      </c>
      <c r="S94" s="33">
        <f t="shared" si="56"/>
        <v>0</v>
      </c>
      <c r="T94" s="33">
        <f t="shared" si="42"/>
        <v>0</v>
      </c>
      <c r="U94" s="33">
        <f t="shared" si="50"/>
        <v>0</v>
      </c>
      <c r="V94" s="33">
        <f t="shared" si="43"/>
        <v>0</v>
      </c>
      <c r="W94" s="33">
        <v>0</v>
      </c>
      <c r="X94" s="33">
        <f t="shared" si="44"/>
        <v>0</v>
      </c>
      <c r="Y94" s="38">
        <f t="shared" si="45"/>
        <v>0</v>
      </c>
      <c r="AA94" s="71">
        <v>89</v>
      </c>
      <c r="AB94" s="33">
        <f t="shared" si="46"/>
        <v>0</v>
      </c>
      <c r="AC94" s="305">
        <f t="shared" si="39"/>
        <v>0</v>
      </c>
      <c r="AD94" s="100">
        <f t="shared" si="47"/>
        <v>0</v>
      </c>
      <c r="AE94" s="100">
        <f t="shared" si="48"/>
        <v>0</v>
      </c>
      <c r="AF94" s="194">
        <f t="shared" si="60"/>
        <v>0</v>
      </c>
      <c r="AG94" s="194">
        <f t="shared" si="61"/>
        <v>0</v>
      </c>
      <c r="AH94" s="194">
        <f t="shared" si="62"/>
        <v>0</v>
      </c>
      <c r="AI94" s="199">
        <f t="shared" si="63"/>
        <v>0</v>
      </c>
      <c r="AK94" s="71">
        <v>89</v>
      </c>
      <c r="AL94" s="33"/>
      <c r="AM94" s="33"/>
      <c r="AN94" s="33"/>
      <c r="AO94" s="33"/>
      <c r="AP94" s="33"/>
      <c r="AQ94" s="194"/>
      <c r="AR94" s="194"/>
      <c r="AS94" s="194"/>
      <c r="AT94" s="194"/>
      <c r="AU94" s="33"/>
      <c r="AV94" s="33"/>
      <c r="AW94" s="33"/>
      <c r="AX94" s="33"/>
      <c r="AY94" s="76"/>
    </row>
    <row r="95" spans="2:51" x14ac:dyDescent="0.3">
      <c r="I95" s="55">
        <v>90</v>
      </c>
      <c r="J95" s="33">
        <f t="shared" si="51"/>
        <v>0</v>
      </c>
      <c r="K95" s="33">
        <f t="shared" si="52"/>
        <v>0</v>
      </c>
      <c r="L95" s="33">
        <f t="shared" si="53"/>
        <v>0</v>
      </c>
      <c r="M95" s="33">
        <f t="shared" si="54"/>
        <v>0</v>
      </c>
      <c r="N95" s="33">
        <f t="shared" si="40"/>
        <v>0</v>
      </c>
      <c r="O95" s="34">
        <f t="shared" si="41"/>
        <v>0</v>
      </c>
      <c r="P95" s="55">
        <v>90</v>
      </c>
      <c r="Q95" s="33">
        <f t="shared" si="49"/>
        <v>0</v>
      </c>
      <c r="R95" s="33">
        <f t="shared" si="55"/>
        <v>0</v>
      </c>
      <c r="S95" s="33">
        <f t="shared" si="56"/>
        <v>0</v>
      </c>
      <c r="T95" s="33">
        <f t="shared" si="42"/>
        <v>0</v>
      </c>
      <c r="U95" s="33">
        <f t="shared" si="50"/>
        <v>0</v>
      </c>
      <c r="V95" s="33">
        <f t="shared" si="43"/>
        <v>0</v>
      </c>
      <c r="W95" s="33">
        <v>0</v>
      </c>
      <c r="X95" s="33">
        <f t="shared" si="44"/>
        <v>0</v>
      </c>
      <c r="Y95" s="38">
        <f t="shared" si="45"/>
        <v>0</v>
      </c>
      <c r="AA95" s="71">
        <v>90</v>
      </c>
      <c r="AB95" s="33">
        <f t="shared" si="46"/>
        <v>0</v>
      </c>
      <c r="AC95" s="305">
        <f t="shared" ref="AC95:AC158" si="64">IF(AA95&lt;=$F$18,IFERROR(VLOOKUP($AA95,$B$82:$G$94,3,FALSE),0),)*50%</f>
        <v>0</v>
      </c>
      <c r="AD95" s="100">
        <f t="shared" si="47"/>
        <v>0</v>
      </c>
      <c r="AE95" s="100">
        <f t="shared" si="48"/>
        <v>0</v>
      </c>
      <c r="AF95" s="194">
        <f t="shared" si="60"/>
        <v>0</v>
      </c>
      <c r="AG95" s="194">
        <f t="shared" si="61"/>
        <v>0</v>
      </c>
      <c r="AH95" s="194">
        <f t="shared" si="62"/>
        <v>0</v>
      </c>
      <c r="AI95" s="199">
        <f t="shared" si="63"/>
        <v>0</v>
      </c>
      <c r="AK95" s="71">
        <v>90</v>
      </c>
      <c r="AL95" s="33"/>
      <c r="AM95" s="33"/>
      <c r="AN95" s="33"/>
      <c r="AO95" s="33"/>
      <c r="AP95" s="33"/>
      <c r="AQ95" s="194"/>
      <c r="AR95" s="194"/>
      <c r="AS95" s="194"/>
      <c r="AT95" s="194"/>
      <c r="AU95" s="33"/>
      <c r="AV95" s="33"/>
      <c r="AW95" s="33"/>
      <c r="AX95" s="33"/>
      <c r="AY95" s="76"/>
    </row>
    <row r="96" spans="2:51" x14ac:dyDescent="0.3">
      <c r="C96" s="67" t="s">
        <v>154</v>
      </c>
      <c r="D96" t="s">
        <v>137</v>
      </c>
      <c r="E96" s="6"/>
      <c r="I96" s="55">
        <v>91</v>
      </c>
      <c r="J96" s="33">
        <f t="shared" si="51"/>
        <v>0</v>
      </c>
      <c r="K96" s="33">
        <f t="shared" si="52"/>
        <v>0</v>
      </c>
      <c r="L96" s="33">
        <f t="shared" si="53"/>
        <v>0</v>
      </c>
      <c r="M96" s="33">
        <f t="shared" si="54"/>
        <v>0</v>
      </c>
      <c r="N96" s="33">
        <f t="shared" si="40"/>
        <v>0</v>
      </c>
      <c r="O96" s="34">
        <f t="shared" si="41"/>
        <v>0</v>
      </c>
      <c r="P96" s="55">
        <v>91</v>
      </c>
      <c r="Q96" s="33">
        <f t="shared" si="49"/>
        <v>0</v>
      </c>
      <c r="R96" s="33">
        <f t="shared" si="55"/>
        <v>0</v>
      </c>
      <c r="S96" s="33">
        <f t="shared" si="56"/>
        <v>0</v>
      </c>
      <c r="T96" s="33">
        <f t="shared" si="42"/>
        <v>0</v>
      </c>
      <c r="U96" s="33">
        <f t="shared" si="50"/>
        <v>0</v>
      </c>
      <c r="V96" s="33">
        <f t="shared" si="43"/>
        <v>0</v>
      </c>
      <c r="W96" s="33">
        <v>0</v>
      </c>
      <c r="X96" s="33">
        <f t="shared" si="44"/>
        <v>0</v>
      </c>
      <c r="Y96" s="38">
        <f t="shared" si="45"/>
        <v>0</v>
      </c>
      <c r="AA96" s="71">
        <v>91</v>
      </c>
      <c r="AB96" s="33">
        <f t="shared" si="46"/>
        <v>0</v>
      </c>
      <c r="AC96" s="305">
        <f t="shared" si="64"/>
        <v>0</v>
      </c>
      <c r="AD96" s="100">
        <f t="shared" si="47"/>
        <v>0</v>
      </c>
      <c r="AE96" s="100">
        <f t="shared" si="48"/>
        <v>0</v>
      </c>
      <c r="AF96" s="194">
        <f t="shared" si="60"/>
        <v>0</v>
      </c>
      <c r="AG96" s="194">
        <f t="shared" si="61"/>
        <v>0</v>
      </c>
      <c r="AH96" s="194">
        <f t="shared" si="62"/>
        <v>0</v>
      </c>
      <c r="AI96" s="199">
        <f t="shared" si="63"/>
        <v>0</v>
      </c>
      <c r="AK96" s="71">
        <v>91</v>
      </c>
      <c r="AL96" s="33"/>
      <c r="AM96" s="33"/>
      <c r="AN96" s="33"/>
      <c r="AO96" s="33"/>
      <c r="AP96" s="33"/>
      <c r="AQ96" s="194"/>
      <c r="AR96" s="194"/>
      <c r="AS96" s="194"/>
      <c r="AT96" s="194"/>
      <c r="AU96" s="33"/>
      <c r="AV96" s="33"/>
      <c r="AW96" s="33"/>
      <c r="AX96" s="33"/>
      <c r="AY96" s="76"/>
    </row>
    <row r="97" spans="2:51" x14ac:dyDescent="0.3">
      <c r="B97" s="2" t="s">
        <v>0</v>
      </c>
      <c r="C97">
        <v>32</v>
      </c>
      <c r="D97">
        <v>0</v>
      </c>
      <c r="E97" s="6"/>
      <c r="I97" s="55">
        <v>92</v>
      </c>
      <c r="J97" s="33">
        <f t="shared" si="51"/>
        <v>0</v>
      </c>
      <c r="K97" s="33">
        <f t="shared" si="52"/>
        <v>0</v>
      </c>
      <c r="L97" s="33">
        <f t="shared" si="53"/>
        <v>0</v>
      </c>
      <c r="M97" s="33">
        <f t="shared" si="54"/>
        <v>0</v>
      </c>
      <c r="N97" s="33">
        <f t="shared" si="40"/>
        <v>0</v>
      </c>
      <c r="O97" s="34">
        <f t="shared" si="41"/>
        <v>0</v>
      </c>
      <c r="P97" s="55">
        <v>92</v>
      </c>
      <c r="Q97" s="33">
        <f t="shared" si="49"/>
        <v>0</v>
      </c>
      <c r="R97" s="33">
        <f t="shared" si="55"/>
        <v>0</v>
      </c>
      <c r="S97" s="33">
        <f t="shared" si="56"/>
        <v>0</v>
      </c>
      <c r="T97" s="33">
        <f t="shared" si="42"/>
        <v>0</v>
      </c>
      <c r="U97" s="33">
        <f t="shared" si="50"/>
        <v>0</v>
      </c>
      <c r="V97" s="33">
        <f t="shared" si="43"/>
        <v>0</v>
      </c>
      <c r="W97" s="33">
        <v>0</v>
      </c>
      <c r="X97" s="33">
        <f t="shared" si="44"/>
        <v>0</v>
      </c>
      <c r="Y97" s="38">
        <f t="shared" si="45"/>
        <v>0</v>
      </c>
      <c r="AA97" s="71">
        <v>92</v>
      </c>
      <c r="AB97" s="33">
        <f t="shared" si="46"/>
        <v>0</v>
      </c>
      <c r="AC97" s="305">
        <f t="shared" si="64"/>
        <v>0</v>
      </c>
      <c r="AD97" s="100">
        <f t="shared" si="47"/>
        <v>0</v>
      </c>
      <c r="AE97" s="100">
        <f t="shared" si="48"/>
        <v>0</v>
      </c>
      <c r="AF97" s="194">
        <f t="shared" si="60"/>
        <v>0</v>
      </c>
      <c r="AG97" s="194">
        <f t="shared" si="61"/>
        <v>0</v>
      </c>
      <c r="AH97" s="194">
        <f t="shared" si="62"/>
        <v>0</v>
      </c>
      <c r="AI97" s="199">
        <f t="shared" si="63"/>
        <v>0</v>
      </c>
      <c r="AK97" s="71">
        <v>92</v>
      </c>
      <c r="AL97" s="33"/>
      <c r="AM97" s="33"/>
      <c r="AN97" s="33"/>
      <c r="AO97" s="33"/>
      <c r="AP97" s="33"/>
      <c r="AQ97" s="194"/>
      <c r="AR97" s="194"/>
      <c r="AS97" s="194"/>
      <c r="AT97" s="194"/>
      <c r="AU97" s="33"/>
      <c r="AV97" s="33"/>
      <c r="AW97" s="33"/>
      <c r="AX97" s="33"/>
      <c r="AY97" s="76"/>
    </row>
    <row r="98" spans="2:51" x14ac:dyDescent="0.3">
      <c r="B98" s="2" t="s">
        <v>1</v>
      </c>
      <c r="C98">
        <v>45</v>
      </c>
      <c r="D98">
        <v>0</v>
      </c>
      <c r="E98" s="6"/>
      <c r="I98" s="55">
        <v>93</v>
      </c>
      <c r="J98" s="33">
        <f t="shared" si="51"/>
        <v>0</v>
      </c>
      <c r="K98" s="33">
        <f t="shared" si="52"/>
        <v>0</v>
      </c>
      <c r="L98" s="33">
        <f t="shared" si="53"/>
        <v>0</v>
      </c>
      <c r="M98" s="33">
        <f t="shared" si="54"/>
        <v>0</v>
      </c>
      <c r="N98" s="33">
        <f t="shared" si="40"/>
        <v>0</v>
      </c>
      <c r="O98" s="34">
        <f t="shared" si="41"/>
        <v>0</v>
      </c>
      <c r="P98" s="55">
        <v>93</v>
      </c>
      <c r="Q98" s="33">
        <f t="shared" si="49"/>
        <v>0</v>
      </c>
      <c r="R98" s="33">
        <f t="shared" si="55"/>
        <v>0</v>
      </c>
      <c r="S98" s="33">
        <f t="shared" si="56"/>
        <v>0</v>
      </c>
      <c r="T98" s="33">
        <f t="shared" si="42"/>
        <v>0</v>
      </c>
      <c r="U98" s="33">
        <f t="shared" si="50"/>
        <v>0</v>
      </c>
      <c r="V98" s="33">
        <f t="shared" si="43"/>
        <v>0</v>
      </c>
      <c r="W98" s="33">
        <v>0</v>
      </c>
      <c r="X98" s="33">
        <f t="shared" si="44"/>
        <v>0</v>
      </c>
      <c r="Y98" s="38">
        <f t="shared" si="45"/>
        <v>0</v>
      </c>
      <c r="AA98" s="71">
        <v>93</v>
      </c>
      <c r="AB98" s="33">
        <f t="shared" si="46"/>
        <v>0</v>
      </c>
      <c r="AC98" s="305">
        <f t="shared" si="64"/>
        <v>0</v>
      </c>
      <c r="AD98" s="100">
        <f t="shared" si="47"/>
        <v>0</v>
      </c>
      <c r="AE98" s="100">
        <f t="shared" si="48"/>
        <v>0</v>
      </c>
      <c r="AF98" s="194">
        <f t="shared" si="60"/>
        <v>0</v>
      </c>
      <c r="AG98" s="194">
        <f t="shared" si="61"/>
        <v>0</v>
      </c>
      <c r="AH98" s="194">
        <f t="shared" si="62"/>
        <v>0</v>
      </c>
      <c r="AI98" s="199">
        <f t="shared" si="63"/>
        <v>0</v>
      </c>
      <c r="AK98" s="71">
        <v>93</v>
      </c>
      <c r="AL98" s="33"/>
      <c r="AM98" s="33"/>
      <c r="AN98" s="33"/>
      <c r="AO98" s="33"/>
      <c r="AP98" s="33"/>
      <c r="AQ98" s="194"/>
      <c r="AR98" s="194"/>
      <c r="AS98" s="194"/>
      <c r="AT98" s="194"/>
      <c r="AU98" s="33"/>
      <c r="AV98" s="33"/>
      <c r="AW98" s="33"/>
      <c r="AX98" s="33"/>
      <c r="AY98" s="76"/>
    </row>
    <row r="99" spans="2:51" x14ac:dyDescent="0.3">
      <c r="B99" s="2" t="s">
        <v>2</v>
      </c>
      <c r="C99">
        <v>70</v>
      </c>
      <c r="D99">
        <v>0</v>
      </c>
      <c r="E99" s="6"/>
      <c r="I99" s="55">
        <v>94</v>
      </c>
      <c r="J99" s="33">
        <f t="shared" si="51"/>
        <v>0</v>
      </c>
      <c r="K99" s="33">
        <f t="shared" si="52"/>
        <v>0</v>
      </c>
      <c r="L99" s="33">
        <f t="shared" si="53"/>
        <v>0</v>
      </c>
      <c r="M99" s="33">
        <f t="shared" si="54"/>
        <v>0</v>
      </c>
      <c r="N99" s="33">
        <f t="shared" si="40"/>
        <v>0</v>
      </c>
      <c r="O99" s="34">
        <f t="shared" si="41"/>
        <v>0</v>
      </c>
      <c r="P99" s="55">
        <v>94</v>
      </c>
      <c r="Q99" s="33">
        <f t="shared" si="49"/>
        <v>0</v>
      </c>
      <c r="R99" s="33">
        <f t="shared" si="55"/>
        <v>0</v>
      </c>
      <c r="S99" s="33">
        <f t="shared" si="56"/>
        <v>0</v>
      </c>
      <c r="T99" s="33">
        <f t="shared" si="42"/>
        <v>0</v>
      </c>
      <c r="U99" s="33">
        <f t="shared" si="50"/>
        <v>0</v>
      </c>
      <c r="V99" s="33">
        <f t="shared" si="43"/>
        <v>0</v>
      </c>
      <c r="W99" s="33">
        <v>0</v>
      </c>
      <c r="X99" s="33">
        <f t="shared" si="44"/>
        <v>0</v>
      </c>
      <c r="Y99" s="38">
        <f t="shared" si="45"/>
        <v>0</v>
      </c>
      <c r="AA99" s="71">
        <v>94</v>
      </c>
      <c r="AB99" s="33">
        <f t="shared" si="46"/>
        <v>0</v>
      </c>
      <c r="AC99" s="305">
        <f t="shared" si="64"/>
        <v>0</v>
      </c>
      <c r="AD99" s="100">
        <f t="shared" si="47"/>
        <v>0</v>
      </c>
      <c r="AE99" s="100">
        <f t="shared" si="48"/>
        <v>0</v>
      </c>
      <c r="AF99" s="194">
        <f t="shared" si="60"/>
        <v>0</v>
      </c>
      <c r="AG99" s="194">
        <f t="shared" si="61"/>
        <v>0</v>
      </c>
      <c r="AH99" s="194">
        <f t="shared" si="62"/>
        <v>0</v>
      </c>
      <c r="AI99" s="199">
        <f t="shared" si="63"/>
        <v>0</v>
      </c>
      <c r="AK99" s="71">
        <v>94</v>
      </c>
      <c r="AL99" s="33"/>
      <c r="AM99" s="33"/>
      <c r="AN99" s="33"/>
      <c r="AO99" s="33"/>
      <c r="AP99" s="33"/>
      <c r="AQ99" s="194"/>
      <c r="AR99" s="194"/>
      <c r="AS99" s="194"/>
      <c r="AT99" s="194"/>
      <c r="AU99" s="33"/>
      <c r="AV99" s="33"/>
      <c r="AW99" s="33"/>
      <c r="AX99" s="33"/>
      <c r="AY99" s="76"/>
    </row>
    <row r="100" spans="2:51" x14ac:dyDescent="0.3">
      <c r="B100" s="2" t="s">
        <v>135</v>
      </c>
      <c r="C100">
        <v>70</v>
      </c>
      <c r="D100">
        <v>0</v>
      </c>
      <c r="E100" s="6"/>
      <c r="I100" s="55">
        <v>95</v>
      </c>
      <c r="J100" s="33">
        <f t="shared" si="51"/>
        <v>0</v>
      </c>
      <c r="K100" s="33">
        <f t="shared" si="52"/>
        <v>0</v>
      </c>
      <c r="L100" s="33">
        <f t="shared" si="53"/>
        <v>0</v>
      </c>
      <c r="M100" s="33">
        <f t="shared" si="54"/>
        <v>0</v>
      </c>
      <c r="N100" s="33">
        <f t="shared" si="40"/>
        <v>0</v>
      </c>
      <c r="O100" s="34">
        <f t="shared" si="41"/>
        <v>0</v>
      </c>
      <c r="P100" s="55">
        <v>95</v>
      </c>
      <c r="Q100" s="33">
        <f t="shared" si="49"/>
        <v>0</v>
      </c>
      <c r="R100" s="33">
        <f t="shared" si="55"/>
        <v>0</v>
      </c>
      <c r="S100" s="33">
        <f t="shared" si="56"/>
        <v>0</v>
      </c>
      <c r="T100" s="33">
        <f t="shared" si="42"/>
        <v>0</v>
      </c>
      <c r="U100" s="33">
        <f t="shared" si="50"/>
        <v>0</v>
      </c>
      <c r="V100" s="33">
        <f t="shared" si="43"/>
        <v>0</v>
      </c>
      <c r="W100" s="33">
        <v>0</v>
      </c>
      <c r="X100" s="33">
        <f t="shared" si="44"/>
        <v>0</v>
      </c>
      <c r="Y100" s="38">
        <f t="shared" si="45"/>
        <v>0</v>
      </c>
      <c r="AA100" s="71">
        <v>95</v>
      </c>
      <c r="AB100" s="33">
        <f t="shared" si="46"/>
        <v>0</v>
      </c>
      <c r="AC100" s="305">
        <f t="shared" si="64"/>
        <v>0</v>
      </c>
      <c r="AD100" s="100">
        <f t="shared" si="47"/>
        <v>0</v>
      </c>
      <c r="AE100" s="100">
        <f t="shared" si="48"/>
        <v>0</v>
      </c>
      <c r="AF100" s="194">
        <f t="shared" si="60"/>
        <v>0</v>
      </c>
      <c r="AG100" s="194">
        <f t="shared" si="61"/>
        <v>0</v>
      </c>
      <c r="AH100" s="194">
        <f t="shared" si="62"/>
        <v>0</v>
      </c>
      <c r="AI100" s="199">
        <f t="shared" si="63"/>
        <v>0</v>
      </c>
      <c r="AK100" s="71">
        <v>95</v>
      </c>
      <c r="AL100" s="33"/>
      <c r="AM100" s="33"/>
      <c r="AN100" s="33"/>
      <c r="AO100" s="33"/>
      <c r="AP100" s="33"/>
      <c r="AQ100" s="194"/>
      <c r="AR100" s="194"/>
      <c r="AS100" s="194"/>
      <c r="AT100" s="194"/>
      <c r="AU100" s="33"/>
      <c r="AV100" s="33"/>
      <c r="AW100" s="33"/>
      <c r="AX100" s="33"/>
      <c r="AY100" s="76"/>
    </row>
    <row r="101" spans="2:51" x14ac:dyDescent="0.3">
      <c r="C101" s="27"/>
      <c r="E101" s="6"/>
      <c r="I101" s="55">
        <v>96</v>
      </c>
      <c r="J101" s="33">
        <f t="shared" si="51"/>
        <v>0</v>
      </c>
      <c r="K101" s="33">
        <f t="shared" si="52"/>
        <v>0</v>
      </c>
      <c r="L101" s="33">
        <f t="shared" si="53"/>
        <v>0</v>
      </c>
      <c r="M101" s="33">
        <f t="shared" si="54"/>
        <v>0</v>
      </c>
      <c r="N101" s="33">
        <f t="shared" si="40"/>
        <v>0</v>
      </c>
      <c r="O101" s="34">
        <f t="shared" si="41"/>
        <v>0</v>
      </c>
      <c r="P101" s="55">
        <v>96</v>
      </c>
      <c r="Q101" s="33">
        <f t="shared" si="49"/>
        <v>0</v>
      </c>
      <c r="R101" s="33">
        <f t="shared" si="55"/>
        <v>0</v>
      </c>
      <c r="S101" s="33">
        <f t="shared" si="56"/>
        <v>0</v>
      </c>
      <c r="T101" s="33">
        <f t="shared" si="42"/>
        <v>0</v>
      </c>
      <c r="U101" s="33">
        <f t="shared" si="50"/>
        <v>0</v>
      </c>
      <c r="V101" s="33">
        <f t="shared" si="43"/>
        <v>0</v>
      </c>
      <c r="W101" s="33">
        <v>0</v>
      </c>
      <c r="X101" s="33">
        <f t="shared" si="44"/>
        <v>0</v>
      </c>
      <c r="Y101" s="38">
        <f t="shared" si="45"/>
        <v>0</v>
      </c>
      <c r="AA101" s="71">
        <v>96</v>
      </c>
      <c r="AB101" s="33">
        <f t="shared" si="46"/>
        <v>0</v>
      </c>
      <c r="AC101" s="305">
        <f t="shared" si="64"/>
        <v>0</v>
      </c>
      <c r="AD101" s="100">
        <f t="shared" si="47"/>
        <v>0</v>
      </c>
      <c r="AE101" s="100">
        <f t="shared" si="48"/>
        <v>0</v>
      </c>
      <c r="AF101" s="194">
        <f t="shared" si="60"/>
        <v>0</v>
      </c>
      <c r="AG101" s="194">
        <f t="shared" si="61"/>
        <v>0</v>
      </c>
      <c r="AH101" s="194">
        <f t="shared" si="62"/>
        <v>0</v>
      </c>
      <c r="AI101" s="199">
        <f t="shared" si="63"/>
        <v>0</v>
      </c>
      <c r="AK101" s="71">
        <v>96</v>
      </c>
      <c r="AL101" s="33"/>
      <c r="AM101" s="33"/>
      <c r="AN101" s="33"/>
      <c r="AO101" s="33"/>
      <c r="AP101" s="33"/>
      <c r="AQ101" s="194"/>
      <c r="AR101" s="194"/>
      <c r="AS101" s="194"/>
      <c r="AT101" s="194"/>
      <c r="AU101" s="33"/>
      <c r="AV101" s="33"/>
      <c r="AW101" s="33"/>
      <c r="AX101" s="33"/>
      <c r="AY101" s="76"/>
    </row>
    <row r="102" spans="2:51" x14ac:dyDescent="0.3">
      <c r="C102" s="27"/>
      <c r="E102" s="6"/>
      <c r="I102" s="55">
        <v>97</v>
      </c>
      <c r="J102" s="33">
        <f t="shared" si="51"/>
        <v>0</v>
      </c>
      <c r="K102" s="33">
        <f t="shared" si="52"/>
        <v>0</v>
      </c>
      <c r="L102" s="33">
        <f t="shared" si="53"/>
        <v>0</v>
      </c>
      <c r="M102" s="33">
        <f t="shared" si="54"/>
        <v>0</v>
      </c>
      <c r="N102" s="33">
        <f t="shared" si="40"/>
        <v>0</v>
      </c>
      <c r="O102" s="34">
        <f t="shared" si="41"/>
        <v>0</v>
      </c>
      <c r="P102" s="55">
        <v>97</v>
      </c>
      <c r="Q102" s="33">
        <f t="shared" si="49"/>
        <v>0</v>
      </c>
      <c r="R102" s="33">
        <f t="shared" si="55"/>
        <v>0</v>
      </c>
      <c r="S102" s="33">
        <f t="shared" si="56"/>
        <v>0</v>
      </c>
      <c r="T102" s="33">
        <f t="shared" si="42"/>
        <v>0</v>
      </c>
      <c r="U102" s="33">
        <f t="shared" si="50"/>
        <v>0</v>
      </c>
      <c r="V102" s="33">
        <f t="shared" si="43"/>
        <v>0</v>
      </c>
      <c r="W102" s="33">
        <v>0</v>
      </c>
      <c r="X102" s="33">
        <f t="shared" si="44"/>
        <v>0</v>
      </c>
      <c r="Y102" s="38">
        <f t="shared" si="45"/>
        <v>0</v>
      </c>
      <c r="AA102" s="71">
        <v>97</v>
      </c>
      <c r="AB102" s="33">
        <f t="shared" si="46"/>
        <v>0</v>
      </c>
      <c r="AC102" s="305">
        <f t="shared" si="64"/>
        <v>0</v>
      </c>
      <c r="AD102" s="100">
        <f t="shared" si="47"/>
        <v>0</v>
      </c>
      <c r="AE102" s="100">
        <f t="shared" si="48"/>
        <v>0</v>
      </c>
      <c r="AF102" s="194">
        <f t="shared" si="60"/>
        <v>0</v>
      </c>
      <c r="AG102" s="194">
        <f t="shared" si="61"/>
        <v>0</v>
      </c>
      <c r="AH102" s="194">
        <f t="shared" si="62"/>
        <v>0</v>
      </c>
      <c r="AI102" s="199">
        <f t="shared" si="63"/>
        <v>0</v>
      </c>
      <c r="AK102" s="71">
        <v>97</v>
      </c>
      <c r="AL102" s="33"/>
      <c r="AM102" s="33"/>
      <c r="AN102" s="33"/>
      <c r="AO102" s="33"/>
      <c r="AP102" s="33"/>
      <c r="AQ102" s="194"/>
      <c r="AR102" s="194"/>
      <c r="AS102" s="194"/>
      <c r="AT102" s="194"/>
      <c r="AU102" s="33"/>
      <c r="AV102" s="33"/>
      <c r="AW102" s="33"/>
      <c r="AX102" s="33"/>
      <c r="AY102" s="76"/>
    </row>
    <row r="103" spans="2:51" x14ac:dyDescent="0.3">
      <c r="C103" s="25" t="s">
        <v>157</v>
      </c>
      <c r="D103" s="157" t="s">
        <v>158</v>
      </c>
      <c r="F103" s="190" t="s">
        <v>232</v>
      </c>
      <c r="I103" s="55">
        <v>98</v>
      </c>
      <c r="J103" s="33">
        <f t="shared" si="51"/>
        <v>0</v>
      </c>
      <c r="K103" s="33">
        <f t="shared" si="52"/>
        <v>0</v>
      </c>
      <c r="L103" s="33">
        <f t="shared" si="53"/>
        <v>0</v>
      </c>
      <c r="M103" s="33">
        <f t="shared" si="54"/>
        <v>0</v>
      </c>
      <c r="N103" s="33">
        <f t="shared" si="40"/>
        <v>0</v>
      </c>
      <c r="O103" s="34">
        <f t="shared" si="41"/>
        <v>0</v>
      </c>
      <c r="P103" s="55">
        <v>98</v>
      </c>
      <c r="Q103" s="33">
        <f t="shared" si="49"/>
        <v>0</v>
      </c>
      <c r="R103" s="33">
        <f t="shared" si="55"/>
        <v>0</v>
      </c>
      <c r="S103" s="33">
        <f t="shared" si="56"/>
        <v>0</v>
      </c>
      <c r="T103" s="33">
        <f t="shared" si="42"/>
        <v>0</v>
      </c>
      <c r="U103" s="33">
        <f t="shared" si="50"/>
        <v>0</v>
      </c>
      <c r="V103" s="33">
        <f t="shared" si="43"/>
        <v>0</v>
      </c>
      <c r="W103" s="33">
        <v>0</v>
      </c>
      <c r="X103" s="33">
        <f t="shared" si="44"/>
        <v>0</v>
      </c>
      <c r="Y103" s="38">
        <f t="shared" si="45"/>
        <v>0</v>
      </c>
      <c r="AA103" s="71">
        <v>98</v>
      </c>
      <c r="AB103" s="33">
        <f t="shared" si="46"/>
        <v>0</v>
      </c>
      <c r="AC103" s="305">
        <f t="shared" si="64"/>
        <v>0</v>
      </c>
      <c r="AD103" s="100">
        <f t="shared" si="47"/>
        <v>0</v>
      </c>
      <c r="AE103" s="100">
        <f t="shared" si="48"/>
        <v>0</v>
      </c>
      <c r="AF103" s="194">
        <f t="shared" si="60"/>
        <v>0</v>
      </c>
      <c r="AG103" s="194">
        <f t="shared" si="61"/>
        <v>0</v>
      </c>
      <c r="AH103" s="194">
        <f t="shared" si="62"/>
        <v>0</v>
      </c>
      <c r="AI103" s="199">
        <f t="shared" si="63"/>
        <v>0</v>
      </c>
      <c r="AK103" s="71">
        <v>98</v>
      </c>
      <c r="AL103" s="33"/>
      <c r="AM103" s="33"/>
      <c r="AN103" s="33"/>
      <c r="AO103" s="33"/>
      <c r="AP103" s="33"/>
      <c r="AQ103" s="194"/>
      <c r="AR103" s="194"/>
      <c r="AS103" s="194"/>
      <c r="AT103" s="194"/>
      <c r="AU103" s="33"/>
      <c r="AV103" s="33"/>
      <c r="AW103" s="33"/>
      <c r="AX103" s="33"/>
      <c r="AY103" s="76"/>
    </row>
    <row r="104" spans="2:51" x14ac:dyDescent="0.3">
      <c r="B104" t="s">
        <v>78</v>
      </c>
      <c r="C104">
        <v>1.52</v>
      </c>
      <c r="D104">
        <v>35</v>
      </c>
      <c r="F104" s="189" t="s">
        <v>228</v>
      </c>
      <c r="G104" s="24">
        <v>0.25</v>
      </c>
      <c r="I104" s="55">
        <v>99</v>
      </c>
      <c r="J104" s="33">
        <f t="shared" si="51"/>
        <v>0</v>
      </c>
      <c r="K104" s="33">
        <f t="shared" si="52"/>
        <v>0</v>
      </c>
      <c r="L104" s="33">
        <f t="shared" si="53"/>
        <v>0</v>
      </c>
      <c r="M104" s="33">
        <f t="shared" si="54"/>
        <v>0</v>
      </c>
      <c r="N104" s="33">
        <f t="shared" si="40"/>
        <v>0</v>
      </c>
      <c r="O104" s="34">
        <f t="shared" si="41"/>
        <v>0</v>
      </c>
      <c r="P104" s="55">
        <v>99</v>
      </c>
      <c r="Q104" s="33">
        <f t="shared" si="49"/>
        <v>0</v>
      </c>
      <c r="R104" s="33">
        <f t="shared" si="55"/>
        <v>0</v>
      </c>
      <c r="S104" s="33">
        <f t="shared" si="56"/>
        <v>0</v>
      </c>
      <c r="T104" s="33">
        <f t="shared" si="42"/>
        <v>0</v>
      </c>
      <c r="U104" s="33">
        <f t="shared" si="50"/>
        <v>0</v>
      </c>
      <c r="V104" s="33">
        <f t="shared" si="43"/>
        <v>0</v>
      </c>
      <c r="W104" s="33">
        <v>0</v>
      </c>
      <c r="X104" s="33">
        <f t="shared" si="44"/>
        <v>0</v>
      </c>
      <c r="Y104" s="38">
        <f t="shared" si="45"/>
        <v>0</v>
      </c>
      <c r="AA104" s="71">
        <v>99</v>
      </c>
      <c r="AB104" s="33">
        <f t="shared" si="46"/>
        <v>0</v>
      </c>
      <c r="AC104" s="305">
        <f t="shared" si="64"/>
        <v>0</v>
      </c>
      <c r="AD104" s="100">
        <f t="shared" si="47"/>
        <v>0</v>
      </c>
      <c r="AE104" s="100">
        <f t="shared" si="48"/>
        <v>0</v>
      </c>
      <c r="AF104" s="194">
        <f t="shared" si="60"/>
        <v>0</v>
      </c>
      <c r="AG104" s="194">
        <f t="shared" si="61"/>
        <v>0</v>
      </c>
      <c r="AH104" s="194">
        <f t="shared" si="62"/>
        <v>0</v>
      </c>
      <c r="AI104" s="199">
        <f t="shared" si="63"/>
        <v>0</v>
      </c>
      <c r="AK104" s="71">
        <v>99</v>
      </c>
      <c r="AL104" s="33"/>
      <c r="AM104" s="33"/>
      <c r="AN104" s="33"/>
      <c r="AO104" s="33"/>
      <c r="AP104" s="33"/>
      <c r="AQ104" s="194"/>
      <c r="AR104" s="194"/>
      <c r="AS104" s="194"/>
      <c r="AT104" s="194"/>
      <c r="AU104" s="33"/>
      <c r="AV104" s="33"/>
      <c r="AW104" s="33"/>
      <c r="AX104" s="33"/>
      <c r="AY104" s="76"/>
    </row>
    <row r="105" spans="2:51" x14ac:dyDescent="0.3">
      <c r="B105" t="s">
        <v>80</v>
      </c>
      <c r="C105">
        <v>0</v>
      </c>
      <c r="D105">
        <v>2</v>
      </c>
      <c r="F105" s="189" t="s">
        <v>230</v>
      </c>
      <c r="G105" s="24">
        <v>1.03</v>
      </c>
      <c r="I105" s="55">
        <v>100</v>
      </c>
      <c r="J105" s="33">
        <f t="shared" si="51"/>
        <v>0</v>
      </c>
      <c r="K105" s="33">
        <f t="shared" si="52"/>
        <v>0</v>
      </c>
      <c r="L105" s="33">
        <f t="shared" si="53"/>
        <v>0</v>
      </c>
      <c r="M105" s="33">
        <f t="shared" si="54"/>
        <v>0</v>
      </c>
      <c r="N105" s="33">
        <f t="shared" si="40"/>
        <v>0</v>
      </c>
      <c r="O105" s="34">
        <f t="shared" si="41"/>
        <v>0</v>
      </c>
      <c r="P105" s="55">
        <v>100</v>
      </c>
      <c r="Q105" s="33">
        <f t="shared" si="49"/>
        <v>0</v>
      </c>
      <c r="R105" s="33">
        <f t="shared" si="55"/>
        <v>0</v>
      </c>
      <c r="S105" s="33">
        <f t="shared" si="56"/>
        <v>0</v>
      </c>
      <c r="T105" s="33">
        <f t="shared" si="42"/>
        <v>0</v>
      </c>
      <c r="U105" s="33">
        <f t="shared" si="50"/>
        <v>0</v>
      </c>
      <c r="V105" s="33">
        <f t="shared" si="43"/>
        <v>0</v>
      </c>
      <c r="W105" s="33">
        <v>0</v>
      </c>
      <c r="X105" s="33">
        <f t="shared" si="44"/>
        <v>0</v>
      </c>
      <c r="Y105" s="38">
        <f t="shared" si="45"/>
        <v>0</v>
      </c>
      <c r="AA105" s="71">
        <v>100</v>
      </c>
      <c r="AB105" s="33">
        <f t="shared" si="46"/>
        <v>0</v>
      </c>
      <c r="AC105" s="305">
        <f t="shared" si="64"/>
        <v>0</v>
      </c>
      <c r="AD105" s="100">
        <f t="shared" si="47"/>
        <v>0</v>
      </c>
      <c r="AE105" s="100">
        <f t="shared" si="48"/>
        <v>0</v>
      </c>
      <c r="AF105" s="194">
        <f t="shared" si="60"/>
        <v>0</v>
      </c>
      <c r="AG105" s="194">
        <f t="shared" si="61"/>
        <v>0</v>
      </c>
      <c r="AH105" s="194">
        <f t="shared" si="62"/>
        <v>0</v>
      </c>
      <c r="AI105" s="199">
        <f t="shared" si="63"/>
        <v>0</v>
      </c>
      <c r="AK105" s="71">
        <v>100</v>
      </c>
      <c r="AL105" s="33"/>
      <c r="AM105" s="33"/>
      <c r="AN105" s="33"/>
      <c r="AO105" s="33"/>
      <c r="AP105" s="33"/>
      <c r="AQ105" s="194"/>
      <c r="AR105" s="194"/>
      <c r="AS105" s="194"/>
      <c r="AT105" s="194"/>
      <c r="AU105" s="33"/>
      <c r="AV105" s="33"/>
      <c r="AW105" s="33"/>
      <c r="AX105" s="33"/>
      <c r="AY105" s="76"/>
    </row>
    <row r="106" spans="2:51" ht="27.6" x14ac:dyDescent="0.3">
      <c r="B106" t="s">
        <v>81</v>
      </c>
      <c r="C106">
        <v>0.77</v>
      </c>
      <c r="D106">
        <v>25</v>
      </c>
      <c r="F106" s="189" t="s">
        <v>231</v>
      </c>
      <c r="G106" s="24">
        <v>0.59</v>
      </c>
      <c r="I106" s="55">
        <v>101</v>
      </c>
      <c r="J106" s="33">
        <f t="shared" si="51"/>
        <v>0</v>
      </c>
      <c r="K106" s="33">
        <f t="shared" si="52"/>
        <v>0</v>
      </c>
      <c r="L106" s="33">
        <f t="shared" si="53"/>
        <v>0</v>
      </c>
      <c r="M106" s="33">
        <f t="shared" si="54"/>
        <v>0</v>
      </c>
      <c r="N106" s="33">
        <f t="shared" si="40"/>
        <v>0</v>
      </c>
      <c r="O106" s="34">
        <f t="shared" si="41"/>
        <v>0</v>
      </c>
      <c r="P106" s="55">
        <v>101</v>
      </c>
      <c r="Q106" s="33">
        <f t="shared" si="49"/>
        <v>0</v>
      </c>
      <c r="R106" s="33">
        <f t="shared" si="55"/>
        <v>0</v>
      </c>
      <c r="S106" s="33">
        <f t="shared" si="56"/>
        <v>0</v>
      </c>
      <c r="T106" s="33">
        <f t="shared" si="42"/>
        <v>0</v>
      </c>
      <c r="U106" s="33">
        <f t="shared" si="50"/>
        <v>0</v>
      </c>
      <c r="V106" s="33">
        <f t="shared" si="43"/>
        <v>0</v>
      </c>
      <c r="W106" s="33">
        <v>0</v>
      </c>
      <c r="X106" s="33">
        <f t="shared" si="44"/>
        <v>0</v>
      </c>
      <c r="Y106" s="38">
        <f t="shared" si="45"/>
        <v>0</v>
      </c>
      <c r="AA106" s="71">
        <v>101</v>
      </c>
      <c r="AB106" s="33">
        <f t="shared" si="46"/>
        <v>0</v>
      </c>
      <c r="AC106" s="305">
        <f t="shared" si="64"/>
        <v>0</v>
      </c>
      <c r="AD106" s="100">
        <f t="shared" si="47"/>
        <v>0</v>
      </c>
      <c r="AE106" s="100">
        <f t="shared" si="48"/>
        <v>0</v>
      </c>
      <c r="AF106" s="194">
        <f t="shared" si="60"/>
        <v>0</v>
      </c>
      <c r="AG106" s="194">
        <f t="shared" si="61"/>
        <v>0</v>
      </c>
      <c r="AH106" s="194">
        <f t="shared" si="62"/>
        <v>0</v>
      </c>
      <c r="AI106" s="199">
        <f t="shared" si="63"/>
        <v>0</v>
      </c>
      <c r="AK106" s="71">
        <v>101</v>
      </c>
      <c r="AL106" s="33"/>
      <c r="AM106" s="33"/>
      <c r="AN106" s="33"/>
      <c r="AO106" s="33"/>
      <c r="AP106" s="33"/>
      <c r="AQ106" s="194"/>
      <c r="AR106" s="194"/>
      <c r="AS106" s="194"/>
      <c r="AT106" s="194"/>
      <c r="AU106" s="33"/>
      <c r="AV106" s="33"/>
      <c r="AW106" s="33"/>
      <c r="AX106" s="33"/>
      <c r="AY106" s="76"/>
    </row>
    <row r="107" spans="2:51" x14ac:dyDescent="0.3">
      <c r="B107" t="s">
        <v>82</v>
      </c>
      <c r="C107">
        <f>44%*C105+56%*C106</f>
        <v>0.43120000000000003</v>
      </c>
      <c r="D107">
        <f>44%*D105+56%*D106</f>
        <v>14.880000000000003</v>
      </c>
      <c r="F107" s="189" t="s">
        <v>229</v>
      </c>
      <c r="G107" s="24">
        <v>0.43</v>
      </c>
      <c r="I107" s="55">
        <v>102</v>
      </c>
      <c r="J107" s="33">
        <f t="shared" si="51"/>
        <v>0</v>
      </c>
      <c r="K107" s="33">
        <f t="shared" si="52"/>
        <v>0</v>
      </c>
      <c r="L107" s="33">
        <f t="shared" si="53"/>
        <v>0</v>
      </c>
      <c r="M107" s="33">
        <f t="shared" si="54"/>
        <v>0</v>
      </c>
      <c r="N107" s="33">
        <f t="shared" si="40"/>
        <v>0</v>
      </c>
      <c r="O107" s="34">
        <f t="shared" si="41"/>
        <v>0</v>
      </c>
      <c r="P107" s="55">
        <v>102</v>
      </c>
      <c r="Q107" s="33">
        <f t="shared" si="49"/>
        <v>0</v>
      </c>
      <c r="R107" s="33">
        <f t="shared" si="55"/>
        <v>0</v>
      </c>
      <c r="S107" s="33">
        <f t="shared" si="56"/>
        <v>0</v>
      </c>
      <c r="T107" s="33">
        <f t="shared" si="42"/>
        <v>0</v>
      </c>
      <c r="U107" s="33">
        <f t="shared" si="50"/>
        <v>0</v>
      </c>
      <c r="V107" s="33">
        <f t="shared" si="43"/>
        <v>0</v>
      </c>
      <c r="W107" s="33">
        <v>0</v>
      </c>
      <c r="X107" s="33">
        <f t="shared" si="44"/>
        <v>0</v>
      </c>
      <c r="Y107" s="38">
        <f t="shared" si="45"/>
        <v>0</v>
      </c>
      <c r="AA107" s="71">
        <v>102</v>
      </c>
      <c r="AB107" s="33">
        <f t="shared" si="46"/>
        <v>0</v>
      </c>
      <c r="AC107" s="305">
        <f t="shared" si="64"/>
        <v>0</v>
      </c>
      <c r="AD107" s="100">
        <f t="shared" si="47"/>
        <v>0</v>
      </c>
      <c r="AE107" s="100">
        <f t="shared" si="48"/>
        <v>0</v>
      </c>
      <c r="AF107" s="194">
        <f t="shared" si="60"/>
        <v>0</v>
      </c>
      <c r="AG107" s="194">
        <f t="shared" si="61"/>
        <v>0</v>
      </c>
      <c r="AH107" s="194">
        <f t="shared" si="62"/>
        <v>0</v>
      </c>
      <c r="AI107" s="199">
        <f t="shared" si="63"/>
        <v>0</v>
      </c>
      <c r="AK107" s="71">
        <v>102</v>
      </c>
      <c r="AL107" s="33"/>
      <c r="AM107" s="33"/>
      <c r="AN107" s="33"/>
      <c r="AO107" s="33"/>
      <c r="AP107" s="33"/>
      <c r="AQ107" s="194"/>
      <c r="AR107" s="194"/>
      <c r="AS107" s="194"/>
      <c r="AT107" s="194"/>
      <c r="AU107" s="33"/>
      <c r="AV107" s="33"/>
      <c r="AW107" s="33"/>
      <c r="AX107" s="33"/>
      <c r="AY107" s="76"/>
    </row>
    <row r="108" spans="2:51" x14ac:dyDescent="0.3">
      <c r="B108" t="s">
        <v>79</v>
      </c>
      <c r="C108">
        <v>0.25</v>
      </c>
      <c r="D108">
        <v>0</v>
      </c>
      <c r="F108" s="191" t="s">
        <v>233</v>
      </c>
      <c r="G108" s="192">
        <f>VLOOKUP(VLOOKUP(F17,C131:E195,3,FALSE),F104:G107,2,FALSE)</f>
        <v>0.43</v>
      </c>
      <c r="I108" s="55">
        <v>103</v>
      </c>
      <c r="J108" s="33">
        <f t="shared" si="51"/>
        <v>0</v>
      </c>
      <c r="K108" s="33">
        <f t="shared" si="52"/>
        <v>0</v>
      </c>
      <c r="L108" s="33">
        <f t="shared" si="53"/>
        <v>0</v>
      </c>
      <c r="M108" s="33">
        <f t="shared" si="54"/>
        <v>0</v>
      </c>
      <c r="N108" s="33">
        <f t="shared" si="40"/>
        <v>0</v>
      </c>
      <c r="O108" s="34">
        <f t="shared" si="41"/>
        <v>0</v>
      </c>
      <c r="P108" s="55">
        <v>103</v>
      </c>
      <c r="Q108" s="33">
        <f t="shared" si="49"/>
        <v>0</v>
      </c>
      <c r="R108" s="33">
        <f t="shared" si="55"/>
        <v>0</v>
      </c>
      <c r="S108" s="33">
        <f t="shared" si="56"/>
        <v>0</v>
      </c>
      <c r="T108" s="33">
        <f t="shared" si="42"/>
        <v>0</v>
      </c>
      <c r="U108" s="33">
        <f t="shared" si="50"/>
        <v>0</v>
      </c>
      <c r="V108" s="33">
        <f t="shared" si="43"/>
        <v>0</v>
      </c>
      <c r="W108" s="33">
        <v>0</v>
      </c>
      <c r="X108" s="33">
        <f t="shared" si="44"/>
        <v>0</v>
      </c>
      <c r="Y108" s="38">
        <f t="shared" si="45"/>
        <v>0</v>
      </c>
      <c r="AA108" s="71">
        <v>103</v>
      </c>
      <c r="AB108" s="33">
        <f t="shared" si="46"/>
        <v>0</v>
      </c>
      <c r="AC108" s="305">
        <f t="shared" si="64"/>
        <v>0</v>
      </c>
      <c r="AD108" s="100">
        <f t="shared" si="47"/>
        <v>0</v>
      </c>
      <c r="AE108" s="100">
        <f t="shared" si="48"/>
        <v>0</v>
      </c>
      <c r="AF108" s="194">
        <f t="shared" si="60"/>
        <v>0</v>
      </c>
      <c r="AG108" s="194">
        <f t="shared" si="61"/>
        <v>0</v>
      </c>
      <c r="AH108" s="194">
        <f t="shared" si="62"/>
        <v>0</v>
      </c>
      <c r="AI108" s="199">
        <f t="shared" si="63"/>
        <v>0</v>
      </c>
      <c r="AK108" s="71">
        <v>103</v>
      </c>
      <c r="AL108" s="33"/>
      <c r="AM108" s="33"/>
      <c r="AN108" s="33"/>
      <c r="AO108" s="33"/>
      <c r="AP108" s="33"/>
      <c r="AQ108" s="194"/>
      <c r="AR108" s="194"/>
      <c r="AS108" s="194"/>
      <c r="AT108" s="194"/>
      <c r="AU108" s="33"/>
      <c r="AV108" s="33"/>
      <c r="AW108" s="33"/>
      <c r="AX108" s="33"/>
      <c r="AY108" s="76"/>
    </row>
    <row r="109" spans="2:51" x14ac:dyDescent="0.3">
      <c r="I109" s="55">
        <v>104</v>
      </c>
      <c r="J109" s="33">
        <f t="shared" si="51"/>
        <v>0</v>
      </c>
      <c r="K109" s="33">
        <f t="shared" si="52"/>
        <v>0</v>
      </c>
      <c r="L109" s="33">
        <f t="shared" si="53"/>
        <v>0</v>
      </c>
      <c r="M109" s="33">
        <f t="shared" si="54"/>
        <v>0</v>
      </c>
      <c r="N109" s="33">
        <f t="shared" si="40"/>
        <v>0</v>
      </c>
      <c r="O109" s="34">
        <f t="shared" si="41"/>
        <v>0</v>
      </c>
      <c r="P109" s="55">
        <v>104</v>
      </c>
      <c r="Q109" s="33">
        <f t="shared" si="49"/>
        <v>0</v>
      </c>
      <c r="R109" s="33">
        <f t="shared" si="55"/>
        <v>0</v>
      </c>
      <c r="S109" s="33">
        <f t="shared" si="56"/>
        <v>0</v>
      </c>
      <c r="T109" s="33">
        <f t="shared" si="42"/>
        <v>0</v>
      </c>
      <c r="U109" s="33">
        <f t="shared" si="50"/>
        <v>0</v>
      </c>
      <c r="V109" s="33">
        <f t="shared" si="43"/>
        <v>0</v>
      </c>
      <c r="W109" s="33">
        <v>0</v>
      </c>
      <c r="X109" s="33">
        <f t="shared" si="44"/>
        <v>0</v>
      </c>
      <c r="Y109" s="38">
        <f t="shared" si="45"/>
        <v>0</v>
      </c>
      <c r="AA109" s="71">
        <v>104</v>
      </c>
      <c r="AB109" s="33">
        <f t="shared" si="46"/>
        <v>0</v>
      </c>
      <c r="AC109" s="305">
        <f t="shared" si="64"/>
        <v>0</v>
      </c>
      <c r="AD109" s="100">
        <f t="shared" si="47"/>
        <v>0</v>
      </c>
      <c r="AE109" s="100">
        <f t="shared" si="48"/>
        <v>0</v>
      </c>
      <c r="AF109" s="194">
        <f t="shared" si="60"/>
        <v>0</v>
      </c>
      <c r="AG109" s="194">
        <f t="shared" si="61"/>
        <v>0</v>
      </c>
      <c r="AH109" s="194">
        <f t="shared" si="62"/>
        <v>0</v>
      </c>
      <c r="AI109" s="199">
        <f t="shared" si="63"/>
        <v>0</v>
      </c>
      <c r="AK109" s="71">
        <v>104</v>
      </c>
      <c r="AL109" s="33"/>
      <c r="AM109" s="33"/>
      <c r="AN109" s="33"/>
      <c r="AO109" s="33"/>
      <c r="AP109" s="33"/>
      <c r="AQ109" s="194"/>
      <c r="AR109" s="194"/>
      <c r="AS109" s="194"/>
      <c r="AT109" s="194"/>
      <c r="AU109" s="33"/>
      <c r="AV109" s="33"/>
      <c r="AW109" s="33"/>
      <c r="AX109" s="33"/>
      <c r="AY109" s="76"/>
    </row>
    <row r="110" spans="2:51" x14ac:dyDescent="0.3">
      <c r="I110" s="55">
        <v>105</v>
      </c>
      <c r="J110" s="33">
        <f t="shared" si="51"/>
        <v>0</v>
      </c>
      <c r="K110" s="33">
        <f t="shared" si="52"/>
        <v>0</v>
      </c>
      <c r="L110" s="33">
        <f t="shared" si="53"/>
        <v>0</v>
      </c>
      <c r="M110" s="33">
        <f t="shared" si="54"/>
        <v>0</v>
      </c>
      <c r="N110" s="33">
        <f t="shared" si="40"/>
        <v>0</v>
      </c>
      <c r="O110" s="34">
        <f t="shared" si="41"/>
        <v>0</v>
      </c>
      <c r="P110" s="55">
        <v>105</v>
      </c>
      <c r="Q110" s="33">
        <f t="shared" si="49"/>
        <v>0</v>
      </c>
      <c r="R110" s="33">
        <f t="shared" si="55"/>
        <v>0</v>
      </c>
      <c r="S110" s="33">
        <f t="shared" si="56"/>
        <v>0</v>
      </c>
      <c r="T110" s="33">
        <f t="shared" si="42"/>
        <v>0</v>
      </c>
      <c r="U110" s="33">
        <f t="shared" si="50"/>
        <v>0</v>
      </c>
      <c r="V110" s="33">
        <f t="shared" si="43"/>
        <v>0</v>
      </c>
      <c r="W110" s="33">
        <v>0</v>
      </c>
      <c r="X110" s="33">
        <f t="shared" si="44"/>
        <v>0</v>
      </c>
      <c r="Y110" s="38">
        <f t="shared" si="45"/>
        <v>0</v>
      </c>
      <c r="AA110" s="71">
        <v>105</v>
      </c>
      <c r="AB110" s="33">
        <f t="shared" si="46"/>
        <v>0</v>
      </c>
      <c r="AC110" s="305">
        <f t="shared" si="64"/>
        <v>0</v>
      </c>
      <c r="AD110" s="100">
        <f t="shared" si="47"/>
        <v>0</v>
      </c>
      <c r="AE110" s="100">
        <f t="shared" si="48"/>
        <v>0</v>
      </c>
      <c r="AF110" s="194">
        <f t="shared" si="60"/>
        <v>0</v>
      </c>
      <c r="AG110" s="194">
        <f t="shared" si="61"/>
        <v>0</v>
      </c>
      <c r="AH110" s="194">
        <f t="shared" si="62"/>
        <v>0</v>
      </c>
      <c r="AI110" s="199">
        <f t="shared" si="63"/>
        <v>0</v>
      </c>
      <c r="AK110" s="71">
        <v>105</v>
      </c>
      <c r="AL110" s="33"/>
      <c r="AM110" s="33"/>
      <c r="AN110" s="33"/>
      <c r="AO110" s="33"/>
      <c r="AP110" s="33"/>
      <c r="AQ110" s="194"/>
      <c r="AR110" s="194"/>
      <c r="AS110" s="194"/>
      <c r="AT110" s="194"/>
      <c r="AU110" s="33"/>
      <c r="AV110" s="33"/>
      <c r="AW110" s="33"/>
      <c r="AX110" s="33"/>
      <c r="AY110" s="76"/>
    </row>
    <row r="111" spans="2:51" x14ac:dyDescent="0.3">
      <c r="C111" s="157" t="s">
        <v>169</v>
      </c>
      <c r="D111" s="157"/>
      <c r="E111" s="157"/>
      <c r="I111" s="55">
        <v>106</v>
      </c>
      <c r="J111" s="33">
        <f t="shared" si="51"/>
        <v>0</v>
      </c>
      <c r="K111" s="33">
        <f t="shared" si="52"/>
        <v>0</v>
      </c>
      <c r="L111" s="33">
        <f t="shared" si="53"/>
        <v>0</v>
      </c>
      <c r="M111" s="33">
        <f t="shared" si="54"/>
        <v>0</v>
      </c>
      <c r="N111" s="33">
        <f t="shared" si="40"/>
        <v>0</v>
      </c>
      <c r="O111" s="34">
        <f t="shared" si="41"/>
        <v>0</v>
      </c>
      <c r="P111" s="55">
        <v>106</v>
      </c>
      <c r="Q111" s="33">
        <f t="shared" si="49"/>
        <v>0</v>
      </c>
      <c r="R111" s="33">
        <f t="shared" si="55"/>
        <v>0</v>
      </c>
      <c r="S111" s="33">
        <f t="shared" si="56"/>
        <v>0</v>
      </c>
      <c r="T111" s="33">
        <f t="shared" si="42"/>
        <v>0</v>
      </c>
      <c r="U111" s="33">
        <f t="shared" si="50"/>
        <v>0</v>
      </c>
      <c r="V111" s="33">
        <f t="shared" si="43"/>
        <v>0</v>
      </c>
      <c r="W111" s="33">
        <v>0</v>
      </c>
      <c r="X111" s="33">
        <f t="shared" si="44"/>
        <v>0</v>
      </c>
      <c r="Y111" s="38">
        <f t="shared" si="45"/>
        <v>0</v>
      </c>
      <c r="AA111" s="71">
        <v>106</v>
      </c>
      <c r="AB111" s="33">
        <f t="shared" si="46"/>
        <v>0</v>
      </c>
      <c r="AC111" s="305">
        <f t="shared" si="64"/>
        <v>0</v>
      </c>
      <c r="AD111" s="100">
        <f t="shared" si="47"/>
        <v>0</v>
      </c>
      <c r="AE111" s="100">
        <f t="shared" si="48"/>
        <v>0</v>
      </c>
      <c r="AF111" s="194">
        <f t="shared" si="60"/>
        <v>0</v>
      </c>
      <c r="AG111" s="194">
        <f t="shared" si="61"/>
        <v>0</v>
      </c>
      <c r="AH111" s="194">
        <f t="shared" si="62"/>
        <v>0</v>
      </c>
      <c r="AI111" s="199">
        <f t="shared" si="63"/>
        <v>0</v>
      </c>
      <c r="AK111" s="71">
        <v>106</v>
      </c>
      <c r="AL111" s="33"/>
      <c r="AM111" s="33"/>
      <c r="AN111" s="33"/>
      <c r="AO111" s="33"/>
      <c r="AP111" s="33"/>
      <c r="AQ111" s="194"/>
      <c r="AR111" s="194"/>
      <c r="AS111" s="194"/>
      <c r="AT111" s="194"/>
      <c r="AU111" s="33"/>
      <c r="AV111" s="33"/>
      <c r="AW111" s="33"/>
      <c r="AX111" s="33"/>
      <c r="AY111" s="76"/>
    </row>
    <row r="112" spans="2:51" x14ac:dyDescent="0.3">
      <c r="C112" s="74" t="s">
        <v>145</v>
      </c>
      <c r="D112" s="74" t="s">
        <v>72</v>
      </c>
      <c r="E112" s="74" t="s">
        <v>166</v>
      </c>
      <c r="I112" s="55">
        <v>107</v>
      </c>
      <c r="J112" s="33">
        <f t="shared" si="51"/>
        <v>0</v>
      </c>
      <c r="K112" s="33">
        <f t="shared" si="52"/>
        <v>0</v>
      </c>
      <c r="L112" s="33">
        <f t="shared" si="53"/>
        <v>0</v>
      </c>
      <c r="M112" s="33">
        <f t="shared" si="54"/>
        <v>0</v>
      </c>
      <c r="N112" s="33">
        <f t="shared" si="40"/>
        <v>0</v>
      </c>
      <c r="O112" s="34">
        <f t="shared" si="41"/>
        <v>0</v>
      </c>
      <c r="P112" s="55">
        <v>107</v>
      </c>
      <c r="Q112" s="33">
        <f t="shared" si="49"/>
        <v>0</v>
      </c>
      <c r="R112" s="33">
        <f t="shared" si="55"/>
        <v>0</v>
      </c>
      <c r="S112" s="33">
        <f t="shared" si="56"/>
        <v>0</v>
      </c>
      <c r="T112" s="33">
        <f t="shared" si="42"/>
        <v>0</v>
      </c>
      <c r="U112" s="33">
        <f t="shared" si="50"/>
        <v>0</v>
      </c>
      <c r="V112" s="33">
        <f t="shared" si="43"/>
        <v>0</v>
      </c>
      <c r="W112" s="33">
        <v>0</v>
      </c>
      <c r="X112" s="33">
        <f t="shared" si="44"/>
        <v>0</v>
      </c>
      <c r="Y112" s="38">
        <f t="shared" si="45"/>
        <v>0</v>
      </c>
      <c r="AA112" s="71">
        <v>107</v>
      </c>
      <c r="AB112" s="33">
        <f t="shared" si="46"/>
        <v>0</v>
      </c>
      <c r="AC112" s="305">
        <f t="shared" si="64"/>
        <v>0</v>
      </c>
      <c r="AD112" s="100">
        <f t="shared" si="47"/>
        <v>0</v>
      </c>
      <c r="AE112" s="100">
        <f t="shared" si="48"/>
        <v>0</v>
      </c>
      <c r="AF112" s="194">
        <f t="shared" si="60"/>
        <v>0</v>
      </c>
      <c r="AG112" s="194">
        <f t="shared" si="61"/>
        <v>0</v>
      </c>
      <c r="AH112" s="194">
        <f t="shared" si="62"/>
        <v>0</v>
      </c>
      <c r="AI112" s="199">
        <f t="shared" si="63"/>
        <v>0</v>
      </c>
      <c r="AK112" s="71">
        <v>107</v>
      </c>
      <c r="AL112" s="33"/>
      <c r="AM112" s="33"/>
      <c r="AN112" s="33"/>
      <c r="AO112" s="33"/>
      <c r="AP112" s="33"/>
      <c r="AQ112" s="194"/>
      <c r="AR112" s="194"/>
      <c r="AS112" s="194"/>
      <c r="AT112" s="194"/>
      <c r="AU112" s="33"/>
      <c r="AV112" s="33"/>
      <c r="AW112" s="33"/>
      <c r="AX112" s="33"/>
      <c r="AY112" s="76"/>
    </row>
    <row r="113" spans="2:51" x14ac:dyDescent="0.3">
      <c r="B113" s="67" t="s">
        <v>167</v>
      </c>
      <c r="C113" s="79" t="e">
        <f>1/$F$18*SUM(X6:X205)</f>
        <v>#DIV/0!</v>
      </c>
      <c r="D113" s="79" t="e">
        <f>1/$F$10*SUM(O6:O205)</f>
        <v>#DIV/0!</v>
      </c>
      <c r="E113" s="78" t="e">
        <f>C113-D113</f>
        <v>#DIV/0!</v>
      </c>
      <c r="I113" s="55">
        <v>108</v>
      </c>
      <c r="J113" s="33">
        <f t="shared" si="51"/>
        <v>0</v>
      </c>
      <c r="K113" s="33">
        <f t="shared" si="52"/>
        <v>0</v>
      </c>
      <c r="L113" s="33">
        <f t="shared" si="53"/>
        <v>0</v>
      </c>
      <c r="M113" s="33">
        <f t="shared" si="54"/>
        <v>0</v>
      </c>
      <c r="N113" s="33">
        <f t="shared" si="40"/>
        <v>0</v>
      </c>
      <c r="O113" s="34">
        <f t="shared" si="41"/>
        <v>0</v>
      </c>
      <c r="P113" s="55">
        <v>108</v>
      </c>
      <c r="Q113" s="33">
        <f t="shared" si="49"/>
        <v>0</v>
      </c>
      <c r="R113" s="33">
        <f t="shared" si="55"/>
        <v>0</v>
      </c>
      <c r="S113" s="33">
        <f t="shared" si="56"/>
        <v>0</v>
      </c>
      <c r="T113" s="33">
        <f t="shared" si="42"/>
        <v>0</v>
      </c>
      <c r="U113" s="33">
        <f t="shared" si="50"/>
        <v>0</v>
      </c>
      <c r="V113" s="33">
        <f t="shared" si="43"/>
        <v>0</v>
      </c>
      <c r="W113" s="33">
        <v>0</v>
      </c>
      <c r="X113" s="33">
        <f t="shared" si="44"/>
        <v>0</v>
      </c>
      <c r="Y113" s="38">
        <f t="shared" si="45"/>
        <v>0</v>
      </c>
      <c r="AA113" s="71">
        <v>108</v>
      </c>
      <c r="AB113" s="33">
        <f t="shared" si="46"/>
        <v>0</v>
      </c>
      <c r="AC113" s="305">
        <f t="shared" si="64"/>
        <v>0</v>
      </c>
      <c r="AD113" s="100">
        <f t="shared" si="47"/>
        <v>0</v>
      </c>
      <c r="AE113" s="100">
        <f t="shared" si="48"/>
        <v>0</v>
      </c>
      <c r="AF113" s="194">
        <f t="shared" si="60"/>
        <v>0</v>
      </c>
      <c r="AG113" s="194">
        <f t="shared" si="61"/>
        <v>0</v>
      </c>
      <c r="AH113" s="194">
        <f t="shared" si="62"/>
        <v>0</v>
      </c>
      <c r="AI113" s="199">
        <f t="shared" si="63"/>
        <v>0</v>
      </c>
      <c r="AK113" s="71">
        <v>108</v>
      </c>
      <c r="AL113" s="33"/>
      <c r="AM113" s="33"/>
      <c r="AN113" s="33"/>
      <c r="AO113" s="33"/>
      <c r="AP113" s="33"/>
      <c r="AQ113" s="194"/>
      <c r="AR113" s="194"/>
      <c r="AS113" s="194"/>
      <c r="AT113" s="194"/>
      <c r="AU113" s="33"/>
      <c r="AV113" s="33"/>
      <c r="AW113" s="33"/>
      <c r="AX113" s="33"/>
      <c r="AY113" s="76"/>
    </row>
    <row r="114" spans="2:51" x14ac:dyDescent="0.3">
      <c r="B114" s="67" t="s">
        <v>168</v>
      </c>
      <c r="C114" s="79">
        <f>X35</f>
        <v>0</v>
      </c>
      <c r="D114" s="79">
        <f>O35</f>
        <v>0</v>
      </c>
      <c r="E114" s="78">
        <f>VLOOKUP(30,I5:Y205,17,FALSE)</f>
        <v>0</v>
      </c>
      <c r="I114" s="55">
        <v>109</v>
      </c>
      <c r="J114" s="33">
        <f t="shared" si="51"/>
        <v>0</v>
      </c>
      <c r="K114" s="33">
        <f t="shared" si="52"/>
        <v>0</v>
      </c>
      <c r="L114" s="33">
        <f t="shared" si="53"/>
        <v>0</v>
      </c>
      <c r="M114" s="33">
        <f t="shared" si="54"/>
        <v>0</v>
      </c>
      <c r="N114" s="33">
        <f t="shared" si="40"/>
        <v>0</v>
      </c>
      <c r="O114" s="34">
        <f t="shared" si="41"/>
        <v>0</v>
      </c>
      <c r="P114" s="55">
        <v>109</v>
      </c>
      <c r="Q114" s="33">
        <f t="shared" si="49"/>
        <v>0</v>
      </c>
      <c r="R114" s="33">
        <f t="shared" si="55"/>
        <v>0</v>
      </c>
      <c r="S114" s="33">
        <f t="shared" si="56"/>
        <v>0</v>
      </c>
      <c r="T114" s="33">
        <f t="shared" si="42"/>
        <v>0</v>
      </c>
      <c r="U114" s="33">
        <f t="shared" si="50"/>
        <v>0</v>
      </c>
      <c r="V114" s="33">
        <f t="shared" si="43"/>
        <v>0</v>
      </c>
      <c r="W114" s="33">
        <v>0</v>
      </c>
      <c r="X114" s="33">
        <f t="shared" si="44"/>
        <v>0</v>
      </c>
      <c r="Y114" s="38">
        <f t="shared" si="45"/>
        <v>0</v>
      </c>
      <c r="AA114" s="71">
        <v>109</v>
      </c>
      <c r="AB114" s="33">
        <f t="shared" si="46"/>
        <v>0</v>
      </c>
      <c r="AC114" s="305">
        <f t="shared" si="64"/>
        <v>0</v>
      </c>
      <c r="AD114" s="100">
        <f t="shared" si="47"/>
        <v>0</v>
      </c>
      <c r="AE114" s="100">
        <f t="shared" si="48"/>
        <v>0</v>
      </c>
      <c r="AF114" s="194">
        <f t="shared" si="60"/>
        <v>0</v>
      </c>
      <c r="AG114" s="194">
        <f t="shared" si="61"/>
        <v>0</v>
      </c>
      <c r="AH114" s="194">
        <f t="shared" si="62"/>
        <v>0</v>
      </c>
      <c r="AI114" s="199">
        <f t="shared" si="63"/>
        <v>0</v>
      </c>
      <c r="AK114" s="71">
        <v>109</v>
      </c>
      <c r="AL114" s="33"/>
      <c r="AM114" s="33"/>
      <c r="AN114" s="33"/>
      <c r="AO114" s="33"/>
      <c r="AP114" s="33"/>
      <c r="AQ114" s="194"/>
      <c r="AR114" s="194"/>
      <c r="AS114" s="194"/>
      <c r="AT114" s="194"/>
      <c r="AU114" s="33"/>
      <c r="AV114" s="33"/>
      <c r="AW114" s="33"/>
      <c r="AX114" s="33"/>
      <c r="AY114" s="76"/>
    </row>
    <row r="115" spans="2:51" x14ac:dyDescent="0.3">
      <c r="C115" s="80"/>
      <c r="D115" s="80"/>
      <c r="E115" s="80"/>
      <c r="I115" s="55">
        <v>110</v>
      </c>
      <c r="J115" s="33">
        <f t="shared" si="51"/>
        <v>0</v>
      </c>
      <c r="K115" s="33">
        <f t="shared" si="52"/>
        <v>0</v>
      </c>
      <c r="L115" s="33">
        <f t="shared" si="53"/>
        <v>0</v>
      </c>
      <c r="M115" s="33">
        <f t="shared" si="54"/>
        <v>0</v>
      </c>
      <c r="N115" s="33">
        <f t="shared" si="40"/>
        <v>0</v>
      </c>
      <c r="O115" s="34">
        <f t="shared" si="41"/>
        <v>0</v>
      </c>
      <c r="P115" s="55">
        <v>110</v>
      </c>
      <c r="Q115" s="33">
        <f t="shared" si="49"/>
        <v>0</v>
      </c>
      <c r="R115" s="33">
        <f t="shared" si="55"/>
        <v>0</v>
      </c>
      <c r="S115" s="33">
        <f t="shared" si="56"/>
        <v>0</v>
      </c>
      <c r="T115" s="33">
        <f t="shared" si="42"/>
        <v>0</v>
      </c>
      <c r="U115" s="33">
        <f t="shared" si="50"/>
        <v>0</v>
      </c>
      <c r="V115" s="33">
        <f t="shared" si="43"/>
        <v>0</v>
      </c>
      <c r="W115" s="33">
        <v>0</v>
      </c>
      <c r="X115" s="33">
        <f t="shared" si="44"/>
        <v>0</v>
      </c>
      <c r="Y115" s="38">
        <f t="shared" si="45"/>
        <v>0</v>
      </c>
      <c r="AA115" s="71">
        <v>110</v>
      </c>
      <c r="AB115" s="33">
        <f t="shared" si="46"/>
        <v>0</v>
      </c>
      <c r="AC115" s="305">
        <f t="shared" si="64"/>
        <v>0</v>
      </c>
      <c r="AD115" s="100">
        <f t="shared" si="47"/>
        <v>0</v>
      </c>
      <c r="AE115" s="100">
        <f t="shared" si="48"/>
        <v>0</v>
      </c>
      <c r="AF115" s="194">
        <f t="shared" si="60"/>
        <v>0</v>
      </c>
      <c r="AG115" s="194">
        <f t="shared" si="61"/>
        <v>0</v>
      </c>
      <c r="AH115" s="194">
        <f t="shared" si="62"/>
        <v>0</v>
      </c>
      <c r="AI115" s="199">
        <f t="shared" si="63"/>
        <v>0</v>
      </c>
      <c r="AK115" s="71">
        <v>110</v>
      </c>
      <c r="AL115" s="33"/>
      <c r="AM115" s="33"/>
      <c r="AN115" s="33"/>
      <c r="AO115" s="33"/>
      <c r="AP115" s="33"/>
      <c r="AQ115" s="194"/>
      <c r="AR115" s="194"/>
      <c r="AS115" s="194"/>
      <c r="AT115" s="194"/>
      <c r="AU115" s="33"/>
      <c r="AV115" s="33"/>
      <c r="AW115" s="33"/>
      <c r="AX115" s="33"/>
      <c r="AY115" s="76"/>
    </row>
    <row r="116" spans="2:51" x14ac:dyDescent="0.3">
      <c r="C116" s="135" t="s">
        <v>125</v>
      </c>
      <c r="D116" s="135"/>
      <c r="E116" s="135"/>
      <c r="I116" s="55">
        <v>111</v>
      </c>
      <c r="J116" s="33">
        <f t="shared" si="51"/>
        <v>0</v>
      </c>
      <c r="K116" s="33">
        <f t="shared" si="52"/>
        <v>0</v>
      </c>
      <c r="L116" s="33">
        <f t="shared" si="53"/>
        <v>0</v>
      </c>
      <c r="M116" s="33">
        <f t="shared" si="54"/>
        <v>0</v>
      </c>
      <c r="N116" s="33">
        <f t="shared" si="40"/>
        <v>0</v>
      </c>
      <c r="O116" s="34">
        <f t="shared" si="41"/>
        <v>0</v>
      </c>
      <c r="P116" s="55">
        <v>111</v>
      </c>
      <c r="Q116" s="33">
        <f t="shared" si="49"/>
        <v>0</v>
      </c>
      <c r="R116" s="33">
        <f t="shared" si="55"/>
        <v>0</v>
      </c>
      <c r="S116" s="33">
        <f t="shared" si="56"/>
        <v>0</v>
      </c>
      <c r="T116" s="33">
        <f t="shared" si="42"/>
        <v>0</v>
      </c>
      <c r="U116" s="33">
        <f t="shared" si="50"/>
        <v>0</v>
      </c>
      <c r="V116" s="33">
        <f t="shared" si="43"/>
        <v>0</v>
      </c>
      <c r="W116" s="33">
        <v>0</v>
      </c>
      <c r="X116" s="33">
        <f t="shared" si="44"/>
        <v>0</v>
      </c>
      <c r="Y116" s="38">
        <f t="shared" si="45"/>
        <v>0</v>
      </c>
      <c r="AA116" s="71">
        <v>111</v>
      </c>
      <c r="AB116" s="33">
        <f t="shared" si="46"/>
        <v>0</v>
      </c>
      <c r="AC116" s="305">
        <f t="shared" si="64"/>
        <v>0</v>
      </c>
      <c r="AD116" s="100">
        <f t="shared" si="47"/>
        <v>0</v>
      </c>
      <c r="AE116" s="100">
        <f t="shared" si="48"/>
        <v>0</v>
      </c>
      <c r="AF116" s="194">
        <f t="shared" si="60"/>
        <v>0</v>
      </c>
      <c r="AG116" s="194">
        <f t="shared" si="61"/>
        <v>0</v>
      </c>
      <c r="AH116" s="194">
        <f t="shared" si="62"/>
        <v>0</v>
      </c>
      <c r="AI116" s="199">
        <f t="shared" si="63"/>
        <v>0</v>
      </c>
      <c r="AK116" s="71">
        <v>111</v>
      </c>
      <c r="AL116" s="33"/>
      <c r="AM116" s="33"/>
      <c r="AN116" s="33"/>
      <c r="AO116" s="33"/>
      <c r="AP116" s="33"/>
      <c r="AQ116" s="194"/>
      <c r="AR116" s="194"/>
      <c r="AS116" s="194"/>
      <c r="AT116" s="194"/>
      <c r="AU116" s="33"/>
      <c r="AV116" s="33"/>
      <c r="AW116" s="33"/>
      <c r="AX116" s="33"/>
      <c r="AY116" s="76"/>
    </row>
    <row r="117" spans="2:51" x14ac:dyDescent="0.3">
      <c r="C117" s="135" t="s">
        <v>145</v>
      </c>
      <c r="D117" s="135" t="s">
        <v>72</v>
      </c>
      <c r="E117" s="81" t="s">
        <v>166</v>
      </c>
      <c r="I117" s="55">
        <v>112</v>
      </c>
      <c r="J117" s="33">
        <f t="shared" si="51"/>
        <v>0</v>
      </c>
      <c r="K117" s="33">
        <f t="shared" si="52"/>
        <v>0</v>
      </c>
      <c r="L117" s="33">
        <f t="shared" si="53"/>
        <v>0</v>
      </c>
      <c r="M117" s="33">
        <f t="shared" si="54"/>
        <v>0</v>
      </c>
      <c r="N117" s="33">
        <f t="shared" si="40"/>
        <v>0</v>
      </c>
      <c r="O117" s="34">
        <f t="shared" si="41"/>
        <v>0</v>
      </c>
      <c r="P117" s="55">
        <v>112</v>
      </c>
      <c r="Q117" s="33">
        <f t="shared" si="49"/>
        <v>0</v>
      </c>
      <c r="R117" s="33">
        <f t="shared" si="55"/>
        <v>0</v>
      </c>
      <c r="S117" s="33">
        <f t="shared" si="56"/>
        <v>0</v>
      </c>
      <c r="T117" s="33">
        <f t="shared" si="42"/>
        <v>0</v>
      </c>
      <c r="U117" s="33">
        <f t="shared" si="50"/>
        <v>0</v>
      </c>
      <c r="V117" s="33">
        <f t="shared" si="43"/>
        <v>0</v>
      </c>
      <c r="W117" s="33">
        <v>0</v>
      </c>
      <c r="X117" s="33">
        <f t="shared" si="44"/>
        <v>0</v>
      </c>
      <c r="Y117" s="38">
        <f t="shared" si="45"/>
        <v>0</v>
      </c>
      <c r="AA117" s="71">
        <v>112</v>
      </c>
      <c r="AB117" s="33">
        <f t="shared" si="46"/>
        <v>0</v>
      </c>
      <c r="AC117" s="305">
        <f t="shared" si="64"/>
        <v>0</v>
      </c>
      <c r="AD117" s="100">
        <f t="shared" si="47"/>
        <v>0</v>
      </c>
      <c r="AE117" s="100">
        <f t="shared" si="48"/>
        <v>0</v>
      </c>
      <c r="AF117" s="194">
        <f t="shared" si="60"/>
        <v>0</v>
      </c>
      <c r="AG117" s="194">
        <f t="shared" si="61"/>
        <v>0</v>
      </c>
      <c r="AH117" s="194">
        <f t="shared" si="62"/>
        <v>0</v>
      </c>
      <c r="AI117" s="199">
        <f t="shared" si="63"/>
        <v>0</v>
      </c>
      <c r="AK117" s="71">
        <v>112</v>
      </c>
      <c r="AL117" s="33"/>
      <c r="AM117" s="33"/>
      <c r="AN117" s="33"/>
      <c r="AO117" s="33"/>
      <c r="AP117" s="33"/>
      <c r="AQ117" s="194"/>
      <c r="AR117" s="194"/>
      <c r="AS117" s="194"/>
      <c r="AT117" s="194"/>
      <c r="AU117" s="33"/>
      <c r="AV117" s="33"/>
      <c r="AW117" s="33"/>
      <c r="AX117" s="33"/>
      <c r="AY117" s="76"/>
    </row>
    <row r="118" spans="2:51" x14ac:dyDescent="0.3">
      <c r="B118" s="67" t="s">
        <v>261</v>
      </c>
      <c r="C118" s="303">
        <f>1/30*SUM(AI6:AI35)</f>
        <v>0</v>
      </c>
      <c r="D118" s="79">
        <v>0</v>
      </c>
      <c r="E118" s="78">
        <f>C118-D118</f>
        <v>0</v>
      </c>
      <c r="I118" s="55">
        <v>113</v>
      </c>
      <c r="J118" s="33">
        <f t="shared" si="51"/>
        <v>0</v>
      </c>
      <c r="K118" s="33">
        <f t="shared" si="52"/>
        <v>0</v>
      </c>
      <c r="L118" s="33">
        <f t="shared" si="53"/>
        <v>0</v>
      </c>
      <c r="M118" s="33">
        <f t="shared" si="54"/>
        <v>0</v>
      </c>
      <c r="N118" s="33">
        <f t="shared" si="40"/>
        <v>0</v>
      </c>
      <c r="O118" s="34">
        <f t="shared" si="41"/>
        <v>0</v>
      </c>
      <c r="P118" s="55">
        <v>113</v>
      </c>
      <c r="Q118" s="33">
        <f t="shared" si="49"/>
        <v>0</v>
      </c>
      <c r="R118" s="33">
        <f t="shared" si="55"/>
        <v>0</v>
      </c>
      <c r="S118" s="33">
        <f t="shared" si="56"/>
        <v>0</v>
      </c>
      <c r="T118" s="33">
        <f t="shared" si="42"/>
        <v>0</v>
      </c>
      <c r="U118" s="33">
        <f t="shared" si="50"/>
        <v>0</v>
      </c>
      <c r="V118" s="33">
        <f t="shared" si="43"/>
        <v>0</v>
      </c>
      <c r="W118" s="33">
        <v>0</v>
      </c>
      <c r="X118" s="33">
        <f t="shared" si="44"/>
        <v>0</v>
      </c>
      <c r="Y118" s="38">
        <f t="shared" si="45"/>
        <v>0</v>
      </c>
      <c r="AA118" s="71">
        <v>113</v>
      </c>
      <c r="AB118" s="33">
        <f t="shared" si="46"/>
        <v>0</v>
      </c>
      <c r="AC118" s="305">
        <f t="shared" si="64"/>
        <v>0</v>
      </c>
      <c r="AD118" s="100">
        <f t="shared" si="47"/>
        <v>0</v>
      </c>
      <c r="AE118" s="100">
        <f t="shared" si="48"/>
        <v>0</v>
      </c>
      <c r="AF118" s="194">
        <f t="shared" si="60"/>
        <v>0</v>
      </c>
      <c r="AG118" s="194">
        <f t="shared" si="61"/>
        <v>0</v>
      </c>
      <c r="AH118" s="194">
        <f t="shared" si="62"/>
        <v>0</v>
      </c>
      <c r="AI118" s="199">
        <f t="shared" si="63"/>
        <v>0</v>
      </c>
      <c r="AK118" s="71">
        <v>113</v>
      </c>
      <c r="AL118" s="33"/>
      <c r="AM118" s="33"/>
      <c r="AN118" s="33"/>
      <c r="AO118" s="33"/>
      <c r="AP118" s="33"/>
      <c r="AQ118" s="194"/>
      <c r="AR118" s="194"/>
      <c r="AS118" s="194"/>
      <c r="AT118" s="194"/>
      <c r="AU118" s="33"/>
      <c r="AV118" s="33"/>
      <c r="AW118" s="33"/>
      <c r="AX118" s="33"/>
      <c r="AY118" s="76"/>
    </row>
    <row r="119" spans="2:51" x14ac:dyDescent="0.3">
      <c r="B119" s="67"/>
      <c r="C119" s="82"/>
      <c r="D119" s="79"/>
      <c r="E119" s="78"/>
      <c r="I119" s="55">
        <v>114</v>
      </c>
      <c r="J119" s="33">
        <f t="shared" si="51"/>
        <v>0</v>
      </c>
      <c r="K119" s="33">
        <f t="shared" si="52"/>
        <v>0</v>
      </c>
      <c r="L119" s="33">
        <f t="shared" si="53"/>
        <v>0</v>
      </c>
      <c r="M119" s="33">
        <f t="shared" si="54"/>
        <v>0</v>
      </c>
      <c r="N119" s="33">
        <f t="shared" si="40"/>
        <v>0</v>
      </c>
      <c r="O119" s="34">
        <f t="shared" si="41"/>
        <v>0</v>
      </c>
      <c r="P119" s="55">
        <v>114</v>
      </c>
      <c r="Q119" s="33">
        <f t="shared" si="49"/>
        <v>0</v>
      </c>
      <c r="R119" s="33">
        <f t="shared" si="55"/>
        <v>0</v>
      </c>
      <c r="S119" s="33">
        <f t="shared" si="56"/>
        <v>0</v>
      </c>
      <c r="T119" s="33">
        <f t="shared" si="42"/>
        <v>0</v>
      </c>
      <c r="U119" s="33">
        <f t="shared" si="50"/>
        <v>0</v>
      </c>
      <c r="V119" s="33">
        <f t="shared" si="43"/>
        <v>0</v>
      </c>
      <c r="W119" s="33">
        <v>0</v>
      </c>
      <c r="X119" s="33">
        <f t="shared" si="44"/>
        <v>0</v>
      </c>
      <c r="Y119" s="38">
        <f t="shared" si="45"/>
        <v>0</v>
      </c>
      <c r="AA119" s="71">
        <v>114</v>
      </c>
      <c r="AB119" s="33">
        <f t="shared" si="46"/>
        <v>0</v>
      </c>
      <c r="AC119" s="305">
        <f t="shared" si="64"/>
        <v>0</v>
      </c>
      <c r="AD119" s="100">
        <f t="shared" si="47"/>
        <v>0</v>
      </c>
      <c r="AE119" s="100">
        <f t="shared" si="48"/>
        <v>0</v>
      </c>
      <c r="AF119" s="194">
        <f t="shared" si="60"/>
        <v>0</v>
      </c>
      <c r="AG119" s="194">
        <f t="shared" si="61"/>
        <v>0</v>
      </c>
      <c r="AH119" s="194">
        <f t="shared" si="62"/>
        <v>0</v>
      </c>
      <c r="AI119" s="199">
        <f t="shared" si="63"/>
        <v>0</v>
      </c>
      <c r="AK119" s="71">
        <v>114</v>
      </c>
      <c r="AL119" s="33"/>
      <c r="AM119" s="33"/>
      <c r="AN119" s="33"/>
      <c r="AO119" s="33"/>
      <c r="AP119" s="33"/>
      <c r="AQ119" s="194"/>
      <c r="AR119" s="194"/>
      <c r="AS119" s="194"/>
      <c r="AT119" s="194"/>
      <c r="AU119" s="33"/>
      <c r="AV119" s="33"/>
      <c r="AW119" s="33"/>
      <c r="AX119" s="33"/>
      <c r="AY119" s="76"/>
    </row>
    <row r="120" spans="2:51" x14ac:dyDescent="0.3">
      <c r="C120" s="80"/>
      <c r="D120" s="80"/>
      <c r="E120" s="83"/>
      <c r="I120" s="55">
        <v>115</v>
      </c>
      <c r="J120" s="33">
        <f t="shared" si="51"/>
        <v>0</v>
      </c>
      <c r="K120" s="33">
        <f t="shared" si="52"/>
        <v>0</v>
      </c>
      <c r="L120" s="33">
        <f t="shared" si="53"/>
        <v>0</v>
      </c>
      <c r="M120" s="33">
        <f t="shared" si="54"/>
        <v>0</v>
      </c>
      <c r="N120" s="33">
        <f t="shared" si="40"/>
        <v>0</v>
      </c>
      <c r="O120" s="34">
        <f t="shared" si="41"/>
        <v>0</v>
      </c>
      <c r="P120" s="55">
        <v>115</v>
      </c>
      <c r="Q120" s="33">
        <f t="shared" si="49"/>
        <v>0</v>
      </c>
      <c r="R120" s="33">
        <f t="shared" si="55"/>
        <v>0</v>
      </c>
      <c r="S120" s="33">
        <f t="shared" si="56"/>
        <v>0</v>
      </c>
      <c r="T120" s="33">
        <f t="shared" si="42"/>
        <v>0</v>
      </c>
      <c r="U120" s="33">
        <f t="shared" si="50"/>
        <v>0</v>
      </c>
      <c r="V120" s="33">
        <f t="shared" si="43"/>
        <v>0</v>
      </c>
      <c r="W120" s="33">
        <v>0</v>
      </c>
      <c r="X120" s="33">
        <f t="shared" si="44"/>
        <v>0</v>
      </c>
      <c r="Y120" s="38">
        <f t="shared" si="45"/>
        <v>0</v>
      </c>
      <c r="AA120" s="71">
        <v>115</v>
      </c>
      <c r="AB120" s="33">
        <f t="shared" si="46"/>
        <v>0</v>
      </c>
      <c r="AC120" s="305">
        <f t="shared" si="64"/>
        <v>0</v>
      </c>
      <c r="AD120" s="100">
        <f t="shared" si="47"/>
        <v>0</v>
      </c>
      <c r="AE120" s="100">
        <f t="shared" si="48"/>
        <v>0</v>
      </c>
      <c r="AF120" s="194">
        <f t="shared" si="60"/>
        <v>0</v>
      </c>
      <c r="AG120" s="194">
        <f t="shared" si="61"/>
        <v>0</v>
      </c>
      <c r="AH120" s="194">
        <f t="shared" si="62"/>
        <v>0</v>
      </c>
      <c r="AI120" s="199">
        <f t="shared" si="63"/>
        <v>0</v>
      </c>
      <c r="AK120" s="71">
        <v>115</v>
      </c>
      <c r="AL120" s="33"/>
      <c r="AM120" s="33"/>
      <c r="AN120" s="33"/>
      <c r="AO120" s="33"/>
      <c r="AP120" s="33"/>
      <c r="AQ120" s="194"/>
      <c r="AR120" s="194"/>
      <c r="AS120" s="194"/>
      <c r="AT120" s="194"/>
      <c r="AU120" s="33"/>
      <c r="AV120" s="33"/>
      <c r="AW120" s="33"/>
      <c r="AX120" s="33"/>
      <c r="AY120" s="76"/>
    </row>
    <row r="121" spans="2:51" x14ac:dyDescent="0.3">
      <c r="C121" s="135" t="s">
        <v>160</v>
      </c>
      <c r="D121" s="135"/>
      <c r="E121" s="135"/>
      <c r="I121" s="55">
        <v>116</v>
      </c>
      <c r="J121" s="33">
        <f t="shared" si="51"/>
        <v>0</v>
      </c>
      <c r="K121" s="33">
        <f t="shared" si="52"/>
        <v>0</v>
      </c>
      <c r="L121" s="33">
        <f t="shared" si="53"/>
        <v>0</v>
      </c>
      <c r="M121" s="33">
        <f t="shared" si="54"/>
        <v>0</v>
      </c>
      <c r="N121" s="33">
        <f t="shared" si="40"/>
        <v>0</v>
      </c>
      <c r="O121" s="34">
        <f t="shared" si="41"/>
        <v>0</v>
      </c>
      <c r="P121" s="55">
        <v>116</v>
      </c>
      <c r="Q121" s="33">
        <f t="shared" si="49"/>
        <v>0</v>
      </c>
      <c r="R121" s="33">
        <f t="shared" si="55"/>
        <v>0</v>
      </c>
      <c r="S121" s="33">
        <f t="shared" si="56"/>
        <v>0</v>
      </c>
      <c r="T121" s="33">
        <f t="shared" si="42"/>
        <v>0</v>
      </c>
      <c r="U121" s="33">
        <f t="shared" si="50"/>
        <v>0</v>
      </c>
      <c r="V121" s="33">
        <f t="shared" si="43"/>
        <v>0</v>
      </c>
      <c r="W121" s="33">
        <v>0</v>
      </c>
      <c r="X121" s="33">
        <f t="shared" si="44"/>
        <v>0</v>
      </c>
      <c r="Y121" s="38">
        <f t="shared" si="45"/>
        <v>0</v>
      </c>
      <c r="AA121" s="71">
        <v>116</v>
      </c>
      <c r="AB121" s="33">
        <f t="shared" si="46"/>
        <v>0</v>
      </c>
      <c r="AC121" s="305">
        <f t="shared" si="64"/>
        <v>0</v>
      </c>
      <c r="AD121" s="100">
        <f t="shared" si="47"/>
        <v>0</v>
      </c>
      <c r="AE121" s="100">
        <f t="shared" si="48"/>
        <v>0</v>
      </c>
      <c r="AF121" s="194">
        <f t="shared" si="60"/>
        <v>0</v>
      </c>
      <c r="AG121" s="194">
        <f t="shared" si="61"/>
        <v>0</v>
      </c>
      <c r="AH121" s="194">
        <f t="shared" si="62"/>
        <v>0</v>
      </c>
      <c r="AI121" s="199">
        <f t="shared" si="63"/>
        <v>0</v>
      </c>
      <c r="AK121" s="71">
        <v>116</v>
      </c>
      <c r="AL121" s="33"/>
      <c r="AM121" s="33"/>
      <c r="AN121" s="33"/>
      <c r="AO121" s="33"/>
      <c r="AP121" s="33"/>
      <c r="AQ121" s="194"/>
      <c r="AR121" s="194"/>
      <c r="AS121" s="194"/>
      <c r="AT121" s="194"/>
      <c r="AU121" s="33"/>
      <c r="AV121" s="33"/>
      <c r="AW121" s="33"/>
      <c r="AX121" s="33"/>
      <c r="AY121" s="76"/>
    </row>
    <row r="122" spans="2:51" x14ac:dyDescent="0.3">
      <c r="C122" s="135" t="s">
        <v>145</v>
      </c>
      <c r="D122" s="135" t="s">
        <v>72</v>
      </c>
      <c r="E122" s="81" t="s">
        <v>166</v>
      </c>
      <c r="I122" s="55">
        <v>117</v>
      </c>
      <c r="J122" s="33">
        <f t="shared" si="51"/>
        <v>0</v>
      </c>
      <c r="K122" s="33">
        <f t="shared" si="52"/>
        <v>0</v>
      </c>
      <c r="L122" s="33">
        <f t="shared" si="53"/>
        <v>0</v>
      </c>
      <c r="M122" s="33">
        <f t="shared" si="54"/>
        <v>0</v>
      </c>
      <c r="N122" s="33">
        <f t="shared" si="40"/>
        <v>0</v>
      </c>
      <c r="O122" s="34">
        <f t="shared" si="41"/>
        <v>0</v>
      </c>
      <c r="P122" s="55">
        <v>117</v>
      </c>
      <c r="Q122" s="33">
        <f t="shared" si="49"/>
        <v>0</v>
      </c>
      <c r="R122" s="33">
        <f t="shared" si="55"/>
        <v>0</v>
      </c>
      <c r="S122" s="33">
        <f t="shared" si="56"/>
        <v>0</v>
      </c>
      <c r="T122" s="33">
        <f t="shared" si="42"/>
        <v>0</v>
      </c>
      <c r="U122" s="33">
        <f t="shared" si="50"/>
        <v>0</v>
      </c>
      <c r="V122" s="33">
        <f t="shared" si="43"/>
        <v>0</v>
      </c>
      <c r="W122" s="33">
        <v>0</v>
      </c>
      <c r="X122" s="33">
        <f t="shared" si="44"/>
        <v>0</v>
      </c>
      <c r="Y122" s="38">
        <f t="shared" si="45"/>
        <v>0</v>
      </c>
      <c r="AA122" s="71">
        <v>117</v>
      </c>
      <c r="AB122" s="33">
        <f t="shared" si="46"/>
        <v>0</v>
      </c>
      <c r="AC122" s="305">
        <f t="shared" si="64"/>
        <v>0</v>
      </c>
      <c r="AD122" s="100">
        <f t="shared" si="47"/>
        <v>0</v>
      </c>
      <c r="AE122" s="100">
        <f t="shared" si="48"/>
        <v>0</v>
      </c>
      <c r="AF122" s="194">
        <f t="shared" si="60"/>
        <v>0</v>
      </c>
      <c r="AG122" s="194">
        <f t="shared" si="61"/>
        <v>0</v>
      </c>
      <c r="AH122" s="194">
        <f t="shared" si="62"/>
        <v>0</v>
      </c>
      <c r="AI122" s="199">
        <f t="shared" si="63"/>
        <v>0</v>
      </c>
      <c r="AK122" s="71">
        <v>117</v>
      </c>
      <c r="AL122" s="33"/>
      <c r="AM122" s="33"/>
      <c r="AN122" s="33"/>
      <c r="AO122" s="33"/>
      <c r="AP122" s="33"/>
      <c r="AQ122" s="194"/>
      <c r="AR122" s="194"/>
      <c r="AS122" s="194"/>
      <c r="AT122" s="194"/>
      <c r="AU122" s="33"/>
      <c r="AV122" s="33"/>
      <c r="AW122" s="33"/>
      <c r="AX122" s="33"/>
      <c r="AY122" s="76"/>
    </row>
    <row r="123" spans="2:51" x14ac:dyDescent="0.3">
      <c r="B123" s="67" t="s">
        <v>168</v>
      </c>
      <c r="C123" s="82">
        <f>AY35</f>
        <v>0</v>
      </c>
      <c r="D123" s="304">
        <f>IF(AND(D8=B100,F12=C194),J34*50%*G107,0)</f>
        <v>0</v>
      </c>
      <c r="E123" s="78">
        <f>C123-D123</f>
        <v>0</v>
      </c>
      <c r="I123" s="55">
        <v>118</v>
      </c>
      <c r="J123" s="33">
        <f t="shared" si="51"/>
        <v>0</v>
      </c>
      <c r="K123" s="33">
        <f t="shared" si="52"/>
        <v>0</v>
      </c>
      <c r="L123" s="33">
        <f t="shared" si="53"/>
        <v>0</v>
      </c>
      <c r="M123" s="33">
        <f t="shared" si="54"/>
        <v>0</v>
      </c>
      <c r="N123" s="33">
        <f t="shared" si="40"/>
        <v>0</v>
      </c>
      <c r="O123" s="34">
        <f t="shared" si="41"/>
        <v>0</v>
      </c>
      <c r="P123" s="55">
        <v>118</v>
      </c>
      <c r="Q123" s="33">
        <f t="shared" si="49"/>
        <v>0</v>
      </c>
      <c r="R123" s="33">
        <f t="shared" si="55"/>
        <v>0</v>
      </c>
      <c r="S123" s="33">
        <f t="shared" si="56"/>
        <v>0</v>
      </c>
      <c r="T123" s="33">
        <f t="shared" si="42"/>
        <v>0</v>
      </c>
      <c r="U123" s="33">
        <f t="shared" si="50"/>
        <v>0</v>
      </c>
      <c r="V123" s="33">
        <f t="shared" si="43"/>
        <v>0</v>
      </c>
      <c r="W123" s="33">
        <v>0</v>
      </c>
      <c r="X123" s="33">
        <f t="shared" si="44"/>
        <v>0</v>
      </c>
      <c r="Y123" s="38">
        <f t="shared" si="45"/>
        <v>0</v>
      </c>
      <c r="AA123" s="71">
        <v>118</v>
      </c>
      <c r="AB123" s="33">
        <f t="shared" si="46"/>
        <v>0</v>
      </c>
      <c r="AC123" s="305">
        <f t="shared" si="64"/>
        <v>0</v>
      </c>
      <c r="AD123" s="100">
        <f t="shared" si="47"/>
        <v>0</v>
      </c>
      <c r="AE123" s="100">
        <f t="shared" si="48"/>
        <v>0</v>
      </c>
      <c r="AF123" s="194">
        <f t="shared" si="60"/>
        <v>0</v>
      </c>
      <c r="AG123" s="194">
        <f t="shared" si="61"/>
        <v>0</v>
      </c>
      <c r="AH123" s="194">
        <f t="shared" si="62"/>
        <v>0</v>
      </c>
      <c r="AI123" s="199">
        <f t="shared" si="63"/>
        <v>0</v>
      </c>
      <c r="AK123" s="71">
        <v>118</v>
      </c>
      <c r="AL123" s="33"/>
      <c r="AM123" s="33"/>
      <c r="AN123" s="33"/>
      <c r="AO123" s="33"/>
      <c r="AP123" s="33"/>
      <c r="AQ123" s="194"/>
      <c r="AR123" s="194"/>
      <c r="AS123" s="194"/>
      <c r="AT123" s="194"/>
      <c r="AU123" s="33"/>
      <c r="AV123" s="33"/>
      <c r="AW123" s="33"/>
      <c r="AX123" s="33"/>
      <c r="AY123" s="76"/>
    </row>
    <row r="124" spans="2:51" x14ac:dyDescent="0.3">
      <c r="I124" s="55">
        <v>119</v>
      </c>
      <c r="J124" s="33">
        <f t="shared" si="51"/>
        <v>0</v>
      </c>
      <c r="K124" s="33">
        <f t="shared" si="52"/>
        <v>0</v>
      </c>
      <c r="L124" s="33">
        <f t="shared" si="53"/>
        <v>0</v>
      </c>
      <c r="M124" s="33">
        <f t="shared" si="54"/>
        <v>0</v>
      </c>
      <c r="N124" s="33">
        <f t="shared" si="40"/>
        <v>0</v>
      </c>
      <c r="O124" s="34">
        <f t="shared" si="41"/>
        <v>0</v>
      </c>
      <c r="P124" s="55">
        <v>119</v>
      </c>
      <c r="Q124" s="33">
        <f t="shared" si="49"/>
        <v>0</v>
      </c>
      <c r="R124" s="33">
        <f t="shared" si="55"/>
        <v>0</v>
      </c>
      <c r="S124" s="33">
        <f t="shared" si="56"/>
        <v>0</v>
      </c>
      <c r="T124" s="33">
        <f t="shared" si="42"/>
        <v>0</v>
      </c>
      <c r="U124" s="33">
        <f t="shared" si="50"/>
        <v>0</v>
      </c>
      <c r="V124" s="33">
        <f t="shared" si="43"/>
        <v>0</v>
      </c>
      <c r="W124" s="33">
        <v>0</v>
      </c>
      <c r="X124" s="33">
        <f t="shared" si="44"/>
        <v>0</v>
      </c>
      <c r="Y124" s="38">
        <f t="shared" si="45"/>
        <v>0</v>
      </c>
      <c r="AA124" s="71">
        <v>119</v>
      </c>
      <c r="AB124" s="33">
        <f t="shared" si="46"/>
        <v>0</v>
      </c>
      <c r="AC124" s="305">
        <f t="shared" si="64"/>
        <v>0</v>
      </c>
      <c r="AD124" s="100">
        <f t="shared" si="47"/>
        <v>0</v>
      </c>
      <c r="AE124" s="100">
        <f t="shared" si="48"/>
        <v>0</v>
      </c>
      <c r="AF124" s="194">
        <f t="shared" si="60"/>
        <v>0</v>
      </c>
      <c r="AG124" s="194">
        <f t="shared" si="61"/>
        <v>0</v>
      </c>
      <c r="AH124" s="194">
        <f t="shared" si="62"/>
        <v>0</v>
      </c>
      <c r="AI124" s="199">
        <f t="shared" si="63"/>
        <v>0</v>
      </c>
      <c r="AK124" s="71">
        <v>119</v>
      </c>
      <c r="AL124" s="33"/>
      <c r="AM124" s="33"/>
      <c r="AN124" s="33"/>
      <c r="AO124" s="33"/>
      <c r="AP124" s="33"/>
      <c r="AQ124" s="194"/>
      <c r="AR124" s="194"/>
      <c r="AS124" s="194"/>
      <c r="AT124" s="194"/>
      <c r="AU124" s="33"/>
      <c r="AV124" s="33"/>
      <c r="AW124" s="33"/>
      <c r="AX124" s="33"/>
      <c r="AY124" s="76"/>
    </row>
    <row r="125" spans="2:51" x14ac:dyDescent="0.3">
      <c r="C125" s="80"/>
      <c r="D125" s="80"/>
      <c r="E125" s="83"/>
      <c r="I125" s="55">
        <v>120</v>
      </c>
      <c r="J125" s="33">
        <f t="shared" si="51"/>
        <v>0</v>
      </c>
      <c r="K125" s="33">
        <f t="shared" si="52"/>
        <v>0</v>
      </c>
      <c r="L125" s="33">
        <f t="shared" si="53"/>
        <v>0</v>
      </c>
      <c r="M125" s="33">
        <f t="shared" si="54"/>
        <v>0</v>
      </c>
      <c r="N125" s="33">
        <f t="shared" si="40"/>
        <v>0</v>
      </c>
      <c r="O125" s="34">
        <f t="shared" si="41"/>
        <v>0</v>
      </c>
      <c r="P125" s="55">
        <v>120</v>
      </c>
      <c r="Q125" s="33">
        <f t="shared" si="49"/>
        <v>0</v>
      </c>
      <c r="R125" s="33">
        <f t="shared" si="55"/>
        <v>0</v>
      </c>
      <c r="S125" s="33">
        <f t="shared" si="56"/>
        <v>0</v>
      </c>
      <c r="T125" s="33">
        <f t="shared" si="42"/>
        <v>0</v>
      </c>
      <c r="U125" s="33">
        <f t="shared" si="50"/>
        <v>0</v>
      </c>
      <c r="V125" s="33">
        <f t="shared" si="43"/>
        <v>0</v>
      </c>
      <c r="W125" s="33">
        <v>0</v>
      </c>
      <c r="X125" s="33">
        <f t="shared" si="44"/>
        <v>0</v>
      </c>
      <c r="Y125" s="38">
        <f t="shared" si="45"/>
        <v>0</v>
      </c>
      <c r="AA125" s="71">
        <v>120</v>
      </c>
      <c r="AB125" s="33">
        <f t="shared" si="46"/>
        <v>0</v>
      </c>
      <c r="AC125" s="305">
        <f t="shared" si="64"/>
        <v>0</v>
      </c>
      <c r="AD125" s="100">
        <f t="shared" si="47"/>
        <v>0</v>
      </c>
      <c r="AE125" s="100">
        <f t="shared" si="48"/>
        <v>0</v>
      </c>
      <c r="AF125" s="194">
        <f t="shared" si="60"/>
        <v>0</v>
      </c>
      <c r="AG125" s="194">
        <f t="shared" si="61"/>
        <v>0</v>
      </c>
      <c r="AH125" s="194">
        <f t="shared" si="62"/>
        <v>0</v>
      </c>
      <c r="AI125" s="199">
        <f t="shared" si="63"/>
        <v>0</v>
      </c>
      <c r="AK125" s="71">
        <v>120</v>
      </c>
      <c r="AL125" s="33"/>
      <c r="AM125" s="33"/>
      <c r="AN125" s="33"/>
      <c r="AO125" s="33"/>
      <c r="AP125" s="33"/>
      <c r="AQ125" s="194"/>
      <c r="AR125" s="194"/>
      <c r="AS125" s="194"/>
      <c r="AT125" s="194"/>
      <c r="AU125" s="33"/>
      <c r="AV125" s="33"/>
      <c r="AW125" s="33"/>
      <c r="AX125" s="33"/>
      <c r="AY125" s="76"/>
    </row>
    <row r="126" spans="2:51" x14ac:dyDescent="0.3">
      <c r="C126" s="84" t="s">
        <v>129</v>
      </c>
      <c r="D126" s="84" t="s">
        <v>130</v>
      </c>
      <c r="E126" s="84" t="s">
        <v>160</v>
      </c>
      <c r="F126" s="157" t="s">
        <v>170</v>
      </c>
      <c r="I126" s="55">
        <v>121</v>
      </c>
      <c r="J126" s="33">
        <f t="shared" si="51"/>
        <v>0</v>
      </c>
      <c r="K126" s="33">
        <f t="shared" si="52"/>
        <v>0</v>
      </c>
      <c r="L126" s="33">
        <f t="shared" si="53"/>
        <v>0</v>
      </c>
      <c r="M126" s="33">
        <f t="shared" si="54"/>
        <v>0</v>
      </c>
      <c r="N126" s="33">
        <f t="shared" si="40"/>
        <v>0</v>
      </c>
      <c r="O126" s="34">
        <f t="shared" si="41"/>
        <v>0</v>
      </c>
      <c r="P126" s="55">
        <v>121</v>
      </c>
      <c r="Q126" s="33">
        <f t="shared" si="49"/>
        <v>0</v>
      </c>
      <c r="R126" s="33">
        <f t="shared" si="55"/>
        <v>0</v>
      </c>
      <c r="S126" s="33">
        <f t="shared" si="56"/>
        <v>0</v>
      </c>
      <c r="T126" s="33">
        <f t="shared" si="42"/>
        <v>0</v>
      </c>
      <c r="U126" s="33">
        <f t="shared" si="50"/>
        <v>0</v>
      </c>
      <c r="V126" s="33">
        <f t="shared" si="43"/>
        <v>0</v>
      </c>
      <c r="W126" s="33">
        <v>0</v>
      </c>
      <c r="X126" s="33">
        <f t="shared" si="44"/>
        <v>0</v>
      </c>
      <c r="Y126" s="38">
        <f t="shared" si="45"/>
        <v>0</v>
      </c>
      <c r="AA126" s="71">
        <v>121</v>
      </c>
      <c r="AB126" s="33">
        <f t="shared" si="46"/>
        <v>0</v>
      </c>
      <c r="AC126" s="305">
        <f t="shared" si="64"/>
        <v>0</v>
      </c>
      <c r="AD126" s="100">
        <f t="shared" si="47"/>
        <v>0</v>
      </c>
      <c r="AE126" s="100">
        <f t="shared" si="48"/>
        <v>0</v>
      </c>
      <c r="AF126" s="194">
        <f t="shared" si="60"/>
        <v>0</v>
      </c>
      <c r="AG126" s="194">
        <f t="shared" si="61"/>
        <v>0</v>
      </c>
      <c r="AH126" s="194">
        <f t="shared" si="62"/>
        <v>0</v>
      </c>
      <c r="AI126" s="199">
        <f t="shared" si="63"/>
        <v>0</v>
      </c>
      <c r="AK126" s="71">
        <v>121</v>
      </c>
      <c r="AL126" s="33"/>
      <c r="AM126" s="33"/>
      <c r="AN126" s="33"/>
      <c r="AO126" s="33"/>
      <c r="AP126" s="33"/>
      <c r="AQ126" s="194"/>
      <c r="AR126" s="194"/>
      <c r="AS126" s="194"/>
      <c r="AT126" s="194"/>
      <c r="AU126" s="33"/>
      <c r="AV126" s="33"/>
      <c r="AW126" s="33"/>
      <c r="AX126" s="33"/>
      <c r="AY126" s="76"/>
    </row>
    <row r="127" spans="2:51" x14ac:dyDescent="0.3">
      <c r="C127" s="82" t="e">
        <f>IF(F18&gt;30,MIN(E113:E114),E113)</f>
        <v>#DIV/0!</v>
      </c>
      <c r="D127" s="82">
        <f>MIN(E118:E119)</f>
        <v>0</v>
      </c>
      <c r="E127" s="85">
        <f>E123</f>
        <v>0</v>
      </c>
      <c r="F127" s="86" t="e">
        <f>SUM(C127:E127)</f>
        <v>#DIV/0!</v>
      </c>
      <c r="I127" s="55">
        <v>122</v>
      </c>
      <c r="J127" s="33">
        <f t="shared" si="51"/>
        <v>0</v>
      </c>
      <c r="K127" s="33">
        <f t="shared" si="52"/>
        <v>0</v>
      </c>
      <c r="L127" s="33">
        <f t="shared" si="53"/>
        <v>0</v>
      </c>
      <c r="M127" s="33">
        <f t="shared" si="54"/>
        <v>0</v>
      </c>
      <c r="N127" s="33">
        <f t="shared" si="40"/>
        <v>0</v>
      </c>
      <c r="O127" s="34">
        <f t="shared" si="41"/>
        <v>0</v>
      </c>
      <c r="P127" s="55">
        <v>122</v>
      </c>
      <c r="Q127" s="33">
        <f t="shared" si="49"/>
        <v>0</v>
      </c>
      <c r="R127" s="33">
        <f t="shared" si="55"/>
        <v>0</v>
      </c>
      <c r="S127" s="33">
        <f t="shared" si="56"/>
        <v>0</v>
      </c>
      <c r="T127" s="33">
        <f t="shared" si="42"/>
        <v>0</v>
      </c>
      <c r="U127" s="33">
        <f t="shared" si="50"/>
        <v>0</v>
      </c>
      <c r="V127" s="33">
        <f t="shared" si="43"/>
        <v>0</v>
      </c>
      <c r="W127" s="33">
        <v>0</v>
      </c>
      <c r="X127" s="33">
        <f t="shared" si="44"/>
        <v>0</v>
      </c>
      <c r="Y127" s="38">
        <f t="shared" si="45"/>
        <v>0</v>
      </c>
      <c r="AA127" s="71">
        <v>122</v>
      </c>
      <c r="AB127" s="33">
        <f t="shared" si="46"/>
        <v>0</v>
      </c>
      <c r="AC127" s="305">
        <f t="shared" si="64"/>
        <v>0</v>
      </c>
      <c r="AD127" s="100">
        <f t="shared" si="47"/>
        <v>0</v>
      </c>
      <c r="AE127" s="100">
        <f t="shared" si="48"/>
        <v>0</v>
      </c>
      <c r="AF127" s="194">
        <f t="shared" si="60"/>
        <v>0</v>
      </c>
      <c r="AG127" s="194">
        <f t="shared" si="61"/>
        <v>0</v>
      </c>
      <c r="AH127" s="194">
        <f t="shared" si="62"/>
        <v>0</v>
      </c>
      <c r="AI127" s="199">
        <f t="shared" si="63"/>
        <v>0</v>
      </c>
      <c r="AK127" s="71">
        <v>122</v>
      </c>
      <c r="AL127" s="33"/>
      <c r="AM127" s="33"/>
      <c r="AN127" s="33"/>
      <c r="AO127" s="33"/>
      <c r="AP127" s="33"/>
      <c r="AQ127" s="194"/>
      <c r="AR127" s="194"/>
      <c r="AS127" s="194"/>
      <c r="AT127" s="194"/>
      <c r="AU127" s="33"/>
      <c r="AV127" s="33"/>
      <c r="AW127" s="33"/>
      <c r="AX127" s="33"/>
      <c r="AY127" s="76"/>
    </row>
    <row r="128" spans="2:51" x14ac:dyDescent="0.3">
      <c r="E128" s="24"/>
      <c r="I128" s="55">
        <v>123</v>
      </c>
      <c r="J128" s="33">
        <f t="shared" si="51"/>
        <v>0</v>
      </c>
      <c r="K128" s="33">
        <f t="shared" si="52"/>
        <v>0</v>
      </c>
      <c r="L128" s="33">
        <f t="shared" si="53"/>
        <v>0</v>
      </c>
      <c r="M128" s="33">
        <f t="shared" si="54"/>
        <v>0</v>
      </c>
      <c r="N128" s="33">
        <f t="shared" si="40"/>
        <v>0</v>
      </c>
      <c r="O128" s="34">
        <f t="shared" si="41"/>
        <v>0</v>
      </c>
      <c r="P128" s="55">
        <v>123</v>
      </c>
      <c r="Q128" s="33">
        <f t="shared" si="49"/>
        <v>0</v>
      </c>
      <c r="R128" s="33">
        <f t="shared" si="55"/>
        <v>0</v>
      </c>
      <c r="S128" s="33">
        <f t="shared" si="56"/>
        <v>0</v>
      </c>
      <c r="T128" s="33">
        <f t="shared" si="42"/>
        <v>0</v>
      </c>
      <c r="U128" s="33">
        <f t="shared" si="50"/>
        <v>0</v>
      </c>
      <c r="V128" s="33">
        <f t="shared" si="43"/>
        <v>0</v>
      </c>
      <c r="W128" s="33">
        <v>0</v>
      </c>
      <c r="X128" s="33">
        <f t="shared" si="44"/>
        <v>0</v>
      </c>
      <c r="Y128" s="38">
        <f t="shared" si="45"/>
        <v>0</v>
      </c>
      <c r="AA128" s="71">
        <v>123</v>
      </c>
      <c r="AB128" s="33">
        <f t="shared" si="46"/>
        <v>0</v>
      </c>
      <c r="AC128" s="305">
        <f t="shared" si="64"/>
        <v>0</v>
      </c>
      <c r="AD128" s="100">
        <f t="shared" si="47"/>
        <v>0</v>
      </c>
      <c r="AE128" s="100">
        <f t="shared" si="48"/>
        <v>0</v>
      </c>
      <c r="AF128" s="194">
        <f t="shared" si="60"/>
        <v>0</v>
      </c>
      <c r="AG128" s="194">
        <f t="shared" si="61"/>
        <v>0</v>
      </c>
      <c r="AH128" s="194">
        <f t="shared" si="62"/>
        <v>0</v>
      </c>
      <c r="AI128" s="199">
        <f t="shared" si="63"/>
        <v>0</v>
      </c>
      <c r="AK128" s="71">
        <v>123</v>
      </c>
      <c r="AL128" s="33"/>
      <c r="AM128" s="33"/>
      <c r="AN128" s="33"/>
      <c r="AO128" s="33"/>
      <c r="AP128" s="33"/>
      <c r="AQ128" s="194"/>
      <c r="AR128" s="194"/>
      <c r="AS128" s="194"/>
      <c r="AT128" s="194"/>
      <c r="AU128" s="33"/>
      <c r="AV128" s="33"/>
      <c r="AW128" s="33"/>
      <c r="AX128" s="33"/>
      <c r="AY128" s="76"/>
    </row>
    <row r="129" spans="3:51" x14ac:dyDescent="0.3">
      <c r="E129" s="24"/>
      <c r="I129" s="55">
        <v>124</v>
      </c>
      <c r="J129" s="33">
        <f t="shared" si="51"/>
        <v>0</v>
      </c>
      <c r="K129" s="33">
        <f t="shared" si="52"/>
        <v>0</v>
      </c>
      <c r="L129" s="33">
        <f t="shared" si="53"/>
        <v>0</v>
      </c>
      <c r="M129" s="33">
        <f t="shared" si="54"/>
        <v>0</v>
      </c>
      <c r="N129" s="33">
        <f t="shared" si="40"/>
        <v>0</v>
      </c>
      <c r="O129" s="34">
        <f t="shared" si="41"/>
        <v>0</v>
      </c>
      <c r="P129" s="55">
        <v>124</v>
      </c>
      <c r="Q129" s="33">
        <f t="shared" si="49"/>
        <v>0</v>
      </c>
      <c r="R129" s="33">
        <f t="shared" si="55"/>
        <v>0</v>
      </c>
      <c r="S129" s="33">
        <f t="shared" si="56"/>
        <v>0</v>
      </c>
      <c r="T129" s="33">
        <f t="shared" si="42"/>
        <v>0</v>
      </c>
      <c r="U129" s="33">
        <f t="shared" si="50"/>
        <v>0</v>
      </c>
      <c r="V129" s="33">
        <f t="shared" si="43"/>
        <v>0</v>
      </c>
      <c r="W129" s="33">
        <v>0</v>
      </c>
      <c r="X129" s="33">
        <f t="shared" si="44"/>
        <v>0</v>
      </c>
      <c r="Y129" s="38">
        <f t="shared" si="45"/>
        <v>0</v>
      </c>
      <c r="AA129" s="71">
        <v>124</v>
      </c>
      <c r="AB129" s="33">
        <f t="shared" si="46"/>
        <v>0</v>
      </c>
      <c r="AC129" s="305">
        <f t="shared" si="64"/>
        <v>0</v>
      </c>
      <c r="AD129" s="100">
        <f t="shared" si="47"/>
        <v>0</v>
      </c>
      <c r="AE129" s="100">
        <f t="shared" si="48"/>
        <v>0</v>
      </c>
      <c r="AF129" s="194">
        <f t="shared" si="60"/>
        <v>0</v>
      </c>
      <c r="AG129" s="194">
        <f t="shared" si="61"/>
        <v>0</v>
      </c>
      <c r="AH129" s="194">
        <f t="shared" si="62"/>
        <v>0</v>
      </c>
      <c r="AI129" s="199">
        <f t="shared" si="63"/>
        <v>0</v>
      </c>
      <c r="AK129" s="71">
        <v>124</v>
      </c>
      <c r="AL129" s="33"/>
      <c r="AM129" s="33"/>
      <c r="AN129" s="33"/>
      <c r="AO129" s="33"/>
      <c r="AP129" s="33"/>
      <c r="AQ129" s="194"/>
      <c r="AR129" s="194"/>
      <c r="AS129" s="194"/>
      <c r="AT129" s="194"/>
      <c r="AU129" s="33"/>
      <c r="AV129" s="33"/>
      <c r="AW129" s="33"/>
      <c r="AX129" s="33"/>
      <c r="AY129" s="76"/>
    </row>
    <row r="130" spans="3:51" ht="41.4" x14ac:dyDescent="0.3">
      <c r="C130" s="3" t="s">
        <v>5</v>
      </c>
      <c r="D130" s="3" t="s">
        <v>6</v>
      </c>
      <c r="E130" s="188" t="s">
        <v>227</v>
      </c>
      <c r="F130" s="343" t="s">
        <v>266</v>
      </c>
      <c r="I130" s="55">
        <v>125</v>
      </c>
      <c r="J130" s="33">
        <f t="shared" si="51"/>
        <v>0</v>
      </c>
      <c r="K130" s="33">
        <f t="shared" si="52"/>
        <v>0</v>
      </c>
      <c r="L130" s="33">
        <f t="shared" si="53"/>
        <v>0</v>
      </c>
      <c r="M130" s="33">
        <f t="shared" si="54"/>
        <v>0</v>
      </c>
      <c r="N130" s="33">
        <f t="shared" si="40"/>
        <v>0</v>
      </c>
      <c r="O130" s="34">
        <f t="shared" si="41"/>
        <v>0</v>
      </c>
      <c r="P130" s="55">
        <v>125</v>
      </c>
      <c r="Q130" s="33">
        <f t="shared" si="49"/>
        <v>0</v>
      </c>
      <c r="R130" s="33">
        <f t="shared" si="55"/>
        <v>0</v>
      </c>
      <c r="S130" s="33">
        <f t="shared" si="56"/>
        <v>0</v>
      </c>
      <c r="T130" s="33">
        <f t="shared" si="42"/>
        <v>0</v>
      </c>
      <c r="U130" s="33">
        <f t="shared" si="50"/>
        <v>0</v>
      </c>
      <c r="V130" s="33">
        <f t="shared" si="43"/>
        <v>0</v>
      </c>
      <c r="W130" s="33">
        <v>0</v>
      </c>
      <c r="X130" s="33">
        <f t="shared" si="44"/>
        <v>0</v>
      </c>
      <c r="Y130" s="38">
        <f t="shared" si="45"/>
        <v>0</v>
      </c>
      <c r="AA130" s="71">
        <v>125</v>
      </c>
      <c r="AB130" s="33">
        <f t="shared" si="46"/>
        <v>0</v>
      </c>
      <c r="AC130" s="305">
        <f t="shared" si="64"/>
        <v>0</v>
      </c>
      <c r="AD130" s="100">
        <f t="shared" si="47"/>
        <v>0</v>
      </c>
      <c r="AE130" s="100">
        <f t="shared" si="48"/>
        <v>0</v>
      </c>
      <c r="AF130" s="194">
        <f t="shared" si="60"/>
        <v>0</v>
      </c>
      <c r="AG130" s="194">
        <f t="shared" si="61"/>
        <v>0</v>
      </c>
      <c r="AH130" s="194">
        <f t="shared" si="62"/>
        <v>0</v>
      </c>
      <c r="AI130" s="199">
        <f t="shared" si="63"/>
        <v>0</v>
      </c>
      <c r="AK130" s="71">
        <v>125</v>
      </c>
      <c r="AL130" s="33"/>
      <c r="AM130" s="33"/>
      <c r="AN130" s="33"/>
      <c r="AO130" s="33"/>
      <c r="AP130" s="33"/>
      <c r="AQ130" s="194"/>
      <c r="AR130" s="194"/>
      <c r="AS130" s="194"/>
      <c r="AT130" s="194"/>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51"/>
        <v>0</v>
      </c>
      <c r="K131" s="33">
        <f t="shared" si="52"/>
        <v>0</v>
      </c>
      <c r="L131" s="33">
        <f t="shared" si="53"/>
        <v>0</v>
      </c>
      <c r="M131" s="33">
        <f t="shared" si="54"/>
        <v>0</v>
      </c>
      <c r="N131" s="33">
        <f t="shared" si="40"/>
        <v>0</v>
      </c>
      <c r="O131" s="34">
        <f t="shared" si="41"/>
        <v>0</v>
      </c>
      <c r="P131" s="55">
        <v>126</v>
      </c>
      <c r="Q131" s="33">
        <f t="shared" si="49"/>
        <v>0</v>
      </c>
      <c r="R131" s="33">
        <f t="shared" si="55"/>
        <v>0</v>
      </c>
      <c r="S131" s="33">
        <f t="shared" si="56"/>
        <v>0</v>
      </c>
      <c r="T131" s="33">
        <f t="shared" si="42"/>
        <v>0</v>
      </c>
      <c r="U131" s="33">
        <f t="shared" si="50"/>
        <v>0</v>
      </c>
      <c r="V131" s="33">
        <f t="shared" si="43"/>
        <v>0</v>
      </c>
      <c r="W131" s="33">
        <v>0</v>
      </c>
      <c r="X131" s="33">
        <f t="shared" si="44"/>
        <v>0</v>
      </c>
      <c r="Y131" s="38">
        <f t="shared" si="45"/>
        <v>0</v>
      </c>
      <c r="AA131" s="71">
        <v>126</v>
      </c>
      <c r="AB131" s="33">
        <f t="shared" si="46"/>
        <v>0</v>
      </c>
      <c r="AC131" s="305">
        <f t="shared" si="64"/>
        <v>0</v>
      </c>
      <c r="AD131" s="100">
        <f t="shared" si="47"/>
        <v>0</v>
      </c>
      <c r="AE131" s="100">
        <f t="shared" si="48"/>
        <v>0</v>
      </c>
      <c r="AF131" s="194">
        <f t="shared" si="60"/>
        <v>0</v>
      </c>
      <c r="AG131" s="194">
        <f t="shared" si="61"/>
        <v>0</v>
      </c>
      <c r="AH131" s="194">
        <f t="shared" si="62"/>
        <v>0</v>
      </c>
      <c r="AI131" s="199">
        <f t="shared" si="63"/>
        <v>0</v>
      </c>
      <c r="AK131" s="71">
        <v>126</v>
      </c>
      <c r="AL131" s="33"/>
      <c r="AM131" s="33"/>
      <c r="AN131" s="33"/>
      <c r="AO131" s="33"/>
      <c r="AP131" s="33"/>
      <c r="AQ131" s="194"/>
      <c r="AR131" s="194"/>
      <c r="AS131" s="194"/>
      <c r="AT131" s="194"/>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51"/>
        <v>0</v>
      </c>
      <c r="K132" s="33">
        <f t="shared" si="52"/>
        <v>0</v>
      </c>
      <c r="L132" s="33">
        <f t="shared" si="53"/>
        <v>0</v>
      </c>
      <c r="M132" s="33">
        <f t="shared" si="54"/>
        <v>0</v>
      </c>
      <c r="N132" s="33">
        <f t="shared" si="40"/>
        <v>0</v>
      </c>
      <c r="O132" s="34">
        <f t="shared" si="41"/>
        <v>0</v>
      </c>
      <c r="P132" s="55">
        <v>127</v>
      </c>
      <c r="Q132" s="33">
        <f t="shared" si="49"/>
        <v>0</v>
      </c>
      <c r="R132" s="33">
        <f t="shared" si="55"/>
        <v>0</v>
      </c>
      <c r="S132" s="33">
        <f t="shared" si="56"/>
        <v>0</v>
      </c>
      <c r="T132" s="33">
        <f t="shared" si="42"/>
        <v>0</v>
      </c>
      <c r="U132" s="33">
        <f t="shared" si="50"/>
        <v>0</v>
      </c>
      <c r="V132" s="33">
        <f t="shared" si="43"/>
        <v>0</v>
      </c>
      <c r="W132" s="33">
        <v>0</v>
      </c>
      <c r="X132" s="33">
        <f t="shared" si="44"/>
        <v>0</v>
      </c>
      <c r="Y132" s="38">
        <f t="shared" si="45"/>
        <v>0</v>
      </c>
      <c r="AA132" s="71">
        <v>127</v>
      </c>
      <c r="AB132" s="33">
        <f t="shared" si="46"/>
        <v>0</v>
      </c>
      <c r="AC132" s="305">
        <f t="shared" si="64"/>
        <v>0</v>
      </c>
      <c r="AD132" s="100">
        <f t="shared" si="47"/>
        <v>0</v>
      </c>
      <c r="AE132" s="100">
        <f t="shared" si="48"/>
        <v>0</v>
      </c>
      <c r="AF132" s="194">
        <f t="shared" si="60"/>
        <v>0</v>
      </c>
      <c r="AG132" s="194">
        <f t="shared" si="61"/>
        <v>0</v>
      </c>
      <c r="AH132" s="194">
        <f t="shared" si="62"/>
        <v>0</v>
      </c>
      <c r="AI132" s="199">
        <f t="shared" si="63"/>
        <v>0</v>
      </c>
      <c r="AK132" s="71">
        <v>127</v>
      </c>
      <c r="AL132" s="33"/>
      <c r="AM132" s="33"/>
      <c r="AN132" s="33"/>
      <c r="AO132" s="33"/>
      <c r="AP132" s="33"/>
      <c r="AQ132" s="194"/>
      <c r="AR132" s="194"/>
      <c r="AS132" s="194"/>
      <c r="AT132" s="194"/>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51"/>
        <v>0</v>
      </c>
      <c r="K133" s="33">
        <f t="shared" si="52"/>
        <v>0</v>
      </c>
      <c r="L133" s="33">
        <f t="shared" si="53"/>
        <v>0</v>
      </c>
      <c r="M133" s="33">
        <f t="shared" si="54"/>
        <v>0</v>
      </c>
      <c r="N133" s="33">
        <f t="shared" ref="N133:N196" si="65">IF(P134&lt;=$F$18,0,)</f>
        <v>0</v>
      </c>
      <c r="O133" s="34">
        <f t="shared" ref="O133:O196" si="66">((J133+K133)*0.475+L133+M133+N133)*44/12</f>
        <v>0</v>
      </c>
      <c r="P133" s="55">
        <v>128</v>
      </c>
      <c r="Q133" s="33">
        <f t="shared" si="49"/>
        <v>0</v>
      </c>
      <c r="R133" s="33">
        <f t="shared" si="55"/>
        <v>0</v>
      </c>
      <c r="S133" s="33">
        <f t="shared" si="56"/>
        <v>0</v>
      </c>
      <c r="T133" s="33">
        <f t="shared" ref="T133:T196" si="67">IF(S133=0,0,EXP(-1.0587+0.8836*LN(S133)+0.284))</f>
        <v>0</v>
      </c>
      <c r="U133" s="33">
        <f t="shared" si="50"/>
        <v>0</v>
      </c>
      <c r="V133" s="33">
        <f t="shared" ref="V133:V196" si="68">IF(P133&lt;=$F$18,IF(P133&lt;=30,P133*($F$16-$F$6)/30,$F$16-$F$6),)</f>
        <v>0</v>
      </c>
      <c r="W133" s="33">
        <v>0</v>
      </c>
      <c r="X133" s="33">
        <f t="shared" ref="X133:X196" si="69">((S133+T133)*0.475+U133+V133+W133)*44/12</f>
        <v>0</v>
      </c>
      <c r="Y133" s="38">
        <f t="shared" ref="Y133:Y196" si="70">IF(P133&lt;=$F$18,X133-O133,)</f>
        <v>0</v>
      </c>
      <c r="AA133" s="71">
        <v>128</v>
      </c>
      <c r="AB133" s="33">
        <f t="shared" ref="AB133:AB196" si="71">IF(AA133&lt;=$F$18,IFERROR(VLOOKUP($AA133,$B$82:$G$94,2,FALSE),0),)</f>
        <v>0</v>
      </c>
      <c r="AC133" s="305">
        <f t="shared" si="64"/>
        <v>0</v>
      </c>
      <c r="AD133" s="100">
        <f t="shared" ref="AD133:AD196" si="72">IF(AA133&lt;=$F$18,IFERROR(VLOOKUP($AA133,$B$82:$G$94,4,FALSE),0),)</f>
        <v>0</v>
      </c>
      <c r="AE133" s="100">
        <f t="shared" ref="AE133:AE196" si="73">IF(AA133&lt;=$F$18,IFERROR(VLOOKUP($AA133,$B$82:$G$94,5,FALSE),0),)</f>
        <v>0</v>
      </c>
      <c r="AF133" s="194">
        <f t="shared" si="60"/>
        <v>0</v>
      </c>
      <c r="AG133" s="194">
        <f t="shared" si="61"/>
        <v>0</v>
      </c>
      <c r="AH133" s="194">
        <f t="shared" si="62"/>
        <v>0</v>
      </c>
      <c r="AI133" s="199">
        <f t="shared" si="63"/>
        <v>0</v>
      </c>
      <c r="AK133" s="71">
        <v>128</v>
      </c>
      <c r="AL133" s="33"/>
      <c r="AM133" s="33"/>
      <c r="AN133" s="33"/>
      <c r="AO133" s="33"/>
      <c r="AP133" s="33"/>
      <c r="AQ133" s="194"/>
      <c r="AR133" s="194"/>
      <c r="AS133" s="194"/>
      <c r="AT133" s="194"/>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51"/>
        <v>0</v>
      </c>
      <c r="K134" s="33">
        <f t="shared" si="52"/>
        <v>0</v>
      </c>
      <c r="L134" s="33">
        <f t="shared" si="53"/>
        <v>0</v>
      </c>
      <c r="M134" s="33">
        <f t="shared" si="54"/>
        <v>0</v>
      </c>
      <c r="N134" s="33">
        <f t="shared" si="65"/>
        <v>0</v>
      </c>
      <c r="O134" s="34">
        <f t="shared" si="66"/>
        <v>0</v>
      </c>
      <c r="P134" s="55">
        <v>129</v>
      </c>
      <c r="Q134" s="33">
        <f t="shared" ref="Q134:Q197" si="74">IF(P134&lt;=$F$18,LOOKUP(P134-1,$B$25:$B$78,$G$25:$G$78),)</f>
        <v>0</v>
      </c>
      <c r="R134" s="33">
        <f t="shared" si="55"/>
        <v>0</v>
      </c>
      <c r="S134" s="33">
        <f t="shared" si="56"/>
        <v>0</v>
      </c>
      <c r="T134" s="33">
        <f t="shared" si="67"/>
        <v>0</v>
      </c>
      <c r="U134" s="33">
        <f t="shared" ref="U134:U197" si="75">IF(P134&lt;=$F$18,$F$5+($F$15-$F$5)*(1-EXP(-0.0175*P134)),)</f>
        <v>0</v>
      </c>
      <c r="V134" s="33">
        <f t="shared" si="68"/>
        <v>0</v>
      </c>
      <c r="W134" s="33">
        <v>0</v>
      </c>
      <c r="X134" s="33">
        <f t="shared" si="69"/>
        <v>0</v>
      </c>
      <c r="Y134" s="38">
        <f t="shared" si="70"/>
        <v>0</v>
      </c>
      <c r="AA134" s="71">
        <v>129</v>
      </c>
      <c r="AB134" s="33">
        <f t="shared" si="71"/>
        <v>0</v>
      </c>
      <c r="AC134" s="305">
        <f t="shared" si="64"/>
        <v>0</v>
      </c>
      <c r="AD134" s="100">
        <f t="shared" si="72"/>
        <v>0</v>
      </c>
      <c r="AE134" s="100">
        <f t="shared" si="73"/>
        <v>0</v>
      </c>
      <c r="AF134" s="194">
        <f t="shared" si="60"/>
        <v>0</v>
      </c>
      <c r="AG134" s="194">
        <f t="shared" si="61"/>
        <v>0</v>
      </c>
      <c r="AH134" s="194">
        <f t="shared" si="62"/>
        <v>0</v>
      </c>
      <c r="AI134" s="199">
        <f t="shared" si="63"/>
        <v>0</v>
      </c>
      <c r="AK134" s="71">
        <v>129</v>
      </c>
      <c r="AL134" s="33"/>
      <c r="AM134" s="33"/>
      <c r="AN134" s="33"/>
      <c r="AO134" s="33"/>
      <c r="AP134" s="33"/>
      <c r="AQ134" s="194"/>
      <c r="AR134" s="194"/>
      <c r="AS134" s="194"/>
      <c r="AT134" s="194"/>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76">IF($I135&lt;=$F$10,$F$11*$F$13+J134,)</f>
        <v>0</v>
      </c>
      <c r="K135" s="33">
        <f t="shared" ref="K135:K198" si="77">IF(J135=0,0,EXP(-1.0587+0.8836*LN(J135)+0.284))</f>
        <v>0</v>
      </c>
      <c r="L135" s="33">
        <f t="shared" ref="L135:L198" si="78">IF(I135&lt;=$F$10,$F$5+($F$8-$F$5)*(1-EXP(-0.0175*I135)),)</f>
        <v>0</v>
      </c>
      <c r="M135" s="33">
        <f t="shared" ref="M135:M198" si="79">IF(I135&lt;=$F$10,IF(I135&lt;=30,I135*($F$9-$F$6)/30,$F$9-$F$6),)</f>
        <v>0</v>
      </c>
      <c r="N135" s="33">
        <f t="shared" si="65"/>
        <v>0</v>
      </c>
      <c r="O135" s="34">
        <f t="shared" si="66"/>
        <v>0</v>
      </c>
      <c r="P135" s="55">
        <v>130</v>
      </c>
      <c r="Q135" s="33">
        <f t="shared" si="74"/>
        <v>0</v>
      </c>
      <c r="R135" s="33">
        <f t="shared" ref="R135:R198" si="80">IF(P135&lt;=$F$18,Q135+R134,)</f>
        <v>0</v>
      </c>
      <c r="S135" s="33">
        <f t="shared" ref="S135:S198" si="81">$F$19*R135</f>
        <v>0</v>
      </c>
      <c r="T135" s="33">
        <f t="shared" si="67"/>
        <v>0</v>
      </c>
      <c r="U135" s="33">
        <f t="shared" si="75"/>
        <v>0</v>
      </c>
      <c r="V135" s="33">
        <f t="shared" si="68"/>
        <v>0</v>
      </c>
      <c r="W135" s="33">
        <v>0</v>
      </c>
      <c r="X135" s="33">
        <f t="shared" si="69"/>
        <v>0</v>
      </c>
      <c r="Y135" s="38">
        <f t="shared" si="70"/>
        <v>0</v>
      </c>
      <c r="AA135" s="71">
        <v>130</v>
      </c>
      <c r="AB135" s="33">
        <f t="shared" si="71"/>
        <v>0</v>
      </c>
      <c r="AC135" s="305">
        <f t="shared" si="64"/>
        <v>0</v>
      </c>
      <c r="AD135" s="100">
        <f t="shared" si="72"/>
        <v>0</v>
      </c>
      <c r="AE135" s="100">
        <f t="shared" si="73"/>
        <v>0</v>
      </c>
      <c r="AF135" s="194">
        <f t="shared" si="60"/>
        <v>0</v>
      </c>
      <c r="AG135" s="194">
        <f t="shared" si="61"/>
        <v>0</v>
      </c>
      <c r="AH135" s="194">
        <f t="shared" si="62"/>
        <v>0</v>
      </c>
      <c r="AI135" s="199">
        <f t="shared" si="63"/>
        <v>0</v>
      </c>
      <c r="AK135" s="71">
        <v>130</v>
      </c>
      <c r="AL135" s="33"/>
      <c r="AM135" s="33"/>
      <c r="AN135" s="33"/>
      <c r="AO135" s="33"/>
      <c r="AP135" s="33"/>
      <c r="AQ135" s="194"/>
      <c r="AR135" s="194"/>
      <c r="AS135" s="194"/>
      <c r="AT135" s="194"/>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76"/>
        <v>0</v>
      </c>
      <c r="K136" s="33">
        <f t="shared" si="77"/>
        <v>0</v>
      </c>
      <c r="L136" s="33">
        <f t="shared" si="78"/>
        <v>0</v>
      </c>
      <c r="M136" s="33">
        <f t="shared" si="79"/>
        <v>0</v>
      </c>
      <c r="N136" s="33">
        <f t="shared" si="65"/>
        <v>0</v>
      </c>
      <c r="O136" s="34">
        <f t="shared" si="66"/>
        <v>0</v>
      </c>
      <c r="P136" s="55">
        <v>131</v>
      </c>
      <c r="Q136" s="33">
        <f t="shared" si="74"/>
        <v>0</v>
      </c>
      <c r="R136" s="33">
        <f t="shared" si="80"/>
        <v>0</v>
      </c>
      <c r="S136" s="33">
        <f t="shared" si="81"/>
        <v>0</v>
      </c>
      <c r="T136" s="33">
        <f t="shared" si="67"/>
        <v>0</v>
      </c>
      <c r="U136" s="33">
        <f t="shared" si="75"/>
        <v>0</v>
      </c>
      <c r="V136" s="33">
        <f t="shared" si="68"/>
        <v>0</v>
      </c>
      <c r="W136" s="33">
        <v>0</v>
      </c>
      <c r="X136" s="33">
        <f t="shared" si="69"/>
        <v>0</v>
      </c>
      <c r="Y136" s="38">
        <f t="shared" si="70"/>
        <v>0</v>
      </c>
      <c r="AA136" s="71">
        <v>131</v>
      </c>
      <c r="AB136" s="33">
        <f t="shared" si="71"/>
        <v>0</v>
      </c>
      <c r="AC136" s="305">
        <f t="shared" si="64"/>
        <v>0</v>
      </c>
      <c r="AD136" s="100">
        <f t="shared" si="72"/>
        <v>0</v>
      </c>
      <c r="AE136" s="100">
        <f t="shared" si="73"/>
        <v>0</v>
      </c>
      <c r="AF136" s="194">
        <f t="shared" si="60"/>
        <v>0</v>
      </c>
      <c r="AG136" s="194">
        <f t="shared" si="61"/>
        <v>0</v>
      </c>
      <c r="AH136" s="194">
        <f t="shared" si="62"/>
        <v>0</v>
      </c>
      <c r="AI136" s="199">
        <f t="shared" si="63"/>
        <v>0</v>
      </c>
      <c r="AK136" s="71">
        <v>131</v>
      </c>
      <c r="AL136" s="33"/>
      <c r="AM136" s="33"/>
      <c r="AN136" s="33"/>
      <c r="AO136" s="33"/>
      <c r="AP136" s="33"/>
      <c r="AQ136" s="194"/>
      <c r="AR136" s="194"/>
      <c r="AS136" s="194"/>
      <c r="AT136" s="194"/>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76"/>
        <v>0</v>
      </c>
      <c r="K137" s="33">
        <f t="shared" si="77"/>
        <v>0</v>
      </c>
      <c r="L137" s="33">
        <f t="shared" si="78"/>
        <v>0</v>
      </c>
      <c r="M137" s="33">
        <f t="shared" si="79"/>
        <v>0</v>
      </c>
      <c r="N137" s="33">
        <f t="shared" si="65"/>
        <v>0</v>
      </c>
      <c r="O137" s="34">
        <f t="shared" si="66"/>
        <v>0</v>
      </c>
      <c r="P137" s="55">
        <v>132</v>
      </c>
      <c r="Q137" s="33">
        <f t="shared" si="74"/>
        <v>0</v>
      </c>
      <c r="R137" s="33">
        <f t="shared" si="80"/>
        <v>0</v>
      </c>
      <c r="S137" s="33">
        <f t="shared" si="81"/>
        <v>0</v>
      </c>
      <c r="T137" s="33">
        <f t="shared" si="67"/>
        <v>0</v>
      </c>
      <c r="U137" s="33">
        <f t="shared" si="75"/>
        <v>0</v>
      </c>
      <c r="V137" s="33">
        <f t="shared" si="68"/>
        <v>0</v>
      </c>
      <c r="W137" s="33">
        <v>0</v>
      </c>
      <c r="X137" s="33">
        <f t="shared" si="69"/>
        <v>0</v>
      </c>
      <c r="Y137" s="38">
        <f t="shared" si="70"/>
        <v>0</v>
      </c>
      <c r="AA137" s="71">
        <v>132</v>
      </c>
      <c r="AB137" s="33">
        <f t="shared" si="71"/>
        <v>0</v>
      </c>
      <c r="AC137" s="305">
        <f t="shared" si="64"/>
        <v>0</v>
      </c>
      <c r="AD137" s="100">
        <f t="shared" si="72"/>
        <v>0</v>
      </c>
      <c r="AE137" s="100">
        <f t="shared" si="73"/>
        <v>0</v>
      </c>
      <c r="AF137" s="194">
        <f t="shared" si="60"/>
        <v>0</v>
      </c>
      <c r="AG137" s="194">
        <f t="shared" si="61"/>
        <v>0</v>
      </c>
      <c r="AH137" s="194">
        <f t="shared" si="62"/>
        <v>0</v>
      </c>
      <c r="AI137" s="199">
        <f t="shared" si="63"/>
        <v>0</v>
      </c>
      <c r="AK137" s="71">
        <v>132</v>
      </c>
      <c r="AL137" s="33"/>
      <c r="AM137" s="33"/>
      <c r="AN137" s="33"/>
      <c r="AO137" s="33"/>
      <c r="AP137" s="33"/>
      <c r="AQ137" s="194"/>
      <c r="AR137" s="194"/>
      <c r="AS137" s="194"/>
      <c r="AT137" s="194"/>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76"/>
        <v>0</v>
      </c>
      <c r="K138" s="33">
        <f t="shared" si="77"/>
        <v>0</v>
      </c>
      <c r="L138" s="33">
        <f t="shared" si="78"/>
        <v>0</v>
      </c>
      <c r="M138" s="33">
        <f t="shared" si="79"/>
        <v>0</v>
      </c>
      <c r="N138" s="33">
        <f t="shared" si="65"/>
        <v>0</v>
      </c>
      <c r="O138" s="34">
        <f t="shared" si="66"/>
        <v>0</v>
      </c>
      <c r="P138" s="55">
        <v>133</v>
      </c>
      <c r="Q138" s="33">
        <f t="shared" si="74"/>
        <v>0</v>
      </c>
      <c r="R138" s="33">
        <f t="shared" si="80"/>
        <v>0</v>
      </c>
      <c r="S138" s="33">
        <f t="shared" si="81"/>
        <v>0</v>
      </c>
      <c r="T138" s="33">
        <f t="shared" si="67"/>
        <v>0</v>
      </c>
      <c r="U138" s="33">
        <f t="shared" si="75"/>
        <v>0</v>
      </c>
      <c r="V138" s="33">
        <f t="shared" si="68"/>
        <v>0</v>
      </c>
      <c r="W138" s="33">
        <v>0</v>
      </c>
      <c r="X138" s="33">
        <f t="shared" si="69"/>
        <v>0</v>
      </c>
      <c r="Y138" s="38">
        <f t="shared" si="70"/>
        <v>0</v>
      </c>
      <c r="AA138" s="71">
        <v>133</v>
      </c>
      <c r="AB138" s="33">
        <f t="shared" si="71"/>
        <v>0</v>
      </c>
      <c r="AC138" s="305">
        <f t="shared" si="64"/>
        <v>0</v>
      </c>
      <c r="AD138" s="100">
        <f t="shared" si="72"/>
        <v>0</v>
      </c>
      <c r="AE138" s="100">
        <f t="shared" si="73"/>
        <v>0</v>
      </c>
      <c r="AF138" s="194">
        <f t="shared" si="60"/>
        <v>0</v>
      </c>
      <c r="AG138" s="194">
        <f t="shared" si="61"/>
        <v>0</v>
      </c>
      <c r="AH138" s="194">
        <f t="shared" si="62"/>
        <v>0</v>
      </c>
      <c r="AI138" s="199">
        <f t="shared" si="63"/>
        <v>0</v>
      </c>
      <c r="AK138" s="71">
        <v>133</v>
      </c>
      <c r="AL138" s="33"/>
      <c r="AM138" s="33"/>
      <c r="AN138" s="33"/>
      <c r="AO138" s="33"/>
      <c r="AP138" s="33"/>
      <c r="AQ138" s="194"/>
      <c r="AR138" s="194"/>
      <c r="AS138" s="194"/>
      <c r="AT138" s="194"/>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76"/>
        <v>0</v>
      </c>
      <c r="K139" s="33">
        <f t="shared" si="77"/>
        <v>0</v>
      </c>
      <c r="L139" s="33">
        <f t="shared" si="78"/>
        <v>0</v>
      </c>
      <c r="M139" s="33">
        <f t="shared" si="79"/>
        <v>0</v>
      </c>
      <c r="N139" s="33">
        <f t="shared" si="65"/>
        <v>0</v>
      </c>
      <c r="O139" s="34">
        <f t="shared" si="66"/>
        <v>0</v>
      </c>
      <c r="P139" s="55">
        <v>134</v>
      </c>
      <c r="Q139" s="33">
        <f t="shared" si="74"/>
        <v>0</v>
      </c>
      <c r="R139" s="33">
        <f t="shared" si="80"/>
        <v>0</v>
      </c>
      <c r="S139" s="33">
        <f t="shared" si="81"/>
        <v>0</v>
      </c>
      <c r="T139" s="33">
        <f t="shared" si="67"/>
        <v>0</v>
      </c>
      <c r="U139" s="33">
        <f t="shared" si="75"/>
        <v>0</v>
      </c>
      <c r="V139" s="33">
        <f t="shared" si="68"/>
        <v>0</v>
      </c>
      <c r="W139" s="33">
        <v>0</v>
      </c>
      <c r="X139" s="33">
        <f t="shared" si="69"/>
        <v>0</v>
      </c>
      <c r="Y139" s="38">
        <f t="shared" si="70"/>
        <v>0</v>
      </c>
      <c r="AA139" s="71">
        <v>134</v>
      </c>
      <c r="AB139" s="33">
        <f t="shared" si="71"/>
        <v>0</v>
      </c>
      <c r="AC139" s="305">
        <f t="shared" si="64"/>
        <v>0</v>
      </c>
      <c r="AD139" s="100">
        <f t="shared" si="72"/>
        <v>0</v>
      </c>
      <c r="AE139" s="100">
        <f t="shared" si="73"/>
        <v>0</v>
      </c>
      <c r="AF139" s="194">
        <f t="shared" si="60"/>
        <v>0</v>
      </c>
      <c r="AG139" s="194">
        <f t="shared" si="61"/>
        <v>0</v>
      </c>
      <c r="AH139" s="194">
        <f t="shared" si="62"/>
        <v>0</v>
      </c>
      <c r="AI139" s="199">
        <f t="shared" si="63"/>
        <v>0</v>
      </c>
      <c r="AK139" s="71">
        <v>134</v>
      </c>
      <c r="AL139" s="33"/>
      <c r="AM139" s="33"/>
      <c r="AN139" s="33"/>
      <c r="AO139" s="33"/>
      <c r="AP139" s="33"/>
      <c r="AQ139" s="194"/>
      <c r="AR139" s="194"/>
      <c r="AS139" s="194"/>
      <c r="AT139" s="194"/>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76"/>
        <v>0</v>
      </c>
      <c r="K140" s="33">
        <f t="shared" si="77"/>
        <v>0</v>
      </c>
      <c r="L140" s="33">
        <f t="shared" si="78"/>
        <v>0</v>
      </c>
      <c r="M140" s="33">
        <f t="shared" si="79"/>
        <v>0</v>
      </c>
      <c r="N140" s="33">
        <f t="shared" si="65"/>
        <v>0</v>
      </c>
      <c r="O140" s="34">
        <f t="shared" si="66"/>
        <v>0</v>
      </c>
      <c r="P140" s="55">
        <v>135</v>
      </c>
      <c r="Q140" s="33">
        <f t="shared" si="74"/>
        <v>0</v>
      </c>
      <c r="R140" s="33">
        <f t="shared" si="80"/>
        <v>0</v>
      </c>
      <c r="S140" s="33">
        <f t="shared" si="81"/>
        <v>0</v>
      </c>
      <c r="T140" s="33">
        <f t="shared" si="67"/>
        <v>0</v>
      </c>
      <c r="U140" s="33">
        <f t="shared" si="75"/>
        <v>0</v>
      </c>
      <c r="V140" s="33">
        <f t="shared" si="68"/>
        <v>0</v>
      </c>
      <c r="W140" s="33">
        <v>0</v>
      </c>
      <c r="X140" s="33">
        <f t="shared" si="69"/>
        <v>0</v>
      </c>
      <c r="Y140" s="38">
        <f t="shared" si="70"/>
        <v>0</v>
      </c>
      <c r="AA140" s="71">
        <v>135</v>
      </c>
      <c r="AB140" s="33">
        <f t="shared" si="71"/>
        <v>0</v>
      </c>
      <c r="AC140" s="305">
        <f t="shared" si="64"/>
        <v>0</v>
      </c>
      <c r="AD140" s="100">
        <f t="shared" si="72"/>
        <v>0</v>
      </c>
      <c r="AE140" s="100">
        <f t="shared" si="73"/>
        <v>0</v>
      </c>
      <c r="AF140" s="194">
        <f t="shared" si="60"/>
        <v>0</v>
      </c>
      <c r="AG140" s="194">
        <f t="shared" si="61"/>
        <v>0</v>
      </c>
      <c r="AH140" s="194">
        <f t="shared" si="62"/>
        <v>0</v>
      </c>
      <c r="AI140" s="199">
        <f t="shared" si="63"/>
        <v>0</v>
      </c>
      <c r="AK140" s="71">
        <v>135</v>
      </c>
      <c r="AL140" s="33"/>
      <c r="AM140" s="33"/>
      <c r="AN140" s="33"/>
      <c r="AO140" s="33"/>
      <c r="AP140" s="33"/>
      <c r="AQ140" s="194"/>
      <c r="AR140" s="194"/>
      <c r="AS140" s="194"/>
      <c r="AT140" s="194"/>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76"/>
        <v>0</v>
      </c>
      <c r="K141" s="33">
        <f t="shared" si="77"/>
        <v>0</v>
      </c>
      <c r="L141" s="33">
        <f t="shared" si="78"/>
        <v>0</v>
      </c>
      <c r="M141" s="33">
        <f t="shared" si="79"/>
        <v>0</v>
      </c>
      <c r="N141" s="33">
        <f t="shared" si="65"/>
        <v>0</v>
      </c>
      <c r="O141" s="34">
        <f t="shared" si="66"/>
        <v>0</v>
      </c>
      <c r="P141" s="55">
        <v>136</v>
      </c>
      <c r="Q141" s="33">
        <f t="shared" si="74"/>
        <v>0</v>
      </c>
      <c r="R141" s="33">
        <f t="shared" si="80"/>
        <v>0</v>
      </c>
      <c r="S141" s="33">
        <f t="shared" si="81"/>
        <v>0</v>
      </c>
      <c r="T141" s="33">
        <f t="shared" si="67"/>
        <v>0</v>
      </c>
      <c r="U141" s="33">
        <f t="shared" si="75"/>
        <v>0</v>
      </c>
      <c r="V141" s="33">
        <f t="shared" si="68"/>
        <v>0</v>
      </c>
      <c r="W141" s="33">
        <v>0</v>
      </c>
      <c r="X141" s="33">
        <f t="shared" si="69"/>
        <v>0</v>
      </c>
      <c r="Y141" s="38">
        <f t="shared" si="70"/>
        <v>0</v>
      </c>
      <c r="AA141" s="71">
        <v>136</v>
      </c>
      <c r="AB141" s="33">
        <f t="shared" si="71"/>
        <v>0</v>
      </c>
      <c r="AC141" s="305">
        <f t="shared" si="64"/>
        <v>0</v>
      </c>
      <c r="AD141" s="100">
        <f t="shared" si="72"/>
        <v>0</v>
      </c>
      <c r="AE141" s="100">
        <f t="shared" si="73"/>
        <v>0</v>
      </c>
      <c r="AF141" s="194">
        <f t="shared" si="60"/>
        <v>0</v>
      </c>
      <c r="AG141" s="194">
        <f t="shared" si="61"/>
        <v>0</v>
      </c>
      <c r="AH141" s="194">
        <f t="shared" si="62"/>
        <v>0</v>
      </c>
      <c r="AI141" s="199">
        <f t="shared" si="63"/>
        <v>0</v>
      </c>
      <c r="AK141" s="71">
        <v>136</v>
      </c>
      <c r="AL141" s="33"/>
      <c r="AM141" s="33"/>
      <c r="AN141" s="33"/>
      <c r="AO141" s="33"/>
      <c r="AP141" s="33"/>
      <c r="AQ141" s="194"/>
      <c r="AR141" s="194"/>
      <c r="AS141" s="194"/>
      <c r="AT141" s="194"/>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76"/>
        <v>0</v>
      </c>
      <c r="K142" s="33">
        <f t="shared" si="77"/>
        <v>0</v>
      </c>
      <c r="L142" s="33">
        <f t="shared" si="78"/>
        <v>0</v>
      </c>
      <c r="M142" s="33">
        <f t="shared" si="79"/>
        <v>0</v>
      </c>
      <c r="N142" s="33">
        <f t="shared" si="65"/>
        <v>0</v>
      </c>
      <c r="O142" s="34">
        <f t="shared" si="66"/>
        <v>0</v>
      </c>
      <c r="P142" s="55">
        <v>137</v>
      </c>
      <c r="Q142" s="33">
        <f t="shared" si="74"/>
        <v>0</v>
      </c>
      <c r="R142" s="33">
        <f t="shared" si="80"/>
        <v>0</v>
      </c>
      <c r="S142" s="33">
        <f t="shared" si="81"/>
        <v>0</v>
      </c>
      <c r="T142" s="33">
        <f t="shared" si="67"/>
        <v>0</v>
      </c>
      <c r="U142" s="33">
        <f t="shared" si="75"/>
        <v>0</v>
      </c>
      <c r="V142" s="33">
        <f t="shared" si="68"/>
        <v>0</v>
      </c>
      <c r="W142" s="33">
        <v>0</v>
      </c>
      <c r="X142" s="33">
        <f t="shared" si="69"/>
        <v>0</v>
      </c>
      <c r="Y142" s="38">
        <f t="shared" si="70"/>
        <v>0</v>
      </c>
      <c r="AA142" s="71">
        <v>137</v>
      </c>
      <c r="AB142" s="33">
        <f t="shared" si="71"/>
        <v>0</v>
      </c>
      <c r="AC142" s="305">
        <f t="shared" si="64"/>
        <v>0</v>
      </c>
      <c r="AD142" s="100">
        <f t="shared" si="72"/>
        <v>0</v>
      </c>
      <c r="AE142" s="100">
        <f t="shared" si="73"/>
        <v>0</v>
      </c>
      <c r="AF142" s="194">
        <f t="shared" si="60"/>
        <v>0</v>
      </c>
      <c r="AG142" s="194">
        <f t="shared" si="61"/>
        <v>0</v>
      </c>
      <c r="AH142" s="194">
        <f t="shared" si="62"/>
        <v>0</v>
      </c>
      <c r="AI142" s="199">
        <f t="shared" si="63"/>
        <v>0</v>
      </c>
      <c r="AK142" s="71">
        <v>137</v>
      </c>
      <c r="AL142" s="33"/>
      <c r="AM142" s="33"/>
      <c r="AN142" s="33"/>
      <c r="AO142" s="33"/>
      <c r="AP142" s="33"/>
      <c r="AQ142" s="194"/>
      <c r="AR142" s="194"/>
      <c r="AS142" s="194"/>
      <c r="AT142" s="194"/>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76"/>
        <v>0</v>
      </c>
      <c r="K143" s="33">
        <f t="shared" si="77"/>
        <v>0</v>
      </c>
      <c r="L143" s="33">
        <f t="shared" si="78"/>
        <v>0</v>
      </c>
      <c r="M143" s="33">
        <f t="shared" si="79"/>
        <v>0</v>
      </c>
      <c r="N143" s="33">
        <f t="shared" si="65"/>
        <v>0</v>
      </c>
      <c r="O143" s="34">
        <f t="shared" si="66"/>
        <v>0</v>
      </c>
      <c r="P143" s="55">
        <v>138</v>
      </c>
      <c r="Q143" s="33">
        <f t="shared" si="74"/>
        <v>0</v>
      </c>
      <c r="R143" s="33">
        <f t="shared" si="80"/>
        <v>0</v>
      </c>
      <c r="S143" s="33">
        <f t="shared" si="81"/>
        <v>0</v>
      </c>
      <c r="T143" s="33">
        <f t="shared" si="67"/>
        <v>0</v>
      </c>
      <c r="U143" s="33">
        <f t="shared" si="75"/>
        <v>0</v>
      </c>
      <c r="V143" s="33">
        <f t="shared" si="68"/>
        <v>0</v>
      </c>
      <c r="W143" s="33">
        <v>0</v>
      </c>
      <c r="X143" s="33">
        <f t="shared" si="69"/>
        <v>0</v>
      </c>
      <c r="Y143" s="38">
        <f t="shared" si="70"/>
        <v>0</v>
      </c>
      <c r="AA143" s="71">
        <v>138</v>
      </c>
      <c r="AB143" s="33">
        <f t="shared" si="71"/>
        <v>0</v>
      </c>
      <c r="AC143" s="305">
        <f t="shared" si="64"/>
        <v>0</v>
      </c>
      <c r="AD143" s="100">
        <f t="shared" si="72"/>
        <v>0</v>
      </c>
      <c r="AE143" s="100">
        <f t="shared" si="73"/>
        <v>0</v>
      </c>
      <c r="AF143" s="194">
        <f t="shared" si="60"/>
        <v>0</v>
      </c>
      <c r="AG143" s="194">
        <f t="shared" si="61"/>
        <v>0</v>
      </c>
      <c r="AH143" s="194">
        <f t="shared" si="62"/>
        <v>0</v>
      </c>
      <c r="AI143" s="199">
        <f t="shared" si="63"/>
        <v>0</v>
      </c>
      <c r="AK143" s="71">
        <v>138</v>
      </c>
      <c r="AL143" s="33"/>
      <c r="AM143" s="33"/>
      <c r="AN143" s="33"/>
      <c r="AO143" s="33"/>
      <c r="AP143" s="33"/>
      <c r="AQ143" s="194"/>
      <c r="AR143" s="194"/>
      <c r="AS143" s="194"/>
      <c r="AT143" s="194"/>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76"/>
        <v>0</v>
      </c>
      <c r="K144" s="33">
        <f t="shared" si="77"/>
        <v>0</v>
      </c>
      <c r="L144" s="33">
        <f t="shared" si="78"/>
        <v>0</v>
      </c>
      <c r="M144" s="33">
        <f t="shared" si="79"/>
        <v>0</v>
      </c>
      <c r="N144" s="33">
        <f t="shared" si="65"/>
        <v>0</v>
      </c>
      <c r="O144" s="34">
        <f t="shared" si="66"/>
        <v>0</v>
      </c>
      <c r="P144" s="55">
        <v>139</v>
      </c>
      <c r="Q144" s="33">
        <f t="shared" si="74"/>
        <v>0</v>
      </c>
      <c r="R144" s="33">
        <f t="shared" si="80"/>
        <v>0</v>
      </c>
      <c r="S144" s="33">
        <f t="shared" si="81"/>
        <v>0</v>
      </c>
      <c r="T144" s="33">
        <f t="shared" si="67"/>
        <v>0</v>
      </c>
      <c r="U144" s="33">
        <f t="shared" si="75"/>
        <v>0</v>
      </c>
      <c r="V144" s="33">
        <f t="shared" si="68"/>
        <v>0</v>
      </c>
      <c r="W144" s="33">
        <v>0</v>
      </c>
      <c r="X144" s="33">
        <f t="shared" si="69"/>
        <v>0</v>
      </c>
      <c r="Y144" s="38">
        <f t="shared" si="70"/>
        <v>0</v>
      </c>
      <c r="AA144" s="71">
        <v>139</v>
      </c>
      <c r="AB144" s="33">
        <f t="shared" si="71"/>
        <v>0</v>
      </c>
      <c r="AC144" s="305">
        <f t="shared" si="64"/>
        <v>0</v>
      </c>
      <c r="AD144" s="100">
        <f t="shared" si="72"/>
        <v>0</v>
      </c>
      <c r="AE144" s="100">
        <f t="shared" si="73"/>
        <v>0</v>
      </c>
      <c r="AF144" s="194">
        <f t="shared" si="60"/>
        <v>0</v>
      </c>
      <c r="AG144" s="194">
        <f t="shared" si="61"/>
        <v>0</v>
      </c>
      <c r="AH144" s="194">
        <f t="shared" si="62"/>
        <v>0</v>
      </c>
      <c r="AI144" s="199">
        <f t="shared" si="63"/>
        <v>0</v>
      </c>
      <c r="AK144" s="71">
        <v>139</v>
      </c>
      <c r="AL144" s="33"/>
      <c r="AM144" s="33"/>
      <c r="AN144" s="33"/>
      <c r="AO144" s="33"/>
      <c r="AP144" s="33"/>
      <c r="AQ144" s="194"/>
      <c r="AR144" s="194"/>
      <c r="AS144" s="194"/>
      <c r="AT144" s="194"/>
      <c r="AU144" s="33"/>
      <c r="AV144" s="33"/>
      <c r="AW144" s="33"/>
      <c r="AX144" s="33"/>
      <c r="AY144" s="76"/>
    </row>
    <row r="145" spans="3:51" x14ac:dyDescent="0.3">
      <c r="C145" s="166" t="s">
        <v>20</v>
      </c>
      <c r="D145" s="4">
        <v>0.57999999999999996</v>
      </c>
      <c r="E145" s="188" t="s">
        <v>228</v>
      </c>
      <c r="F145" s="343">
        <f>IF(OR(Tableau145[[#This Row],[Type]]="Feuillus",Tableau145[[#This Row],[Type]]="Peupliers"),1.56,1.3)</f>
        <v>1.56</v>
      </c>
      <c r="I145" s="55">
        <v>140</v>
      </c>
      <c r="J145" s="33">
        <f t="shared" si="76"/>
        <v>0</v>
      </c>
      <c r="K145" s="33">
        <f t="shared" si="77"/>
        <v>0</v>
      </c>
      <c r="L145" s="33">
        <f t="shared" si="78"/>
        <v>0</v>
      </c>
      <c r="M145" s="33">
        <f t="shared" si="79"/>
        <v>0</v>
      </c>
      <c r="N145" s="33">
        <f t="shared" si="65"/>
        <v>0</v>
      </c>
      <c r="O145" s="34">
        <f t="shared" si="66"/>
        <v>0</v>
      </c>
      <c r="P145" s="55">
        <v>140</v>
      </c>
      <c r="Q145" s="33">
        <f t="shared" si="74"/>
        <v>0</v>
      </c>
      <c r="R145" s="33">
        <f t="shared" si="80"/>
        <v>0</v>
      </c>
      <c r="S145" s="33">
        <f t="shared" si="81"/>
        <v>0</v>
      </c>
      <c r="T145" s="33">
        <f t="shared" si="67"/>
        <v>0</v>
      </c>
      <c r="U145" s="33">
        <f t="shared" si="75"/>
        <v>0</v>
      </c>
      <c r="V145" s="33">
        <f t="shared" si="68"/>
        <v>0</v>
      </c>
      <c r="W145" s="33">
        <v>0</v>
      </c>
      <c r="X145" s="33">
        <f t="shared" si="69"/>
        <v>0</v>
      </c>
      <c r="Y145" s="38">
        <f t="shared" si="70"/>
        <v>0</v>
      </c>
      <c r="AA145" s="71">
        <v>140</v>
      </c>
      <c r="AB145" s="33">
        <f t="shared" si="71"/>
        <v>0</v>
      </c>
      <c r="AC145" s="305">
        <f t="shared" si="64"/>
        <v>0</v>
      </c>
      <c r="AD145" s="100">
        <f t="shared" si="72"/>
        <v>0</v>
      </c>
      <c r="AE145" s="100">
        <f t="shared" si="73"/>
        <v>0</v>
      </c>
      <c r="AF145" s="194">
        <f t="shared" si="60"/>
        <v>0</v>
      </c>
      <c r="AG145" s="194">
        <f t="shared" si="61"/>
        <v>0</v>
      </c>
      <c r="AH145" s="194">
        <f t="shared" si="62"/>
        <v>0</v>
      </c>
      <c r="AI145" s="199">
        <f t="shared" si="63"/>
        <v>0</v>
      </c>
      <c r="AK145" s="71">
        <v>140</v>
      </c>
      <c r="AL145" s="33"/>
      <c r="AM145" s="33"/>
      <c r="AN145" s="33"/>
      <c r="AO145" s="33"/>
      <c r="AP145" s="33"/>
      <c r="AQ145" s="194"/>
      <c r="AR145" s="194"/>
      <c r="AS145" s="194"/>
      <c r="AT145" s="194"/>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76"/>
        <v>0</v>
      </c>
      <c r="K146" s="33">
        <f t="shared" si="77"/>
        <v>0</v>
      </c>
      <c r="L146" s="33">
        <f t="shared" si="78"/>
        <v>0</v>
      </c>
      <c r="M146" s="33">
        <f t="shared" si="79"/>
        <v>0</v>
      </c>
      <c r="N146" s="33">
        <f t="shared" si="65"/>
        <v>0</v>
      </c>
      <c r="O146" s="34">
        <f t="shared" si="66"/>
        <v>0</v>
      </c>
      <c r="P146" s="55">
        <v>141</v>
      </c>
      <c r="Q146" s="33">
        <f t="shared" si="74"/>
        <v>0</v>
      </c>
      <c r="R146" s="33">
        <f t="shared" si="80"/>
        <v>0</v>
      </c>
      <c r="S146" s="33">
        <f t="shared" si="81"/>
        <v>0</v>
      </c>
      <c r="T146" s="33">
        <f t="shared" si="67"/>
        <v>0</v>
      </c>
      <c r="U146" s="33">
        <f t="shared" si="75"/>
        <v>0</v>
      </c>
      <c r="V146" s="33">
        <f t="shared" si="68"/>
        <v>0</v>
      </c>
      <c r="W146" s="33">
        <v>0</v>
      </c>
      <c r="X146" s="33">
        <f t="shared" si="69"/>
        <v>0</v>
      </c>
      <c r="Y146" s="38">
        <f t="shared" si="70"/>
        <v>0</v>
      </c>
      <c r="AA146" s="71">
        <v>141</v>
      </c>
      <c r="AB146" s="33">
        <f t="shared" si="71"/>
        <v>0</v>
      </c>
      <c r="AC146" s="305">
        <f t="shared" si="64"/>
        <v>0</v>
      </c>
      <c r="AD146" s="100">
        <f t="shared" si="72"/>
        <v>0</v>
      </c>
      <c r="AE146" s="100">
        <f t="shared" si="73"/>
        <v>0</v>
      </c>
      <c r="AF146" s="194">
        <f t="shared" si="60"/>
        <v>0</v>
      </c>
      <c r="AG146" s="194">
        <f t="shared" si="61"/>
        <v>0</v>
      </c>
      <c r="AH146" s="194">
        <f t="shared" si="62"/>
        <v>0</v>
      </c>
      <c r="AI146" s="199">
        <f t="shared" si="63"/>
        <v>0</v>
      </c>
      <c r="AK146" s="71">
        <v>141</v>
      </c>
      <c r="AL146" s="33"/>
      <c r="AM146" s="33"/>
      <c r="AN146" s="33"/>
      <c r="AO146" s="33"/>
      <c r="AP146" s="33"/>
      <c r="AQ146" s="194"/>
      <c r="AR146" s="194"/>
      <c r="AS146" s="194"/>
      <c r="AT146" s="194"/>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76"/>
        <v>0</v>
      </c>
      <c r="K147" s="33">
        <f t="shared" si="77"/>
        <v>0</v>
      </c>
      <c r="L147" s="33">
        <f t="shared" si="78"/>
        <v>0</v>
      </c>
      <c r="M147" s="33">
        <f t="shared" si="79"/>
        <v>0</v>
      </c>
      <c r="N147" s="33">
        <f t="shared" si="65"/>
        <v>0</v>
      </c>
      <c r="O147" s="34">
        <f t="shared" si="66"/>
        <v>0</v>
      </c>
      <c r="P147" s="55">
        <v>142</v>
      </c>
      <c r="Q147" s="33">
        <f t="shared" si="74"/>
        <v>0</v>
      </c>
      <c r="R147" s="33">
        <f t="shared" si="80"/>
        <v>0</v>
      </c>
      <c r="S147" s="33">
        <f t="shared" si="81"/>
        <v>0</v>
      </c>
      <c r="T147" s="33">
        <f t="shared" si="67"/>
        <v>0</v>
      </c>
      <c r="U147" s="33">
        <f t="shared" si="75"/>
        <v>0</v>
      </c>
      <c r="V147" s="33">
        <f t="shared" si="68"/>
        <v>0</v>
      </c>
      <c r="W147" s="33">
        <v>0</v>
      </c>
      <c r="X147" s="33">
        <f t="shared" si="69"/>
        <v>0</v>
      </c>
      <c r="Y147" s="38">
        <f t="shared" si="70"/>
        <v>0</v>
      </c>
      <c r="AA147" s="71">
        <v>142</v>
      </c>
      <c r="AB147" s="33">
        <f t="shared" si="71"/>
        <v>0</v>
      </c>
      <c r="AC147" s="305">
        <f t="shared" si="64"/>
        <v>0</v>
      </c>
      <c r="AD147" s="100">
        <f t="shared" si="72"/>
        <v>0</v>
      </c>
      <c r="AE147" s="100">
        <f t="shared" si="73"/>
        <v>0</v>
      </c>
      <c r="AF147" s="194">
        <f t="shared" si="60"/>
        <v>0</v>
      </c>
      <c r="AG147" s="194">
        <f t="shared" si="61"/>
        <v>0</v>
      </c>
      <c r="AH147" s="194">
        <f t="shared" si="62"/>
        <v>0</v>
      </c>
      <c r="AI147" s="199">
        <f t="shared" si="63"/>
        <v>0</v>
      </c>
      <c r="AK147" s="71">
        <v>142</v>
      </c>
      <c r="AL147" s="33"/>
      <c r="AM147" s="33"/>
      <c r="AN147" s="33"/>
      <c r="AO147" s="33"/>
      <c r="AP147" s="33"/>
      <c r="AQ147" s="194"/>
      <c r="AR147" s="194"/>
      <c r="AS147" s="194"/>
      <c r="AT147" s="194"/>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76"/>
        <v>0</v>
      </c>
      <c r="K148" s="33">
        <f t="shared" si="77"/>
        <v>0</v>
      </c>
      <c r="L148" s="33">
        <f t="shared" si="78"/>
        <v>0</v>
      </c>
      <c r="M148" s="33">
        <f t="shared" si="79"/>
        <v>0</v>
      </c>
      <c r="N148" s="33">
        <f t="shared" si="65"/>
        <v>0</v>
      </c>
      <c r="O148" s="34">
        <f t="shared" si="66"/>
        <v>0</v>
      </c>
      <c r="P148" s="55">
        <v>143</v>
      </c>
      <c r="Q148" s="33">
        <f t="shared" si="74"/>
        <v>0</v>
      </c>
      <c r="R148" s="33">
        <f t="shared" si="80"/>
        <v>0</v>
      </c>
      <c r="S148" s="33">
        <f t="shared" si="81"/>
        <v>0</v>
      </c>
      <c r="T148" s="33">
        <f t="shared" si="67"/>
        <v>0</v>
      </c>
      <c r="U148" s="33">
        <f t="shared" si="75"/>
        <v>0</v>
      </c>
      <c r="V148" s="33">
        <f t="shared" si="68"/>
        <v>0</v>
      </c>
      <c r="W148" s="33">
        <v>0</v>
      </c>
      <c r="X148" s="33">
        <f t="shared" si="69"/>
        <v>0</v>
      </c>
      <c r="Y148" s="38">
        <f t="shared" si="70"/>
        <v>0</v>
      </c>
      <c r="AA148" s="71">
        <v>143</v>
      </c>
      <c r="AB148" s="33">
        <f t="shared" si="71"/>
        <v>0</v>
      </c>
      <c r="AC148" s="305">
        <f t="shared" si="64"/>
        <v>0</v>
      </c>
      <c r="AD148" s="100">
        <f t="shared" si="72"/>
        <v>0</v>
      </c>
      <c r="AE148" s="100">
        <f t="shared" si="73"/>
        <v>0</v>
      </c>
      <c r="AF148" s="194">
        <f t="shared" si="60"/>
        <v>0</v>
      </c>
      <c r="AG148" s="194">
        <f t="shared" si="61"/>
        <v>0</v>
      </c>
      <c r="AH148" s="194">
        <f t="shared" si="62"/>
        <v>0</v>
      </c>
      <c r="AI148" s="199">
        <f t="shared" si="63"/>
        <v>0</v>
      </c>
      <c r="AK148" s="71">
        <v>143</v>
      </c>
      <c r="AL148" s="33"/>
      <c r="AM148" s="33"/>
      <c r="AN148" s="33"/>
      <c r="AO148" s="33"/>
      <c r="AP148" s="33"/>
      <c r="AQ148" s="194"/>
      <c r="AR148" s="194"/>
      <c r="AS148" s="194"/>
      <c r="AT148" s="194"/>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76"/>
        <v>0</v>
      </c>
      <c r="K149" s="33">
        <f t="shared" si="77"/>
        <v>0</v>
      </c>
      <c r="L149" s="33">
        <f t="shared" si="78"/>
        <v>0</v>
      </c>
      <c r="M149" s="33">
        <f t="shared" si="79"/>
        <v>0</v>
      </c>
      <c r="N149" s="33">
        <f t="shared" si="65"/>
        <v>0</v>
      </c>
      <c r="O149" s="34">
        <f t="shared" si="66"/>
        <v>0</v>
      </c>
      <c r="P149" s="55">
        <v>144</v>
      </c>
      <c r="Q149" s="33">
        <f t="shared" si="74"/>
        <v>0</v>
      </c>
      <c r="R149" s="33">
        <f t="shared" si="80"/>
        <v>0</v>
      </c>
      <c r="S149" s="33">
        <f t="shared" si="81"/>
        <v>0</v>
      </c>
      <c r="T149" s="33">
        <f t="shared" si="67"/>
        <v>0</v>
      </c>
      <c r="U149" s="33">
        <f t="shared" si="75"/>
        <v>0</v>
      </c>
      <c r="V149" s="33">
        <f t="shared" si="68"/>
        <v>0</v>
      </c>
      <c r="W149" s="33">
        <v>0</v>
      </c>
      <c r="X149" s="33">
        <f t="shared" si="69"/>
        <v>0</v>
      </c>
      <c r="Y149" s="38">
        <f t="shared" si="70"/>
        <v>0</v>
      </c>
      <c r="AA149" s="71">
        <v>144</v>
      </c>
      <c r="AB149" s="33">
        <f t="shared" si="71"/>
        <v>0</v>
      </c>
      <c r="AC149" s="305">
        <f t="shared" si="64"/>
        <v>0</v>
      </c>
      <c r="AD149" s="100">
        <f t="shared" si="72"/>
        <v>0</v>
      </c>
      <c r="AE149" s="100">
        <f t="shared" si="73"/>
        <v>0</v>
      </c>
      <c r="AF149" s="194">
        <f t="shared" si="60"/>
        <v>0</v>
      </c>
      <c r="AG149" s="194">
        <f t="shared" si="61"/>
        <v>0</v>
      </c>
      <c r="AH149" s="194">
        <f t="shared" si="62"/>
        <v>0</v>
      </c>
      <c r="AI149" s="199">
        <f t="shared" si="63"/>
        <v>0</v>
      </c>
      <c r="AK149" s="71">
        <v>144</v>
      </c>
      <c r="AL149" s="33"/>
      <c r="AM149" s="33"/>
      <c r="AN149" s="33"/>
      <c r="AO149" s="33"/>
      <c r="AP149" s="33"/>
      <c r="AQ149" s="194"/>
      <c r="AR149" s="194"/>
      <c r="AS149" s="194"/>
      <c r="AT149" s="194"/>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76"/>
        <v>0</v>
      </c>
      <c r="K150" s="33">
        <f t="shared" si="77"/>
        <v>0</v>
      </c>
      <c r="L150" s="33">
        <f t="shared" si="78"/>
        <v>0</v>
      </c>
      <c r="M150" s="33">
        <f t="shared" si="79"/>
        <v>0</v>
      </c>
      <c r="N150" s="33">
        <f t="shared" si="65"/>
        <v>0</v>
      </c>
      <c r="O150" s="34">
        <f t="shared" si="66"/>
        <v>0</v>
      </c>
      <c r="P150" s="55">
        <v>145</v>
      </c>
      <c r="Q150" s="33">
        <f t="shared" si="74"/>
        <v>0</v>
      </c>
      <c r="R150" s="33">
        <f t="shared" si="80"/>
        <v>0</v>
      </c>
      <c r="S150" s="33">
        <f t="shared" si="81"/>
        <v>0</v>
      </c>
      <c r="T150" s="33">
        <f t="shared" si="67"/>
        <v>0</v>
      </c>
      <c r="U150" s="33">
        <f t="shared" si="75"/>
        <v>0</v>
      </c>
      <c r="V150" s="33">
        <f t="shared" si="68"/>
        <v>0</v>
      </c>
      <c r="W150" s="33">
        <v>0</v>
      </c>
      <c r="X150" s="33">
        <f t="shared" si="69"/>
        <v>0</v>
      </c>
      <c r="Y150" s="38">
        <f t="shared" si="70"/>
        <v>0</v>
      </c>
      <c r="AA150" s="71">
        <v>145</v>
      </c>
      <c r="AB150" s="33">
        <f t="shared" si="71"/>
        <v>0</v>
      </c>
      <c r="AC150" s="305">
        <f t="shared" si="64"/>
        <v>0</v>
      </c>
      <c r="AD150" s="100">
        <f t="shared" si="72"/>
        <v>0</v>
      </c>
      <c r="AE150" s="100">
        <f t="shared" si="73"/>
        <v>0</v>
      </c>
      <c r="AF150" s="194">
        <f t="shared" si="60"/>
        <v>0</v>
      </c>
      <c r="AG150" s="194">
        <f t="shared" si="61"/>
        <v>0</v>
      </c>
      <c r="AH150" s="194">
        <f t="shared" si="62"/>
        <v>0</v>
      </c>
      <c r="AI150" s="199">
        <f t="shared" si="63"/>
        <v>0</v>
      </c>
      <c r="AK150" s="71">
        <v>145</v>
      </c>
      <c r="AL150" s="33"/>
      <c r="AM150" s="33"/>
      <c r="AN150" s="33"/>
      <c r="AO150" s="33"/>
      <c r="AP150" s="33"/>
      <c r="AQ150" s="194"/>
      <c r="AR150" s="194"/>
      <c r="AS150" s="194"/>
      <c r="AT150" s="194"/>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76"/>
        <v>0</v>
      </c>
      <c r="K151" s="33">
        <f t="shared" si="77"/>
        <v>0</v>
      </c>
      <c r="L151" s="33">
        <f t="shared" si="78"/>
        <v>0</v>
      </c>
      <c r="M151" s="33">
        <f t="shared" si="79"/>
        <v>0</v>
      </c>
      <c r="N151" s="33">
        <f t="shared" si="65"/>
        <v>0</v>
      </c>
      <c r="O151" s="34">
        <f t="shared" si="66"/>
        <v>0</v>
      </c>
      <c r="P151" s="55">
        <v>146</v>
      </c>
      <c r="Q151" s="33">
        <f t="shared" si="74"/>
        <v>0</v>
      </c>
      <c r="R151" s="33">
        <f t="shared" si="80"/>
        <v>0</v>
      </c>
      <c r="S151" s="33">
        <f t="shared" si="81"/>
        <v>0</v>
      </c>
      <c r="T151" s="33">
        <f t="shared" si="67"/>
        <v>0</v>
      </c>
      <c r="U151" s="33">
        <f t="shared" si="75"/>
        <v>0</v>
      </c>
      <c r="V151" s="33">
        <f t="shared" si="68"/>
        <v>0</v>
      </c>
      <c r="W151" s="33">
        <v>0</v>
      </c>
      <c r="X151" s="33">
        <f t="shared" si="69"/>
        <v>0</v>
      </c>
      <c r="Y151" s="38">
        <f t="shared" si="70"/>
        <v>0</v>
      </c>
      <c r="AA151" s="71">
        <v>146</v>
      </c>
      <c r="AB151" s="33">
        <f t="shared" si="71"/>
        <v>0</v>
      </c>
      <c r="AC151" s="305">
        <f t="shared" si="64"/>
        <v>0</v>
      </c>
      <c r="AD151" s="100">
        <f t="shared" si="72"/>
        <v>0</v>
      </c>
      <c r="AE151" s="100">
        <f t="shared" si="73"/>
        <v>0</v>
      </c>
      <c r="AF151" s="194">
        <f t="shared" si="60"/>
        <v>0</v>
      </c>
      <c r="AG151" s="194">
        <f t="shared" si="61"/>
        <v>0</v>
      </c>
      <c r="AH151" s="194">
        <f t="shared" si="62"/>
        <v>0</v>
      </c>
      <c r="AI151" s="199">
        <f t="shared" si="63"/>
        <v>0</v>
      </c>
      <c r="AK151" s="71">
        <v>146</v>
      </c>
      <c r="AL151" s="33"/>
      <c r="AM151" s="33"/>
      <c r="AN151" s="33"/>
      <c r="AO151" s="33"/>
      <c r="AP151" s="33"/>
      <c r="AQ151" s="194"/>
      <c r="AR151" s="194"/>
      <c r="AS151" s="194"/>
      <c r="AT151" s="194"/>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76"/>
        <v>0</v>
      </c>
      <c r="K152" s="33">
        <f t="shared" si="77"/>
        <v>0</v>
      </c>
      <c r="L152" s="33">
        <f t="shared" si="78"/>
        <v>0</v>
      </c>
      <c r="M152" s="33">
        <f t="shared" si="79"/>
        <v>0</v>
      </c>
      <c r="N152" s="33">
        <f t="shared" si="65"/>
        <v>0</v>
      </c>
      <c r="O152" s="34">
        <f t="shared" si="66"/>
        <v>0</v>
      </c>
      <c r="P152" s="55">
        <v>147</v>
      </c>
      <c r="Q152" s="33">
        <f t="shared" si="74"/>
        <v>0</v>
      </c>
      <c r="R152" s="33">
        <f t="shared" si="80"/>
        <v>0</v>
      </c>
      <c r="S152" s="33">
        <f t="shared" si="81"/>
        <v>0</v>
      </c>
      <c r="T152" s="33">
        <f t="shared" si="67"/>
        <v>0</v>
      </c>
      <c r="U152" s="33">
        <f t="shared" si="75"/>
        <v>0</v>
      </c>
      <c r="V152" s="33">
        <f t="shared" si="68"/>
        <v>0</v>
      </c>
      <c r="W152" s="33">
        <v>0</v>
      </c>
      <c r="X152" s="33">
        <f t="shared" si="69"/>
        <v>0</v>
      </c>
      <c r="Y152" s="38">
        <f t="shared" si="70"/>
        <v>0</v>
      </c>
      <c r="AA152" s="71">
        <v>147</v>
      </c>
      <c r="AB152" s="33">
        <f t="shared" si="71"/>
        <v>0</v>
      </c>
      <c r="AC152" s="305">
        <f t="shared" si="64"/>
        <v>0</v>
      </c>
      <c r="AD152" s="100">
        <f t="shared" si="72"/>
        <v>0</v>
      </c>
      <c r="AE152" s="100">
        <f t="shared" si="73"/>
        <v>0</v>
      </c>
      <c r="AF152" s="194">
        <f t="shared" si="60"/>
        <v>0</v>
      </c>
      <c r="AG152" s="194">
        <f t="shared" si="61"/>
        <v>0</v>
      </c>
      <c r="AH152" s="194">
        <f t="shared" si="62"/>
        <v>0</v>
      </c>
      <c r="AI152" s="199">
        <f t="shared" si="63"/>
        <v>0</v>
      </c>
      <c r="AK152" s="71">
        <v>147</v>
      </c>
      <c r="AL152" s="33"/>
      <c r="AM152" s="33"/>
      <c r="AN152" s="33"/>
      <c r="AO152" s="33"/>
      <c r="AP152" s="33"/>
      <c r="AQ152" s="194"/>
      <c r="AR152" s="194"/>
      <c r="AS152" s="194"/>
      <c r="AT152" s="194"/>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76"/>
        <v>0</v>
      </c>
      <c r="K153" s="33">
        <f t="shared" si="77"/>
        <v>0</v>
      </c>
      <c r="L153" s="33">
        <f t="shared" si="78"/>
        <v>0</v>
      </c>
      <c r="M153" s="33">
        <f t="shared" si="79"/>
        <v>0</v>
      </c>
      <c r="N153" s="33">
        <f t="shared" si="65"/>
        <v>0</v>
      </c>
      <c r="O153" s="34">
        <f t="shared" si="66"/>
        <v>0</v>
      </c>
      <c r="P153" s="55">
        <v>148</v>
      </c>
      <c r="Q153" s="33">
        <f t="shared" si="74"/>
        <v>0</v>
      </c>
      <c r="R153" s="33">
        <f t="shared" si="80"/>
        <v>0</v>
      </c>
      <c r="S153" s="33">
        <f t="shared" si="81"/>
        <v>0</v>
      </c>
      <c r="T153" s="33">
        <f t="shared" si="67"/>
        <v>0</v>
      </c>
      <c r="U153" s="33">
        <f t="shared" si="75"/>
        <v>0</v>
      </c>
      <c r="V153" s="33">
        <f t="shared" si="68"/>
        <v>0</v>
      </c>
      <c r="W153" s="33">
        <v>0</v>
      </c>
      <c r="X153" s="33">
        <f t="shared" si="69"/>
        <v>0</v>
      </c>
      <c r="Y153" s="38">
        <f t="shared" si="70"/>
        <v>0</v>
      </c>
      <c r="AA153" s="71">
        <v>148</v>
      </c>
      <c r="AB153" s="33">
        <f t="shared" si="71"/>
        <v>0</v>
      </c>
      <c r="AC153" s="305">
        <f t="shared" si="64"/>
        <v>0</v>
      </c>
      <c r="AD153" s="100">
        <f t="shared" si="72"/>
        <v>0</v>
      </c>
      <c r="AE153" s="100">
        <f t="shared" si="73"/>
        <v>0</v>
      </c>
      <c r="AF153" s="194">
        <f t="shared" si="60"/>
        <v>0</v>
      </c>
      <c r="AG153" s="194">
        <f t="shared" si="61"/>
        <v>0</v>
      </c>
      <c r="AH153" s="194">
        <f t="shared" si="62"/>
        <v>0</v>
      </c>
      <c r="AI153" s="199">
        <f t="shared" si="63"/>
        <v>0</v>
      </c>
      <c r="AK153" s="71">
        <v>148</v>
      </c>
      <c r="AL153" s="33"/>
      <c r="AM153" s="33"/>
      <c r="AN153" s="33"/>
      <c r="AO153" s="33"/>
      <c r="AP153" s="33"/>
      <c r="AQ153" s="194"/>
      <c r="AR153" s="194"/>
      <c r="AS153" s="194"/>
      <c r="AT153" s="194"/>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76"/>
        <v>0</v>
      </c>
      <c r="K154" s="33">
        <f t="shared" si="77"/>
        <v>0</v>
      </c>
      <c r="L154" s="33">
        <f t="shared" si="78"/>
        <v>0</v>
      </c>
      <c r="M154" s="33">
        <f t="shared" si="79"/>
        <v>0</v>
      </c>
      <c r="N154" s="33">
        <f t="shared" si="65"/>
        <v>0</v>
      </c>
      <c r="O154" s="34">
        <f t="shared" si="66"/>
        <v>0</v>
      </c>
      <c r="P154" s="55">
        <v>149</v>
      </c>
      <c r="Q154" s="33">
        <f t="shared" si="74"/>
        <v>0</v>
      </c>
      <c r="R154" s="33">
        <f t="shared" si="80"/>
        <v>0</v>
      </c>
      <c r="S154" s="33">
        <f t="shared" si="81"/>
        <v>0</v>
      </c>
      <c r="T154" s="33">
        <f t="shared" si="67"/>
        <v>0</v>
      </c>
      <c r="U154" s="33">
        <f t="shared" si="75"/>
        <v>0</v>
      </c>
      <c r="V154" s="33">
        <f t="shared" si="68"/>
        <v>0</v>
      </c>
      <c r="W154" s="33">
        <v>0</v>
      </c>
      <c r="X154" s="33">
        <f t="shared" si="69"/>
        <v>0</v>
      </c>
      <c r="Y154" s="38">
        <f t="shared" si="70"/>
        <v>0</v>
      </c>
      <c r="AA154" s="71">
        <v>149</v>
      </c>
      <c r="AB154" s="33">
        <f t="shared" si="71"/>
        <v>0</v>
      </c>
      <c r="AC154" s="305">
        <f t="shared" si="64"/>
        <v>0</v>
      </c>
      <c r="AD154" s="100">
        <f t="shared" si="72"/>
        <v>0</v>
      </c>
      <c r="AE154" s="100">
        <f t="shared" si="73"/>
        <v>0</v>
      </c>
      <c r="AF154" s="194">
        <f t="shared" si="60"/>
        <v>0</v>
      </c>
      <c r="AG154" s="194">
        <f t="shared" si="61"/>
        <v>0</v>
      </c>
      <c r="AH154" s="194">
        <f t="shared" si="62"/>
        <v>0</v>
      </c>
      <c r="AI154" s="199">
        <f t="shared" si="63"/>
        <v>0</v>
      </c>
      <c r="AK154" s="71">
        <v>149</v>
      </c>
      <c r="AL154" s="33"/>
      <c r="AM154" s="33"/>
      <c r="AN154" s="33"/>
      <c r="AO154" s="33"/>
      <c r="AP154" s="33"/>
      <c r="AQ154" s="194"/>
      <c r="AR154" s="194"/>
      <c r="AS154" s="194"/>
      <c r="AT154" s="194"/>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76"/>
        <v>0</v>
      </c>
      <c r="K155" s="33">
        <f t="shared" si="77"/>
        <v>0</v>
      </c>
      <c r="L155" s="33">
        <f t="shared" si="78"/>
        <v>0</v>
      </c>
      <c r="M155" s="33">
        <f t="shared" si="79"/>
        <v>0</v>
      </c>
      <c r="N155" s="33">
        <f t="shared" si="65"/>
        <v>0</v>
      </c>
      <c r="O155" s="34">
        <f t="shared" si="66"/>
        <v>0</v>
      </c>
      <c r="P155" s="55">
        <v>150</v>
      </c>
      <c r="Q155" s="33">
        <f t="shared" si="74"/>
        <v>0</v>
      </c>
      <c r="R155" s="33">
        <f t="shared" si="80"/>
        <v>0</v>
      </c>
      <c r="S155" s="33">
        <f t="shared" si="81"/>
        <v>0</v>
      </c>
      <c r="T155" s="33">
        <f t="shared" si="67"/>
        <v>0</v>
      </c>
      <c r="U155" s="33">
        <f t="shared" si="75"/>
        <v>0</v>
      </c>
      <c r="V155" s="33">
        <f t="shared" si="68"/>
        <v>0</v>
      </c>
      <c r="W155" s="33">
        <v>0</v>
      </c>
      <c r="X155" s="33">
        <f t="shared" si="69"/>
        <v>0</v>
      </c>
      <c r="Y155" s="38">
        <f t="shared" si="70"/>
        <v>0</v>
      </c>
      <c r="AA155" s="71">
        <v>150</v>
      </c>
      <c r="AB155" s="33">
        <f t="shared" si="71"/>
        <v>0</v>
      </c>
      <c r="AC155" s="305">
        <f t="shared" si="64"/>
        <v>0</v>
      </c>
      <c r="AD155" s="100">
        <f t="shared" si="72"/>
        <v>0</v>
      </c>
      <c r="AE155" s="100">
        <f t="shared" si="73"/>
        <v>0</v>
      </c>
      <c r="AF155" s="194">
        <f t="shared" ref="AF155:AF205" si="82">IF(OR(AA155&lt;=$F$18,AA155&lt;=30),EXP(-LN(2)/$D$104)*AF154+((1-EXP(-LN(2)/$D$104))/(LN(2)/$D$104))*$AB155*AC155*0.475*$F$19*44/12,)</f>
        <v>0</v>
      </c>
      <c r="AG155" s="194">
        <f t="shared" ref="AG155:AG205" si="83">IF(OR(AA155&lt;=$F$18,AA155&lt;=30),EXP(-LN(2)/$D$106)*AG154+((1-EXP(-LN(2)/$D$106))/(LN(2)/$D$106))*$AB155*AD155*0.475*$F$19*44/12,)</f>
        <v>0</v>
      </c>
      <c r="AH155" s="194">
        <f t="shared" ref="AH155:AH205" si="84">IF(OR(AA155&lt;=$F$18,AA155&lt;=30),EXP(-LN(2)/$D$105)*AH154+((1-EXP(-LN(2)/$D$105))/(LN(2)/$D$105))*$AB155*AE155*0.475*$F$19*44/12,)</f>
        <v>0</v>
      </c>
      <c r="AI155" s="199">
        <f t="shared" ref="AI155:AI205" si="85">IF(OR(AA155&lt;=$F$18,AA155&lt;=30),SUM(AF155:AH155),)</f>
        <v>0</v>
      </c>
      <c r="AK155" s="71">
        <v>150</v>
      </c>
      <c r="AL155" s="33"/>
      <c r="AM155" s="33"/>
      <c r="AN155" s="33"/>
      <c r="AO155" s="33"/>
      <c r="AP155" s="33"/>
      <c r="AQ155" s="194"/>
      <c r="AR155" s="194"/>
      <c r="AS155" s="194"/>
      <c r="AT155" s="194"/>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76"/>
        <v>0</v>
      </c>
      <c r="K156" s="33">
        <f t="shared" si="77"/>
        <v>0</v>
      </c>
      <c r="L156" s="33">
        <f t="shared" si="78"/>
        <v>0</v>
      </c>
      <c r="M156" s="33">
        <f t="shared" si="79"/>
        <v>0</v>
      </c>
      <c r="N156" s="33">
        <f t="shared" si="65"/>
        <v>0</v>
      </c>
      <c r="O156" s="34">
        <f t="shared" si="66"/>
        <v>0</v>
      </c>
      <c r="P156" s="55">
        <v>151</v>
      </c>
      <c r="Q156" s="33">
        <f t="shared" si="74"/>
        <v>0</v>
      </c>
      <c r="R156" s="33">
        <f t="shared" si="80"/>
        <v>0</v>
      </c>
      <c r="S156" s="33">
        <f t="shared" si="81"/>
        <v>0</v>
      </c>
      <c r="T156" s="33">
        <f t="shared" si="67"/>
        <v>0</v>
      </c>
      <c r="U156" s="33">
        <f t="shared" si="75"/>
        <v>0</v>
      </c>
      <c r="V156" s="33">
        <f t="shared" si="68"/>
        <v>0</v>
      </c>
      <c r="W156" s="33">
        <v>0</v>
      </c>
      <c r="X156" s="33">
        <f t="shared" si="69"/>
        <v>0</v>
      </c>
      <c r="Y156" s="38">
        <f t="shared" si="70"/>
        <v>0</v>
      </c>
      <c r="AA156" s="71">
        <v>151</v>
      </c>
      <c r="AB156" s="33">
        <f t="shared" si="71"/>
        <v>0</v>
      </c>
      <c r="AC156" s="305">
        <f t="shared" si="64"/>
        <v>0</v>
      </c>
      <c r="AD156" s="100">
        <f t="shared" si="72"/>
        <v>0</v>
      </c>
      <c r="AE156" s="100">
        <f t="shared" si="73"/>
        <v>0</v>
      </c>
      <c r="AF156" s="194">
        <f t="shared" si="82"/>
        <v>0</v>
      </c>
      <c r="AG156" s="194">
        <f t="shared" si="83"/>
        <v>0</v>
      </c>
      <c r="AH156" s="194">
        <f t="shared" si="84"/>
        <v>0</v>
      </c>
      <c r="AI156" s="199">
        <f t="shared" si="85"/>
        <v>0</v>
      </c>
      <c r="AK156" s="71">
        <v>151</v>
      </c>
      <c r="AL156" s="33"/>
      <c r="AM156" s="33"/>
      <c r="AN156" s="33"/>
      <c r="AO156" s="33"/>
      <c r="AP156" s="33"/>
      <c r="AQ156" s="194"/>
      <c r="AR156" s="194"/>
      <c r="AS156" s="194"/>
      <c r="AT156" s="194"/>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76"/>
        <v>0</v>
      </c>
      <c r="K157" s="33">
        <f t="shared" si="77"/>
        <v>0</v>
      </c>
      <c r="L157" s="33">
        <f t="shared" si="78"/>
        <v>0</v>
      </c>
      <c r="M157" s="33">
        <f t="shared" si="79"/>
        <v>0</v>
      </c>
      <c r="N157" s="33">
        <f t="shared" si="65"/>
        <v>0</v>
      </c>
      <c r="O157" s="34">
        <f t="shared" si="66"/>
        <v>0</v>
      </c>
      <c r="P157" s="55">
        <v>152</v>
      </c>
      <c r="Q157" s="33">
        <f t="shared" si="74"/>
        <v>0</v>
      </c>
      <c r="R157" s="33">
        <f t="shared" si="80"/>
        <v>0</v>
      </c>
      <c r="S157" s="33">
        <f t="shared" si="81"/>
        <v>0</v>
      </c>
      <c r="T157" s="33">
        <f t="shared" si="67"/>
        <v>0</v>
      </c>
      <c r="U157" s="33">
        <f t="shared" si="75"/>
        <v>0</v>
      </c>
      <c r="V157" s="33">
        <f t="shared" si="68"/>
        <v>0</v>
      </c>
      <c r="W157" s="33">
        <v>0</v>
      </c>
      <c r="X157" s="33">
        <f t="shared" si="69"/>
        <v>0</v>
      </c>
      <c r="Y157" s="38">
        <f t="shared" si="70"/>
        <v>0</v>
      </c>
      <c r="AA157" s="71">
        <v>152</v>
      </c>
      <c r="AB157" s="33">
        <f t="shared" si="71"/>
        <v>0</v>
      </c>
      <c r="AC157" s="305">
        <f t="shared" si="64"/>
        <v>0</v>
      </c>
      <c r="AD157" s="100">
        <f t="shared" si="72"/>
        <v>0</v>
      </c>
      <c r="AE157" s="100">
        <f t="shared" si="73"/>
        <v>0</v>
      </c>
      <c r="AF157" s="194">
        <f t="shared" si="82"/>
        <v>0</v>
      </c>
      <c r="AG157" s="194">
        <f t="shared" si="83"/>
        <v>0</v>
      </c>
      <c r="AH157" s="194">
        <f t="shared" si="84"/>
        <v>0</v>
      </c>
      <c r="AI157" s="199">
        <f t="shared" si="85"/>
        <v>0</v>
      </c>
      <c r="AK157" s="71">
        <v>152</v>
      </c>
      <c r="AL157" s="33"/>
      <c r="AM157" s="33"/>
      <c r="AN157" s="33"/>
      <c r="AO157" s="33"/>
      <c r="AP157" s="33"/>
      <c r="AQ157" s="194"/>
      <c r="AR157" s="194"/>
      <c r="AS157" s="194"/>
      <c r="AT157" s="194"/>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76"/>
        <v>0</v>
      </c>
      <c r="K158" s="33">
        <f t="shared" si="77"/>
        <v>0</v>
      </c>
      <c r="L158" s="33">
        <f t="shared" si="78"/>
        <v>0</v>
      </c>
      <c r="M158" s="33">
        <f t="shared" si="79"/>
        <v>0</v>
      </c>
      <c r="N158" s="33">
        <f t="shared" si="65"/>
        <v>0</v>
      </c>
      <c r="O158" s="34">
        <f t="shared" si="66"/>
        <v>0</v>
      </c>
      <c r="P158" s="55">
        <v>153</v>
      </c>
      <c r="Q158" s="33">
        <f t="shared" si="74"/>
        <v>0</v>
      </c>
      <c r="R158" s="33">
        <f t="shared" si="80"/>
        <v>0</v>
      </c>
      <c r="S158" s="33">
        <f t="shared" si="81"/>
        <v>0</v>
      </c>
      <c r="T158" s="33">
        <f t="shared" si="67"/>
        <v>0</v>
      </c>
      <c r="U158" s="33">
        <f t="shared" si="75"/>
        <v>0</v>
      </c>
      <c r="V158" s="33">
        <f t="shared" si="68"/>
        <v>0</v>
      </c>
      <c r="W158" s="33">
        <v>0</v>
      </c>
      <c r="X158" s="33">
        <f t="shared" si="69"/>
        <v>0</v>
      </c>
      <c r="Y158" s="38">
        <f t="shared" si="70"/>
        <v>0</v>
      </c>
      <c r="AA158" s="71">
        <v>153</v>
      </c>
      <c r="AB158" s="33">
        <f t="shared" si="71"/>
        <v>0</v>
      </c>
      <c r="AC158" s="305">
        <f t="shared" si="64"/>
        <v>0</v>
      </c>
      <c r="AD158" s="100">
        <f t="shared" si="72"/>
        <v>0</v>
      </c>
      <c r="AE158" s="100">
        <f t="shared" si="73"/>
        <v>0</v>
      </c>
      <c r="AF158" s="194">
        <f t="shared" si="82"/>
        <v>0</v>
      </c>
      <c r="AG158" s="194">
        <f t="shared" si="83"/>
        <v>0</v>
      </c>
      <c r="AH158" s="194">
        <f t="shared" si="84"/>
        <v>0</v>
      </c>
      <c r="AI158" s="199">
        <f t="shared" si="85"/>
        <v>0</v>
      </c>
      <c r="AK158" s="71">
        <v>153</v>
      </c>
      <c r="AL158" s="33"/>
      <c r="AM158" s="33"/>
      <c r="AN158" s="33"/>
      <c r="AO158" s="33"/>
      <c r="AP158" s="33"/>
      <c r="AQ158" s="194"/>
      <c r="AR158" s="194"/>
      <c r="AS158" s="194"/>
      <c r="AT158" s="194"/>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76"/>
        <v>0</v>
      </c>
      <c r="K159" s="33">
        <f t="shared" si="77"/>
        <v>0</v>
      </c>
      <c r="L159" s="33">
        <f t="shared" si="78"/>
        <v>0</v>
      </c>
      <c r="M159" s="33">
        <f t="shared" si="79"/>
        <v>0</v>
      </c>
      <c r="N159" s="33">
        <f t="shared" si="65"/>
        <v>0</v>
      </c>
      <c r="O159" s="34">
        <f t="shared" si="66"/>
        <v>0</v>
      </c>
      <c r="P159" s="55">
        <v>154</v>
      </c>
      <c r="Q159" s="33">
        <f t="shared" si="74"/>
        <v>0</v>
      </c>
      <c r="R159" s="33">
        <f t="shared" si="80"/>
        <v>0</v>
      </c>
      <c r="S159" s="33">
        <f t="shared" si="81"/>
        <v>0</v>
      </c>
      <c r="T159" s="33">
        <f t="shared" si="67"/>
        <v>0</v>
      </c>
      <c r="U159" s="33">
        <f t="shared" si="75"/>
        <v>0</v>
      </c>
      <c r="V159" s="33">
        <f t="shared" si="68"/>
        <v>0</v>
      </c>
      <c r="W159" s="33">
        <v>0</v>
      </c>
      <c r="X159" s="33">
        <f t="shared" si="69"/>
        <v>0</v>
      </c>
      <c r="Y159" s="38">
        <f t="shared" si="70"/>
        <v>0</v>
      </c>
      <c r="AA159" s="71">
        <v>154</v>
      </c>
      <c r="AB159" s="33">
        <f t="shared" si="71"/>
        <v>0</v>
      </c>
      <c r="AC159" s="305">
        <f t="shared" ref="AC159:AC205" si="86">IF(AA159&lt;=$F$18,IFERROR(VLOOKUP($AA159,$B$82:$G$94,3,FALSE),0),)*50%</f>
        <v>0</v>
      </c>
      <c r="AD159" s="100">
        <f t="shared" si="72"/>
        <v>0</v>
      </c>
      <c r="AE159" s="100">
        <f t="shared" si="73"/>
        <v>0</v>
      </c>
      <c r="AF159" s="194">
        <f t="shared" si="82"/>
        <v>0</v>
      </c>
      <c r="AG159" s="194">
        <f t="shared" si="83"/>
        <v>0</v>
      </c>
      <c r="AH159" s="194">
        <f t="shared" si="84"/>
        <v>0</v>
      </c>
      <c r="AI159" s="199">
        <f t="shared" si="85"/>
        <v>0</v>
      </c>
      <c r="AK159" s="71">
        <v>154</v>
      </c>
      <c r="AL159" s="33"/>
      <c r="AM159" s="33"/>
      <c r="AN159" s="33"/>
      <c r="AO159" s="33"/>
      <c r="AP159" s="33"/>
      <c r="AQ159" s="194"/>
      <c r="AR159" s="194"/>
      <c r="AS159" s="194"/>
      <c r="AT159" s="194"/>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76"/>
        <v>0</v>
      </c>
      <c r="K160" s="33">
        <f t="shared" si="77"/>
        <v>0</v>
      </c>
      <c r="L160" s="33">
        <f t="shared" si="78"/>
        <v>0</v>
      </c>
      <c r="M160" s="33">
        <f t="shared" si="79"/>
        <v>0</v>
      </c>
      <c r="N160" s="33">
        <f t="shared" si="65"/>
        <v>0</v>
      </c>
      <c r="O160" s="34">
        <f t="shared" si="66"/>
        <v>0</v>
      </c>
      <c r="P160" s="55">
        <v>155</v>
      </c>
      <c r="Q160" s="33">
        <f t="shared" si="74"/>
        <v>0</v>
      </c>
      <c r="R160" s="33">
        <f t="shared" si="80"/>
        <v>0</v>
      </c>
      <c r="S160" s="33">
        <f t="shared" si="81"/>
        <v>0</v>
      </c>
      <c r="T160" s="33">
        <f t="shared" si="67"/>
        <v>0</v>
      </c>
      <c r="U160" s="33">
        <f t="shared" si="75"/>
        <v>0</v>
      </c>
      <c r="V160" s="33">
        <f t="shared" si="68"/>
        <v>0</v>
      </c>
      <c r="W160" s="33">
        <v>0</v>
      </c>
      <c r="X160" s="33">
        <f t="shared" si="69"/>
        <v>0</v>
      </c>
      <c r="Y160" s="38">
        <f t="shared" si="70"/>
        <v>0</v>
      </c>
      <c r="AA160" s="71">
        <v>155</v>
      </c>
      <c r="AB160" s="33">
        <f t="shared" si="71"/>
        <v>0</v>
      </c>
      <c r="AC160" s="305">
        <f t="shared" si="86"/>
        <v>0</v>
      </c>
      <c r="AD160" s="100">
        <f t="shared" si="72"/>
        <v>0</v>
      </c>
      <c r="AE160" s="100">
        <f t="shared" si="73"/>
        <v>0</v>
      </c>
      <c r="AF160" s="194">
        <f t="shared" si="82"/>
        <v>0</v>
      </c>
      <c r="AG160" s="194">
        <f t="shared" si="83"/>
        <v>0</v>
      </c>
      <c r="AH160" s="194">
        <f t="shared" si="84"/>
        <v>0</v>
      </c>
      <c r="AI160" s="199">
        <f t="shared" si="85"/>
        <v>0</v>
      </c>
      <c r="AK160" s="71">
        <v>155</v>
      </c>
      <c r="AL160" s="33"/>
      <c r="AM160" s="33"/>
      <c r="AN160" s="33"/>
      <c r="AO160" s="33"/>
      <c r="AP160" s="33"/>
      <c r="AQ160" s="194"/>
      <c r="AR160" s="194"/>
      <c r="AS160" s="194"/>
      <c r="AT160" s="194"/>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76"/>
        <v>0</v>
      </c>
      <c r="K161" s="33">
        <f t="shared" si="77"/>
        <v>0</v>
      </c>
      <c r="L161" s="33">
        <f t="shared" si="78"/>
        <v>0</v>
      </c>
      <c r="M161" s="33">
        <f t="shared" si="79"/>
        <v>0</v>
      </c>
      <c r="N161" s="33">
        <f t="shared" si="65"/>
        <v>0</v>
      </c>
      <c r="O161" s="34">
        <f t="shared" si="66"/>
        <v>0</v>
      </c>
      <c r="P161" s="55">
        <v>156</v>
      </c>
      <c r="Q161" s="33">
        <f t="shared" si="74"/>
        <v>0</v>
      </c>
      <c r="R161" s="33">
        <f t="shared" si="80"/>
        <v>0</v>
      </c>
      <c r="S161" s="33">
        <f t="shared" si="81"/>
        <v>0</v>
      </c>
      <c r="T161" s="33">
        <f t="shared" si="67"/>
        <v>0</v>
      </c>
      <c r="U161" s="33">
        <f t="shared" si="75"/>
        <v>0</v>
      </c>
      <c r="V161" s="33">
        <f t="shared" si="68"/>
        <v>0</v>
      </c>
      <c r="W161" s="33">
        <v>0</v>
      </c>
      <c r="X161" s="33">
        <f t="shared" si="69"/>
        <v>0</v>
      </c>
      <c r="Y161" s="38">
        <f t="shared" si="70"/>
        <v>0</v>
      </c>
      <c r="AA161" s="71">
        <v>156</v>
      </c>
      <c r="AB161" s="33">
        <f t="shared" si="71"/>
        <v>0</v>
      </c>
      <c r="AC161" s="305">
        <f t="shared" si="86"/>
        <v>0</v>
      </c>
      <c r="AD161" s="100">
        <f t="shared" si="72"/>
        <v>0</v>
      </c>
      <c r="AE161" s="100">
        <f t="shared" si="73"/>
        <v>0</v>
      </c>
      <c r="AF161" s="194">
        <f t="shared" si="82"/>
        <v>0</v>
      </c>
      <c r="AG161" s="194">
        <f t="shared" si="83"/>
        <v>0</v>
      </c>
      <c r="AH161" s="194">
        <f t="shared" si="84"/>
        <v>0</v>
      </c>
      <c r="AI161" s="199">
        <f t="shared" si="85"/>
        <v>0</v>
      </c>
      <c r="AK161" s="71">
        <v>156</v>
      </c>
      <c r="AL161" s="33"/>
      <c r="AM161" s="33"/>
      <c r="AN161" s="33"/>
      <c r="AO161" s="33"/>
      <c r="AP161" s="33"/>
      <c r="AQ161" s="194"/>
      <c r="AR161" s="194"/>
      <c r="AS161" s="194"/>
      <c r="AT161" s="194"/>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76"/>
        <v>0</v>
      </c>
      <c r="K162" s="33">
        <f t="shared" si="77"/>
        <v>0</v>
      </c>
      <c r="L162" s="33">
        <f t="shared" si="78"/>
        <v>0</v>
      </c>
      <c r="M162" s="33">
        <f t="shared" si="79"/>
        <v>0</v>
      </c>
      <c r="N162" s="33">
        <f t="shared" si="65"/>
        <v>0</v>
      </c>
      <c r="O162" s="34">
        <f t="shared" si="66"/>
        <v>0</v>
      </c>
      <c r="P162" s="55">
        <v>157</v>
      </c>
      <c r="Q162" s="33">
        <f t="shared" si="74"/>
        <v>0</v>
      </c>
      <c r="R162" s="33">
        <f t="shared" si="80"/>
        <v>0</v>
      </c>
      <c r="S162" s="33">
        <f t="shared" si="81"/>
        <v>0</v>
      </c>
      <c r="T162" s="33">
        <f t="shared" si="67"/>
        <v>0</v>
      </c>
      <c r="U162" s="33">
        <f t="shared" si="75"/>
        <v>0</v>
      </c>
      <c r="V162" s="33">
        <f t="shared" si="68"/>
        <v>0</v>
      </c>
      <c r="W162" s="33">
        <v>0</v>
      </c>
      <c r="X162" s="33">
        <f t="shared" si="69"/>
        <v>0</v>
      </c>
      <c r="Y162" s="38">
        <f t="shared" si="70"/>
        <v>0</v>
      </c>
      <c r="AA162" s="71">
        <v>157</v>
      </c>
      <c r="AB162" s="33">
        <f t="shared" si="71"/>
        <v>0</v>
      </c>
      <c r="AC162" s="305">
        <f t="shared" si="86"/>
        <v>0</v>
      </c>
      <c r="AD162" s="100">
        <f t="shared" si="72"/>
        <v>0</v>
      </c>
      <c r="AE162" s="100">
        <f t="shared" si="73"/>
        <v>0</v>
      </c>
      <c r="AF162" s="194">
        <f t="shared" si="82"/>
        <v>0</v>
      </c>
      <c r="AG162" s="194">
        <f t="shared" si="83"/>
        <v>0</v>
      </c>
      <c r="AH162" s="194">
        <f t="shared" si="84"/>
        <v>0</v>
      </c>
      <c r="AI162" s="199">
        <f t="shared" si="85"/>
        <v>0</v>
      </c>
      <c r="AK162" s="71">
        <v>157</v>
      </c>
      <c r="AL162" s="33"/>
      <c r="AM162" s="33"/>
      <c r="AN162" s="33"/>
      <c r="AO162" s="33"/>
      <c r="AP162" s="33"/>
      <c r="AQ162" s="194"/>
      <c r="AR162" s="194"/>
      <c r="AS162" s="194"/>
      <c r="AT162" s="194"/>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76"/>
        <v>0</v>
      </c>
      <c r="K163" s="33">
        <f t="shared" si="77"/>
        <v>0</v>
      </c>
      <c r="L163" s="33">
        <f t="shared" si="78"/>
        <v>0</v>
      </c>
      <c r="M163" s="33">
        <f t="shared" si="79"/>
        <v>0</v>
      </c>
      <c r="N163" s="33">
        <f t="shared" si="65"/>
        <v>0</v>
      </c>
      <c r="O163" s="34">
        <f t="shared" si="66"/>
        <v>0</v>
      </c>
      <c r="P163" s="55">
        <v>158</v>
      </c>
      <c r="Q163" s="33">
        <f t="shared" si="74"/>
        <v>0</v>
      </c>
      <c r="R163" s="33">
        <f t="shared" si="80"/>
        <v>0</v>
      </c>
      <c r="S163" s="33">
        <f t="shared" si="81"/>
        <v>0</v>
      </c>
      <c r="T163" s="33">
        <f t="shared" si="67"/>
        <v>0</v>
      </c>
      <c r="U163" s="33">
        <f t="shared" si="75"/>
        <v>0</v>
      </c>
      <c r="V163" s="33">
        <f t="shared" si="68"/>
        <v>0</v>
      </c>
      <c r="W163" s="33">
        <v>0</v>
      </c>
      <c r="X163" s="33">
        <f t="shared" si="69"/>
        <v>0</v>
      </c>
      <c r="Y163" s="38">
        <f t="shared" si="70"/>
        <v>0</v>
      </c>
      <c r="AA163" s="71">
        <v>158</v>
      </c>
      <c r="AB163" s="33">
        <f t="shared" si="71"/>
        <v>0</v>
      </c>
      <c r="AC163" s="305">
        <f t="shared" si="86"/>
        <v>0</v>
      </c>
      <c r="AD163" s="100">
        <f t="shared" si="72"/>
        <v>0</v>
      </c>
      <c r="AE163" s="100">
        <f t="shared" si="73"/>
        <v>0</v>
      </c>
      <c r="AF163" s="194">
        <f t="shared" si="82"/>
        <v>0</v>
      </c>
      <c r="AG163" s="194">
        <f t="shared" si="83"/>
        <v>0</v>
      </c>
      <c r="AH163" s="194">
        <f t="shared" si="84"/>
        <v>0</v>
      </c>
      <c r="AI163" s="199">
        <f t="shared" si="85"/>
        <v>0</v>
      </c>
      <c r="AK163" s="71">
        <v>158</v>
      </c>
      <c r="AL163" s="33"/>
      <c r="AM163" s="33"/>
      <c r="AN163" s="33"/>
      <c r="AO163" s="33"/>
      <c r="AP163" s="33"/>
      <c r="AQ163" s="194"/>
      <c r="AR163" s="194"/>
      <c r="AS163" s="194"/>
      <c r="AT163" s="194"/>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76"/>
        <v>0</v>
      </c>
      <c r="K164" s="33">
        <f t="shared" si="77"/>
        <v>0</v>
      </c>
      <c r="L164" s="33">
        <f t="shared" si="78"/>
        <v>0</v>
      </c>
      <c r="M164" s="33">
        <f t="shared" si="79"/>
        <v>0</v>
      </c>
      <c r="N164" s="33">
        <f t="shared" si="65"/>
        <v>0</v>
      </c>
      <c r="O164" s="34">
        <f t="shared" si="66"/>
        <v>0</v>
      </c>
      <c r="P164" s="55">
        <v>159</v>
      </c>
      <c r="Q164" s="33">
        <f t="shared" si="74"/>
        <v>0</v>
      </c>
      <c r="R164" s="33">
        <f t="shared" si="80"/>
        <v>0</v>
      </c>
      <c r="S164" s="33">
        <f t="shared" si="81"/>
        <v>0</v>
      </c>
      <c r="T164" s="33">
        <f t="shared" si="67"/>
        <v>0</v>
      </c>
      <c r="U164" s="33">
        <f t="shared" si="75"/>
        <v>0</v>
      </c>
      <c r="V164" s="33">
        <f t="shared" si="68"/>
        <v>0</v>
      </c>
      <c r="W164" s="33">
        <v>0</v>
      </c>
      <c r="X164" s="33">
        <f t="shared" si="69"/>
        <v>0</v>
      </c>
      <c r="Y164" s="38">
        <f t="shared" si="70"/>
        <v>0</v>
      </c>
      <c r="AA164" s="71">
        <v>159</v>
      </c>
      <c r="AB164" s="33">
        <f t="shared" si="71"/>
        <v>0</v>
      </c>
      <c r="AC164" s="305">
        <f t="shared" si="86"/>
        <v>0</v>
      </c>
      <c r="AD164" s="100">
        <f t="shared" si="72"/>
        <v>0</v>
      </c>
      <c r="AE164" s="100">
        <f t="shared" si="73"/>
        <v>0</v>
      </c>
      <c r="AF164" s="194">
        <f t="shared" si="82"/>
        <v>0</v>
      </c>
      <c r="AG164" s="194">
        <f t="shared" si="83"/>
        <v>0</v>
      </c>
      <c r="AH164" s="194">
        <f t="shared" si="84"/>
        <v>0</v>
      </c>
      <c r="AI164" s="199">
        <f t="shared" si="85"/>
        <v>0</v>
      </c>
      <c r="AK164" s="71">
        <v>159</v>
      </c>
      <c r="AL164" s="33"/>
      <c r="AM164" s="33"/>
      <c r="AN164" s="33"/>
      <c r="AO164" s="33"/>
      <c r="AP164" s="33"/>
      <c r="AQ164" s="194"/>
      <c r="AR164" s="194"/>
      <c r="AS164" s="194"/>
      <c r="AT164" s="194"/>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76"/>
        <v>0</v>
      </c>
      <c r="K165" s="33">
        <f t="shared" si="77"/>
        <v>0</v>
      </c>
      <c r="L165" s="33">
        <f t="shared" si="78"/>
        <v>0</v>
      </c>
      <c r="M165" s="33">
        <f t="shared" si="79"/>
        <v>0</v>
      </c>
      <c r="N165" s="33">
        <f t="shared" si="65"/>
        <v>0</v>
      </c>
      <c r="O165" s="34">
        <f t="shared" si="66"/>
        <v>0</v>
      </c>
      <c r="P165" s="55">
        <v>160</v>
      </c>
      <c r="Q165" s="33">
        <f t="shared" si="74"/>
        <v>0</v>
      </c>
      <c r="R165" s="33">
        <f t="shared" si="80"/>
        <v>0</v>
      </c>
      <c r="S165" s="33">
        <f t="shared" si="81"/>
        <v>0</v>
      </c>
      <c r="T165" s="33">
        <f t="shared" si="67"/>
        <v>0</v>
      </c>
      <c r="U165" s="33">
        <f t="shared" si="75"/>
        <v>0</v>
      </c>
      <c r="V165" s="33">
        <f t="shared" si="68"/>
        <v>0</v>
      </c>
      <c r="W165" s="33">
        <v>0</v>
      </c>
      <c r="X165" s="33">
        <f t="shared" si="69"/>
        <v>0</v>
      </c>
      <c r="Y165" s="38">
        <f t="shared" si="70"/>
        <v>0</v>
      </c>
      <c r="AA165" s="71">
        <v>160</v>
      </c>
      <c r="AB165" s="33">
        <f t="shared" si="71"/>
        <v>0</v>
      </c>
      <c r="AC165" s="305">
        <f t="shared" si="86"/>
        <v>0</v>
      </c>
      <c r="AD165" s="100">
        <f t="shared" si="72"/>
        <v>0</v>
      </c>
      <c r="AE165" s="100">
        <f t="shared" si="73"/>
        <v>0</v>
      </c>
      <c r="AF165" s="194">
        <f t="shared" si="82"/>
        <v>0</v>
      </c>
      <c r="AG165" s="194">
        <f t="shared" si="83"/>
        <v>0</v>
      </c>
      <c r="AH165" s="194">
        <f t="shared" si="84"/>
        <v>0</v>
      </c>
      <c r="AI165" s="199">
        <f t="shared" si="85"/>
        <v>0</v>
      </c>
      <c r="AK165" s="71">
        <v>160</v>
      </c>
      <c r="AL165" s="33"/>
      <c r="AM165" s="33"/>
      <c r="AN165" s="33"/>
      <c r="AO165" s="33"/>
      <c r="AP165" s="33"/>
      <c r="AQ165" s="194"/>
      <c r="AR165" s="194"/>
      <c r="AS165" s="194"/>
      <c r="AT165" s="194"/>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76"/>
        <v>0</v>
      </c>
      <c r="K166" s="33">
        <f t="shared" si="77"/>
        <v>0</v>
      </c>
      <c r="L166" s="33">
        <f t="shared" si="78"/>
        <v>0</v>
      </c>
      <c r="M166" s="33">
        <f t="shared" si="79"/>
        <v>0</v>
      </c>
      <c r="N166" s="33">
        <f t="shared" si="65"/>
        <v>0</v>
      </c>
      <c r="O166" s="34">
        <f t="shared" si="66"/>
        <v>0</v>
      </c>
      <c r="P166" s="55">
        <v>161</v>
      </c>
      <c r="Q166" s="33">
        <f t="shared" si="74"/>
        <v>0</v>
      </c>
      <c r="R166" s="33">
        <f t="shared" si="80"/>
        <v>0</v>
      </c>
      <c r="S166" s="33">
        <f t="shared" si="81"/>
        <v>0</v>
      </c>
      <c r="T166" s="33">
        <f t="shared" si="67"/>
        <v>0</v>
      </c>
      <c r="U166" s="33">
        <f t="shared" si="75"/>
        <v>0</v>
      </c>
      <c r="V166" s="33">
        <f t="shared" si="68"/>
        <v>0</v>
      </c>
      <c r="W166" s="33">
        <v>0</v>
      </c>
      <c r="X166" s="33">
        <f t="shared" si="69"/>
        <v>0</v>
      </c>
      <c r="Y166" s="38">
        <f t="shared" si="70"/>
        <v>0</v>
      </c>
      <c r="AA166" s="71">
        <v>161</v>
      </c>
      <c r="AB166" s="33">
        <f t="shared" si="71"/>
        <v>0</v>
      </c>
      <c r="AC166" s="305">
        <f t="shared" si="86"/>
        <v>0</v>
      </c>
      <c r="AD166" s="100">
        <f t="shared" si="72"/>
        <v>0</v>
      </c>
      <c r="AE166" s="100">
        <f t="shared" si="73"/>
        <v>0</v>
      </c>
      <c r="AF166" s="194">
        <f t="shared" si="82"/>
        <v>0</v>
      </c>
      <c r="AG166" s="194">
        <f t="shared" si="83"/>
        <v>0</v>
      </c>
      <c r="AH166" s="194">
        <f t="shared" si="84"/>
        <v>0</v>
      </c>
      <c r="AI166" s="199">
        <f t="shared" si="85"/>
        <v>0</v>
      </c>
      <c r="AK166" s="71">
        <v>161</v>
      </c>
      <c r="AL166" s="33"/>
      <c r="AM166" s="33"/>
      <c r="AN166" s="33"/>
      <c r="AO166" s="33"/>
      <c r="AP166" s="33"/>
      <c r="AQ166" s="194"/>
      <c r="AR166" s="194"/>
      <c r="AS166" s="194"/>
      <c r="AT166" s="194"/>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76"/>
        <v>0</v>
      </c>
      <c r="K167" s="33">
        <f t="shared" si="77"/>
        <v>0</v>
      </c>
      <c r="L167" s="33">
        <f t="shared" si="78"/>
        <v>0</v>
      </c>
      <c r="M167" s="33">
        <f t="shared" si="79"/>
        <v>0</v>
      </c>
      <c r="N167" s="33">
        <f t="shared" si="65"/>
        <v>0</v>
      </c>
      <c r="O167" s="34">
        <f t="shared" si="66"/>
        <v>0</v>
      </c>
      <c r="P167" s="55">
        <v>162</v>
      </c>
      <c r="Q167" s="33">
        <f t="shared" si="74"/>
        <v>0</v>
      </c>
      <c r="R167" s="33">
        <f t="shared" si="80"/>
        <v>0</v>
      </c>
      <c r="S167" s="33">
        <f t="shared" si="81"/>
        <v>0</v>
      </c>
      <c r="T167" s="33">
        <f t="shared" si="67"/>
        <v>0</v>
      </c>
      <c r="U167" s="33">
        <f t="shared" si="75"/>
        <v>0</v>
      </c>
      <c r="V167" s="33">
        <f t="shared" si="68"/>
        <v>0</v>
      </c>
      <c r="W167" s="33">
        <v>0</v>
      </c>
      <c r="X167" s="33">
        <f t="shared" si="69"/>
        <v>0</v>
      </c>
      <c r="Y167" s="38">
        <f t="shared" si="70"/>
        <v>0</v>
      </c>
      <c r="AA167" s="71">
        <v>162</v>
      </c>
      <c r="AB167" s="33">
        <f t="shared" si="71"/>
        <v>0</v>
      </c>
      <c r="AC167" s="305">
        <f t="shared" si="86"/>
        <v>0</v>
      </c>
      <c r="AD167" s="100">
        <f t="shared" si="72"/>
        <v>0</v>
      </c>
      <c r="AE167" s="100">
        <f t="shared" si="73"/>
        <v>0</v>
      </c>
      <c r="AF167" s="194">
        <f t="shared" si="82"/>
        <v>0</v>
      </c>
      <c r="AG167" s="194">
        <f t="shared" si="83"/>
        <v>0</v>
      </c>
      <c r="AH167" s="194">
        <f t="shared" si="84"/>
        <v>0</v>
      </c>
      <c r="AI167" s="199">
        <f t="shared" si="85"/>
        <v>0</v>
      </c>
      <c r="AK167" s="71">
        <v>162</v>
      </c>
      <c r="AL167" s="33"/>
      <c r="AM167" s="33"/>
      <c r="AN167" s="33"/>
      <c r="AO167" s="33"/>
      <c r="AP167" s="33"/>
      <c r="AQ167" s="194"/>
      <c r="AR167" s="194"/>
      <c r="AS167" s="194"/>
      <c r="AT167" s="194"/>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76"/>
        <v>0</v>
      </c>
      <c r="K168" s="33">
        <f t="shared" si="77"/>
        <v>0</v>
      </c>
      <c r="L168" s="33">
        <f t="shared" si="78"/>
        <v>0</v>
      </c>
      <c r="M168" s="33">
        <f t="shared" si="79"/>
        <v>0</v>
      </c>
      <c r="N168" s="33">
        <f t="shared" si="65"/>
        <v>0</v>
      </c>
      <c r="O168" s="34">
        <f t="shared" si="66"/>
        <v>0</v>
      </c>
      <c r="P168" s="55">
        <v>163</v>
      </c>
      <c r="Q168" s="33">
        <f t="shared" si="74"/>
        <v>0</v>
      </c>
      <c r="R168" s="33">
        <f t="shared" si="80"/>
        <v>0</v>
      </c>
      <c r="S168" s="33">
        <f t="shared" si="81"/>
        <v>0</v>
      </c>
      <c r="T168" s="33">
        <f t="shared" si="67"/>
        <v>0</v>
      </c>
      <c r="U168" s="33">
        <f t="shared" si="75"/>
        <v>0</v>
      </c>
      <c r="V168" s="33">
        <f t="shared" si="68"/>
        <v>0</v>
      </c>
      <c r="W168" s="33">
        <v>0</v>
      </c>
      <c r="X168" s="33">
        <f t="shared" si="69"/>
        <v>0</v>
      </c>
      <c r="Y168" s="38">
        <f t="shared" si="70"/>
        <v>0</v>
      </c>
      <c r="AA168" s="71">
        <v>163</v>
      </c>
      <c r="AB168" s="33">
        <f t="shared" si="71"/>
        <v>0</v>
      </c>
      <c r="AC168" s="305">
        <f t="shared" si="86"/>
        <v>0</v>
      </c>
      <c r="AD168" s="100">
        <f t="shared" si="72"/>
        <v>0</v>
      </c>
      <c r="AE168" s="100">
        <f t="shared" si="73"/>
        <v>0</v>
      </c>
      <c r="AF168" s="194">
        <f t="shared" si="82"/>
        <v>0</v>
      </c>
      <c r="AG168" s="194">
        <f t="shared" si="83"/>
        <v>0</v>
      </c>
      <c r="AH168" s="194">
        <f t="shared" si="84"/>
        <v>0</v>
      </c>
      <c r="AI168" s="199">
        <f t="shared" si="85"/>
        <v>0</v>
      </c>
      <c r="AK168" s="71">
        <v>163</v>
      </c>
      <c r="AL168" s="33"/>
      <c r="AM168" s="33"/>
      <c r="AN168" s="33"/>
      <c r="AO168" s="33"/>
      <c r="AP168" s="33"/>
      <c r="AQ168" s="194"/>
      <c r="AR168" s="194"/>
      <c r="AS168" s="194"/>
      <c r="AT168" s="194"/>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76"/>
        <v>0</v>
      </c>
      <c r="K169" s="33">
        <f t="shared" si="77"/>
        <v>0</v>
      </c>
      <c r="L169" s="33">
        <f t="shared" si="78"/>
        <v>0</v>
      </c>
      <c r="M169" s="33">
        <f t="shared" si="79"/>
        <v>0</v>
      </c>
      <c r="N169" s="33">
        <f t="shared" si="65"/>
        <v>0</v>
      </c>
      <c r="O169" s="34">
        <f t="shared" si="66"/>
        <v>0</v>
      </c>
      <c r="P169" s="55">
        <v>164</v>
      </c>
      <c r="Q169" s="33">
        <f t="shared" si="74"/>
        <v>0</v>
      </c>
      <c r="R169" s="33">
        <f t="shared" si="80"/>
        <v>0</v>
      </c>
      <c r="S169" s="33">
        <f t="shared" si="81"/>
        <v>0</v>
      </c>
      <c r="T169" s="33">
        <f t="shared" si="67"/>
        <v>0</v>
      </c>
      <c r="U169" s="33">
        <f t="shared" si="75"/>
        <v>0</v>
      </c>
      <c r="V169" s="33">
        <f t="shared" si="68"/>
        <v>0</v>
      </c>
      <c r="W169" s="33">
        <v>0</v>
      </c>
      <c r="X169" s="33">
        <f t="shared" si="69"/>
        <v>0</v>
      </c>
      <c r="Y169" s="38">
        <f t="shared" si="70"/>
        <v>0</v>
      </c>
      <c r="AA169" s="71">
        <v>164</v>
      </c>
      <c r="AB169" s="33">
        <f t="shared" si="71"/>
        <v>0</v>
      </c>
      <c r="AC169" s="305">
        <f t="shared" si="86"/>
        <v>0</v>
      </c>
      <c r="AD169" s="100">
        <f t="shared" si="72"/>
        <v>0</v>
      </c>
      <c r="AE169" s="100">
        <f t="shared" si="73"/>
        <v>0</v>
      </c>
      <c r="AF169" s="194">
        <f t="shared" si="82"/>
        <v>0</v>
      </c>
      <c r="AG169" s="194">
        <f t="shared" si="83"/>
        <v>0</v>
      </c>
      <c r="AH169" s="194">
        <f t="shared" si="84"/>
        <v>0</v>
      </c>
      <c r="AI169" s="199">
        <f t="shared" si="85"/>
        <v>0</v>
      </c>
      <c r="AK169" s="71">
        <v>164</v>
      </c>
      <c r="AL169" s="33"/>
      <c r="AM169" s="33"/>
      <c r="AN169" s="33"/>
      <c r="AO169" s="33"/>
      <c r="AP169" s="33"/>
      <c r="AQ169" s="194"/>
      <c r="AR169" s="194"/>
      <c r="AS169" s="194"/>
      <c r="AT169" s="194"/>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76"/>
        <v>0</v>
      </c>
      <c r="K170" s="33">
        <f t="shared" si="77"/>
        <v>0</v>
      </c>
      <c r="L170" s="33">
        <f t="shared" si="78"/>
        <v>0</v>
      </c>
      <c r="M170" s="33">
        <f t="shared" si="79"/>
        <v>0</v>
      </c>
      <c r="N170" s="33">
        <f t="shared" si="65"/>
        <v>0</v>
      </c>
      <c r="O170" s="34">
        <f t="shared" si="66"/>
        <v>0</v>
      </c>
      <c r="P170" s="55">
        <v>165</v>
      </c>
      <c r="Q170" s="33">
        <f t="shared" si="74"/>
        <v>0</v>
      </c>
      <c r="R170" s="33">
        <f t="shared" si="80"/>
        <v>0</v>
      </c>
      <c r="S170" s="33">
        <f t="shared" si="81"/>
        <v>0</v>
      </c>
      <c r="T170" s="33">
        <f t="shared" si="67"/>
        <v>0</v>
      </c>
      <c r="U170" s="33">
        <f t="shared" si="75"/>
        <v>0</v>
      </c>
      <c r="V170" s="33">
        <f t="shared" si="68"/>
        <v>0</v>
      </c>
      <c r="W170" s="33">
        <v>0</v>
      </c>
      <c r="X170" s="33">
        <f t="shared" si="69"/>
        <v>0</v>
      </c>
      <c r="Y170" s="38">
        <f t="shared" si="70"/>
        <v>0</v>
      </c>
      <c r="AA170" s="71">
        <v>165</v>
      </c>
      <c r="AB170" s="33">
        <f t="shared" si="71"/>
        <v>0</v>
      </c>
      <c r="AC170" s="305">
        <f t="shared" si="86"/>
        <v>0</v>
      </c>
      <c r="AD170" s="100">
        <f t="shared" si="72"/>
        <v>0</v>
      </c>
      <c r="AE170" s="100">
        <f t="shared" si="73"/>
        <v>0</v>
      </c>
      <c r="AF170" s="194">
        <f t="shared" si="82"/>
        <v>0</v>
      </c>
      <c r="AG170" s="194">
        <f t="shared" si="83"/>
        <v>0</v>
      </c>
      <c r="AH170" s="194">
        <f t="shared" si="84"/>
        <v>0</v>
      </c>
      <c r="AI170" s="199">
        <f t="shared" si="85"/>
        <v>0</v>
      </c>
      <c r="AK170" s="71">
        <v>165</v>
      </c>
      <c r="AL170" s="33"/>
      <c r="AM170" s="33"/>
      <c r="AN170" s="33"/>
      <c r="AO170" s="33"/>
      <c r="AP170" s="33"/>
      <c r="AQ170" s="194"/>
      <c r="AR170" s="194"/>
      <c r="AS170" s="194"/>
      <c r="AT170" s="194"/>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76"/>
        <v>0</v>
      </c>
      <c r="K171" s="33">
        <f t="shared" si="77"/>
        <v>0</v>
      </c>
      <c r="L171" s="33">
        <f t="shared" si="78"/>
        <v>0</v>
      </c>
      <c r="M171" s="33">
        <f t="shared" si="79"/>
        <v>0</v>
      </c>
      <c r="N171" s="33">
        <f t="shared" si="65"/>
        <v>0</v>
      </c>
      <c r="O171" s="34">
        <f t="shared" si="66"/>
        <v>0</v>
      </c>
      <c r="P171" s="55">
        <v>166</v>
      </c>
      <c r="Q171" s="33">
        <f t="shared" si="74"/>
        <v>0</v>
      </c>
      <c r="R171" s="33">
        <f t="shared" si="80"/>
        <v>0</v>
      </c>
      <c r="S171" s="33">
        <f t="shared" si="81"/>
        <v>0</v>
      </c>
      <c r="T171" s="33">
        <f t="shared" si="67"/>
        <v>0</v>
      </c>
      <c r="U171" s="33">
        <f t="shared" si="75"/>
        <v>0</v>
      </c>
      <c r="V171" s="33">
        <f t="shared" si="68"/>
        <v>0</v>
      </c>
      <c r="W171" s="33">
        <v>0</v>
      </c>
      <c r="X171" s="33">
        <f t="shared" si="69"/>
        <v>0</v>
      </c>
      <c r="Y171" s="38">
        <f t="shared" si="70"/>
        <v>0</v>
      </c>
      <c r="AA171" s="71">
        <v>166</v>
      </c>
      <c r="AB171" s="33">
        <f t="shared" si="71"/>
        <v>0</v>
      </c>
      <c r="AC171" s="305">
        <f t="shared" si="86"/>
        <v>0</v>
      </c>
      <c r="AD171" s="100">
        <f t="shared" si="72"/>
        <v>0</v>
      </c>
      <c r="AE171" s="100">
        <f t="shared" si="73"/>
        <v>0</v>
      </c>
      <c r="AF171" s="194">
        <f t="shared" si="82"/>
        <v>0</v>
      </c>
      <c r="AG171" s="194">
        <f t="shared" si="83"/>
        <v>0</v>
      </c>
      <c r="AH171" s="194">
        <f t="shared" si="84"/>
        <v>0</v>
      </c>
      <c r="AI171" s="199">
        <f t="shared" si="85"/>
        <v>0</v>
      </c>
      <c r="AK171" s="71">
        <v>166</v>
      </c>
      <c r="AL171" s="33"/>
      <c r="AM171" s="33"/>
      <c r="AN171" s="33"/>
      <c r="AO171" s="33"/>
      <c r="AP171" s="33"/>
      <c r="AQ171" s="194"/>
      <c r="AR171" s="194"/>
      <c r="AS171" s="194"/>
      <c r="AT171" s="194"/>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76"/>
        <v>0</v>
      </c>
      <c r="K172" s="33">
        <f t="shared" si="77"/>
        <v>0</v>
      </c>
      <c r="L172" s="33">
        <f t="shared" si="78"/>
        <v>0</v>
      </c>
      <c r="M172" s="33">
        <f t="shared" si="79"/>
        <v>0</v>
      </c>
      <c r="N172" s="33">
        <f t="shared" si="65"/>
        <v>0</v>
      </c>
      <c r="O172" s="34">
        <f t="shared" si="66"/>
        <v>0</v>
      </c>
      <c r="P172" s="55">
        <v>167</v>
      </c>
      <c r="Q172" s="33">
        <f t="shared" si="74"/>
        <v>0</v>
      </c>
      <c r="R172" s="33">
        <f t="shared" si="80"/>
        <v>0</v>
      </c>
      <c r="S172" s="33">
        <f t="shared" si="81"/>
        <v>0</v>
      </c>
      <c r="T172" s="33">
        <f t="shared" si="67"/>
        <v>0</v>
      </c>
      <c r="U172" s="33">
        <f t="shared" si="75"/>
        <v>0</v>
      </c>
      <c r="V172" s="33">
        <f t="shared" si="68"/>
        <v>0</v>
      </c>
      <c r="W172" s="33">
        <v>0</v>
      </c>
      <c r="X172" s="33">
        <f t="shared" si="69"/>
        <v>0</v>
      </c>
      <c r="Y172" s="38">
        <f t="shared" si="70"/>
        <v>0</v>
      </c>
      <c r="AA172" s="71">
        <v>167</v>
      </c>
      <c r="AB172" s="33">
        <f t="shared" si="71"/>
        <v>0</v>
      </c>
      <c r="AC172" s="305">
        <f t="shared" si="86"/>
        <v>0</v>
      </c>
      <c r="AD172" s="100">
        <f t="shared" si="72"/>
        <v>0</v>
      </c>
      <c r="AE172" s="100">
        <f t="shared" si="73"/>
        <v>0</v>
      </c>
      <c r="AF172" s="194">
        <f t="shared" si="82"/>
        <v>0</v>
      </c>
      <c r="AG172" s="194">
        <f t="shared" si="83"/>
        <v>0</v>
      </c>
      <c r="AH172" s="194">
        <f t="shared" si="84"/>
        <v>0</v>
      </c>
      <c r="AI172" s="199">
        <f t="shared" si="85"/>
        <v>0</v>
      </c>
      <c r="AK172" s="71">
        <v>167</v>
      </c>
      <c r="AL172" s="33"/>
      <c r="AM172" s="33"/>
      <c r="AN172" s="33"/>
      <c r="AO172" s="33"/>
      <c r="AP172" s="33"/>
      <c r="AQ172" s="194"/>
      <c r="AR172" s="194"/>
      <c r="AS172" s="194"/>
      <c r="AT172" s="194"/>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76"/>
        <v>0</v>
      </c>
      <c r="K173" s="33">
        <f t="shared" si="77"/>
        <v>0</v>
      </c>
      <c r="L173" s="33">
        <f t="shared" si="78"/>
        <v>0</v>
      </c>
      <c r="M173" s="33">
        <f t="shared" si="79"/>
        <v>0</v>
      </c>
      <c r="N173" s="33">
        <f t="shared" si="65"/>
        <v>0</v>
      </c>
      <c r="O173" s="34">
        <f t="shared" si="66"/>
        <v>0</v>
      </c>
      <c r="P173" s="55">
        <v>168</v>
      </c>
      <c r="Q173" s="33">
        <f t="shared" si="74"/>
        <v>0</v>
      </c>
      <c r="R173" s="33">
        <f t="shared" si="80"/>
        <v>0</v>
      </c>
      <c r="S173" s="33">
        <f t="shared" si="81"/>
        <v>0</v>
      </c>
      <c r="T173" s="33">
        <f t="shared" si="67"/>
        <v>0</v>
      </c>
      <c r="U173" s="33">
        <f t="shared" si="75"/>
        <v>0</v>
      </c>
      <c r="V173" s="33">
        <f t="shared" si="68"/>
        <v>0</v>
      </c>
      <c r="W173" s="33">
        <v>0</v>
      </c>
      <c r="X173" s="33">
        <f t="shared" si="69"/>
        <v>0</v>
      </c>
      <c r="Y173" s="38">
        <f t="shared" si="70"/>
        <v>0</v>
      </c>
      <c r="AA173" s="71">
        <v>168</v>
      </c>
      <c r="AB173" s="33">
        <f t="shared" si="71"/>
        <v>0</v>
      </c>
      <c r="AC173" s="305">
        <f t="shared" si="86"/>
        <v>0</v>
      </c>
      <c r="AD173" s="100">
        <f t="shared" si="72"/>
        <v>0</v>
      </c>
      <c r="AE173" s="100">
        <f t="shared" si="73"/>
        <v>0</v>
      </c>
      <c r="AF173" s="194">
        <f t="shared" si="82"/>
        <v>0</v>
      </c>
      <c r="AG173" s="194">
        <f t="shared" si="83"/>
        <v>0</v>
      </c>
      <c r="AH173" s="194">
        <f t="shared" si="84"/>
        <v>0</v>
      </c>
      <c r="AI173" s="199">
        <f t="shared" si="85"/>
        <v>0</v>
      </c>
      <c r="AK173" s="71">
        <v>168</v>
      </c>
      <c r="AL173" s="33"/>
      <c r="AM173" s="33"/>
      <c r="AN173" s="33"/>
      <c r="AO173" s="33"/>
      <c r="AP173" s="33"/>
      <c r="AQ173" s="194"/>
      <c r="AR173" s="194"/>
      <c r="AS173" s="194"/>
      <c r="AT173" s="194"/>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76"/>
        <v>0</v>
      </c>
      <c r="K174" s="33">
        <f t="shared" si="77"/>
        <v>0</v>
      </c>
      <c r="L174" s="33">
        <f t="shared" si="78"/>
        <v>0</v>
      </c>
      <c r="M174" s="33">
        <f t="shared" si="79"/>
        <v>0</v>
      </c>
      <c r="N174" s="33">
        <f t="shared" si="65"/>
        <v>0</v>
      </c>
      <c r="O174" s="34">
        <f t="shared" si="66"/>
        <v>0</v>
      </c>
      <c r="P174" s="55">
        <v>169</v>
      </c>
      <c r="Q174" s="33">
        <f t="shared" si="74"/>
        <v>0</v>
      </c>
      <c r="R174" s="33">
        <f t="shared" si="80"/>
        <v>0</v>
      </c>
      <c r="S174" s="33">
        <f t="shared" si="81"/>
        <v>0</v>
      </c>
      <c r="T174" s="33">
        <f t="shared" si="67"/>
        <v>0</v>
      </c>
      <c r="U174" s="33">
        <f t="shared" si="75"/>
        <v>0</v>
      </c>
      <c r="V174" s="33">
        <f t="shared" si="68"/>
        <v>0</v>
      </c>
      <c r="W174" s="33">
        <v>0</v>
      </c>
      <c r="X174" s="33">
        <f t="shared" si="69"/>
        <v>0</v>
      </c>
      <c r="Y174" s="38">
        <f t="shared" si="70"/>
        <v>0</v>
      </c>
      <c r="AA174" s="71">
        <v>169</v>
      </c>
      <c r="AB174" s="33">
        <f t="shared" si="71"/>
        <v>0</v>
      </c>
      <c r="AC174" s="305">
        <f t="shared" si="86"/>
        <v>0</v>
      </c>
      <c r="AD174" s="100">
        <f t="shared" si="72"/>
        <v>0</v>
      </c>
      <c r="AE174" s="100">
        <f t="shared" si="73"/>
        <v>0</v>
      </c>
      <c r="AF174" s="194">
        <f t="shared" si="82"/>
        <v>0</v>
      </c>
      <c r="AG174" s="194">
        <f t="shared" si="83"/>
        <v>0</v>
      </c>
      <c r="AH174" s="194">
        <f t="shared" si="84"/>
        <v>0</v>
      </c>
      <c r="AI174" s="199">
        <f t="shared" si="85"/>
        <v>0</v>
      </c>
      <c r="AK174" s="71">
        <v>169</v>
      </c>
      <c r="AL174" s="33"/>
      <c r="AM174" s="33"/>
      <c r="AN174" s="33"/>
      <c r="AO174" s="33"/>
      <c r="AP174" s="33"/>
      <c r="AQ174" s="194"/>
      <c r="AR174" s="194"/>
      <c r="AS174" s="194"/>
      <c r="AT174" s="194"/>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76"/>
        <v>0</v>
      </c>
      <c r="K175" s="33">
        <f t="shared" si="77"/>
        <v>0</v>
      </c>
      <c r="L175" s="33">
        <f t="shared" si="78"/>
        <v>0</v>
      </c>
      <c r="M175" s="33">
        <f t="shared" si="79"/>
        <v>0</v>
      </c>
      <c r="N175" s="33">
        <f t="shared" si="65"/>
        <v>0</v>
      </c>
      <c r="O175" s="34">
        <f t="shared" si="66"/>
        <v>0</v>
      </c>
      <c r="P175" s="55">
        <v>170</v>
      </c>
      <c r="Q175" s="33">
        <f t="shared" si="74"/>
        <v>0</v>
      </c>
      <c r="R175" s="33">
        <f t="shared" si="80"/>
        <v>0</v>
      </c>
      <c r="S175" s="33">
        <f t="shared" si="81"/>
        <v>0</v>
      </c>
      <c r="T175" s="33">
        <f t="shared" si="67"/>
        <v>0</v>
      </c>
      <c r="U175" s="33">
        <f t="shared" si="75"/>
        <v>0</v>
      </c>
      <c r="V175" s="33">
        <f t="shared" si="68"/>
        <v>0</v>
      </c>
      <c r="W175" s="33">
        <v>0</v>
      </c>
      <c r="X175" s="33">
        <f t="shared" si="69"/>
        <v>0</v>
      </c>
      <c r="Y175" s="38">
        <f t="shared" si="70"/>
        <v>0</v>
      </c>
      <c r="AA175" s="71">
        <v>170</v>
      </c>
      <c r="AB175" s="33">
        <f t="shared" si="71"/>
        <v>0</v>
      </c>
      <c r="AC175" s="305">
        <f t="shared" si="86"/>
        <v>0</v>
      </c>
      <c r="AD175" s="100">
        <f t="shared" si="72"/>
        <v>0</v>
      </c>
      <c r="AE175" s="100">
        <f t="shared" si="73"/>
        <v>0</v>
      </c>
      <c r="AF175" s="194">
        <f t="shared" si="82"/>
        <v>0</v>
      </c>
      <c r="AG175" s="194">
        <f t="shared" si="83"/>
        <v>0</v>
      </c>
      <c r="AH175" s="194">
        <f t="shared" si="84"/>
        <v>0</v>
      </c>
      <c r="AI175" s="199">
        <f t="shared" si="85"/>
        <v>0</v>
      </c>
      <c r="AK175" s="71">
        <v>170</v>
      </c>
      <c r="AL175" s="33"/>
      <c r="AM175" s="33"/>
      <c r="AN175" s="33"/>
      <c r="AO175" s="33"/>
      <c r="AP175" s="33"/>
      <c r="AQ175" s="194"/>
      <c r="AR175" s="194"/>
      <c r="AS175" s="194"/>
      <c r="AT175" s="194"/>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76"/>
        <v>0</v>
      </c>
      <c r="K176" s="33">
        <f t="shared" si="77"/>
        <v>0</v>
      </c>
      <c r="L176" s="33">
        <f t="shared" si="78"/>
        <v>0</v>
      </c>
      <c r="M176" s="33">
        <f t="shared" si="79"/>
        <v>0</v>
      </c>
      <c r="N176" s="33">
        <f t="shared" si="65"/>
        <v>0</v>
      </c>
      <c r="O176" s="34">
        <f t="shared" si="66"/>
        <v>0</v>
      </c>
      <c r="P176" s="55">
        <v>171</v>
      </c>
      <c r="Q176" s="33">
        <f t="shared" si="74"/>
        <v>0</v>
      </c>
      <c r="R176" s="33">
        <f t="shared" si="80"/>
        <v>0</v>
      </c>
      <c r="S176" s="33">
        <f t="shared" si="81"/>
        <v>0</v>
      </c>
      <c r="T176" s="33">
        <f t="shared" si="67"/>
        <v>0</v>
      </c>
      <c r="U176" s="33">
        <f t="shared" si="75"/>
        <v>0</v>
      </c>
      <c r="V176" s="33">
        <f t="shared" si="68"/>
        <v>0</v>
      </c>
      <c r="W176" s="33">
        <v>0</v>
      </c>
      <c r="X176" s="33">
        <f t="shared" si="69"/>
        <v>0</v>
      </c>
      <c r="Y176" s="38">
        <f t="shared" si="70"/>
        <v>0</v>
      </c>
      <c r="AA176" s="71">
        <v>171</v>
      </c>
      <c r="AB176" s="33">
        <f t="shared" si="71"/>
        <v>0</v>
      </c>
      <c r="AC176" s="305">
        <f t="shared" si="86"/>
        <v>0</v>
      </c>
      <c r="AD176" s="100">
        <f t="shared" si="72"/>
        <v>0</v>
      </c>
      <c r="AE176" s="100">
        <f t="shared" si="73"/>
        <v>0</v>
      </c>
      <c r="AF176" s="194">
        <f t="shared" si="82"/>
        <v>0</v>
      </c>
      <c r="AG176" s="194">
        <f t="shared" si="83"/>
        <v>0</v>
      </c>
      <c r="AH176" s="194">
        <f t="shared" si="84"/>
        <v>0</v>
      </c>
      <c r="AI176" s="199">
        <f t="shared" si="85"/>
        <v>0</v>
      </c>
      <c r="AK176" s="71">
        <v>171</v>
      </c>
      <c r="AL176" s="33"/>
      <c r="AM176" s="33"/>
      <c r="AN176" s="33"/>
      <c r="AO176" s="33"/>
      <c r="AP176" s="33"/>
      <c r="AQ176" s="194"/>
      <c r="AR176" s="194"/>
      <c r="AS176" s="194"/>
      <c r="AT176" s="194"/>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76"/>
        <v>0</v>
      </c>
      <c r="K177" s="33">
        <f t="shared" si="77"/>
        <v>0</v>
      </c>
      <c r="L177" s="33">
        <f t="shared" si="78"/>
        <v>0</v>
      </c>
      <c r="M177" s="33">
        <f t="shared" si="79"/>
        <v>0</v>
      </c>
      <c r="N177" s="33">
        <f t="shared" si="65"/>
        <v>0</v>
      </c>
      <c r="O177" s="34">
        <f t="shared" si="66"/>
        <v>0</v>
      </c>
      <c r="P177" s="55">
        <v>172</v>
      </c>
      <c r="Q177" s="33">
        <f t="shared" si="74"/>
        <v>0</v>
      </c>
      <c r="R177" s="33">
        <f t="shared" si="80"/>
        <v>0</v>
      </c>
      <c r="S177" s="33">
        <f t="shared" si="81"/>
        <v>0</v>
      </c>
      <c r="T177" s="33">
        <f t="shared" si="67"/>
        <v>0</v>
      </c>
      <c r="U177" s="33">
        <f t="shared" si="75"/>
        <v>0</v>
      </c>
      <c r="V177" s="33">
        <f t="shared" si="68"/>
        <v>0</v>
      </c>
      <c r="W177" s="33">
        <v>0</v>
      </c>
      <c r="X177" s="33">
        <f t="shared" si="69"/>
        <v>0</v>
      </c>
      <c r="Y177" s="38">
        <f t="shared" si="70"/>
        <v>0</v>
      </c>
      <c r="AA177" s="71">
        <v>172</v>
      </c>
      <c r="AB177" s="33">
        <f t="shared" si="71"/>
        <v>0</v>
      </c>
      <c r="AC177" s="305">
        <f t="shared" si="86"/>
        <v>0</v>
      </c>
      <c r="AD177" s="100">
        <f t="shared" si="72"/>
        <v>0</v>
      </c>
      <c r="AE177" s="100">
        <f t="shared" si="73"/>
        <v>0</v>
      </c>
      <c r="AF177" s="194">
        <f t="shared" si="82"/>
        <v>0</v>
      </c>
      <c r="AG177" s="194">
        <f t="shared" si="83"/>
        <v>0</v>
      </c>
      <c r="AH177" s="194">
        <f t="shared" si="84"/>
        <v>0</v>
      </c>
      <c r="AI177" s="199">
        <f t="shared" si="85"/>
        <v>0</v>
      </c>
      <c r="AK177" s="71">
        <v>172</v>
      </c>
      <c r="AL177" s="33"/>
      <c r="AM177" s="33"/>
      <c r="AN177" s="33"/>
      <c r="AO177" s="33"/>
      <c r="AP177" s="33"/>
      <c r="AQ177" s="194"/>
      <c r="AR177" s="194"/>
      <c r="AS177" s="194"/>
      <c r="AT177" s="194"/>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76"/>
        <v>0</v>
      </c>
      <c r="K178" s="33">
        <f t="shared" si="77"/>
        <v>0</v>
      </c>
      <c r="L178" s="33">
        <f t="shared" si="78"/>
        <v>0</v>
      </c>
      <c r="M178" s="33">
        <f t="shared" si="79"/>
        <v>0</v>
      </c>
      <c r="N178" s="33">
        <f t="shared" si="65"/>
        <v>0</v>
      </c>
      <c r="O178" s="34">
        <f t="shared" si="66"/>
        <v>0</v>
      </c>
      <c r="P178" s="55">
        <v>173</v>
      </c>
      <c r="Q178" s="33">
        <f t="shared" si="74"/>
        <v>0</v>
      </c>
      <c r="R178" s="33">
        <f t="shared" si="80"/>
        <v>0</v>
      </c>
      <c r="S178" s="33">
        <f t="shared" si="81"/>
        <v>0</v>
      </c>
      <c r="T178" s="33">
        <f t="shared" si="67"/>
        <v>0</v>
      </c>
      <c r="U178" s="33">
        <f t="shared" si="75"/>
        <v>0</v>
      </c>
      <c r="V178" s="33">
        <f t="shared" si="68"/>
        <v>0</v>
      </c>
      <c r="W178" s="33">
        <v>0</v>
      </c>
      <c r="X178" s="33">
        <f t="shared" si="69"/>
        <v>0</v>
      </c>
      <c r="Y178" s="38">
        <f t="shared" si="70"/>
        <v>0</v>
      </c>
      <c r="AA178" s="71">
        <v>173</v>
      </c>
      <c r="AB178" s="33">
        <f t="shared" si="71"/>
        <v>0</v>
      </c>
      <c r="AC178" s="305">
        <f t="shared" si="86"/>
        <v>0</v>
      </c>
      <c r="AD178" s="100">
        <f t="shared" si="72"/>
        <v>0</v>
      </c>
      <c r="AE178" s="100">
        <f t="shared" si="73"/>
        <v>0</v>
      </c>
      <c r="AF178" s="194">
        <f t="shared" si="82"/>
        <v>0</v>
      </c>
      <c r="AG178" s="194">
        <f t="shared" si="83"/>
        <v>0</v>
      </c>
      <c r="AH178" s="194">
        <f t="shared" si="84"/>
        <v>0</v>
      </c>
      <c r="AI178" s="199">
        <f t="shared" si="85"/>
        <v>0</v>
      </c>
      <c r="AK178" s="71">
        <v>173</v>
      </c>
      <c r="AL178" s="33"/>
      <c r="AM178" s="33"/>
      <c r="AN178" s="33"/>
      <c r="AO178" s="33"/>
      <c r="AP178" s="33"/>
      <c r="AQ178" s="194"/>
      <c r="AR178" s="194"/>
      <c r="AS178" s="194"/>
      <c r="AT178" s="194"/>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76"/>
        <v>0</v>
      </c>
      <c r="K179" s="33">
        <f t="shared" si="77"/>
        <v>0</v>
      </c>
      <c r="L179" s="33">
        <f t="shared" si="78"/>
        <v>0</v>
      </c>
      <c r="M179" s="33">
        <f t="shared" si="79"/>
        <v>0</v>
      </c>
      <c r="N179" s="33">
        <f t="shared" si="65"/>
        <v>0</v>
      </c>
      <c r="O179" s="34">
        <f t="shared" si="66"/>
        <v>0</v>
      </c>
      <c r="P179" s="55">
        <v>174</v>
      </c>
      <c r="Q179" s="33">
        <f t="shared" si="74"/>
        <v>0</v>
      </c>
      <c r="R179" s="33">
        <f t="shared" si="80"/>
        <v>0</v>
      </c>
      <c r="S179" s="33">
        <f t="shared" si="81"/>
        <v>0</v>
      </c>
      <c r="T179" s="33">
        <f t="shared" si="67"/>
        <v>0</v>
      </c>
      <c r="U179" s="33">
        <f t="shared" si="75"/>
        <v>0</v>
      </c>
      <c r="V179" s="33">
        <f t="shared" si="68"/>
        <v>0</v>
      </c>
      <c r="W179" s="33">
        <v>0</v>
      </c>
      <c r="X179" s="33">
        <f t="shared" si="69"/>
        <v>0</v>
      </c>
      <c r="Y179" s="38">
        <f t="shared" si="70"/>
        <v>0</v>
      </c>
      <c r="AA179" s="71">
        <v>174</v>
      </c>
      <c r="AB179" s="33">
        <f t="shared" si="71"/>
        <v>0</v>
      </c>
      <c r="AC179" s="305">
        <f t="shared" si="86"/>
        <v>0</v>
      </c>
      <c r="AD179" s="100">
        <f t="shared" si="72"/>
        <v>0</v>
      </c>
      <c r="AE179" s="100">
        <f t="shared" si="73"/>
        <v>0</v>
      </c>
      <c r="AF179" s="194">
        <f t="shared" si="82"/>
        <v>0</v>
      </c>
      <c r="AG179" s="194">
        <f t="shared" si="83"/>
        <v>0</v>
      </c>
      <c r="AH179" s="194">
        <f t="shared" si="84"/>
        <v>0</v>
      </c>
      <c r="AI179" s="199">
        <f t="shared" si="85"/>
        <v>0</v>
      </c>
      <c r="AK179" s="71">
        <v>174</v>
      </c>
      <c r="AL179" s="33"/>
      <c r="AM179" s="33"/>
      <c r="AN179" s="33"/>
      <c r="AO179" s="33"/>
      <c r="AP179" s="33"/>
      <c r="AQ179" s="194"/>
      <c r="AR179" s="194"/>
      <c r="AS179" s="194"/>
      <c r="AT179" s="194"/>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76"/>
        <v>0</v>
      </c>
      <c r="K180" s="33">
        <f t="shared" si="77"/>
        <v>0</v>
      </c>
      <c r="L180" s="33">
        <f t="shared" si="78"/>
        <v>0</v>
      </c>
      <c r="M180" s="33">
        <f t="shared" si="79"/>
        <v>0</v>
      </c>
      <c r="N180" s="33">
        <f t="shared" si="65"/>
        <v>0</v>
      </c>
      <c r="O180" s="34">
        <f t="shared" si="66"/>
        <v>0</v>
      </c>
      <c r="P180" s="55">
        <v>175</v>
      </c>
      <c r="Q180" s="33">
        <f t="shared" si="74"/>
        <v>0</v>
      </c>
      <c r="R180" s="33">
        <f t="shared" si="80"/>
        <v>0</v>
      </c>
      <c r="S180" s="33">
        <f t="shared" si="81"/>
        <v>0</v>
      </c>
      <c r="T180" s="33">
        <f t="shared" si="67"/>
        <v>0</v>
      </c>
      <c r="U180" s="33">
        <f t="shared" si="75"/>
        <v>0</v>
      </c>
      <c r="V180" s="33">
        <f t="shared" si="68"/>
        <v>0</v>
      </c>
      <c r="W180" s="33">
        <v>0</v>
      </c>
      <c r="X180" s="33">
        <f t="shared" si="69"/>
        <v>0</v>
      </c>
      <c r="Y180" s="38">
        <f t="shared" si="70"/>
        <v>0</v>
      </c>
      <c r="AA180" s="71">
        <v>175</v>
      </c>
      <c r="AB180" s="33">
        <f t="shared" si="71"/>
        <v>0</v>
      </c>
      <c r="AC180" s="305">
        <f t="shared" si="86"/>
        <v>0</v>
      </c>
      <c r="AD180" s="100">
        <f t="shared" si="72"/>
        <v>0</v>
      </c>
      <c r="AE180" s="100">
        <f t="shared" si="73"/>
        <v>0</v>
      </c>
      <c r="AF180" s="194">
        <f t="shared" si="82"/>
        <v>0</v>
      </c>
      <c r="AG180" s="194">
        <f t="shared" si="83"/>
        <v>0</v>
      </c>
      <c r="AH180" s="194">
        <f t="shared" si="84"/>
        <v>0</v>
      </c>
      <c r="AI180" s="199">
        <f t="shared" si="85"/>
        <v>0</v>
      </c>
      <c r="AK180" s="71">
        <v>175</v>
      </c>
      <c r="AL180" s="33"/>
      <c r="AM180" s="33"/>
      <c r="AN180" s="33"/>
      <c r="AO180" s="33"/>
      <c r="AP180" s="33"/>
      <c r="AQ180" s="194"/>
      <c r="AR180" s="194"/>
      <c r="AS180" s="194"/>
      <c r="AT180" s="194"/>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76"/>
        <v>0</v>
      </c>
      <c r="K181" s="33">
        <f t="shared" si="77"/>
        <v>0</v>
      </c>
      <c r="L181" s="33">
        <f t="shared" si="78"/>
        <v>0</v>
      </c>
      <c r="M181" s="33">
        <f t="shared" si="79"/>
        <v>0</v>
      </c>
      <c r="N181" s="33">
        <f t="shared" si="65"/>
        <v>0</v>
      </c>
      <c r="O181" s="34">
        <f t="shared" si="66"/>
        <v>0</v>
      </c>
      <c r="P181" s="55">
        <v>176</v>
      </c>
      <c r="Q181" s="33">
        <f t="shared" si="74"/>
        <v>0</v>
      </c>
      <c r="R181" s="33">
        <f t="shared" si="80"/>
        <v>0</v>
      </c>
      <c r="S181" s="33">
        <f t="shared" si="81"/>
        <v>0</v>
      </c>
      <c r="T181" s="33">
        <f t="shared" si="67"/>
        <v>0</v>
      </c>
      <c r="U181" s="33">
        <f t="shared" si="75"/>
        <v>0</v>
      </c>
      <c r="V181" s="33">
        <f t="shared" si="68"/>
        <v>0</v>
      </c>
      <c r="W181" s="33">
        <v>0</v>
      </c>
      <c r="X181" s="33">
        <f t="shared" si="69"/>
        <v>0</v>
      </c>
      <c r="Y181" s="38">
        <f t="shared" si="70"/>
        <v>0</v>
      </c>
      <c r="AA181" s="71">
        <v>176</v>
      </c>
      <c r="AB181" s="33">
        <f t="shared" si="71"/>
        <v>0</v>
      </c>
      <c r="AC181" s="305">
        <f t="shared" si="86"/>
        <v>0</v>
      </c>
      <c r="AD181" s="100">
        <f t="shared" si="72"/>
        <v>0</v>
      </c>
      <c r="AE181" s="100">
        <f t="shared" si="73"/>
        <v>0</v>
      </c>
      <c r="AF181" s="194">
        <f t="shared" si="82"/>
        <v>0</v>
      </c>
      <c r="AG181" s="194">
        <f t="shared" si="83"/>
        <v>0</v>
      </c>
      <c r="AH181" s="194">
        <f t="shared" si="84"/>
        <v>0</v>
      </c>
      <c r="AI181" s="199">
        <f t="shared" si="85"/>
        <v>0</v>
      </c>
      <c r="AK181" s="71">
        <v>176</v>
      </c>
      <c r="AL181" s="33"/>
      <c r="AM181" s="33"/>
      <c r="AN181" s="33"/>
      <c r="AO181" s="33"/>
      <c r="AP181" s="33"/>
      <c r="AQ181" s="194"/>
      <c r="AR181" s="194"/>
      <c r="AS181" s="194"/>
      <c r="AT181" s="194"/>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76"/>
        <v>0</v>
      </c>
      <c r="K182" s="33">
        <f t="shared" si="77"/>
        <v>0</v>
      </c>
      <c r="L182" s="33">
        <f t="shared" si="78"/>
        <v>0</v>
      </c>
      <c r="M182" s="33">
        <f t="shared" si="79"/>
        <v>0</v>
      </c>
      <c r="N182" s="33">
        <f t="shared" si="65"/>
        <v>0</v>
      </c>
      <c r="O182" s="34">
        <f t="shared" si="66"/>
        <v>0</v>
      </c>
      <c r="P182" s="55">
        <v>177</v>
      </c>
      <c r="Q182" s="33">
        <f t="shared" si="74"/>
        <v>0</v>
      </c>
      <c r="R182" s="33">
        <f t="shared" si="80"/>
        <v>0</v>
      </c>
      <c r="S182" s="33">
        <f t="shared" si="81"/>
        <v>0</v>
      </c>
      <c r="T182" s="33">
        <f t="shared" si="67"/>
        <v>0</v>
      </c>
      <c r="U182" s="33">
        <f t="shared" si="75"/>
        <v>0</v>
      </c>
      <c r="V182" s="33">
        <f t="shared" si="68"/>
        <v>0</v>
      </c>
      <c r="W182" s="33">
        <v>0</v>
      </c>
      <c r="X182" s="33">
        <f t="shared" si="69"/>
        <v>0</v>
      </c>
      <c r="Y182" s="38">
        <f t="shared" si="70"/>
        <v>0</v>
      </c>
      <c r="AA182" s="71">
        <v>177</v>
      </c>
      <c r="AB182" s="33">
        <f t="shared" si="71"/>
        <v>0</v>
      </c>
      <c r="AC182" s="305">
        <f t="shared" si="86"/>
        <v>0</v>
      </c>
      <c r="AD182" s="100">
        <f t="shared" si="72"/>
        <v>0</v>
      </c>
      <c r="AE182" s="100">
        <f t="shared" si="73"/>
        <v>0</v>
      </c>
      <c r="AF182" s="194">
        <f t="shared" si="82"/>
        <v>0</v>
      </c>
      <c r="AG182" s="194">
        <f t="shared" si="83"/>
        <v>0</v>
      </c>
      <c r="AH182" s="194">
        <f t="shared" si="84"/>
        <v>0</v>
      </c>
      <c r="AI182" s="199">
        <f t="shared" si="85"/>
        <v>0</v>
      </c>
      <c r="AK182" s="71">
        <v>177</v>
      </c>
      <c r="AL182" s="33"/>
      <c r="AM182" s="33"/>
      <c r="AN182" s="33"/>
      <c r="AO182" s="33"/>
      <c r="AP182" s="33"/>
      <c r="AQ182" s="194"/>
      <c r="AR182" s="194"/>
      <c r="AS182" s="194"/>
      <c r="AT182" s="194"/>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76"/>
        <v>0</v>
      </c>
      <c r="K183" s="33">
        <f t="shared" si="77"/>
        <v>0</v>
      </c>
      <c r="L183" s="33">
        <f t="shared" si="78"/>
        <v>0</v>
      </c>
      <c r="M183" s="33">
        <f t="shared" si="79"/>
        <v>0</v>
      </c>
      <c r="N183" s="33">
        <f t="shared" si="65"/>
        <v>0</v>
      </c>
      <c r="O183" s="34">
        <f t="shared" si="66"/>
        <v>0</v>
      </c>
      <c r="P183" s="55">
        <v>178</v>
      </c>
      <c r="Q183" s="33">
        <f t="shared" si="74"/>
        <v>0</v>
      </c>
      <c r="R183" s="33">
        <f t="shared" si="80"/>
        <v>0</v>
      </c>
      <c r="S183" s="33">
        <f t="shared" si="81"/>
        <v>0</v>
      </c>
      <c r="T183" s="33">
        <f t="shared" si="67"/>
        <v>0</v>
      </c>
      <c r="U183" s="33">
        <f t="shared" si="75"/>
        <v>0</v>
      </c>
      <c r="V183" s="33">
        <f t="shared" si="68"/>
        <v>0</v>
      </c>
      <c r="W183" s="33">
        <v>0</v>
      </c>
      <c r="X183" s="33">
        <f t="shared" si="69"/>
        <v>0</v>
      </c>
      <c r="Y183" s="38">
        <f t="shared" si="70"/>
        <v>0</v>
      </c>
      <c r="AA183" s="71">
        <v>178</v>
      </c>
      <c r="AB183" s="33">
        <f t="shared" si="71"/>
        <v>0</v>
      </c>
      <c r="AC183" s="305">
        <f t="shared" si="86"/>
        <v>0</v>
      </c>
      <c r="AD183" s="100">
        <f t="shared" si="72"/>
        <v>0</v>
      </c>
      <c r="AE183" s="100">
        <f t="shared" si="73"/>
        <v>0</v>
      </c>
      <c r="AF183" s="194">
        <f t="shared" si="82"/>
        <v>0</v>
      </c>
      <c r="AG183" s="194">
        <f t="shared" si="83"/>
        <v>0</v>
      </c>
      <c r="AH183" s="194">
        <f t="shared" si="84"/>
        <v>0</v>
      </c>
      <c r="AI183" s="199">
        <f t="shared" si="85"/>
        <v>0</v>
      </c>
      <c r="AK183" s="71">
        <v>178</v>
      </c>
      <c r="AL183" s="33"/>
      <c r="AM183" s="33"/>
      <c r="AN183" s="33"/>
      <c r="AO183" s="33"/>
      <c r="AP183" s="33"/>
      <c r="AQ183" s="194"/>
      <c r="AR183" s="194"/>
      <c r="AS183" s="194"/>
      <c r="AT183" s="194"/>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76"/>
        <v>0</v>
      </c>
      <c r="K184" s="33">
        <f t="shared" si="77"/>
        <v>0</v>
      </c>
      <c r="L184" s="33">
        <f t="shared" si="78"/>
        <v>0</v>
      </c>
      <c r="M184" s="33">
        <f t="shared" si="79"/>
        <v>0</v>
      </c>
      <c r="N184" s="33">
        <f t="shared" si="65"/>
        <v>0</v>
      </c>
      <c r="O184" s="34">
        <f t="shared" si="66"/>
        <v>0</v>
      </c>
      <c r="P184" s="55">
        <v>179</v>
      </c>
      <c r="Q184" s="33">
        <f t="shared" si="74"/>
        <v>0</v>
      </c>
      <c r="R184" s="33">
        <f t="shared" si="80"/>
        <v>0</v>
      </c>
      <c r="S184" s="33">
        <f t="shared" si="81"/>
        <v>0</v>
      </c>
      <c r="T184" s="33">
        <f t="shared" si="67"/>
        <v>0</v>
      </c>
      <c r="U184" s="33">
        <f t="shared" si="75"/>
        <v>0</v>
      </c>
      <c r="V184" s="33">
        <f t="shared" si="68"/>
        <v>0</v>
      </c>
      <c r="W184" s="33">
        <v>0</v>
      </c>
      <c r="X184" s="33">
        <f t="shared" si="69"/>
        <v>0</v>
      </c>
      <c r="Y184" s="38">
        <f t="shared" si="70"/>
        <v>0</v>
      </c>
      <c r="AA184" s="71">
        <v>179</v>
      </c>
      <c r="AB184" s="33">
        <f t="shared" si="71"/>
        <v>0</v>
      </c>
      <c r="AC184" s="305">
        <f t="shared" si="86"/>
        <v>0</v>
      </c>
      <c r="AD184" s="100">
        <f t="shared" si="72"/>
        <v>0</v>
      </c>
      <c r="AE184" s="100">
        <f t="shared" si="73"/>
        <v>0</v>
      </c>
      <c r="AF184" s="194">
        <f t="shared" si="82"/>
        <v>0</v>
      </c>
      <c r="AG184" s="194">
        <f t="shared" si="83"/>
        <v>0</v>
      </c>
      <c r="AH184" s="194">
        <f t="shared" si="84"/>
        <v>0</v>
      </c>
      <c r="AI184" s="199">
        <f t="shared" si="85"/>
        <v>0</v>
      </c>
      <c r="AK184" s="71">
        <v>179</v>
      </c>
      <c r="AL184" s="33"/>
      <c r="AM184" s="33"/>
      <c r="AN184" s="33"/>
      <c r="AO184" s="33"/>
      <c r="AP184" s="33"/>
      <c r="AQ184" s="194"/>
      <c r="AR184" s="194"/>
      <c r="AS184" s="194"/>
      <c r="AT184" s="194"/>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76"/>
        <v>0</v>
      </c>
      <c r="K185" s="33">
        <f t="shared" si="77"/>
        <v>0</v>
      </c>
      <c r="L185" s="33">
        <f t="shared" si="78"/>
        <v>0</v>
      </c>
      <c r="M185" s="33">
        <f t="shared" si="79"/>
        <v>0</v>
      </c>
      <c r="N185" s="33">
        <f t="shared" si="65"/>
        <v>0</v>
      </c>
      <c r="O185" s="34">
        <f t="shared" si="66"/>
        <v>0</v>
      </c>
      <c r="P185" s="55">
        <v>180</v>
      </c>
      <c r="Q185" s="33">
        <f t="shared" si="74"/>
        <v>0</v>
      </c>
      <c r="R185" s="33">
        <f t="shared" si="80"/>
        <v>0</v>
      </c>
      <c r="S185" s="33">
        <f t="shared" si="81"/>
        <v>0</v>
      </c>
      <c r="T185" s="33">
        <f t="shared" si="67"/>
        <v>0</v>
      </c>
      <c r="U185" s="33">
        <f t="shared" si="75"/>
        <v>0</v>
      </c>
      <c r="V185" s="33">
        <f t="shared" si="68"/>
        <v>0</v>
      </c>
      <c r="W185" s="33">
        <v>0</v>
      </c>
      <c r="X185" s="33">
        <f t="shared" si="69"/>
        <v>0</v>
      </c>
      <c r="Y185" s="38">
        <f t="shared" si="70"/>
        <v>0</v>
      </c>
      <c r="AA185" s="71">
        <v>180</v>
      </c>
      <c r="AB185" s="33">
        <f t="shared" si="71"/>
        <v>0</v>
      </c>
      <c r="AC185" s="305">
        <f t="shared" si="86"/>
        <v>0</v>
      </c>
      <c r="AD185" s="100">
        <f t="shared" si="72"/>
        <v>0</v>
      </c>
      <c r="AE185" s="100">
        <f t="shared" si="73"/>
        <v>0</v>
      </c>
      <c r="AF185" s="194">
        <f t="shared" si="82"/>
        <v>0</v>
      </c>
      <c r="AG185" s="194">
        <f t="shared" si="83"/>
        <v>0</v>
      </c>
      <c r="AH185" s="194">
        <f t="shared" si="84"/>
        <v>0</v>
      </c>
      <c r="AI185" s="199">
        <f t="shared" si="85"/>
        <v>0</v>
      </c>
      <c r="AK185" s="71">
        <v>180</v>
      </c>
      <c r="AL185" s="33"/>
      <c r="AM185" s="33"/>
      <c r="AN185" s="33"/>
      <c r="AO185" s="33"/>
      <c r="AP185" s="33"/>
      <c r="AQ185" s="194"/>
      <c r="AR185" s="194"/>
      <c r="AS185" s="194"/>
      <c r="AT185" s="194"/>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76"/>
        <v>0</v>
      </c>
      <c r="K186" s="33">
        <f t="shared" si="77"/>
        <v>0</v>
      </c>
      <c r="L186" s="33">
        <f t="shared" si="78"/>
        <v>0</v>
      </c>
      <c r="M186" s="33">
        <f t="shared" si="79"/>
        <v>0</v>
      </c>
      <c r="N186" s="33">
        <f t="shared" si="65"/>
        <v>0</v>
      </c>
      <c r="O186" s="34">
        <f t="shared" si="66"/>
        <v>0</v>
      </c>
      <c r="P186" s="55">
        <v>181</v>
      </c>
      <c r="Q186" s="33">
        <f t="shared" si="74"/>
        <v>0</v>
      </c>
      <c r="R186" s="33">
        <f t="shared" si="80"/>
        <v>0</v>
      </c>
      <c r="S186" s="33">
        <f t="shared" si="81"/>
        <v>0</v>
      </c>
      <c r="T186" s="33">
        <f t="shared" si="67"/>
        <v>0</v>
      </c>
      <c r="U186" s="33">
        <f t="shared" si="75"/>
        <v>0</v>
      </c>
      <c r="V186" s="33">
        <f t="shared" si="68"/>
        <v>0</v>
      </c>
      <c r="W186" s="33">
        <v>0</v>
      </c>
      <c r="X186" s="33">
        <f t="shared" si="69"/>
        <v>0</v>
      </c>
      <c r="Y186" s="38">
        <f t="shared" si="70"/>
        <v>0</v>
      </c>
      <c r="AA186" s="71">
        <v>181</v>
      </c>
      <c r="AB186" s="33">
        <f t="shared" si="71"/>
        <v>0</v>
      </c>
      <c r="AC186" s="305">
        <f t="shared" si="86"/>
        <v>0</v>
      </c>
      <c r="AD186" s="100">
        <f t="shared" si="72"/>
        <v>0</v>
      </c>
      <c r="AE186" s="100">
        <f t="shared" si="73"/>
        <v>0</v>
      </c>
      <c r="AF186" s="194">
        <f t="shared" si="82"/>
        <v>0</v>
      </c>
      <c r="AG186" s="194">
        <f t="shared" si="83"/>
        <v>0</v>
      </c>
      <c r="AH186" s="194">
        <f t="shared" si="84"/>
        <v>0</v>
      </c>
      <c r="AI186" s="199">
        <f t="shared" si="85"/>
        <v>0</v>
      </c>
      <c r="AK186" s="71">
        <v>181</v>
      </c>
      <c r="AL186" s="33"/>
      <c r="AM186" s="33"/>
      <c r="AN186" s="33"/>
      <c r="AO186" s="33"/>
      <c r="AP186" s="33"/>
      <c r="AQ186" s="194"/>
      <c r="AR186" s="194"/>
      <c r="AS186" s="194"/>
      <c r="AT186" s="194"/>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76"/>
        <v>0</v>
      </c>
      <c r="K187" s="33">
        <f t="shared" si="77"/>
        <v>0</v>
      </c>
      <c r="L187" s="33">
        <f t="shared" si="78"/>
        <v>0</v>
      </c>
      <c r="M187" s="33">
        <f t="shared" si="79"/>
        <v>0</v>
      </c>
      <c r="N187" s="33">
        <f t="shared" si="65"/>
        <v>0</v>
      </c>
      <c r="O187" s="34">
        <f t="shared" si="66"/>
        <v>0</v>
      </c>
      <c r="P187" s="55">
        <v>182</v>
      </c>
      <c r="Q187" s="33">
        <f t="shared" si="74"/>
        <v>0</v>
      </c>
      <c r="R187" s="33">
        <f t="shared" si="80"/>
        <v>0</v>
      </c>
      <c r="S187" s="33">
        <f t="shared" si="81"/>
        <v>0</v>
      </c>
      <c r="T187" s="33">
        <f t="shared" si="67"/>
        <v>0</v>
      </c>
      <c r="U187" s="33">
        <f t="shared" si="75"/>
        <v>0</v>
      </c>
      <c r="V187" s="33">
        <f t="shared" si="68"/>
        <v>0</v>
      </c>
      <c r="W187" s="33">
        <v>0</v>
      </c>
      <c r="X187" s="33">
        <f t="shared" si="69"/>
        <v>0</v>
      </c>
      <c r="Y187" s="38">
        <f t="shared" si="70"/>
        <v>0</v>
      </c>
      <c r="AA187" s="71">
        <v>182</v>
      </c>
      <c r="AB187" s="33">
        <f t="shared" si="71"/>
        <v>0</v>
      </c>
      <c r="AC187" s="305">
        <f t="shared" si="86"/>
        <v>0</v>
      </c>
      <c r="AD187" s="100">
        <f t="shared" si="72"/>
        <v>0</v>
      </c>
      <c r="AE187" s="100">
        <f t="shared" si="73"/>
        <v>0</v>
      </c>
      <c r="AF187" s="194">
        <f t="shared" si="82"/>
        <v>0</v>
      </c>
      <c r="AG187" s="194">
        <f t="shared" si="83"/>
        <v>0</v>
      </c>
      <c r="AH187" s="194">
        <f t="shared" si="84"/>
        <v>0</v>
      </c>
      <c r="AI187" s="199">
        <f t="shared" si="85"/>
        <v>0</v>
      </c>
      <c r="AK187" s="71">
        <v>182</v>
      </c>
      <c r="AL187" s="33"/>
      <c r="AM187" s="33"/>
      <c r="AN187" s="33"/>
      <c r="AO187" s="33"/>
      <c r="AP187" s="33"/>
      <c r="AQ187" s="194"/>
      <c r="AR187" s="194"/>
      <c r="AS187" s="194"/>
      <c r="AT187" s="194"/>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76"/>
        <v>0</v>
      </c>
      <c r="K188" s="33">
        <f t="shared" si="77"/>
        <v>0</v>
      </c>
      <c r="L188" s="33">
        <f t="shared" si="78"/>
        <v>0</v>
      </c>
      <c r="M188" s="33">
        <f t="shared" si="79"/>
        <v>0</v>
      </c>
      <c r="N188" s="33">
        <f t="shared" si="65"/>
        <v>0</v>
      </c>
      <c r="O188" s="34">
        <f t="shared" si="66"/>
        <v>0</v>
      </c>
      <c r="P188" s="55">
        <v>183</v>
      </c>
      <c r="Q188" s="33">
        <f t="shared" si="74"/>
        <v>0</v>
      </c>
      <c r="R188" s="33">
        <f t="shared" si="80"/>
        <v>0</v>
      </c>
      <c r="S188" s="33">
        <f t="shared" si="81"/>
        <v>0</v>
      </c>
      <c r="T188" s="33">
        <f t="shared" si="67"/>
        <v>0</v>
      </c>
      <c r="U188" s="33">
        <f t="shared" si="75"/>
        <v>0</v>
      </c>
      <c r="V188" s="33">
        <f t="shared" si="68"/>
        <v>0</v>
      </c>
      <c r="W188" s="33">
        <v>0</v>
      </c>
      <c r="X188" s="33">
        <f t="shared" si="69"/>
        <v>0</v>
      </c>
      <c r="Y188" s="38">
        <f t="shared" si="70"/>
        <v>0</v>
      </c>
      <c r="AA188" s="71">
        <v>183</v>
      </c>
      <c r="AB188" s="33">
        <f t="shared" si="71"/>
        <v>0</v>
      </c>
      <c r="AC188" s="305">
        <f t="shared" si="86"/>
        <v>0</v>
      </c>
      <c r="AD188" s="100">
        <f t="shared" si="72"/>
        <v>0</v>
      </c>
      <c r="AE188" s="100">
        <f t="shared" si="73"/>
        <v>0</v>
      </c>
      <c r="AF188" s="194">
        <f t="shared" si="82"/>
        <v>0</v>
      </c>
      <c r="AG188" s="194">
        <f t="shared" si="83"/>
        <v>0</v>
      </c>
      <c r="AH188" s="194">
        <f t="shared" si="84"/>
        <v>0</v>
      </c>
      <c r="AI188" s="199">
        <f t="shared" si="85"/>
        <v>0</v>
      </c>
      <c r="AK188" s="71">
        <v>183</v>
      </c>
      <c r="AL188" s="33"/>
      <c r="AM188" s="33"/>
      <c r="AN188" s="33"/>
      <c r="AO188" s="33"/>
      <c r="AP188" s="33"/>
      <c r="AQ188" s="194"/>
      <c r="AR188" s="194"/>
      <c r="AS188" s="194"/>
      <c r="AT188" s="194"/>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76"/>
        <v>0</v>
      </c>
      <c r="K189" s="33">
        <f t="shared" si="77"/>
        <v>0</v>
      </c>
      <c r="L189" s="33">
        <f t="shared" si="78"/>
        <v>0</v>
      </c>
      <c r="M189" s="33">
        <f t="shared" si="79"/>
        <v>0</v>
      </c>
      <c r="N189" s="33">
        <f t="shared" si="65"/>
        <v>0</v>
      </c>
      <c r="O189" s="34">
        <f t="shared" si="66"/>
        <v>0</v>
      </c>
      <c r="P189" s="55">
        <v>184</v>
      </c>
      <c r="Q189" s="33">
        <f t="shared" si="74"/>
        <v>0</v>
      </c>
      <c r="R189" s="33">
        <f t="shared" si="80"/>
        <v>0</v>
      </c>
      <c r="S189" s="33">
        <f t="shared" si="81"/>
        <v>0</v>
      </c>
      <c r="T189" s="33">
        <f t="shared" si="67"/>
        <v>0</v>
      </c>
      <c r="U189" s="33">
        <f t="shared" si="75"/>
        <v>0</v>
      </c>
      <c r="V189" s="33">
        <f t="shared" si="68"/>
        <v>0</v>
      </c>
      <c r="W189" s="33">
        <v>0</v>
      </c>
      <c r="X189" s="33">
        <f t="shared" si="69"/>
        <v>0</v>
      </c>
      <c r="Y189" s="38">
        <f t="shared" si="70"/>
        <v>0</v>
      </c>
      <c r="AA189" s="71">
        <v>184</v>
      </c>
      <c r="AB189" s="33">
        <f t="shared" si="71"/>
        <v>0</v>
      </c>
      <c r="AC189" s="305">
        <f t="shared" si="86"/>
        <v>0</v>
      </c>
      <c r="AD189" s="100">
        <f t="shared" si="72"/>
        <v>0</v>
      </c>
      <c r="AE189" s="100">
        <f t="shared" si="73"/>
        <v>0</v>
      </c>
      <c r="AF189" s="194">
        <f t="shared" si="82"/>
        <v>0</v>
      </c>
      <c r="AG189" s="194">
        <f t="shared" si="83"/>
        <v>0</v>
      </c>
      <c r="AH189" s="194">
        <f t="shared" si="84"/>
        <v>0</v>
      </c>
      <c r="AI189" s="199">
        <f t="shared" si="85"/>
        <v>0</v>
      </c>
      <c r="AK189" s="71">
        <v>184</v>
      </c>
      <c r="AL189" s="33"/>
      <c r="AM189" s="33"/>
      <c r="AN189" s="33"/>
      <c r="AO189" s="33"/>
      <c r="AP189" s="33"/>
      <c r="AQ189" s="194"/>
      <c r="AR189" s="194"/>
      <c r="AS189" s="194"/>
      <c r="AT189" s="194"/>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76"/>
        <v>0</v>
      </c>
      <c r="K190" s="33">
        <f t="shared" si="77"/>
        <v>0</v>
      </c>
      <c r="L190" s="33">
        <f t="shared" si="78"/>
        <v>0</v>
      </c>
      <c r="M190" s="33">
        <f t="shared" si="79"/>
        <v>0</v>
      </c>
      <c r="N190" s="33">
        <f t="shared" si="65"/>
        <v>0</v>
      </c>
      <c r="O190" s="34">
        <f t="shared" si="66"/>
        <v>0</v>
      </c>
      <c r="P190" s="55">
        <v>185</v>
      </c>
      <c r="Q190" s="33">
        <f t="shared" si="74"/>
        <v>0</v>
      </c>
      <c r="R190" s="33">
        <f t="shared" si="80"/>
        <v>0</v>
      </c>
      <c r="S190" s="33">
        <f t="shared" si="81"/>
        <v>0</v>
      </c>
      <c r="T190" s="33">
        <f t="shared" si="67"/>
        <v>0</v>
      </c>
      <c r="U190" s="33">
        <f t="shared" si="75"/>
        <v>0</v>
      </c>
      <c r="V190" s="33">
        <f t="shared" si="68"/>
        <v>0</v>
      </c>
      <c r="W190" s="33">
        <v>0</v>
      </c>
      <c r="X190" s="33">
        <f t="shared" si="69"/>
        <v>0</v>
      </c>
      <c r="Y190" s="38">
        <f t="shared" si="70"/>
        <v>0</v>
      </c>
      <c r="AA190" s="71">
        <v>185</v>
      </c>
      <c r="AB190" s="33">
        <f t="shared" si="71"/>
        <v>0</v>
      </c>
      <c r="AC190" s="305">
        <f t="shared" si="86"/>
        <v>0</v>
      </c>
      <c r="AD190" s="100">
        <f t="shared" si="72"/>
        <v>0</v>
      </c>
      <c r="AE190" s="100">
        <f t="shared" si="73"/>
        <v>0</v>
      </c>
      <c r="AF190" s="194">
        <f t="shared" si="82"/>
        <v>0</v>
      </c>
      <c r="AG190" s="194">
        <f t="shared" si="83"/>
        <v>0</v>
      </c>
      <c r="AH190" s="194">
        <f t="shared" si="84"/>
        <v>0</v>
      </c>
      <c r="AI190" s="199">
        <f t="shared" si="85"/>
        <v>0</v>
      </c>
      <c r="AK190" s="71">
        <v>185</v>
      </c>
      <c r="AL190" s="33"/>
      <c r="AM190" s="33"/>
      <c r="AN190" s="33"/>
      <c r="AO190" s="33"/>
      <c r="AP190" s="33"/>
      <c r="AQ190" s="194"/>
      <c r="AR190" s="194"/>
      <c r="AS190" s="194"/>
      <c r="AT190" s="194"/>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76"/>
        <v>0</v>
      </c>
      <c r="K191" s="33">
        <f t="shared" si="77"/>
        <v>0</v>
      </c>
      <c r="L191" s="33">
        <f t="shared" si="78"/>
        <v>0</v>
      </c>
      <c r="M191" s="33">
        <f t="shared" si="79"/>
        <v>0</v>
      </c>
      <c r="N191" s="33">
        <f t="shared" si="65"/>
        <v>0</v>
      </c>
      <c r="O191" s="34">
        <f t="shared" si="66"/>
        <v>0</v>
      </c>
      <c r="P191" s="55">
        <v>186</v>
      </c>
      <c r="Q191" s="33">
        <f t="shared" si="74"/>
        <v>0</v>
      </c>
      <c r="R191" s="33">
        <f t="shared" si="80"/>
        <v>0</v>
      </c>
      <c r="S191" s="33">
        <f t="shared" si="81"/>
        <v>0</v>
      </c>
      <c r="T191" s="33">
        <f t="shared" si="67"/>
        <v>0</v>
      </c>
      <c r="U191" s="33">
        <f t="shared" si="75"/>
        <v>0</v>
      </c>
      <c r="V191" s="33">
        <f t="shared" si="68"/>
        <v>0</v>
      </c>
      <c r="W191" s="33">
        <v>0</v>
      </c>
      <c r="X191" s="33">
        <f t="shared" si="69"/>
        <v>0</v>
      </c>
      <c r="Y191" s="38">
        <f t="shared" si="70"/>
        <v>0</v>
      </c>
      <c r="AA191" s="71">
        <v>186</v>
      </c>
      <c r="AB191" s="33">
        <f t="shared" si="71"/>
        <v>0</v>
      </c>
      <c r="AC191" s="305">
        <f t="shared" si="86"/>
        <v>0</v>
      </c>
      <c r="AD191" s="100">
        <f t="shared" si="72"/>
        <v>0</v>
      </c>
      <c r="AE191" s="100">
        <f t="shared" si="73"/>
        <v>0</v>
      </c>
      <c r="AF191" s="194">
        <f t="shared" si="82"/>
        <v>0</v>
      </c>
      <c r="AG191" s="194">
        <f t="shared" si="83"/>
        <v>0</v>
      </c>
      <c r="AH191" s="194">
        <f t="shared" si="84"/>
        <v>0</v>
      </c>
      <c r="AI191" s="199">
        <f t="shared" si="85"/>
        <v>0</v>
      </c>
      <c r="AK191" s="71">
        <v>186</v>
      </c>
      <c r="AL191" s="33"/>
      <c r="AM191" s="33"/>
      <c r="AN191" s="33"/>
      <c r="AO191" s="33"/>
      <c r="AP191" s="33"/>
      <c r="AQ191" s="194"/>
      <c r="AR191" s="194"/>
      <c r="AS191" s="194"/>
      <c r="AT191" s="194"/>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76"/>
        <v>0</v>
      </c>
      <c r="K192" s="33">
        <f t="shared" si="77"/>
        <v>0</v>
      </c>
      <c r="L192" s="33">
        <f t="shared" si="78"/>
        <v>0</v>
      </c>
      <c r="M192" s="33">
        <f t="shared" si="79"/>
        <v>0</v>
      </c>
      <c r="N192" s="33">
        <f t="shared" si="65"/>
        <v>0</v>
      </c>
      <c r="O192" s="34">
        <f t="shared" si="66"/>
        <v>0</v>
      </c>
      <c r="P192" s="55">
        <v>187</v>
      </c>
      <c r="Q192" s="33">
        <f t="shared" si="74"/>
        <v>0</v>
      </c>
      <c r="R192" s="33">
        <f t="shared" si="80"/>
        <v>0</v>
      </c>
      <c r="S192" s="33">
        <f t="shared" si="81"/>
        <v>0</v>
      </c>
      <c r="T192" s="33">
        <f t="shared" si="67"/>
        <v>0</v>
      </c>
      <c r="U192" s="33">
        <f t="shared" si="75"/>
        <v>0</v>
      </c>
      <c r="V192" s="33">
        <f t="shared" si="68"/>
        <v>0</v>
      </c>
      <c r="W192" s="33">
        <v>0</v>
      </c>
      <c r="X192" s="33">
        <f t="shared" si="69"/>
        <v>0</v>
      </c>
      <c r="Y192" s="38">
        <f t="shared" si="70"/>
        <v>0</v>
      </c>
      <c r="AA192" s="71">
        <v>187</v>
      </c>
      <c r="AB192" s="33">
        <f t="shared" si="71"/>
        <v>0</v>
      </c>
      <c r="AC192" s="305">
        <f t="shared" si="86"/>
        <v>0</v>
      </c>
      <c r="AD192" s="100">
        <f t="shared" si="72"/>
        <v>0</v>
      </c>
      <c r="AE192" s="100">
        <f t="shared" si="73"/>
        <v>0</v>
      </c>
      <c r="AF192" s="194">
        <f t="shared" si="82"/>
        <v>0</v>
      </c>
      <c r="AG192" s="194">
        <f t="shared" si="83"/>
        <v>0</v>
      </c>
      <c r="AH192" s="194">
        <f t="shared" si="84"/>
        <v>0</v>
      </c>
      <c r="AI192" s="199">
        <f t="shared" si="85"/>
        <v>0</v>
      </c>
      <c r="AK192" s="71">
        <v>187</v>
      </c>
      <c r="AL192" s="33"/>
      <c r="AM192" s="33"/>
      <c r="AN192" s="33"/>
      <c r="AO192" s="33"/>
      <c r="AP192" s="33"/>
      <c r="AQ192" s="194"/>
      <c r="AR192" s="194"/>
      <c r="AS192" s="194"/>
      <c r="AT192" s="194"/>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76"/>
        <v>0</v>
      </c>
      <c r="K193" s="33">
        <f t="shared" si="77"/>
        <v>0</v>
      </c>
      <c r="L193" s="33">
        <f t="shared" si="78"/>
        <v>0</v>
      </c>
      <c r="M193" s="33">
        <f t="shared" si="79"/>
        <v>0</v>
      </c>
      <c r="N193" s="33">
        <f t="shared" si="65"/>
        <v>0</v>
      </c>
      <c r="O193" s="34">
        <f t="shared" si="66"/>
        <v>0</v>
      </c>
      <c r="P193" s="55">
        <v>188</v>
      </c>
      <c r="Q193" s="33">
        <f t="shared" si="74"/>
        <v>0</v>
      </c>
      <c r="R193" s="33">
        <f t="shared" si="80"/>
        <v>0</v>
      </c>
      <c r="S193" s="33">
        <f t="shared" si="81"/>
        <v>0</v>
      </c>
      <c r="T193" s="33">
        <f t="shared" si="67"/>
        <v>0</v>
      </c>
      <c r="U193" s="33">
        <f t="shared" si="75"/>
        <v>0</v>
      </c>
      <c r="V193" s="33">
        <f t="shared" si="68"/>
        <v>0</v>
      </c>
      <c r="W193" s="33">
        <v>0</v>
      </c>
      <c r="X193" s="33">
        <f t="shared" si="69"/>
        <v>0</v>
      </c>
      <c r="Y193" s="38">
        <f t="shared" si="70"/>
        <v>0</v>
      </c>
      <c r="AA193" s="71">
        <v>188</v>
      </c>
      <c r="AB193" s="33">
        <f t="shared" si="71"/>
        <v>0</v>
      </c>
      <c r="AC193" s="305">
        <f t="shared" si="86"/>
        <v>0</v>
      </c>
      <c r="AD193" s="100">
        <f t="shared" si="72"/>
        <v>0</v>
      </c>
      <c r="AE193" s="100">
        <f t="shared" si="73"/>
        <v>0</v>
      </c>
      <c r="AF193" s="194">
        <f t="shared" si="82"/>
        <v>0</v>
      </c>
      <c r="AG193" s="194">
        <f t="shared" si="83"/>
        <v>0</v>
      </c>
      <c r="AH193" s="194">
        <f t="shared" si="84"/>
        <v>0</v>
      </c>
      <c r="AI193" s="199">
        <f t="shared" si="85"/>
        <v>0</v>
      </c>
      <c r="AK193" s="71">
        <v>188</v>
      </c>
      <c r="AL193" s="33"/>
      <c r="AM193" s="33"/>
      <c r="AN193" s="33"/>
      <c r="AO193" s="33"/>
      <c r="AP193" s="33"/>
      <c r="AQ193" s="194"/>
      <c r="AR193" s="194"/>
      <c r="AS193" s="194"/>
      <c r="AT193" s="194"/>
      <c r="AU193" s="33"/>
      <c r="AV193" s="33"/>
      <c r="AW193" s="33"/>
      <c r="AX193" s="33"/>
      <c r="AY193" s="76"/>
    </row>
    <row r="194" spans="3:51" x14ac:dyDescent="0.3">
      <c r="C194" s="168" t="s">
        <v>69</v>
      </c>
      <c r="D194" s="3">
        <v>0.42</v>
      </c>
      <c r="E194" s="188" t="s">
        <v>229</v>
      </c>
      <c r="F194" s="343">
        <f>IF(OR(Tableau145[[#This Row],[Type]]="Feuillus",Tableau145[[#This Row],[Type]]="Peupliers"),1.56,1.3)</f>
        <v>1.3</v>
      </c>
      <c r="I194" s="55">
        <v>189</v>
      </c>
      <c r="J194" s="33">
        <f t="shared" si="76"/>
        <v>0</v>
      </c>
      <c r="K194" s="33">
        <f t="shared" si="77"/>
        <v>0</v>
      </c>
      <c r="L194" s="33">
        <f t="shared" si="78"/>
        <v>0</v>
      </c>
      <c r="M194" s="33">
        <f t="shared" si="79"/>
        <v>0</v>
      </c>
      <c r="N194" s="33">
        <f t="shared" si="65"/>
        <v>0</v>
      </c>
      <c r="O194" s="34">
        <f t="shared" si="66"/>
        <v>0</v>
      </c>
      <c r="P194" s="55">
        <v>189</v>
      </c>
      <c r="Q194" s="33">
        <f t="shared" si="74"/>
        <v>0</v>
      </c>
      <c r="R194" s="33">
        <f t="shared" si="80"/>
        <v>0</v>
      </c>
      <c r="S194" s="33">
        <f t="shared" si="81"/>
        <v>0</v>
      </c>
      <c r="T194" s="33">
        <f t="shared" si="67"/>
        <v>0</v>
      </c>
      <c r="U194" s="33">
        <f t="shared" si="75"/>
        <v>0</v>
      </c>
      <c r="V194" s="33">
        <f t="shared" si="68"/>
        <v>0</v>
      </c>
      <c r="W194" s="33">
        <v>0</v>
      </c>
      <c r="X194" s="33">
        <f t="shared" si="69"/>
        <v>0</v>
      </c>
      <c r="Y194" s="38">
        <f t="shared" si="70"/>
        <v>0</v>
      </c>
      <c r="AA194" s="71">
        <v>189</v>
      </c>
      <c r="AB194" s="33">
        <f t="shared" si="71"/>
        <v>0</v>
      </c>
      <c r="AC194" s="305">
        <f t="shared" si="86"/>
        <v>0</v>
      </c>
      <c r="AD194" s="100">
        <f t="shared" si="72"/>
        <v>0</v>
      </c>
      <c r="AE194" s="100">
        <f t="shared" si="73"/>
        <v>0</v>
      </c>
      <c r="AF194" s="194">
        <f t="shared" si="82"/>
        <v>0</v>
      </c>
      <c r="AG194" s="194">
        <f t="shared" si="83"/>
        <v>0</v>
      </c>
      <c r="AH194" s="194">
        <f t="shared" si="84"/>
        <v>0</v>
      </c>
      <c r="AI194" s="199">
        <f t="shared" si="85"/>
        <v>0</v>
      </c>
      <c r="AK194" s="71">
        <v>189</v>
      </c>
      <c r="AL194" s="33"/>
      <c r="AM194" s="33"/>
      <c r="AN194" s="33"/>
      <c r="AO194" s="33"/>
      <c r="AP194" s="33"/>
      <c r="AQ194" s="194"/>
      <c r="AR194" s="194"/>
      <c r="AS194" s="194"/>
      <c r="AT194" s="194"/>
      <c r="AU194" s="33"/>
      <c r="AV194" s="33"/>
      <c r="AW194" s="33"/>
      <c r="AX194" s="33"/>
      <c r="AY194" s="76"/>
    </row>
    <row r="195" spans="3:51" x14ac:dyDescent="0.3">
      <c r="C195" s="168" t="s">
        <v>70</v>
      </c>
      <c r="D195" s="3">
        <v>0.56999999999999995</v>
      </c>
      <c r="E195" s="188" t="s">
        <v>228</v>
      </c>
      <c r="F195" s="343">
        <f>IF(OR(Tableau145[[#This Row],[Type]]="Feuillus",Tableau145[[#This Row],[Type]]="Peupliers"),1.56,1.3)</f>
        <v>1.56</v>
      </c>
      <c r="I195" s="55">
        <v>190</v>
      </c>
      <c r="J195" s="33">
        <f t="shared" si="76"/>
        <v>0</v>
      </c>
      <c r="K195" s="33">
        <f t="shared" si="77"/>
        <v>0</v>
      </c>
      <c r="L195" s="33">
        <f t="shared" si="78"/>
        <v>0</v>
      </c>
      <c r="M195" s="33">
        <f t="shared" si="79"/>
        <v>0</v>
      </c>
      <c r="N195" s="33">
        <f t="shared" si="65"/>
        <v>0</v>
      </c>
      <c r="O195" s="34">
        <f t="shared" si="66"/>
        <v>0</v>
      </c>
      <c r="P195" s="55">
        <v>190</v>
      </c>
      <c r="Q195" s="33">
        <f t="shared" si="74"/>
        <v>0</v>
      </c>
      <c r="R195" s="33">
        <f t="shared" si="80"/>
        <v>0</v>
      </c>
      <c r="S195" s="33">
        <f t="shared" si="81"/>
        <v>0</v>
      </c>
      <c r="T195" s="33">
        <f t="shared" si="67"/>
        <v>0</v>
      </c>
      <c r="U195" s="33">
        <f t="shared" si="75"/>
        <v>0</v>
      </c>
      <c r="V195" s="33">
        <f t="shared" si="68"/>
        <v>0</v>
      </c>
      <c r="W195" s="33">
        <v>0</v>
      </c>
      <c r="X195" s="33">
        <f t="shared" si="69"/>
        <v>0</v>
      </c>
      <c r="Y195" s="38">
        <f t="shared" si="70"/>
        <v>0</v>
      </c>
      <c r="AA195" s="71">
        <v>190</v>
      </c>
      <c r="AB195" s="33">
        <f t="shared" si="71"/>
        <v>0</v>
      </c>
      <c r="AC195" s="305">
        <f t="shared" si="86"/>
        <v>0</v>
      </c>
      <c r="AD195" s="100">
        <f t="shared" si="72"/>
        <v>0</v>
      </c>
      <c r="AE195" s="100">
        <f t="shared" si="73"/>
        <v>0</v>
      </c>
      <c r="AF195" s="194">
        <f t="shared" si="82"/>
        <v>0</v>
      </c>
      <c r="AG195" s="194">
        <f t="shared" si="83"/>
        <v>0</v>
      </c>
      <c r="AH195" s="194">
        <f t="shared" si="84"/>
        <v>0</v>
      </c>
      <c r="AI195" s="199">
        <f t="shared" si="85"/>
        <v>0</v>
      </c>
      <c r="AK195" s="71">
        <v>190</v>
      </c>
      <c r="AL195" s="33"/>
      <c r="AM195" s="33"/>
      <c r="AN195" s="33"/>
      <c r="AO195" s="33"/>
      <c r="AP195" s="33"/>
      <c r="AQ195" s="194"/>
      <c r="AR195" s="194"/>
      <c r="AS195" s="194"/>
      <c r="AT195" s="194"/>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76"/>
        <v>0</v>
      </c>
      <c r="K196" s="33">
        <f t="shared" si="77"/>
        <v>0</v>
      </c>
      <c r="L196" s="33">
        <f t="shared" si="78"/>
        <v>0</v>
      </c>
      <c r="M196" s="33">
        <f t="shared" si="79"/>
        <v>0</v>
      </c>
      <c r="N196" s="33">
        <f t="shared" si="65"/>
        <v>0</v>
      </c>
      <c r="O196" s="34">
        <f t="shared" si="66"/>
        <v>0</v>
      </c>
      <c r="P196" s="55">
        <v>191</v>
      </c>
      <c r="Q196" s="33">
        <f t="shared" si="74"/>
        <v>0</v>
      </c>
      <c r="R196" s="33">
        <f t="shared" si="80"/>
        <v>0</v>
      </c>
      <c r="S196" s="33">
        <f t="shared" si="81"/>
        <v>0</v>
      </c>
      <c r="T196" s="33">
        <f t="shared" si="67"/>
        <v>0</v>
      </c>
      <c r="U196" s="33">
        <f t="shared" si="75"/>
        <v>0</v>
      </c>
      <c r="V196" s="33">
        <f t="shared" si="68"/>
        <v>0</v>
      </c>
      <c r="W196" s="33">
        <v>0</v>
      </c>
      <c r="X196" s="33">
        <f t="shared" si="69"/>
        <v>0</v>
      </c>
      <c r="Y196" s="38">
        <f t="shared" si="70"/>
        <v>0</v>
      </c>
      <c r="AA196" s="71">
        <v>191</v>
      </c>
      <c r="AB196" s="33">
        <f t="shared" si="71"/>
        <v>0</v>
      </c>
      <c r="AC196" s="305">
        <f t="shared" si="86"/>
        <v>0</v>
      </c>
      <c r="AD196" s="100">
        <f t="shared" si="72"/>
        <v>0</v>
      </c>
      <c r="AE196" s="100">
        <f t="shared" si="73"/>
        <v>0</v>
      </c>
      <c r="AF196" s="194">
        <f t="shared" si="82"/>
        <v>0</v>
      </c>
      <c r="AG196" s="194">
        <f t="shared" si="83"/>
        <v>0</v>
      </c>
      <c r="AH196" s="194">
        <f t="shared" si="84"/>
        <v>0</v>
      </c>
      <c r="AI196" s="199">
        <f t="shared" si="85"/>
        <v>0</v>
      </c>
      <c r="AK196" s="71">
        <v>191</v>
      </c>
      <c r="AL196" s="33"/>
      <c r="AM196" s="33"/>
      <c r="AN196" s="33"/>
      <c r="AO196" s="33"/>
      <c r="AP196" s="33"/>
      <c r="AQ196" s="194"/>
      <c r="AR196" s="194"/>
      <c r="AS196" s="194"/>
      <c r="AT196" s="194"/>
      <c r="AU196" s="33"/>
      <c r="AV196" s="33"/>
      <c r="AW196" s="33"/>
      <c r="AX196" s="33"/>
      <c r="AY196" s="76"/>
    </row>
    <row r="197" spans="3:51" x14ac:dyDescent="0.3">
      <c r="E197" s="24"/>
      <c r="I197" s="55">
        <v>192</v>
      </c>
      <c r="J197" s="33">
        <f t="shared" si="76"/>
        <v>0</v>
      </c>
      <c r="K197" s="33">
        <f t="shared" si="77"/>
        <v>0</v>
      </c>
      <c r="L197" s="33">
        <f t="shared" si="78"/>
        <v>0</v>
      </c>
      <c r="M197" s="33">
        <f t="shared" si="79"/>
        <v>0</v>
      </c>
      <c r="N197" s="33">
        <f t="shared" ref="N197:N204" si="87">IF(P198&lt;=$F$18,0,)</f>
        <v>0</v>
      </c>
      <c r="O197" s="34">
        <f t="shared" ref="O197:O205" si="88">((J197+K197)*0.475+L197+M197+N197)*44/12</f>
        <v>0</v>
      </c>
      <c r="P197" s="55">
        <v>192</v>
      </c>
      <c r="Q197" s="33">
        <f t="shared" si="74"/>
        <v>0</v>
      </c>
      <c r="R197" s="33">
        <f t="shared" si="80"/>
        <v>0</v>
      </c>
      <c r="S197" s="33">
        <f t="shared" si="81"/>
        <v>0</v>
      </c>
      <c r="T197" s="33">
        <f t="shared" ref="T197:T205" si="89">IF(S197=0,0,EXP(-1.0587+0.8836*LN(S197)+0.284))</f>
        <v>0</v>
      </c>
      <c r="U197" s="33">
        <f t="shared" si="75"/>
        <v>0</v>
      </c>
      <c r="V197" s="33">
        <f t="shared" ref="V197:V205" si="90">IF(P197&lt;=$F$18,IF(P197&lt;=30,P197*($F$16-$F$6)/30,$F$16-$F$6),)</f>
        <v>0</v>
      </c>
      <c r="W197" s="33">
        <v>0</v>
      </c>
      <c r="X197" s="33">
        <f t="shared" ref="X197:X205" si="91">((S197+T197)*0.475+U197+V197+W197)*44/12</f>
        <v>0</v>
      </c>
      <c r="Y197" s="38">
        <f t="shared" ref="Y197:Y205" si="92">IF(P197&lt;=$F$18,X197-O197,)</f>
        <v>0</v>
      </c>
      <c r="AA197" s="71">
        <v>192</v>
      </c>
      <c r="AB197" s="33">
        <f t="shared" ref="AB197:AB205" si="93">IF(AA197&lt;=$F$18,IFERROR(VLOOKUP($AA197,$B$82:$G$94,2,FALSE),0),)</f>
        <v>0</v>
      </c>
      <c r="AC197" s="305">
        <f t="shared" si="86"/>
        <v>0</v>
      </c>
      <c r="AD197" s="100">
        <f t="shared" ref="AD197:AD205" si="94">IF(AA197&lt;=$F$18,IFERROR(VLOOKUP($AA197,$B$82:$G$94,4,FALSE),0),)</f>
        <v>0</v>
      </c>
      <c r="AE197" s="100">
        <f t="shared" ref="AE197:AE205" si="95">IF(AA197&lt;=$F$18,IFERROR(VLOOKUP($AA197,$B$82:$G$94,5,FALSE),0),)</f>
        <v>0</v>
      </c>
      <c r="AF197" s="194">
        <f t="shared" si="82"/>
        <v>0</v>
      </c>
      <c r="AG197" s="194">
        <f t="shared" si="83"/>
        <v>0</v>
      </c>
      <c r="AH197" s="194">
        <f t="shared" si="84"/>
        <v>0</v>
      </c>
      <c r="AI197" s="199">
        <f t="shared" si="85"/>
        <v>0</v>
      </c>
      <c r="AK197" s="71">
        <v>192</v>
      </c>
      <c r="AL197" s="33"/>
      <c r="AM197" s="33"/>
      <c r="AN197" s="33"/>
      <c r="AO197" s="33"/>
      <c r="AP197" s="33"/>
      <c r="AQ197" s="194"/>
      <c r="AR197" s="194"/>
      <c r="AS197" s="194"/>
      <c r="AT197" s="194"/>
      <c r="AU197" s="33"/>
      <c r="AV197" s="33"/>
      <c r="AW197" s="33"/>
      <c r="AX197" s="33"/>
      <c r="AY197" s="76"/>
    </row>
    <row r="198" spans="3:51" x14ac:dyDescent="0.3">
      <c r="E198" s="24"/>
      <c r="I198" s="55">
        <v>193</v>
      </c>
      <c r="J198" s="33">
        <f t="shared" si="76"/>
        <v>0</v>
      </c>
      <c r="K198" s="33">
        <f t="shared" si="77"/>
        <v>0</v>
      </c>
      <c r="L198" s="33">
        <f t="shared" si="78"/>
        <v>0</v>
      </c>
      <c r="M198" s="33">
        <f t="shared" si="79"/>
        <v>0</v>
      </c>
      <c r="N198" s="33">
        <f t="shared" si="87"/>
        <v>0</v>
      </c>
      <c r="O198" s="34">
        <f t="shared" si="88"/>
        <v>0</v>
      </c>
      <c r="P198" s="55">
        <v>193</v>
      </c>
      <c r="Q198" s="33">
        <f t="shared" ref="Q198:Q205" si="96">IF(P198&lt;=$F$18,LOOKUP(P198-1,$B$25:$B$78,$G$25:$G$78),)</f>
        <v>0</v>
      </c>
      <c r="R198" s="33">
        <f t="shared" si="80"/>
        <v>0</v>
      </c>
      <c r="S198" s="33">
        <f t="shared" si="81"/>
        <v>0</v>
      </c>
      <c r="T198" s="33">
        <f t="shared" si="89"/>
        <v>0</v>
      </c>
      <c r="U198" s="33">
        <f t="shared" ref="U198:U205" si="97">IF(P198&lt;=$F$18,$F$5+($F$15-$F$5)*(1-EXP(-0.0175*P198)),)</f>
        <v>0</v>
      </c>
      <c r="V198" s="33">
        <f t="shared" si="90"/>
        <v>0</v>
      </c>
      <c r="W198" s="33">
        <v>0</v>
      </c>
      <c r="X198" s="33">
        <f t="shared" si="91"/>
        <v>0</v>
      </c>
      <c r="Y198" s="38">
        <f t="shared" si="92"/>
        <v>0</v>
      </c>
      <c r="AA198" s="71">
        <v>193</v>
      </c>
      <c r="AB198" s="33">
        <f t="shared" si="93"/>
        <v>0</v>
      </c>
      <c r="AC198" s="305">
        <f t="shared" si="86"/>
        <v>0</v>
      </c>
      <c r="AD198" s="100">
        <f t="shared" si="94"/>
        <v>0</v>
      </c>
      <c r="AE198" s="100">
        <f t="shared" si="95"/>
        <v>0</v>
      </c>
      <c r="AF198" s="194">
        <f t="shared" si="82"/>
        <v>0</v>
      </c>
      <c r="AG198" s="194">
        <f t="shared" si="83"/>
        <v>0</v>
      </c>
      <c r="AH198" s="194">
        <f t="shared" si="84"/>
        <v>0</v>
      </c>
      <c r="AI198" s="199">
        <f t="shared" si="85"/>
        <v>0</v>
      </c>
      <c r="AK198" s="71">
        <v>193</v>
      </c>
      <c r="AL198" s="33"/>
      <c r="AM198" s="33"/>
      <c r="AN198" s="33"/>
      <c r="AO198" s="33"/>
      <c r="AP198" s="33"/>
      <c r="AQ198" s="194"/>
      <c r="AR198" s="194"/>
      <c r="AS198" s="194"/>
      <c r="AT198" s="194"/>
      <c r="AU198" s="33"/>
      <c r="AV198" s="33"/>
      <c r="AW198" s="33"/>
      <c r="AX198" s="33"/>
      <c r="AY198" s="76"/>
    </row>
    <row r="199" spans="3:51" x14ac:dyDescent="0.3">
      <c r="E199" s="24"/>
      <c r="I199" s="55">
        <v>194</v>
      </c>
      <c r="J199" s="33">
        <f t="shared" ref="J199:J205" si="98">IF($I199&lt;=$F$10,$F$11*$F$13+J198,)</f>
        <v>0</v>
      </c>
      <c r="K199" s="33">
        <f t="shared" ref="K199:K205" si="99">IF(J199=0,0,EXP(-1.0587+0.8836*LN(J199)+0.284))</f>
        <v>0</v>
      </c>
      <c r="L199" s="33">
        <f t="shared" ref="L199:L205" si="100">IF(I199&lt;=$F$10,$F$5+($F$8-$F$5)*(1-EXP(-0.0175*I199)),)</f>
        <v>0</v>
      </c>
      <c r="M199" s="33">
        <f t="shared" ref="M199:M205" si="101">IF(I199&lt;=$F$10,IF(I199&lt;=30,I199*($F$9-$F$6)/30,$F$9-$F$6),)</f>
        <v>0</v>
      </c>
      <c r="N199" s="33">
        <f t="shared" si="87"/>
        <v>0</v>
      </c>
      <c r="O199" s="34">
        <f t="shared" si="88"/>
        <v>0</v>
      </c>
      <c r="P199" s="55">
        <v>194</v>
      </c>
      <c r="Q199" s="33">
        <f t="shared" si="96"/>
        <v>0</v>
      </c>
      <c r="R199" s="33">
        <f t="shared" ref="R199:R205" si="102">IF(P199&lt;=$F$18,Q199+R198,)</f>
        <v>0</v>
      </c>
      <c r="S199" s="33">
        <f t="shared" ref="S199:S205" si="103">$F$19*R199</f>
        <v>0</v>
      </c>
      <c r="T199" s="33">
        <f t="shared" si="89"/>
        <v>0</v>
      </c>
      <c r="U199" s="33">
        <f t="shared" si="97"/>
        <v>0</v>
      </c>
      <c r="V199" s="33">
        <f t="shared" si="90"/>
        <v>0</v>
      </c>
      <c r="W199" s="33">
        <v>0</v>
      </c>
      <c r="X199" s="33">
        <f t="shared" si="91"/>
        <v>0</v>
      </c>
      <c r="Y199" s="38">
        <f t="shared" si="92"/>
        <v>0</v>
      </c>
      <c r="AA199" s="71">
        <v>194</v>
      </c>
      <c r="AB199" s="33">
        <f t="shared" si="93"/>
        <v>0</v>
      </c>
      <c r="AC199" s="305">
        <f t="shared" si="86"/>
        <v>0</v>
      </c>
      <c r="AD199" s="100">
        <f t="shared" si="94"/>
        <v>0</v>
      </c>
      <c r="AE199" s="100">
        <f t="shared" si="95"/>
        <v>0</v>
      </c>
      <c r="AF199" s="194">
        <f t="shared" si="82"/>
        <v>0</v>
      </c>
      <c r="AG199" s="194">
        <f t="shared" si="83"/>
        <v>0</v>
      </c>
      <c r="AH199" s="194">
        <f t="shared" si="84"/>
        <v>0</v>
      </c>
      <c r="AI199" s="199">
        <f t="shared" si="85"/>
        <v>0</v>
      </c>
      <c r="AK199" s="71">
        <v>194</v>
      </c>
      <c r="AL199" s="33"/>
      <c r="AM199" s="33"/>
      <c r="AN199" s="33"/>
      <c r="AO199" s="33"/>
      <c r="AP199" s="33"/>
      <c r="AQ199" s="194"/>
      <c r="AR199" s="194"/>
      <c r="AS199" s="194"/>
      <c r="AT199" s="194"/>
      <c r="AU199" s="33"/>
      <c r="AV199" s="33"/>
      <c r="AW199" s="33"/>
      <c r="AX199" s="33"/>
      <c r="AY199" s="76"/>
    </row>
    <row r="200" spans="3:51" x14ac:dyDescent="0.3">
      <c r="E200" s="24"/>
      <c r="I200" s="55">
        <v>195</v>
      </c>
      <c r="J200" s="33">
        <f t="shared" si="98"/>
        <v>0</v>
      </c>
      <c r="K200" s="33">
        <f t="shared" si="99"/>
        <v>0</v>
      </c>
      <c r="L200" s="33">
        <f t="shared" si="100"/>
        <v>0</v>
      </c>
      <c r="M200" s="33">
        <f t="shared" si="101"/>
        <v>0</v>
      </c>
      <c r="N200" s="33">
        <f t="shared" si="87"/>
        <v>0</v>
      </c>
      <c r="O200" s="34">
        <f t="shared" si="88"/>
        <v>0</v>
      </c>
      <c r="P200" s="55">
        <v>195</v>
      </c>
      <c r="Q200" s="33">
        <f t="shared" si="96"/>
        <v>0</v>
      </c>
      <c r="R200" s="33">
        <f t="shared" si="102"/>
        <v>0</v>
      </c>
      <c r="S200" s="33">
        <f t="shared" si="103"/>
        <v>0</v>
      </c>
      <c r="T200" s="33">
        <f t="shared" si="89"/>
        <v>0</v>
      </c>
      <c r="U200" s="33">
        <f t="shared" si="97"/>
        <v>0</v>
      </c>
      <c r="V200" s="33">
        <f t="shared" si="90"/>
        <v>0</v>
      </c>
      <c r="W200" s="33">
        <v>0</v>
      </c>
      <c r="X200" s="33">
        <f t="shared" si="91"/>
        <v>0</v>
      </c>
      <c r="Y200" s="38">
        <f t="shared" si="92"/>
        <v>0</v>
      </c>
      <c r="AA200" s="71">
        <v>195</v>
      </c>
      <c r="AB200" s="33">
        <f t="shared" si="93"/>
        <v>0</v>
      </c>
      <c r="AC200" s="305">
        <f t="shared" si="86"/>
        <v>0</v>
      </c>
      <c r="AD200" s="100">
        <f t="shared" si="94"/>
        <v>0</v>
      </c>
      <c r="AE200" s="100">
        <f t="shared" si="95"/>
        <v>0</v>
      </c>
      <c r="AF200" s="194">
        <f t="shared" si="82"/>
        <v>0</v>
      </c>
      <c r="AG200" s="194">
        <f t="shared" si="83"/>
        <v>0</v>
      </c>
      <c r="AH200" s="194">
        <f t="shared" si="84"/>
        <v>0</v>
      </c>
      <c r="AI200" s="199">
        <f t="shared" si="85"/>
        <v>0</v>
      </c>
      <c r="AK200" s="71">
        <v>195</v>
      </c>
      <c r="AL200" s="33"/>
      <c r="AM200" s="33"/>
      <c r="AN200" s="33"/>
      <c r="AO200" s="33"/>
      <c r="AP200" s="33"/>
      <c r="AQ200" s="194"/>
      <c r="AR200" s="194"/>
      <c r="AS200" s="194"/>
      <c r="AT200" s="194"/>
      <c r="AU200" s="33"/>
      <c r="AV200" s="33"/>
      <c r="AW200" s="33"/>
      <c r="AX200" s="33"/>
      <c r="AY200" s="76"/>
    </row>
    <row r="201" spans="3:51" x14ac:dyDescent="0.3">
      <c r="E201" s="24"/>
      <c r="I201" s="55">
        <v>196</v>
      </c>
      <c r="J201" s="33">
        <f t="shared" si="98"/>
        <v>0</v>
      </c>
      <c r="K201" s="33">
        <f t="shared" si="99"/>
        <v>0</v>
      </c>
      <c r="L201" s="33">
        <f t="shared" si="100"/>
        <v>0</v>
      </c>
      <c r="M201" s="33">
        <f t="shared" si="101"/>
        <v>0</v>
      </c>
      <c r="N201" s="33">
        <f t="shared" si="87"/>
        <v>0</v>
      </c>
      <c r="O201" s="34">
        <f t="shared" si="88"/>
        <v>0</v>
      </c>
      <c r="P201" s="55">
        <v>196</v>
      </c>
      <c r="Q201" s="33">
        <f t="shared" si="96"/>
        <v>0</v>
      </c>
      <c r="R201" s="33">
        <f t="shared" si="102"/>
        <v>0</v>
      </c>
      <c r="S201" s="33">
        <f t="shared" si="103"/>
        <v>0</v>
      </c>
      <c r="T201" s="33">
        <f t="shared" si="89"/>
        <v>0</v>
      </c>
      <c r="U201" s="33">
        <f t="shared" si="97"/>
        <v>0</v>
      </c>
      <c r="V201" s="33">
        <f t="shared" si="90"/>
        <v>0</v>
      </c>
      <c r="W201" s="33">
        <v>0</v>
      </c>
      <c r="X201" s="33">
        <f t="shared" si="91"/>
        <v>0</v>
      </c>
      <c r="Y201" s="38">
        <f t="shared" si="92"/>
        <v>0</v>
      </c>
      <c r="AA201" s="71">
        <v>196</v>
      </c>
      <c r="AB201" s="33">
        <f t="shared" si="93"/>
        <v>0</v>
      </c>
      <c r="AC201" s="305">
        <f t="shared" si="86"/>
        <v>0</v>
      </c>
      <c r="AD201" s="100">
        <f t="shared" si="94"/>
        <v>0</v>
      </c>
      <c r="AE201" s="100">
        <f t="shared" si="95"/>
        <v>0</v>
      </c>
      <c r="AF201" s="194">
        <f t="shared" si="82"/>
        <v>0</v>
      </c>
      <c r="AG201" s="194">
        <f t="shared" si="83"/>
        <v>0</v>
      </c>
      <c r="AH201" s="194">
        <f t="shared" si="84"/>
        <v>0</v>
      </c>
      <c r="AI201" s="199">
        <f t="shared" si="85"/>
        <v>0</v>
      </c>
      <c r="AK201" s="71">
        <v>196</v>
      </c>
      <c r="AL201" s="33"/>
      <c r="AM201" s="33"/>
      <c r="AN201" s="33"/>
      <c r="AO201" s="33"/>
      <c r="AP201" s="33"/>
      <c r="AQ201" s="194"/>
      <c r="AR201" s="194"/>
      <c r="AS201" s="194"/>
      <c r="AT201" s="194"/>
      <c r="AU201" s="33"/>
      <c r="AV201" s="33"/>
      <c r="AW201" s="33"/>
      <c r="AX201" s="33"/>
      <c r="AY201" s="76"/>
    </row>
    <row r="202" spans="3:51" x14ac:dyDescent="0.3">
      <c r="E202" s="24"/>
      <c r="I202" s="55">
        <v>197</v>
      </c>
      <c r="J202" s="33">
        <f t="shared" si="98"/>
        <v>0</v>
      </c>
      <c r="K202" s="33">
        <f t="shared" si="99"/>
        <v>0</v>
      </c>
      <c r="L202" s="33">
        <f t="shared" si="100"/>
        <v>0</v>
      </c>
      <c r="M202" s="33">
        <f t="shared" si="101"/>
        <v>0</v>
      </c>
      <c r="N202" s="33">
        <f t="shared" si="87"/>
        <v>0</v>
      </c>
      <c r="O202" s="34">
        <f t="shared" si="88"/>
        <v>0</v>
      </c>
      <c r="P202" s="55">
        <v>197</v>
      </c>
      <c r="Q202" s="33">
        <f t="shared" si="96"/>
        <v>0</v>
      </c>
      <c r="R202" s="33">
        <f t="shared" si="102"/>
        <v>0</v>
      </c>
      <c r="S202" s="33">
        <f t="shared" si="103"/>
        <v>0</v>
      </c>
      <c r="T202" s="33">
        <f t="shared" si="89"/>
        <v>0</v>
      </c>
      <c r="U202" s="33">
        <f t="shared" si="97"/>
        <v>0</v>
      </c>
      <c r="V202" s="33">
        <f t="shared" si="90"/>
        <v>0</v>
      </c>
      <c r="W202" s="33">
        <v>0</v>
      </c>
      <c r="X202" s="33">
        <f t="shared" si="91"/>
        <v>0</v>
      </c>
      <c r="Y202" s="38">
        <f t="shared" si="92"/>
        <v>0</v>
      </c>
      <c r="AA202" s="71">
        <v>197</v>
      </c>
      <c r="AB202" s="33">
        <f t="shared" si="93"/>
        <v>0</v>
      </c>
      <c r="AC202" s="305">
        <f t="shared" si="86"/>
        <v>0</v>
      </c>
      <c r="AD202" s="100">
        <f t="shared" si="94"/>
        <v>0</v>
      </c>
      <c r="AE202" s="100">
        <f t="shared" si="95"/>
        <v>0</v>
      </c>
      <c r="AF202" s="194">
        <f t="shared" si="82"/>
        <v>0</v>
      </c>
      <c r="AG202" s="194">
        <f t="shared" si="83"/>
        <v>0</v>
      </c>
      <c r="AH202" s="194">
        <f t="shared" si="84"/>
        <v>0</v>
      </c>
      <c r="AI202" s="199">
        <f t="shared" si="85"/>
        <v>0</v>
      </c>
      <c r="AK202" s="71">
        <v>197</v>
      </c>
      <c r="AL202" s="33"/>
      <c r="AM202" s="33"/>
      <c r="AN202" s="33"/>
      <c r="AO202" s="33"/>
      <c r="AP202" s="33"/>
      <c r="AQ202" s="194"/>
      <c r="AR202" s="194"/>
      <c r="AS202" s="194"/>
      <c r="AT202" s="194"/>
      <c r="AU202" s="33"/>
      <c r="AV202" s="33"/>
      <c r="AW202" s="33"/>
      <c r="AX202" s="33"/>
      <c r="AY202" s="76"/>
    </row>
    <row r="203" spans="3:51" x14ac:dyDescent="0.3">
      <c r="E203" s="24"/>
      <c r="I203" s="55">
        <v>198</v>
      </c>
      <c r="J203" s="33">
        <f t="shared" si="98"/>
        <v>0</v>
      </c>
      <c r="K203" s="33">
        <f t="shared" si="99"/>
        <v>0</v>
      </c>
      <c r="L203" s="33">
        <f t="shared" si="100"/>
        <v>0</v>
      </c>
      <c r="M203" s="33">
        <f t="shared" si="101"/>
        <v>0</v>
      </c>
      <c r="N203" s="33">
        <f t="shared" si="87"/>
        <v>0</v>
      </c>
      <c r="O203" s="34">
        <f t="shared" si="88"/>
        <v>0</v>
      </c>
      <c r="P203" s="55">
        <v>198</v>
      </c>
      <c r="Q203" s="33">
        <f t="shared" si="96"/>
        <v>0</v>
      </c>
      <c r="R203" s="33">
        <f t="shared" si="102"/>
        <v>0</v>
      </c>
      <c r="S203" s="33">
        <f t="shared" si="103"/>
        <v>0</v>
      </c>
      <c r="T203" s="33">
        <f t="shared" si="89"/>
        <v>0</v>
      </c>
      <c r="U203" s="33">
        <f t="shared" si="97"/>
        <v>0</v>
      </c>
      <c r="V203" s="33">
        <f t="shared" si="90"/>
        <v>0</v>
      </c>
      <c r="W203" s="33">
        <v>0</v>
      </c>
      <c r="X203" s="33">
        <f t="shared" si="91"/>
        <v>0</v>
      </c>
      <c r="Y203" s="38">
        <f t="shared" si="92"/>
        <v>0</v>
      </c>
      <c r="AA203" s="71">
        <v>198</v>
      </c>
      <c r="AB203" s="33">
        <f t="shared" si="93"/>
        <v>0</v>
      </c>
      <c r="AC203" s="305">
        <f t="shared" si="86"/>
        <v>0</v>
      </c>
      <c r="AD203" s="100">
        <f t="shared" si="94"/>
        <v>0</v>
      </c>
      <c r="AE203" s="100">
        <f t="shared" si="95"/>
        <v>0</v>
      </c>
      <c r="AF203" s="194">
        <f t="shared" si="82"/>
        <v>0</v>
      </c>
      <c r="AG203" s="194">
        <f t="shared" si="83"/>
        <v>0</v>
      </c>
      <c r="AH203" s="194">
        <f t="shared" si="84"/>
        <v>0</v>
      </c>
      <c r="AI203" s="199">
        <f t="shared" si="85"/>
        <v>0</v>
      </c>
      <c r="AK203" s="71">
        <v>198</v>
      </c>
      <c r="AL203" s="33"/>
      <c r="AM203" s="33"/>
      <c r="AN203" s="33"/>
      <c r="AO203" s="33"/>
      <c r="AP203" s="33"/>
      <c r="AQ203" s="194"/>
      <c r="AR203" s="194"/>
      <c r="AS203" s="194"/>
      <c r="AT203" s="194"/>
      <c r="AU203" s="33"/>
      <c r="AV203" s="33"/>
      <c r="AW203" s="33"/>
      <c r="AX203" s="33"/>
      <c r="AY203" s="76"/>
    </row>
    <row r="204" spans="3:51" x14ac:dyDescent="0.3">
      <c r="E204" s="24"/>
      <c r="I204" s="55">
        <v>199</v>
      </c>
      <c r="J204" s="33">
        <f t="shared" si="98"/>
        <v>0</v>
      </c>
      <c r="K204" s="33">
        <f t="shared" si="99"/>
        <v>0</v>
      </c>
      <c r="L204" s="33">
        <f t="shared" si="100"/>
        <v>0</v>
      </c>
      <c r="M204" s="33">
        <f t="shared" si="101"/>
        <v>0</v>
      </c>
      <c r="N204" s="33">
        <f t="shared" si="87"/>
        <v>0</v>
      </c>
      <c r="O204" s="34">
        <f t="shared" si="88"/>
        <v>0</v>
      </c>
      <c r="P204" s="55">
        <v>199</v>
      </c>
      <c r="Q204" s="33">
        <f t="shared" si="96"/>
        <v>0</v>
      </c>
      <c r="R204" s="33">
        <f t="shared" si="102"/>
        <v>0</v>
      </c>
      <c r="S204" s="33">
        <f t="shared" si="103"/>
        <v>0</v>
      </c>
      <c r="T204" s="33">
        <f t="shared" si="89"/>
        <v>0</v>
      </c>
      <c r="U204" s="33">
        <f t="shared" si="97"/>
        <v>0</v>
      </c>
      <c r="V204" s="33">
        <f t="shared" si="90"/>
        <v>0</v>
      </c>
      <c r="W204" s="33">
        <v>0</v>
      </c>
      <c r="X204" s="33">
        <f t="shared" si="91"/>
        <v>0</v>
      </c>
      <c r="Y204" s="38">
        <f t="shared" si="92"/>
        <v>0</v>
      </c>
      <c r="AA204" s="71">
        <v>199</v>
      </c>
      <c r="AB204" s="33">
        <f t="shared" si="93"/>
        <v>0</v>
      </c>
      <c r="AC204" s="305">
        <f t="shared" si="86"/>
        <v>0</v>
      </c>
      <c r="AD204" s="100">
        <f t="shared" si="94"/>
        <v>0</v>
      </c>
      <c r="AE204" s="100">
        <f t="shared" si="95"/>
        <v>0</v>
      </c>
      <c r="AF204" s="194">
        <f t="shared" si="82"/>
        <v>0</v>
      </c>
      <c r="AG204" s="194">
        <f t="shared" si="83"/>
        <v>0</v>
      </c>
      <c r="AH204" s="194">
        <f t="shared" si="84"/>
        <v>0</v>
      </c>
      <c r="AI204" s="199">
        <f t="shared" si="85"/>
        <v>0</v>
      </c>
      <c r="AK204" s="71">
        <v>199</v>
      </c>
      <c r="AL204" s="33"/>
      <c r="AM204" s="33"/>
      <c r="AN204" s="33"/>
      <c r="AO204" s="33"/>
      <c r="AP204" s="33"/>
      <c r="AQ204" s="194"/>
      <c r="AR204" s="194"/>
      <c r="AS204" s="194"/>
      <c r="AT204" s="194"/>
      <c r="AU204" s="33"/>
      <c r="AV204" s="33"/>
      <c r="AW204" s="33"/>
      <c r="AX204" s="33"/>
      <c r="AY204" s="76"/>
    </row>
    <row r="205" spans="3:51" x14ac:dyDescent="0.3">
      <c r="E205" s="24"/>
      <c r="I205" s="56">
        <v>200</v>
      </c>
      <c r="J205" s="33">
        <f t="shared" si="98"/>
        <v>0</v>
      </c>
      <c r="K205" s="33">
        <f t="shared" si="99"/>
        <v>0</v>
      </c>
      <c r="L205" s="33">
        <f t="shared" si="100"/>
        <v>0</v>
      </c>
      <c r="M205" s="33">
        <f t="shared" si="101"/>
        <v>0</v>
      </c>
      <c r="N205" s="35">
        <f>IF(F208&lt;=$F$18,0,)</f>
        <v>0</v>
      </c>
      <c r="O205" s="34">
        <f t="shared" si="88"/>
        <v>0</v>
      </c>
      <c r="P205" s="56">
        <v>200</v>
      </c>
      <c r="Q205" s="35">
        <f t="shared" si="96"/>
        <v>0</v>
      </c>
      <c r="R205" s="35">
        <f t="shared" si="102"/>
        <v>0</v>
      </c>
      <c r="S205" s="35">
        <f t="shared" si="103"/>
        <v>0</v>
      </c>
      <c r="T205" s="35">
        <f t="shared" si="89"/>
        <v>0</v>
      </c>
      <c r="U205" s="35">
        <f t="shared" si="97"/>
        <v>0</v>
      </c>
      <c r="V205" s="35">
        <f t="shared" si="90"/>
        <v>0</v>
      </c>
      <c r="W205" s="35">
        <v>0</v>
      </c>
      <c r="X205" s="155">
        <f t="shared" si="91"/>
        <v>0</v>
      </c>
      <c r="Y205" s="39">
        <f t="shared" si="92"/>
        <v>0</v>
      </c>
      <c r="AA205" s="72">
        <v>200</v>
      </c>
      <c r="AB205" s="143">
        <f t="shared" si="93"/>
        <v>0</v>
      </c>
      <c r="AC205" s="305">
        <f t="shared" si="86"/>
        <v>0</v>
      </c>
      <c r="AD205" s="101">
        <f t="shared" si="94"/>
        <v>0</v>
      </c>
      <c r="AE205" s="101">
        <f t="shared" si="95"/>
        <v>0</v>
      </c>
      <c r="AF205" s="196">
        <f t="shared" si="82"/>
        <v>0</v>
      </c>
      <c r="AG205" s="196">
        <f t="shared" si="83"/>
        <v>0</v>
      </c>
      <c r="AH205" s="196">
        <f t="shared" si="84"/>
        <v>0</v>
      </c>
      <c r="AI205" s="203">
        <f t="shared" si="85"/>
        <v>0</v>
      </c>
      <c r="AK205" s="72">
        <v>200</v>
      </c>
      <c r="AL205" s="143"/>
      <c r="AM205" s="35"/>
      <c r="AN205" s="35"/>
      <c r="AO205" s="35"/>
      <c r="AP205" s="35"/>
      <c r="AQ205" s="196"/>
      <c r="AR205" s="196"/>
      <c r="AS205" s="196"/>
      <c r="AT205" s="196"/>
      <c r="AU205" s="35"/>
      <c r="AV205" s="35"/>
      <c r="AW205" s="35"/>
      <c r="AX205" s="35"/>
      <c r="AY205" s="77"/>
    </row>
    <row r="206" spans="3:51" x14ac:dyDescent="0.3">
      <c r="E206" s="24"/>
    </row>
    <row r="207" spans="3:51" x14ac:dyDescent="0.3">
      <c r="E207" s="24"/>
    </row>
  </sheetData>
  <mergeCells count="29">
    <mergeCell ref="P3:X3"/>
    <mergeCell ref="B80:G80"/>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D81:G81">
      <formula1>$B$104:$B$108</formula1>
    </dataValidation>
    <dataValidation type="list" allowBlank="1" showInputMessage="1" showErrorMessage="1" sqref="D8:E8 D5:E5 D15">
      <formula1>$B$97:$B$100</formula1>
    </dataValidation>
    <dataValidation type="list" allowBlank="1" showInputMessage="1" showErrorMessage="1" sqref="F17">
      <formula1>$C$130:$C$195</formula1>
    </dataValidation>
    <dataValidation type="list" allowBlank="1" showInputMessage="1" showErrorMessage="1" sqref="F12">
      <formula1>$C$194:$C$195</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3:AY207"/>
  <sheetViews>
    <sheetView zoomScale="85" zoomScaleNormal="85" workbookViewId="0">
      <selection activeCell="F18" sqref="F18"/>
    </sheetView>
  </sheetViews>
  <sheetFormatPr baseColWidth="10" defaultRowHeight="14.4" x14ac:dyDescent="0.3"/>
  <cols>
    <col min="3" max="5" width="13.6640625" customWidth="1"/>
    <col min="6" max="6" width="16.5546875" style="26" customWidth="1"/>
    <col min="7" max="7" width="14.44140625" style="24" customWidth="1"/>
    <col min="8" max="8" width="11.4414062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4" max="54" width="19.33203125" customWidth="1"/>
  </cols>
  <sheetData>
    <row r="3" spans="2:51"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1" ht="45" customHeight="1" x14ac:dyDescent="0.3">
      <c r="B4" s="374" t="s">
        <v>173</v>
      </c>
      <c r="C4" s="374"/>
      <c r="D4" s="374"/>
      <c r="E4" s="374"/>
      <c r="F4" s="374"/>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row>
    <row r="5" spans="2:51" x14ac:dyDescent="0.3">
      <c r="B5" s="363" t="s">
        <v>133</v>
      </c>
      <c r="C5" s="91" t="s">
        <v>73</v>
      </c>
      <c r="D5" s="375" t="s">
        <v>1</v>
      </c>
      <c r="E5" s="375"/>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5">
        <f t="shared" ref="AC5:AC29" si="7">IF(AA5&lt;=$F$18,IFERROR(VLOOKUP($AA5,$B$82:$G$94,3,FALSE),0),)*50%</f>
        <v>0.47499999999999998</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0</v>
      </c>
      <c r="AO5" s="33">
        <f t="shared" ref="AO5:AO35" si="13">IF(AK5&lt;=$F$18,IFERROR(VLOOKUP($AA5,$B$82:$G$94,5,FALSE),0),)</f>
        <v>0</v>
      </c>
      <c r="AP5" s="33">
        <f t="shared" ref="AP5:AP35" si="14">IF(AK5&lt;=$F$18,IFERROR(VLOOKUP($AA5,$B$82:$G$94,6,FALSE),0),)</f>
        <v>5.0000000000000044E-2</v>
      </c>
      <c r="AQ5" s="194">
        <v>0</v>
      </c>
      <c r="AR5" s="194">
        <v>0</v>
      </c>
      <c r="AS5" s="194">
        <v>0</v>
      </c>
      <c r="AT5" s="194">
        <v>0</v>
      </c>
      <c r="AU5" s="33"/>
      <c r="AV5" s="33"/>
      <c r="AW5" s="33"/>
      <c r="AX5" s="33"/>
      <c r="AY5" s="164">
        <v>0</v>
      </c>
    </row>
    <row r="6" spans="2:51" x14ac:dyDescent="0.3">
      <c r="B6" s="364"/>
      <c r="C6" s="98" t="s">
        <v>74</v>
      </c>
      <c r="D6" s="366" t="s">
        <v>260</v>
      </c>
      <c r="E6" s="366"/>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5">
        <f t="shared" si="7"/>
        <v>0</v>
      </c>
      <c r="AD6" s="100">
        <f t="shared" si="8"/>
        <v>0</v>
      </c>
      <c r="AE6" s="100">
        <f t="shared" si="9"/>
        <v>0</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v>
      </c>
      <c r="AN6" s="33">
        <f t="shared" si="12"/>
        <v>0</v>
      </c>
      <c r="AO6" s="33">
        <f t="shared" si="13"/>
        <v>0</v>
      </c>
      <c r="AP6" s="33">
        <f t="shared" si="14"/>
        <v>0</v>
      </c>
      <c r="AQ6" s="194">
        <f t="shared" ref="AQ6:AT24" si="17">IF($AK6&lt;=$F$18,$AL6*AM6,)</f>
        <v>0</v>
      </c>
      <c r="AR6" s="194">
        <f t="shared" si="17"/>
        <v>0</v>
      </c>
      <c r="AS6" s="194">
        <f t="shared" si="17"/>
        <v>0</v>
      </c>
      <c r="AT6" s="194">
        <f t="shared" si="17"/>
        <v>0</v>
      </c>
      <c r="AU6" s="33"/>
      <c r="AV6" s="33"/>
      <c r="AW6" s="33"/>
      <c r="AX6" s="33"/>
      <c r="AY6" s="164">
        <f>IF(AK6&lt;=$F$18,AL6*$G$108+AY5,)</f>
        <v>0</v>
      </c>
    </row>
    <row r="7" spans="2:51" x14ac:dyDescent="0.3">
      <c r="B7" s="363" t="s">
        <v>134</v>
      </c>
      <c r="C7" s="376"/>
      <c r="D7" s="377"/>
      <c r="E7" s="377"/>
      <c r="F7" s="378"/>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7"/>
        <v>0</v>
      </c>
      <c r="AR7" s="194">
        <f t="shared" si="17"/>
        <v>0</v>
      </c>
      <c r="AS7" s="194">
        <f t="shared" si="17"/>
        <v>0</v>
      </c>
      <c r="AT7" s="194">
        <f t="shared" si="17"/>
        <v>0</v>
      </c>
      <c r="AU7" s="33"/>
      <c r="AV7" s="33"/>
      <c r="AW7" s="33"/>
      <c r="AX7" s="33"/>
      <c r="AY7" s="164">
        <f t="shared" ref="AY7:AY35" si="24">IF(AK7&lt;=$F$18,AL7*$G$108+AY6,)</f>
        <v>0</v>
      </c>
    </row>
    <row r="8" spans="2:51" x14ac:dyDescent="0.3">
      <c r="B8" s="373"/>
      <c r="C8" s="93" t="s">
        <v>73</v>
      </c>
      <c r="D8" s="369" t="s">
        <v>1</v>
      </c>
      <c r="E8" s="369"/>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7"/>
        <v>0</v>
      </c>
      <c r="AR8" s="194">
        <f t="shared" si="17"/>
        <v>0</v>
      </c>
      <c r="AS8" s="194">
        <f t="shared" si="17"/>
        <v>0</v>
      </c>
      <c r="AT8" s="194">
        <f t="shared" si="17"/>
        <v>0</v>
      </c>
      <c r="AU8" s="33"/>
      <c r="AV8" s="33"/>
      <c r="AW8" s="33"/>
      <c r="AX8" s="33"/>
      <c r="AY8" s="164">
        <f t="shared" si="24"/>
        <v>0</v>
      </c>
    </row>
    <row r="9" spans="2:51" x14ac:dyDescent="0.3">
      <c r="B9" s="373"/>
      <c r="C9" s="93" t="s">
        <v>74</v>
      </c>
      <c r="D9" s="365" t="str">
        <f>IF(D8=$B$100,"totale","néant")</f>
        <v>néant</v>
      </c>
      <c r="E9" s="365"/>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7"/>
        <v>0</v>
      </c>
      <c r="AR9" s="194">
        <f t="shared" si="17"/>
        <v>0</v>
      </c>
      <c r="AS9" s="194">
        <f t="shared" si="17"/>
        <v>0</v>
      </c>
      <c r="AT9" s="194">
        <f t="shared" si="17"/>
        <v>0</v>
      </c>
      <c r="AU9" s="33"/>
      <c r="AV9" s="33"/>
      <c r="AW9" s="33"/>
      <c r="AX9" s="33"/>
      <c r="AY9" s="164">
        <f t="shared" si="24"/>
        <v>0</v>
      </c>
    </row>
    <row r="10" spans="2:51" x14ac:dyDescent="0.3">
      <c r="B10" s="373"/>
      <c r="C10" s="367" t="s">
        <v>124</v>
      </c>
      <c r="D10" s="362" t="s">
        <v>136</v>
      </c>
      <c r="E10" s="362"/>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5">
        <f t="shared" si="7"/>
        <v>0</v>
      </c>
      <c r="AD10" s="100">
        <f t="shared" si="8"/>
        <v>0</v>
      </c>
      <c r="AE10" s="100">
        <f t="shared" si="9"/>
        <v>0</v>
      </c>
      <c r="AF10" s="194">
        <f t="shared" ref="AF10:AF24" si="25">IF(OR(AA10&lt;=$F$18,AA10&lt;=30),EXP(-LN(2)/$D$104)*AF9+((1-EXP(-LN(2)/$D$104))/(LN(2)/$D$104))*$AB10*AC10*0.475*$F$19*44/12,)</f>
        <v>0</v>
      </c>
      <c r="AG10" s="194">
        <f t="shared" ref="AG10:AG24" si="26">IF(OR(AA10&lt;=$F$18,AA10&lt;=30),EXP(-LN(2)/$D$106)*AG9+((1-EXP(-LN(2)/$D$106))/(LN(2)/$D$106))*$AB10*AD10*0.475*$F$19*44/12,)</f>
        <v>0</v>
      </c>
      <c r="AH10" s="194">
        <f t="shared" ref="AH10:AH24" si="27">IF(OR(AA10&lt;=$F$18,AA10&lt;=30),EXP(-LN(2)/$D$105)*AH9+((1-EXP(-LN(2)/$D$105))/(LN(2)/$D$105))*$AB10*AE10*0.475*$F$19*44/12,)</f>
        <v>0</v>
      </c>
      <c r="AI10" s="199">
        <f t="shared" ref="AI10:AI24" si="28">IF(OR(AA10&lt;=$F$18,AA10&lt;=30),SUM(AF10:AH10),)</f>
        <v>0</v>
      </c>
      <c r="AK10" s="71">
        <v>5</v>
      </c>
      <c r="AL10" s="33">
        <f t="shared" si="10"/>
        <v>0</v>
      </c>
      <c r="AM10" s="33">
        <f t="shared" si="11"/>
        <v>0</v>
      </c>
      <c r="AN10" s="33">
        <f t="shared" si="12"/>
        <v>0</v>
      </c>
      <c r="AO10" s="33">
        <f t="shared" si="13"/>
        <v>0</v>
      </c>
      <c r="AP10" s="33">
        <f t="shared" si="14"/>
        <v>0</v>
      </c>
      <c r="AQ10" s="194">
        <f t="shared" si="17"/>
        <v>0</v>
      </c>
      <c r="AR10" s="194">
        <f t="shared" si="17"/>
        <v>0</v>
      </c>
      <c r="AS10" s="194">
        <f t="shared" si="17"/>
        <v>0</v>
      </c>
      <c r="AT10" s="194">
        <f t="shared" si="17"/>
        <v>0</v>
      </c>
      <c r="AU10" s="33"/>
      <c r="AV10" s="33"/>
      <c r="AW10" s="33"/>
      <c r="AX10" s="33"/>
      <c r="AY10" s="164">
        <f t="shared" si="24"/>
        <v>0</v>
      </c>
    </row>
    <row r="11" spans="2:51" x14ac:dyDescent="0.3">
      <c r="B11" s="373"/>
      <c r="C11" s="367"/>
      <c r="D11" s="365" t="s">
        <v>139</v>
      </c>
      <c r="E11" s="365"/>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5">
        <f t="shared" si="7"/>
        <v>0</v>
      </c>
      <c r="AD11" s="100">
        <f t="shared" si="8"/>
        <v>0</v>
      </c>
      <c r="AE11" s="100">
        <f t="shared" si="9"/>
        <v>0</v>
      </c>
      <c r="AF11" s="194">
        <f t="shared" si="25"/>
        <v>0</v>
      </c>
      <c r="AG11" s="194">
        <f t="shared" si="26"/>
        <v>0</v>
      </c>
      <c r="AH11" s="194">
        <f t="shared" si="27"/>
        <v>0</v>
      </c>
      <c r="AI11" s="199">
        <f t="shared" si="28"/>
        <v>0</v>
      </c>
      <c r="AK11" s="71">
        <v>6</v>
      </c>
      <c r="AL11" s="33">
        <f t="shared" si="10"/>
        <v>0</v>
      </c>
      <c r="AM11" s="33">
        <f t="shared" si="11"/>
        <v>0</v>
      </c>
      <c r="AN11" s="33">
        <f t="shared" si="12"/>
        <v>0</v>
      </c>
      <c r="AO11" s="33">
        <f t="shared" si="13"/>
        <v>0</v>
      </c>
      <c r="AP11" s="33">
        <f t="shared" si="14"/>
        <v>0</v>
      </c>
      <c r="AQ11" s="194">
        <f t="shared" si="17"/>
        <v>0</v>
      </c>
      <c r="AR11" s="194">
        <f t="shared" si="17"/>
        <v>0</v>
      </c>
      <c r="AS11" s="194">
        <f t="shared" si="17"/>
        <v>0</v>
      </c>
      <c r="AT11" s="194">
        <f t="shared" si="17"/>
        <v>0</v>
      </c>
      <c r="AU11" s="33"/>
      <c r="AV11" s="33"/>
      <c r="AW11" s="33"/>
      <c r="AX11" s="33"/>
      <c r="AY11" s="164">
        <f t="shared" si="24"/>
        <v>0</v>
      </c>
    </row>
    <row r="12" spans="2:51" x14ac:dyDescent="0.3">
      <c r="B12" s="373"/>
      <c r="C12" s="367"/>
      <c r="D12" s="362" t="s">
        <v>131</v>
      </c>
      <c r="E12" s="362"/>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5">
        <f t="shared" si="7"/>
        <v>0</v>
      </c>
      <c r="AD12" s="100">
        <f t="shared" si="8"/>
        <v>0</v>
      </c>
      <c r="AE12" s="100">
        <f t="shared" si="9"/>
        <v>0</v>
      </c>
      <c r="AF12" s="194">
        <f t="shared" si="25"/>
        <v>0</v>
      </c>
      <c r="AG12" s="194">
        <f t="shared" si="26"/>
        <v>0</v>
      </c>
      <c r="AH12" s="194">
        <f t="shared" si="27"/>
        <v>0</v>
      </c>
      <c r="AI12" s="199">
        <f t="shared" si="28"/>
        <v>0</v>
      </c>
      <c r="AK12" s="71">
        <v>7</v>
      </c>
      <c r="AL12" s="33">
        <f t="shared" si="10"/>
        <v>0</v>
      </c>
      <c r="AM12" s="33">
        <f t="shared" si="11"/>
        <v>0</v>
      </c>
      <c r="AN12" s="33">
        <f t="shared" si="12"/>
        <v>0</v>
      </c>
      <c r="AO12" s="33">
        <f t="shared" si="13"/>
        <v>0</v>
      </c>
      <c r="AP12" s="33">
        <f t="shared" si="14"/>
        <v>0</v>
      </c>
      <c r="AQ12" s="194">
        <f t="shared" si="17"/>
        <v>0</v>
      </c>
      <c r="AR12" s="194">
        <f t="shared" si="17"/>
        <v>0</v>
      </c>
      <c r="AS12" s="194">
        <f t="shared" si="17"/>
        <v>0</v>
      </c>
      <c r="AT12" s="194">
        <f t="shared" si="17"/>
        <v>0</v>
      </c>
      <c r="AU12" s="33"/>
      <c r="AV12" s="33"/>
      <c r="AW12" s="33"/>
      <c r="AX12" s="33"/>
      <c r="AY12" s="164">
        <f t="shared" si="24"/>
        <v>0</v>
      </c>
    </row>
    <row r="13" spans="2:51" x14ac:dyDescent="0.3">
      <c r="B13" s="364"/>
      <c r="C13" s="368"/>
      <c r="D13" s="366" t="s">
        <v>155</v>
      </c>
      <c r="E13" s="366"/>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5">
        <f t="shared" si="7"/>
        <v>0</v>
      </c>
      <c r="AD13" s="100">
        <f t="shared" si="8"/>
        <v>0</v>
      </c>
      <c r="AE13" s="100">
        <f t="shared" si="9"/>
        <v>0</v>
      </c>
      <c r="AF13" s="194">
        <f t="shared" si="25"/>
        <v>0</v>
      </c>
      <c r="AG13" s="194">
        <f t="shared" si="26"/>
        <v>0</v>
      </c>
      <c r="AH13" s="194">
        <f t="shared" si="27"/>
        <v>0</v>
      </c>
      <c r="AI13" s="199">
        <f t="shared" si="28"/>
        <v>0</v>
      </c>
      <c r="AK13" s="71">
        <v>8</v>
      </c>
      <c r="AL13" s="33">
        <f t="shared" si="10"/>
        <v>0</v>
      </c>
      <c r="AM13" s="33">
        <f t="shared" si="11"/>
        <v>0</v>
      </c>
      <c r="AN13" s="33">
        <f t="shared" si="12"/>
        <v>0</v>
      </c>
      <c r="AO13" s="33">
        <f t="shared" si="13"/>
        <v>0</v>
      </c>
      <c r="AP13" s="33">
        <f t="shared" si="14"/>
        <v>0</v>
      </c>
      <c r="AQ13" s="194">
        <f t="shared" si="17"/>
        <v>0</v>
      </c>
      <c r="AR13" s="194">
        <f t="shared" si="17"/>
        <v>0</v>
      </c>
      <c r="AS13" s="194">
        <f t="shared" si="17"/>
        <v>0</v>
      </c>
      <c r="AT13" s="194">
        <f t="shared" si="17"/>
        <v>0</v>
      </c>
      <c r="AU13" s="33"/>
      <c r="AV13" s="33"/>
      <c r="AW13" s="33"/>
      <c r="AX13" s="33"/>
      <c r="AY13" s="164">
        <f t="shared" si="24"/>
        <v>0</v>
      </c>
    </row>
    <row r="14" spans="2:51" x14ac:dyDescent="0.3">
      <c r="B14" s="363" t="s">
        <v>132</v>
      </c>
      <c r="C14" s="359"/>
      <c r="D14" s="360"/>
      <c r="E14" s="360"/>
      <c r="F14" s="361"/>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5">
        <f t="shared" si="7"/>
        <v>0</v>
      </c>
      <c r="AD14" s="100">
        <f t="shared" si="8"/>
        <v>0</v>
      </c>
      <c r="AE14" s="100">
        <f t="shared" si="9"/>
        <v>0</v>
      </c>
      <c r="AF14" s="194">
        <f t="shared" si="25"/>
        <v>0</v>
      </c>
      <c r="AG14" s="194">
        <f t="shared" si="26"/>
        <v>0</v>
      </c>
      <c r="AH14" s="194">
        <f t="shared" si="27"/>
        <v>0</v>
      </c>
      <c r="AI14" s="199">
        <f t="shared" si="28"/>
        <v>0</v>
      </c>
      <c r="AK14" s="71">
        <v>9</v>
      </c>
      <c r="AL14" s="33">
        <f t="shared" si="10"/>
        <v>0</v>
      </c>
      <c r="AM14" s="33">
        <f t="shared" si="11"/>
        <v>0</v>
      </c>
      <c r="AN14" s="33">
        <f t="shared" si="12"/>
        <v>0</v>
      </c>
      <c r="AO14" s="33">
        <f t="shared" si="13"/>
        <v>0</v>
      </c>
      <c r="AP14" s="33">
        <f t="shared" si="14"/>
        <v>0</v>
      </c>
      <c r="AQ14" s="194">
        <f t="shared" si="17"/>
        <v>0</v>
      </c>
      <c r="AR14" s="194">
        <f t="shared" si="17"/>
        <v>0</v>
      </c>
      <c r="AS14" s="194">
        <f t="shared" si="17"/>
        <v>0</v>
      </c>
      <c r="AT14" s="194">
        <f t="shared" si="17"/>
        <v>0</v>
      </c>
      <c r="AU14" s="33"/>
      <c r="AV14" s="33"/>
      <c r="AW14" s="33"/>
      <c r="AX14" s="33"/>
      <c r="AY14" s="164">
        <f t="shared" si="24"/>
        <v>0</v>
      </c>
    </row>
    <row r="15" spans="2:51" x14ac:dyDescent="0.3">
      <c r="B15" s="373"/>
      <c r="C15" s="93" t="s">
        <v>73</v>
      </c>
      <c r="D15" s="369" t="s">
        <v>135</v>
      </c>
      <c r="E15" s="369"/>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5">
        <f t="shared" si="7"/>
        <v>0</v>
      </c>
      <c r="AD15" s="100">
        <f t="shared" si="8"/>
        <v>0</v>
      </c>
      <c r="AE15" s="100">
        <f t="shared" si="9"/>
        <v>0</v>
      </c>
      <c r="AF15" s="194">
        <f t="shared" si="25"/>
        <v>0</v>
      </c>
      <c r="AG15" s="194">
        <f t="shared" si="26"/>
        <v>0</v>
      </c>
      <c r="AH15" s="194">
        <f t="shared" si="27"/>
        <v>0</v>
      </c>
      <c r="AI15" s="199">
        <f t="shared" si="28"/>
        <v>0</v>
      </c>
      <c r="AK15" s="71">
        <v>10</v>
      </c>
      <c r="AL15" s="33">
        <f t="shared" si="10"/>
        <v>0</v>
      </c>
      <c r="AM15" s="33">
        <f t="shared" si="11"/>
        <v>0</v>
      </c>
      <c r="AN15" s="33">
        <f t="shared" si="12"/>
        <v>0</v>
      </c>
      <c r="AO15" s="33">
        <f t="shared" si="13"/>
        <v>0</v>
      </c>
      <c r="AP15" s="33">
        <f t="shared" si="14"/>
        <v>0</v>
      </c>
      <c r="AQ15" s="194">
        <f t="shared" si="17"/>
        <v>0</v>
      </c>
      <c r="AR15" s="194">
        <f t="shared" si="17"/>
        <v>0</v>
      </c>
      <c r="AS15" s="194">
        <f t="shared" si="17"/>
        <v>0</v>
      </c>
      <c r="AT15" s="194">
        <f t="shared" si="17"/>
        <v>0</v>
      </c>
      <c r="AU15" s="33"/>
      <c r="AV15" s="33"/>
      <c r="AW15" s="33"/>
      <c r="AX15" s="33"/>
      <c r="AY15" s="164">
        <f t="shared" si="24"/>
        <v>0</v>
      </c>
    </row>
    <row r="16" spans="2:51" x14ac:dyDescent="0.3">
      <c r="B16" s="373"/>
      <c r="C16" s="93" t="s">
        <v>74</v>
      </c>
      <c r="D16" s="365" t="s">
        <v>138</v>
      </c>
      <c r="E16" s="365"/>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5">
        <f t="shared" si="7"/>
        <v>0</v>
      </c>
      <c r="AD16" s="100">
        <f t="shared" si="8"/>
        <v>0</v>
      </c>
      <c r="AE16" s="100">
        <f t="shared" si="9"/>
        <v>0</v>
      </c>
      <c r="AF16" s="194">
        <f t="shared" si="25"/>
        <v>0</v>
      </c>
      <c r="AG16" s="194">
        <f t="shared" si="26"/>
        <v>0</v>
      </c>
      <c r="AH16" s="194">
        <f t="shared" si="27"/>
        <v>0</v>
      </c>
      <c r="AI16" s="199">
        <f t="shared" si="28"/>
        <v>0</v>
      </c>
      <c r="AK16" s="71">
        <v>11</v>
      </c>
      <c r="AL16" s="33">
        <f t="shared" si="10"/>
        <v>0</v>
      </c>
      <c r="AM16" s="33">
        <f t="shared" si="11"/>
        <v>0</v>
      </c>
      <c r="AN16" s="33">
        <f t="shared" si="12"/>
        <v>0</v>
      </c>
      <c r="AO16" s="33">
        <f t="shared" si="13"/>
        <v>0</v>
      </c>
      <c r="AP16" s="33">
        <f t="shared" si="14"/>
        <v>0</v>
      </c>
      <c r="AQ16" s="194">
        <f t="shared" si="17"/>
        <v>0</v>
      </c>
      <c r="AR16" s="194">
        <f t="shared" si="17"/>
        <v>0</v>
      </c>
      <c r="AS16" s="194">
        <f t="shared" si="17"/>
        <v>0</v>
      </c>
      <c r="AT16" s="194">
        <f t="shared" si="17"/>
        <v>0</v>
      </c>
      <c r="AU16" s="33"/>
      <c r="AV16" s="33"/>
      <c r="AW16" s="33"/>
      <c r="AX16" s="33"/>
      <c r="AY16" s="164">
        <f t="shared" si="24"/>
        <v>0</v>
      </c>
    </row>
    <row r="17" spans="2:51" ht="28.8" x14ac:dyDescent="0.3">
      <c r="B17" s="373"/>
      <c r="C17" s="367" t="s">
        <v>124</v>
      </c>
      <c r="D17" s="362" t="s">
        <v>131</v>
      </c>
      <c r="E17" s="362"/>
      <c r="F17" s="96" t="s">
        <v>20</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5">
        <f t="shared" si="7"/>
        <v>0</v>
      </c>
      <c r="AD17" s="100">
        <f t="shared" si="8"/>
        <v>0</v>
      </c>
      <c r="AE17" s="100">
        <f t="shared" si="9"/>
        <v>0</v>
      </c>
      <c r="AF17" s="194">
        <f t="shared" si="25"/>
        <v>0</v>
      </c>
      <c r="AG17" s="194">
        <f t="shared" si="26"/>
        <v>0</v>
      </c>
      <c r="AH17" s="194">
        <f t="shared" si="27"/>
        <v>0</v>
      </c>
      <c r="AI17" s="199">
        <f t="shared" si="28"/>
        <v>0</v>
      </c>
      <c r="AK17" s="71">
        <v>12</v>
      </c>
      <c r="AL17" s="33">
        <f t="shared" si="10"/>
        <v>0</v>
      </c>
      <c r="AM17" s="33">
        <f t="shared" si="11"/>
        <v>0</v>
      </c>
      <c r="AN17" s="33">
        <f t="shared" si="12"/>
        <v>0</v>
      </c>
      <c r="AO17" s="33">
        <f t="shared" si="13"/>
        <v>0</v>
      </c>
      <c r="AP17" s="33">
        <f t="shared" si="14"/>
        <v>0</v>
      </c>
      <c r="AQ17" s="194">
        <f t="shared" si="17"/>
        <v>0</v>
      </c>
      <c r="AR17" s="194">
        <f t="shared" si="17"/>
        <v>0</v>
      </c>
      <c r="AS17" s="194">
        <f t="shared" si="17"/>
        <v>0</v>
      </c>
      <c r="AT17" s="194">
        <f t="shared" si="17"/>
        <v>0</v>
      </c>
      <c r="AU17" s="33"/>
      <c r="AV17" s="33"/>
      <c r="AW17" s="33"/>
      <c r="AX17" s="33"/>
      <c r="AY17" s="164">
        <f t="shared" si="24"/>
        <v>0</v>
      </c>
    </row>
    <row r="18" spans="2:51" x14ac:dyDescent="0.3">
      <c r="B18" s="373"/>
      <c r="C18" s="367"/>
      <c r="D18" s="362" t="s">
        <v>136</v>
      </c>
      <c r="E18" s="362"/>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5">
        <f t="shared" si="7"/>
        <v>0</v>
      </c>
      <c r="AD18" s="100">
        <f t="shared" si="8"/>
        <v>0</v>
      </c>
      <c r="AE18" s="100">
        <f t="shared" si="9"/>
        <v>0</v>
      </c>
      <c r="AF18" s="194">
        <f t="shared" si="25"/>
        <v>0</v>
      </c>
      <c r="AG18" s="194">
        <f t="shared" si="26"/>
        <v>0</v>
      </c>
      <c r="AH18" s="194">
        <f t="shared" si="27"/>
        <v>0</v>
      </c>
      <c r="AI18" s="199">
        <f t="shared" si="28"/>
        <v>0</v>
      </c>
      <c r="AK18" s="71">
        <v>13</v>
      </c>
      <c r="AL18" s="33">
        <f t="shared" si="10"/>
        <v>0</v>
      </c>
      <c r="AM18" s="33">
        <f t="shared" si="11"/>
        <v>0</v>
      </c>
      <c r="AN18" s="33">
        <f t="shared" si="12"/>
        <v>0</v>
      </c>
      <c r="AO18" s="33">
        <f t="shared" si="13"/>
        <v>0</v>
      </c>
      <c r="AP18" s="33">
        <f t="shared" si="14"/>
        <v>0</v>
      </c>
      <c r="AQ18" s="194">
        <f t="shared" si="17"/>
        <v>0</v>
      </c>
      <c r="AR18" s="194">
        <f t="shared" si="17"/>
        <v>0</v>
      </c>
      <c r="AS18" s="194">
        <f t="shared" si="17"/>
        <v>0</v>
      </c>
      <c r="AT18" s="194">
        <f t="shared" si="17"/>
        <v>0</v>
      </c>
      <c r="AU18" s="33"/>
      <c r="AV18" s="33"/>
      <c r="AW18" s="33"/>
      <c r="AX18" s="33"/>
      <c r="AY18" s="164">
        <f t="shared" si="24"/>
        <v>0</v>
      </c>
    </row>
    <row r="19" spans="2:51" x14ac:dyDescent="0.3">
      <c r="B19" s="373"/>
      <c r="C19" s="367"/>
      <c r="D19" s="365" t="s">
        <v>155</v>
      </c>
      <c r="E19" s="365"/>
      <c r="F19" s="36">
        <f>IF(ISBLANK(F$17),,VLOOKUP(F$17,C131:D195,2,FALSE))</f>
        <v>0.57999999999999996</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5">
        <f t="shared" si="7"/>
        <v>0</v>
      </c>
      <c r="AD19" s="100">
        <f t="shared" si="8"/>
        <v>0</v>
      </c>
      <c r="AE19" s="100">
        <f t="shared" si="9"/>
        <v>0</v>
      </c>
      <c r="AF19" s="194">
        <f t="shared" si="25"/>
        <v>0</v>
      </c>
      <c r="AG19" s="194">
        <f t="shared" si="26"/>
        <v>0</v>
      </c>
      <c r="AH19" s="194">
        <f t="shared" si="27"/>
        <v>0</v>
      </c>
      <c r="AI19" s="199">
        <f t="shared" si="28"/>
        <v>0</v>
      </c>
      <c r="AK19" s="71">
        <v>14</v>
      </c>
      <c r="AL19" s="33">
        <f t="shared" si="10"/>
        <v>0</v>
      </c>
      <c r="AM19" s="33">
        <f t="shared" si="11"/>
        <v>0</v>
      </c>
      <c r="AN19" s="33">
        <f t="shared" si="12"/>
        <v>0</v>
      </c>
      <c r="AO19" s="33">
        <f t="shared" si="13"/>
        <v>0</v>
      </c>
      <c r="AP19" s="33">
        <f t="shared" si="14"/>
        <v>0</v>
      </c>
      <c r="AQ19" s="194">
        <f t="shared" si="17"/>
        <v>0</v>
      </c>
      <c r="AR19" s="194">
        <f t="shared" si="17"/>
        <v>0</v>
      </c>
      <c r="AS19" s="194">
        <f t="shared" si="17"/>
        <v>0</v>
      </c>
      <c r="AT19" s="194">
        <f t="shared" si="17"/>
        <v>0</v>
      </c>
      <c r="AU19" s="33"/>
      <c r="AV19" s="33"/>
      <c r="AW19" s="33"/>
      <c r="AX19" s="33"/>
      <c r="AY19" s="164">
        <f t="shared" si="24"/>
        <v>0</v>
      </c>
    </row>
    <row r="20" spans="2:51" x14ac:dyDescent="0.3">
      <c r="B20" s="373"/>
      <c r="C20" s="367"/>
      <c r="D20" s="365" t="s">
        <v>140</v>
      </c>
      <c r="E20" s="365"/>
      <c r="F20" s="36">
        <f>IF(ISBLANK(F$17),,VLOOKUP(F17,Tableau1459[#All],4,FALSE))</f>
        <v>1.56</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5">
        <f t="shared" si="7"/>
        <v>0</v>
      </c>
      <c r="AD20" s="100">
        <f t="shared" si="8"/>
        <v>0</v>
      </c>
      <c r="AE20" s="100">
        <f t="shared" si="9"/>
        <v>0</v>
      </c>
      <c r="AF20" s="194">
        <f t="shared" si="25"/>
        <v>0</v>
      </c>
      <c r="AG20" s="194">
        <f t="shared" si="26"/>
        <v>0</v>
      </c>
      <c r="AH20" s="194">
        <f t="shared" si="27"/>
        <v>0</v>
      </c>
      <c r="AI20" s="199">
        <f t="shared" si="28"/>
        <v>0</v>
      </c>
      <c r="AK20" s="71">
        <v>15</v>
      </c>
      <c r="AL20" s="33">
        <f t="shared" si="10"/>
        <v>0</v>
      </c>
      <c r="AM20" s="33">
        <f t="shared" si="11"/>
        <v>0</v>
      </c>
      <c r="AN20" s="33">
        <f t="shared" si="12"/>
        <v>0</v>
      </c>
      <c r="AO20" s="33">
        <f t="shared" si="13"/>
        <v>0</v>
      </c>
      <c r="AP20" s="33">
        <f t="shared" si="14"/>
        <v>0</v>
      </c>
      <c r="AQ20" s="194">
        <f t="shared" si="17"/>
        <v>0</v>
      </c>
      <c r="AR20" s="194">
        <f t="shared" si="17"/>
        <v>0</v>
      </c>
      <c r="AS20" s="194">
        <f t="shared" si="17"/>
        <v>0</v>
      </c>
      <c r="AT20" s="194">
        <f t="shared" si="17"/>
        <v>0</v>
      </c>
      <c r="AU20" s="33"/>
      <c r="AV20" s="33"/>
      <c r="AW20" s="33"/>
      <c r="AX20" s="33"/>
      <c r="AY20" s="164">
        <f t="shared" si="24"/>
        <v>0</v>
      </c>
    </row>
    <row r="21" spans="2:51" x14ac:dyDescent="0.3">
      <c r="B21" s="364"/>
      <c r="C21" s="368"/>
      <c r="D21" s="366" t="s">
        <v>143</v>
      </c>
      <c r="E21" s="366"/>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5">
        <f t="shared" si="7"/>
        <v>0</v>
      </c>
      <c r="AD21" s="100">
        <f t="shared" si="8"/>
        <v>0</v>
      </c>
      <c r="AE21" s="100">
        <f t="shared" si="9"/>
        <v>0</v>
      </c>
      <c r="AF21" s="194">
        <f t="shared" si="25"/>
        <v>0</v>
      </c>
      <c r="AG21" s="194">
        <f t="shared" si="26"/>
        <v>0</v>
      </c>
      <c r="AH21" s="194">
        <f t="shared" si="27"/>
        <v>0</v>
      </c>
      <c r="AI21" s="199">
        <f t="shared" si="28"/>
        <v>0</v>
      </c>
      <c r="AK21" s="71">
        <v>16</v>
      </c>
      <c r="AL21" s="33">
        <f t="shared" si="10"/>
        <v>0</v>
      </c>
      <c r="AM21" s="33">
        <f t="shared" si="11"/>
        <v>0</v>
      </c>
      <c r="AN21" s="33">
        <f t="shared" si="12"/>
        <v>0</v>
      </c>
      <c r="AO21" s="33">
        <f t="shared" si="13"/>
        <v>0</v>
      </c>
      <c r="AP21" s="33">
        <f t="shared" si="14"/>
        <v>0</v>
      </c>
      <c r="AQ21" s="194">
        <f t="shared" si="17"/>
        <v>0</v>
      </c>
      <c r="AR21" s="194">
        <f t="shared" si="17"/>
        <v>0</v>
      </c>
      <c r="AS21" s="194">
        <f t="shared" si="17"/>
        <v>0</v>
      </c>
      <c r="AT21" s="194">
        <f t="shared" si="17"/>
        <v>0</v>
      </c>
      <c r="AU21" s="33"/>
      <c r="AV21" s="33"/>
      <c r="AW21" s="33"/>
      <c r="AX21" s="33"/>
      <c r="AY21" s="164">
        <f t="shared" si="24"/>
        <v>0</v>
      </c>
    </row>
    <row r="22" spans="2:51" x14ac:dyDescent="0.3">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5">
        <f t="shared" si="7"/>
        <v>0</v>
      </c>
      <c r="AD22" s="100">
        <f t="shared" si="8"/>
        <v>0</v>
      </c>
      <c r="AE22" s="100">
        <f t="shared" si="9"/>
        <v>0</v>
      </c>
      <c r="AF22" s="194">
        <f t="shared" si="25"/>
        <v>0</v>
      </c>
      <c r="AG22" s="194">
        <f t="shared" si="26"/>
        <v>0</v>
      </c>
      <c r="AH22" s="194">
        <f t="shared" si="27"/>
        <v>0</v>
      </c>
      <c r="AI22" s="199">
        <f t="shared" si="28"/>
        <v>0</v>
      </c>
      <c r="AK22" s="71">
        <v>17</v>
      </c>
      <c r="AL22" s="33">
        <f t="shared" si="10"/>
        <v>0</v>
      </c>
      <c r="AM22" s="33">
        <f t="shared" si="11"/>
        <v>0</v>
      </c>
      <c r="AN22" s="33">
        <f t="shared" si="12"/>
        <v>0</v>
      </c>
      <c r="AO22" s="33">
        <f t="shared" si="13"/>
        <v>0</v>
      </c>
      <c r="AP22" s="33">
        <f t="shared" si="14"/>
        <v>0</v>
      </c>
      <c r="AQ22" s="194">
        <f t="shared" si="17"/>
        <v>0</v>
      </c>
      <c r="AR22" s="194">
        <f t="shared" si="17"/>
        <v>0</v>
      </c>
      <c r="AS22" s="194">
        <f t="shared" si="17"/>
        <v>0</v>
      </c>
      <c r="AT22" s="194">
        <f t="shared" si="17"/>
        <v>0</v>
      </c>
      <c r="AU22" s="33"/>
      <c r="AV22" s="33"/>
      <c r="AW22" s="33"/>
      <c r="AX22" s="33"/>
      <c r="AY22" s="164">
        <f t="shared" si="24"/>
        <v>0</v>
      </c>
    </row>
    <row r="23" spans="2:51" x14ac:dyDescent="0.3">
      <c r="B23" s="385" t="s">
        <v>142</v>
      </c>
      <c r="C23" s="386"/>
      <c r="D23" s="386"/>
      <c r="E23" s="386"/>
      <c r="F23" s="386"/>
      <c r="G23" s="387"/>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5">
        <f t="shared" si="7"/>
        <v>0</v>
      </c>
      <c r="AD23" s="100">
        <f t="shared" si="8"/>
        <v>0</v>
      </c>
      <c r="AE23" s="100">
        <f t="shared" si="9"/>
        <v>0</v>
      </c>
      <c r="AF23" s="194">
        <f t="shared" si="25"/>
        <v>0</v>
      </c>
      <c r="AG23" s="194">
        <f t="shared" si="26"/>
        <v>0</v>
      </c>
      <c r="AH23" s="194">
        <f t="shared" si="27"/>
        <v>0</v>
      </c>
      <c r="AI23" s="199">
        <f t="shared" si="28"/>
        <v>0</v>
      </c>
      <c r="AK23" s="71">
        <v>18</v>
      </c>
      <c r="AL23" s="33">
        <f t="shared" si="10"/>
        <v>0</v>
      </c>
      <c r="AM23" s="33">
        <f t="shared" si="11"/>
        <v>0</v>
      </c>
      <c r="AN23" s="33">
        <f t="shared" si="12"/>
        <v>0</v>
      </c>
      <c r="AO23" s="33">
        <f t="shared" si="13"/>
        <v>0</v>
      </c>
      <c r="AP23" s="33">
        <f t="shared" si="14"/>
        <v>0</v>
      </c>
      <c r="AQ23" s="194">
        <f t="shared" si="17"/>
        <v>0</v>
      </c>
      <c r="AR23" s="194">
        <f t="shared" si="17"/>
        <v>0</v>
      </c>
      <c r="AS23" s="194">
        <f t="shared" si="17"/>
        <v>0</v>
      </c>
      <c r="AT23" s="194">
        <f t="shared" si="17"/>
        <v>0</v>
      </c>
      <c r="AU23" s="33"/>
      <c r="AV23" s="33"/>
      <c r="AW23" s="33"/>
      <c r="AX23" s="33"/>
      <c r="AY23" s="164">
        <f t="shared" si="24"/>
        <v>0</v>
      </c>
    </row>
    <row r="24" spans="2:51" x14ac:dyDescent="0.3">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5">
        <f t="shared" si="7"/>
        <v>0</v>
      </c>
      <c r="AD24" s="100">
        <f t="shared" si="8"/>
        <v>0</v>
      </c>
      <c r="AE24" s="100">
        <f t="shared" si="9"/>
        <v>0</v>
      </c>
      <c r="AF24" s="194">
        <f t="shared" si="25"/>
        <v>0</v>
      </c>
      <c r="AG24" s="194">
        <f t="shared" si="26"/>
        <v>0</v>
      </c>
      <c r="AH24" s="194">
        <f t="shared" si="27"/>
        <v>0</v>
      </c>
      <c r="AI24" s="199">
        <f t="shared" si="28"/>
        <v>0</v>
      </c>
      <c r="AK24" s="71">
        <v>19</v>
      </c>
      <c r="AL24" s="33">
        <f t="shared" si="10"/>
        <v>0</v>
      </c>
      <c r="AM24" s="33">
        <f t="shared" si="11"/>
        <v>0</v>
      </c>
      <c r="AN24" s="33">
        <f t="shared" si="12"/>
        <v>0</v>
      </c>
      <c r="AO24" s="33">
        <f t="shared" si="13"/>
        <v>0</v>
      </c>
      <c r="AP24" s="33">
        <f t="shared" si="14"/>
        <v>0</v>
      </c>
      <c r="AQ24" s="194">
        <f t="shared" si="17"/>
        <v>0</v>
      </c>
      <c r="AR24" s="194">
        <f t="shared" si="17"/>
        <v>0</v>
      </c>
      <c r="AS24" s="194">
        <f t="shared" si="17"/>
        <v>0</v>
      </c>
      <c r="AT24" s="194">
        <f t="shared" si="17"/>
        <v>0</v>
      </c>
      <c r="AU24" s="33"/>
      <c r="AV24" s="33"/>
      <c r="AW24" s="33"/>
      <c r="AX24" s="33"/>
      <c r="AY24" s="164">
        <f t="shared" si="24"/>
        <v>0</v>
      </c>
    </row>
    <row r="25" spans="2:51" x14ac:dyDescent="0.3">
      <c r="B25" s="45">
        <v>0</v>
      </c>
      <c r="C25" s="334">
        <v>20</v>
      </c>
      <c r="D25" s="136">
        <f>D26+0</f>
        <v>42</v>
      </c>
      <c r="E25" s="140">
        <f t="shared" ref="E25:E78" si="29">$F$20</f>
        <v>1.56</v>
      </c>
      <c r="F25" s="46">
        <f t="shared" ref="F25:F47" si="30">D25*E25</f>
        <v>65.52</v>
      </c>
      <c r="G25" s="50">
        <f>F25/(C25-B25)</f>
        <v>3.2759999999999998</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0</v>
      </c>
      <c r="AH25" s="194">
        <f>IF(OR(AA25&lt;=$F$18,AA25&lt;=30),EXP(-LN(2)/$D$105)*AH24+((1-EXP(-LN(2)/$D$105))/(LN(2)/$D$105))*$AB25*AE25*0.475*$F$19*44/12,)</f>
        <v>0</v>
      </c>
      <c r="AI25" s="199">
        <f>IF(OR(AA25&lt;=$F$18,AA25&lt;=30),SUM(AF25:AH25),)</f>
        <v>0</v>
      </c>
      <c r="AK25" s="71">
        <v>20</v>
      </c>
      <c r="AL25" s="33">
        <f t="shared" si="10"/>
        <v>0</v>
      </c>
      <c r="AM25" s="33">
        <f t="shared" si="11"/>
        <v>0</v>
      </c>
      <c r="AN25" s="33">
        <f t="shared" si="12"/>
        <v>0</v>
      </c>
      <c r="AO25" s="33">
        <f t="shared" si="13"/>
        <v>0</v>
      </c>
      <c r="AP25" s="33">
        <f t="shared" si="14"/>
        <v>0</v>
      </c>
      <c r="AQ25" s="194">
        <f>IF($AK25&lt;=$F$18,$AL25*AM25,)</f>
        <v>0</v>
      </c>
      <c r="AR25" s="194">
        <f>IF($AK25&lt;=$F$18,$AL25*AN25,)</f>
        <v>0</v>
      </c>
      <c r="AS25" s="194">
        <f>IF($AK25&lt;=$F$18,$AL25*AO25,)</f>
        <v>0</v>
      </c>
      <c r="AT25" s="194">
        <f>IF($AK25&lt;=$F$18,$AL25*AP25,)</f>
        <v>0</v>
      </c>
      <c r="AU25" s="33"/>
      <c r="AV25" s="33"/>
      <c r="AW25" s="33"/>
      <c r="AX25" s="33"/>
      <c r="AY25" s="164">
        <f t="shared" si="24"/>
        <v>0</v>
      </c>
    </row>
    <row r="26" spans="2:51" x14ac:dyDescent="0.3">
      <c r="B26" s="40">
        <f t="shared" ref="B26:B78" si="31">C25</f>
        <v>20</v>
      </c>
      <c r="C26" s="41">
        <f>B26+1</f>
        <v>21</v>
      </c>
      <c r="D26" s="137">
        <v>42</v>
      </c>
      <c r="E26" s="141">
        <f t="shared" si="29"/>
        <v>1.56</v>
      </c>
      <c r="F26" s="42">
        <f t="shared" si="30"/>
        <v>65.52</v>
      </c>
      <c r="G26" s="142">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5">
        <f t="shared" si="7"/>
        <v>0</v>
      </c>
      <c r="AD26" s="100">
        <f t="shared" si="8"/>
        <v>0</v>
      </c>
      <c r="AE26" s="100">
        <f t="shared" si="9"/>
        <v>0</v>
      </c>
      <c r="AF26" s="194">
        <f>IF(OR(AA26&lt;=$F$18,AA26&lt;=30),EXP(-LN(2)/$D$104)*AF25+((1-EXP(-LN(2)/$D$104))/(LN(2)/$D$104))*$AB26*AC26*0.475*$F$19*44/12,)</f>
        <v>0</v>
      </c>
      <c r="AG26" s="194">
        <f>IF(OR(AA26&lt;=$F$18,AA26&lt;=30),EXP(-LN(2)/$D$106)*AG25+((1-EXP(-LN(2)/$D$106))/(LN(2)/$D$106))*$AB26*AD26*0.475*$F$19*44/12,)</f>
        <v>0</v>
      </c>
      <c r="AH26" s="194">
        <f>IF(OR(AA26&lt;=$F$18,AA26&lt;=30),EXP(-LN(2)/$D$105)*AH25+((1-EXP(-LN(2)/$D$105))/(LN(2)/$D$105))*$AB26*AE26*0.475*$F$19*44/12,)</f>
        <v>0</v>
      </c>
      <c r="AI26" s="199">
        <f>IF(OR(AA26&lt;=$F$18,AA26&lt;=30),SUM(AF26:AH26),)</f>
        <v>0</v>
      </c>
      <c r="AK26" s="71">
        <v>21</v>
      </c>
      <c r="AL26" s="33">
        <f t="shared" si="10"/>
        <v>0</v>
      </c>
      <c r="AM26" s="33">
        <f t="shared" si="11"/>
        <v>0</v>
      </c>
      <c r="AN26" s="33">
        <f t="shared" si="12"/>
        <v>0</v>
      </c>
      <c r="AO26" s="33">
        <f t="shared" si="13"/>
        <v>0</v>
      </c>
      <c r="AP26" s="33">
        <f t="shared" si="14"/>
        <v>0</v>
      </c>
      <c r="AQ26" s="194">
        <f t="shared" ref="AQ26:AT35" si="32">IF($AK26&lt;=$F$18,$AL26*AM26,)</f>
        <v>0</v>
      </c>
      <c r="AR26" s="194">
        <f t="shared" si="32"/>
        <v>0</v>
      </c>
      <c r="AS26" s="194">
        <f t="shared" si="32"/>
        <v>0</v>
      </c>
      <c r="AT26" s="194">
        <f t="shared" si="32"/>
        <v>0</v>
      </c>
      <c r="AU26" s="33"/>
      <c r="AV26" s="33"/>
      <c r="AW26" s="33"/>
      <c r="AX26" s="33"/>
      <c r="AY26" s="164">
        <f t="shared" si="24"/>
        <v>0</v>
      </c>
    </row>
    <row r="27" spans="2:51" x14ac:dyDescent="0.3">
      <c r="B27" s="40">
        <f t="shared" si="31"/>
        <v>21</v>
      </c>
      <c r="C27" s="152">
        <f>C25+5</f>
        <v>25</v>
      </c>
      <c r="D27" s="137">
        <f>D28+8</f>
        <v>70</v>
      </c>
      <c r="E27" s="141">
        <f t="shared" si="29"/>
        <v>1.56</v>
      </c>
      <c r="F27" s="42">
        <f t="shared" si="30"/>
        <v>109.2</v>
      </c>
      <c r="G27" s="51">
        <f t="shared" ref="G27:G47" si="33">(F27-F26)/(C27-B27)</f>
        <v>10.920000000000002</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5">
        <f t="shared" si="7"/>
        <v>0</v>
      </c>
      <c r="AD27" s="100">
        <f t="shared" si="8"/>
        <v>0</v>
      </c>
      <c r="AE27" s="100">
        <f t="shared" si="9"/>
        <v>0</v>
      </c>
      <c r="AF27" s="194">
        <f t="shared" ref="AF27:AF90" si="34">IF(OR(AA27&lt;=$F$18,AA27&lt;=30),EXP(-LN(2)/$D$104)*AF26+((1-EXP(-LN(2)/$D$104))/(LN(2)/$D$104))*$AB27*AC27*0.475*$F$19*44/12,)</f>
        <v>0</v>
      </c>
      <c r="AG27" s="194">
        <f t="shared" ref="AG27:AG90" si="35">IF(OR(AA27&lt;=$F$18,AA27&lt;=30),EXP(-LN(2)/$D$106)*AG26+((1-EXP(-LN(2)/$D$106))/(LN(2)/$D$106))*$AB27*AD27*0.475*$F$19*44/12,)</f>
        <v>0</v>
      </c>
      <c r="AH27" s="194">
        <f t="shared" ref="AH27:AH90" si="36">IF(OR(AA27&lt;=$F$18,AA27&lt;=30),EXP(-LN(2)/$D$105)*AH26+((1-EXP(-LN(2)/$D$105))/(LN(2)/$D$105))*$AB27*AE27*0.475*$F$19*44/12,)</f>
        <v>0</v>
      </c>
      <c r="AI27" s="199">
        <f t="shared" ref="AI27:AI90" si="37">IF(OR(AA27&lt;=$F$18,AA27&lt;=30),SUM(AF27:AH27),)</f>
        <v>0</v>
      </c>
      <c r="AK27" s="71">
        <v>22</v>
      </c>
      <c r="AL27" s="33">
        <f t="shared" si="10"/>
        <v>0</v>
      </c>
      <c r="AM27" s="33">
        <f t="shared" si="11"/>
        <v>0</v>
      </c>
      <c r="AN27" s="33">
        <f t="shared" si="12"/>
        <v>0</v>
      </c>
      <c r="AO27" s="33">
        <f t="shared" si="13"/>
        <v>0</v>
      </c>
      <c r="AP27" s="33">
        <f t="shared" si="14"/>
        <v>0</v>
      </c>
      <c r="AQ27" s="194">
        <f t="shared" si="32"/>
        <v>0</v>
      </c>
      <c r="AR27" s="194">
        <f t="shared" si="32"/>
        <v>0</v>
      </c>
      <c r="AS27" s="194">
        <f t="shared" si="32"/>
        <v>0</v>
      </c>
      <c r="AT27" s="194">
        <f t="shared" si="32"/>
        <v>0</v>
      </c>
      <c r="AU27" s="33"/>
      <c r="AV27" s="33"/>
      <c r="AW27" s="33"/>
      <c r="AX27" s="33"/>
      <c r="AY27" s="164">
        <f t="shared" si="24"/>
        <v>0</v>
      </c>
    </row>
    <row r="28" spans="2:51" x14ac:dyDescent="0.3">
      <c r="B28" s="40">
        <f t="shared" si="31"/>
        <v>25</v>
      </c>
      <c r="C28" s="152">
        <f>C26+5</f>
        <v>26</v>
      </c>
      <c r="D28" s="137">
        <v>62</v>
      </c>
      <c r="E28" s="141">
        <f t="shared" si="29"/>
        <v>1.56</v>
      </c>
      <c r="F28" s="42">
        <f t="shared" si="30"/>
        <v>96.72</v>
      </c>
      <c r="G28" s="51">
        <f t="shared" si="33"/>
        <v>-12.480000000000004</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5">
        <f t="shared" si="7"/>
        <v>0</v>
      </c>
      <c r="AD28" s="100">
        <f t="shared" si="8"/>
        <v>0</v>
      </c>
      <c r="AE28" s="100">
        <f t="shared" si="9"/>
        <v>0</v>
      </c>
      <c r="AF28" s="194">
        <f t="shared" si="34"/>
        <v>0</v>
      </c>
      <c r="AG28" s="194">
        <f t="shared" si="35"/>
        <v>0</v>
      </c>
      <c r="AH28" s="194">
        <f t="shared" si="36"/>
        <v>0</v>
      </c>
      <c r="AI28" s="199">
        <f t="shared" si="37"/>
        <v>0</v>
      </c>
      <c r="AK28" s="71">
        <v>23</v>
      </c>
      <c r="AL28" s="33">
        <f t="shared" si="10"/>
        <v>0</v>
      </c>
      <c r="AM28" s="33">
        <f t="shared" si="11"/>
        <v>0</v>
      </c>
      <c r="AN28" s="33">
        <f t="shared" si="12"/>
        <v>0</v>
      </c>
      <c r="AO28" s="33">
        <f t="shared" si="13"/>
        <v>0</v>
      </c>
      <c r="AP28" s="33">
        <f t="shared" si="14"/>
        <v>0</v>
      </c>
      <c r="AQ28" s="194">
        <f t="shared" si="32"/>
        <v>0</v>
      </c>
      <c r="AR28" s="194">
        <f t="shared" si="32"/>
        <v>0</v>
      </c>
      <c r="AS28" s="194">
        <f t="shared" si="32"/>
        <v>0</v>
      </c>
      <c r="AT28" s="194">
        <f t="shared" si="32"/>
        <v>0</v>
      </c>
      <c r="AU28" s="33"/>
      <c r="AV28" s="33"/>
      <c r="AW28" s="33"/>
      <c r="AX28" s="33"/>
      <c r="AY28" s="164">
        <f t="shared" si="24"/>
        <v>0</v>
      </c>
    </row>
    <row r="29" spans="2:51" x14ac:dyDescent="0.3">
      <c r="B29" s="40">
        <f t="shared" si="31"/>
        <v>26</v>
      </c>
      <c r="C29" s="152">
        <f t="shared" ref="C29:C78" si="38">C27+5</f>
        <v>30</v>
      </c>
      <c r="D29" s="137">
        <f>D30+21</f>
        <v>97</v>
      </c>
      <c r="E29" s="141">
        <f t="shared" si="29"/>
        <v>1.56</v>
      </c>
      <c r="F29" s="42">
        <f t="shared" si="30"/>
        <v>151.32</v>
      </c>
      <c r="G29" s="51">
        <f t="shared" si="33"/>
        <v>13.649999999999999</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5">
        <f t="shared" si="7"/>
        <v>0</v>
      </c>
      <c r="AD29" s="100">
        <f t="shared" si="8"/>
        <v>0</v>
      </c>
      <c r="AE29" s="100">
        <f t="shared" si="9"/>
        <v>0</v>
      </c>
      <c r="AF29" s="194">
        <f t="shared" si="34"/>
        <v>0</v>
      </c>
      <c r="AG29" s="194">
        <f t="shared" si="35"/>
        <v>0</v>
      </c>
      <c r="AH29" s="194">
        <f t="shared" si="36"/>
        <v>0</v>
      </c>
      <c r="AI29" s="199">
        <f t="shared" si="37"/>
        <v>0</v>
      </c>
      <c r="AK29" s="71">
        <v>24</v>
      </c>
      <c r="AL29" s="33">
        <f t="shared" si="10"/>
        <v>0</v>
      </c>
      <c r="AM29" s="33">
        <f t="shared" si="11"/>
        <v>0</v>
      </c>
      <c r="AN29" s="33">
        <f t="shared" si="12"/>
        <v>0</v>
      </c>
      <c r="AO29" s="33">
        <f t="shared" si="13"/>
        <v>0</v>
      </c>
      <c r="AP29" s="33">
        <f t="shared" si="14"/>
        <v>0</v>
      </c>
      <c r="AQ29" s="194">
        <f t="shared" si="32"/>
        <v>0</v>
      </c>
      <c r="AR29" s="194">
        <f t="shared" si="32"/>
        <v>0</v>
      </c>
      <c r="AS29" s="194">
        <f t="shared" si="32"/>
        <v>0</v>
      </c>
      <c r="AT29" s="194">
        <f t="shared" si="32"/>
        <v>0</v>
      </c>
      <c r="AU29" s="33"/>
      <c r="AV29" s="33"/>
      <c r="AW29" s="33"/>
      <c r="AX29" s="33"/>
      <c r="AY29" s="164">
        <f t="shared" si="24"/>
        <v>0</v>
      </c>
    </row>
    <row r="30" spans="2:51" x14ac:dyDescent="0.3">
      <c r="B30" s="40">
        <f t="shared" si="31"/>
        <v>30</v>
      </c>
      <c r="C30" s="152">
        <f t="shared" si="38"/>
        <v>31</v>
      </c>
      <c r="D30" s="137">
        <v>76</v>
      </c>
      <c r="E30" s="141">
        <f t="shared" si="29"/>
        <v>1.56</v>
      </c>
      <c r="F30" s="42">
        <f t="shared" si="30"/>
        <v>118.56</v>
      </c>
      <c r="G30" s="51">
        <f t="shared" si="33"/>
        <v>-32.759999999999991</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5">
        <f>IF(AA30&lt;=$F$18,IFERROR(VLOOKUP($AA30,$B$82:$G$94,3,FALSE),0),)*50%</f>
        <v>0</v>
      </c>
      <c r="AD30" s="100">
        <f t="shared" si="8"/>
        <v>0</v>
      </c>
      <c r="AE30" s="100">
        <f t="shared" si="9"/>
        <v>0</v>
      </c>
      <c r="AF30" s="194">
        <f t="shared" si="34"/>
        <v>0</v>
      </c>
      <c r="AG30" s="194">
        <f t="shared" si="35"/>
        <v>0</v>
      </c>
      <c r="AH30" s="194">
        <f t="shared" si="36"/>
        <v>0</v>
      </c>
      <c r="AI30" s="199">
        <f t="shared" si="37"/>
        <v>0</v>
      </c>
      <c r="AK30" s="71">
        <v>25</v>
      </c>
      <c r="AL30" s="33">
        <f t="shared" si="10"/>
        <v>0</v>
      </c>
      <c r="AM30" s="33">
        <f t="shared" si="11"/>
        <v>0</v>
      </c>
      <c r="AN30" s="33">
        <f t="shared" si="12"/>
        <v>0</v>
      </c>
      <c r="AO30" s="33">
        <f t="shared" si="13"/>
        <v>0</v>
      </c>
      <c r="AP30" s="33">
        <f t="shared" si="14"/>
        <v>0</v>
      </c>
      <c r="AQ30" s="194">
        <f t="shared" si="32"/>
        <v>0</v>
      </c>
      <c r="AR30" s="194">
        <f t="shared" si="32"/>
        <v>0</v>
      </c>
      <c r="AS30" s="194">
        <f t="shared" si="32"/>
        <v>0</v>
      </c>
      <c r="AT30" s="194">
        <f t="shared" si="32"/>
        <v>0</v>
      </c>
      <c r="AU30" s="33"/>
      <c r="AV30" s="33"/>
      <c r="AW30" s="33"/>
      <c r="AX30" s="33"/>
      <c r="AY30" s="164">
        <f t="shared" si="24"/>
        <v>0</v>
      </c>
    </row>
    <row r="31" spans="2:51" x14ac:dyDescent="0.3">
      <c r="B31" s="40">
        <f t="shared" si="31"/>
        <v>31</v>
      </c>
      <c r="C31" s="152">
        <f t="shared" si="38"/>
        <v>35</v>
      </c>
      <c r="D31" s="137">
        <f>D32+21</f>
        <v>116</v>
      </c>
      <c r="E31" s="141">
        <f t="shared" si="29"/>
        <v>1.56</v>
      </c>
      <c r="F31" s="42">
        <f t="shared" si="30"/>
        <v>180.96</v>
      </c>
      <c r="G31" s="51">
        <f t="shared" si="33"/>
        <v>15.600000000000001</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5">
        <f t="shared" ref="AC31:AC94" si="39">IF(AA31&lt;=$F$18,IFERROR(VLOOKUP($AA31,$B$82:$G$94,3,FALSE),0),)*50%</f>
        <v>0</v>
      </c>
      <c r="AD31" s="100">
        <f t="shared" si="8"/>
        <v>0</v>
      </c>
      <c r="AE31" s="100">
        <f t="shared" si="9"/>
        <v>0</v>
      </c>
      <c r="AF31" s="194">
        <f t="shared" si="34"/>
        <v>0</v>
      </c>
      <c r="AG31" s="194">
        <f t="shared" si="35"/>
        <v>0</v>
      </c>
      <c r="AH31" s="194">
        <f t="shared" si="36"/>
        <v>0</v>
      </c>
      <c r="AI31" s="199">
        <f t="shared" si="37"/>
        <v>0</v>
      </c>
      <c r="AK31" s="71">
        <v>26</v>
      </c>
      <c r="AL31" s="33">
        <f t="shared" si="10"/>
        <v>0</v>
      </c>
      <c r="AM31" s="33">
        <f t="shared" si="11"/>
        <v>0</v>
      </c>
      <c r="AN31" s="33">
        <f t="shared" si="12"/>
        <v>0</v>
      </c>
      <c r="AO31" s="33">
        <f t="shared" si="13"/>
        <v>0</v>
      </c>
      <c r="AP31" s="33">
        <f t="shared" si="14"/>
        <v>0</v>
      </c>
      <c r="AQ31" s="194">
        <f t="shared" si="32"/>
        <v>0</v>
      </c>
      <c r="AR31" s="194">
        <f t="shared" si="32"/>
        <v>0</v>
      </c>
      <c r="AS31" s="194">
        <f t="shared" si="32"/>
        <v>0</v>
      </c>
      <c r="AT31" s="194">
        <f t="shared" si="32"/>
        <v>0</v>
      </c>
      <c r="AU31" s="33"/>
      <c r="AV31" s="33"/>
      <c r="AW31" s="33"/>
      <c r="AX31" s="33"/>
      <c r="AY31" s="164">
        <f t="shared" si="24"/>
        <v>0</v>
      </c>
    </row>
    <row r="32" spans="2:51" x14ac:dyDescent="0.3">
      <c r="B32" s="40">
        <f t="shared" si="31"/>
        <v>35</v>
      </c>
      <c r="C32" s="152">
        <f t="shared" si="38"/>
        <v>36</v>
      </c>
      <c r="D32" s="137">
        <v>95</v>
      </c>
      <c r="E32" s="141">
        <f t="shared" si="29"/>
        <v>1.56</v>
      </c>
      <c r="F32" s="42">
        <f t="shared" si="30"/>
        <v>148.20000000000002</v>
      </c>
      <c r="G32" s="51">
        <f t="shared" si="33"/>
        <v>-32.759999999999991</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5">
        <f t="shared" si="39"/>
        <v>0</v>
      </c>
      <c r="AD32" s="100">
        <f t="shared" si="8"/>
        <v>0</v>
      </c>
      <c r="AE32" s="100">
        <f t="shared" si="9"/>
        <v>0</v>
      </c>
      <c r="AF32" s="194">
        <f t="shared" si="34"/>
        <v>0</v>
      </c>
      <c r="AG32" s="194">
        <f t="shared" si="35"/>
        <v>0</v>
      </c>
      <c r="AH32" s="194">
        <f t="shared" si="36"/>
        <v>0</v>
      </c>
      <c r="AI32" s="199">
        <f t="shared" si="37"/>
        <v>0</v>
      </c>
      <c r="AK32" s="71">
        <v>27</v>
      </c>
      <c r="AL32" s="33">
        <f t="shared" si="10"/>
        <v>0</v>
      </c>
      <c r="AM32" s="33">
        <f t="shared" si="11"/>
        <v>0</v>
      </c>
      <c r="AN32" s="33">
        <f t="shared" si="12"/>
        <v>0</v>
      </c>
      <c r="AO32" s="33">
        <f t="shared" si="13"/>
        <v>0</v>
      </c>
      <c r="AP32" s="33">
        <f t="shared" si="14"/>
        <v>0</v>
      </c>
      <c r="AQ32" s="194">
        <f t="shared" si="32"/>
        <v>0</v>
      </c>
      <c r="AR32" s="194">
        <f t="shared" si="32"/>
        <v>0</v>
      </c>
      <c r="AS32" s="194">
        <f t="shared" si="32"/>
        <v>0</v>
      </c>
      <c r="AT32" s="194">
        <f t="shared" si="32"/>
        <v>0</v>
      </c>
      <c r="AU32" s="33"/>
      <c r="AV32" s="33"/>
      <c r="AW32" s="33"/>
      <c r="AX32" s="33"/>
      <c r="AY32" s="164">
        <f t="shared" si="24"/>
        <v>0</v>
      </c>
    </row>
    <row r="33" spans="2:51" x14ac:dyDescent="0.3">
      <c r="B33" s="40">
        <f t="shared" si="31"/>
        <v>36</v>
      </c>
      <c r="C33" s="152">
        <f t="shared" si="38"/>
        <v>40</v>
      </c>
      <c r="D33" s="137">
        <f>D34+21</f>
        <v>137</v>
      </c>
      <c r="E33" s="141">
        <f t="shared" si="29"/>
        <v>1.56</v>
      </c>
      <c r="F33" s="42">
        <f t="shared" si="30"/>
        <v>213.72</v>
      </c>
      <c r="G33" s="51">
        <f t="shared" si="33"/>
        <v>16.379999999999995</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5">
        <f t="shared" si="39"/>
        <v>0</v>
      </c>
      <c r="AD33" s="100">
        <f t="shared" si="8"/>
        <v>0</v>
      </c>
      <c r="AE33" s="100">
        <f t="shared" si="9"/>
        <v>0</v>
      </c>
      <c r="AF33" s="194">
        <f t="shared" si="34"/>
        <v>0</v>
      </c>
      <c r="AG33" s="194">
        <f t="shared" si="35"/>
        <v>0</v>
      </c>
      <c r="AH33" s="194">
        <f t="shared" si="36"/>
        <v>0</v>
      </c>
      <c r="AI33" s="199">
        <f t="shared" si="37"/>
        <v>0</v>
      </c>
      <c r="AK33" s="71">
        <v>28</v>
      </c>
      <c r="AL33" s="33">
        <f t="shared" si="10"/>
        <v>0</v>
      </c>
      <c r="AM33" s="33">
        <f t="shared" si="11"/>
        <v>0</v>
      </c>
      <c r="AN33" s="33">
        <f t="shared" si="12"/>
        <v>0</v>
      </c>
      <c r="AO33" s="33">
        <f t="shared" si="13"/>
        <v>0</v>
      </c>
      <c r="AP33" s="33">
        <f t="shared" si="14"/>
        <v>0</v>
      </c>
      <c r="AQ33" s="194">
        <f t="shared" si="32"/>
        <v>0</v>
      </c>
      <c r="AR33" s="194">
        <f t="shared" si="32"/>
        <v>0</v>
      </c>
      <c r="AS33" s="194">
        <f t="shared" si="32"/>
        <v>0</v>
      </c>
      <c r="AT33" s="194">
        <f t="shared" si="32"/>
        <v>0</v>
      </c>
      <c r="AU33" s="33"/>
      <c r="AV33" s="33"/>
      <c r="AW33" s="33"/>
      <c r="AX33" s="33"/>
      <c r="AY33" s="164">
        <f t="shared" si="24"/>
        <v>0</v>
      </c>
    </row>
    <row r="34" spans="2:51" ht="15" thickBot="1" x14ac:dyDescent="0.35">
      <c r="B34" s="40">
        <f t="shared" si="31"/>
        <v>40</v>
      </c>
      <c r="C34" s="152">
        <f t="shared" si="38"/>
        <v>41</v>
      </c>
      <c r="D34" s="137">
        <v>116</v>
      </c>
      <c r="E34" s="141">
        <f t="shared" si="29"/>
        <v>1.56</v>
      </c>
      <c r="F34" s="42">
        <f t="shared" si="30"/>
        <v>180.96</v>
      </c>
      <c r="G34" s="51">
        <f t="shared" si="33"/>
        <v>-32.759999999999991</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3">
        <f t="shared" si="6"/>
        <v>0</v>
      </c>
      <c r="AC34" s="305">
        <f t="shared" si="39"/>
        <v>0</v>
      </c>
      <c r="AD34" s="101">
        <f t="shared" si="8"/>
        <v>0</v>
      </c>
      <c r="AE34" s="101">
        <f t="shared" si="9"/>
        <v>0</v>
      </c>
      <c r="AF34" s="196">
        <f t="shared" si="34"/>
        <v>0</v>
      </c>
      <c r="AG34" s="196">
        <f t="shared" si="35"/>
        <v>0</v>
      </c>
      <c r="AH34" s="194">
        <f t="shared" si="36"/>
        <v>0</v>
      </c>
      <c r="AI34" s="199">
        <f t="shared" si="37"/>
        <v>0</v>
      </c>
      <c r="AK34" s="71">
        <v>29</v>
      </c>
      <c r="AL34" s="143">
        <f t="shared" si="10"/>
        <v>0</v>
      </c>
      <c r="AM34" s="35">
        <f t="shared" si="11"/>
        <v>0</v>
      </c>
      <c r="AN34" s="35">
        <f t="shared" si="12"/>
        <v>0</v>
      </c>
      <c r="AO34" s="35">
        <f t="shared" si="13"/>
        <v>0</v>
      </c>
      <c r="AP34" s="35">
        <f t="shared" si="14"/>
        <v>0</v>
      </c>
      <c r="AQ34" s="194">
        <f t="shared" si="32"/>
        <v>0</v>
      </c>
      <c r="AR34" s="194">
        <f t="shared" si="32"/>
        <v>0</v>
      </c>
      <c r="AS34" s="194">
        <f t="shared" si="32"/>
        <v>0</v>
      </c>
      <c r="AT34" s="194">
        <f t="shared" si="32"/>
        <v>0</v>
      </c>
      <c r="AU34" s="33"/>
      <c r="AV34" s="33"/>
      <c r="AW34" s="33"/>
      <c r="AX34" s="33"/>
      <c r="AY34" s="164">
        <f t="shared" si="24"/>
        <v>0</v>
      </c>
    </row>
    <row r="35" spans="2:51" ht="15" thickBot="1" x14ac:dyDescent="0.35">
      <c r="B35" s="40">
        <f t="shared" si="31"/>
        <v>41</v>
      </c>
      <c r="C35" s="152">
        <f t="shared" si="38"/>
        <v>45</v>
      </c>
      <c r="D35" s="137">
        <f>D36+21</f>
        <v>158</v>
      </c>
      <c r="E35" s="141">
        <f t="shared" si="29"/>
        <v>1.56</v>
      </c>
      <c r="F35" s="42">
        <f t="shared" si="30"/>
        <v>246.48000000000002</v>
      </c>
      <c r="G35" s="51">
        <f t="shared" si="33"/>
        <v>16.380000000000003</v>
      </c>
      <c r="I35" s="87">
        <v>30</v>
      </c>
      <c r="J35" s="159">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3">
        <f t="shared" si="6"/>
        <v>0</v>
      </c>
      <c r="AC35" s="305">
        <f t="shared" si="39"/>
        <v>0</v>
      </c>
      <c r="AD35" s="101">
        <f t="shared" si="8"/>
        <v>0</v>
      </c>
      <c r="AE35" s="101">
        <f t="shared" si="9"/>
        <v>0</v>
      </c>
      <c r="AF35" s="200">
        <f t="shared" si="34"/>
        <v>0</v>
      </c>
      <c r="AG35" s="195">
        <f t="shared" si="35"/>
        <v>0</v>
      </c>
      <c r="AH35" s="201">
        <f t="shared" si="36"/>
        <v>0</v>
      </c>
      <c r="AI35" s="202">
        <f t="shared" si="37"/>
        <v>0</v>
      </c>
      <c r="AK35" s="73">
        <v>30</v>
      </c>
      <c r="AL35" s="143">
        <f t="shared" si="10"/>
        <v>0</v>
      </c>
      <c r="AM35" s="35">
        <f t="shared" si="11"/>
        <v>0</v>
      </c>
      <c r="AN35" s="35">
        <f t="shared" si="12"/>
        <v>0</v>
      </c>
      <c r="AO35" s="35">
        <f t="shared" si="13"/>
        <v>0</v>
      </c>
      <c r="AP35" s="35">
        <f t="shared" si="14"/>
        <v>0</v>
      </c>
      <c r="AQ35" s="195">
        <f t="shared" si="32"/>
        <v>0</v>
      </c>
      <c r="AR35" s="195">
        <f t="shared" si="32"/>
        <v>0</v>
      </c>
      <c r="AS35" s="195">
        <f t="shared" si="32"/>
        <v>0</v>
      </c>
      <c r="AT35" s="195">
        <f t="shared" si="32"/>
        <v>0</v>
      </c>
      <c r="AU35" s="53"/>
      <c r="AV35" s="53"/>
      <c r="AW35" s="53"/>
      <c r="AX35" s="53"/>
      <c r="AY35" s="165">
        <f t="shared" si="24"/>
        <v>0</v>
      </c>
    </row>
    <row r="36" spans="2:51" x14ac:dyDescent="0.3">
      <c r="B36" s="40">
        <f t="shared" si="31"/>
        <v>45</v>
      </c>
      <c r="C36" s="152">
        <f t="shared" si="38"/>
        <v>46</v>
      </c>
      <c r="D36" s="137">
        <v>137</v>
      </c>
      <c r="E36" s="141">
        <f t="shared" si="29"/>
        <v>1.56</v>
      </c>
      <c r="F36" s="42">
        <f t="shared" si="30"/>
        <v>213.72</v>
      </c>
      <c r="G36" s="51">
        <f t="shared" si="33"/>
        <v>-32.760000000000019</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5">
        <f t="shared" si="39"/>
        <v>0</v>
      </c>
      <c r="AD36" s="100">
        <f t="shared" si="8"/>
        <v>0</v>
      </c>
      <c r="AE36" s="100">
        <f t="shared" si="9"/>
        <v>0</v>
      </c>
      <c r="AF36" s="194">
        <f t="shared" si="34"/>
        <v>0</v>
      </c>
      <c r="AG36" s="194">
        <f t="shared" si="35"/>
        <v>0</v>
      </c>
      <c r="AH36" s="194">
        <f t="shared" si="36"/>
        <v>0</v>
      </c>
      <c r="AI36" s="199">
        <f t="shared" si="37"/>
        <v>0</v>
      </c>
      <c r="AK36" s="71">
        <v>31</v>
      </c>
      <c r="AL36" s="33"/>
      <c r="AM36" s="33"/>
      <c r="AN36" s="33"/>
      <c r="AO36" s="33"/>
      <c r="AP36" s="33"/>
      <c r="AQ36" s="194"/>
      <c r="AR36" s="194"/>
      <c r="AS36" s="194"/>
      <c r="AT36" s="194"/>
      <c r="AU36" s="33"/>
      <c r="AV36" s="33"/>
      <c r="AW36" s="33"/>
      <c r="AX36" s="33"/>
      <c r="AY36" s="76"/>
    </row>
    <row r="37" spans="2:51" x14ac:dyDescent="0.3">
      <c r="B37" s="40">
        <f t="shared" si="31"/>
        <v>46</v>
      </c>
      <c r="C37" s="152">
        <f t="shared" si="38"/>
        <v>50</v>
      </c>
      <c r="D37" s="137">
        <f>D38+21</f>
        <v>178</v>
      </c>
      <c r="E37" s="141">
        <f t="shared" si="29"/>
        <v>1.56</v>
      </c>
      <c r="F37" s="42">
        <f t="shared" si="30"/>
        <v>277.68</v>
      </c>
      <c r="G37" s="51">
        <f t="shared" si="33"/>
        <v>15.990000000000002</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5">
        <f t="shared" si="39"/>
        <v>0</v>
      </c>
      <c r="AD37" s="100">
        <f t="shared" si="8"/>
        <v>0</v>
      </c>
      <c r="AE37" s="100">
        <f t="shared" si="9"/>
        <v>0</v>
      </c>
      <c r="AF37" s="194">
        <f t="shared" si="34"/>
        <v>0</v>
      </c>
      <c r="AG37" s="194">
        <f t="shared" si="35"/>
        <v>0</v>
      </c>
      <c r="AH37" s="194">
        <f t="shared" si="36"/>
        <v>0</v>
      </c>
      <c r="AI37" s="199">
        <f t="shared" si="37"/>
        <v>0</v>
      </c>
      <c r="AK37" s="71">
        <v>32</v>
      </c>
      <c r="AL37" s="33"/>
      <c r="AM37" s="33"/>
      <c r="AN37" s="33"/>
      <c r="AO37" s="33"/>
      <c r="AP37" s="33"/>
      <c r="AQ37" s="194"/>
      <c r="AR37" s="194"/>
      <c r="AS37" s="194"/>
      <c r="AT37" s="194"/>
      <c r="AU37" s="33"/>
      <c r="AV37" s="33"/>
      <c r="AW37" s="33"/>
      <c r="AX37" s="33"/>
      <c r="AY37" s="76"/>
    </row>
    <row r="38" spans="2:51" x14ac:dyDescent="0.3">
      <c r="B38" s="40">
        <f t="shared" si="31"/>
        <v>50</v>
      </c>
      <c r="C38" s="152">
        <f t="shared" si="38"/>
        <v>51</v>
      </c>
      <c r="D38" s="137">
        <v>157</v>
      </c>
      <c r="E38" s="141">
        <f t="shared" si="29"/>
        <v>1.56</v>
      </c>
      <c r="F38" s="42">
        <f t="shared" si="30"/>
        <v>244.92000000000002</v>
      </c>
      <c r="G38" s="51">
        <f t="shared" si="33"/>
        <v>-32.759999999999991</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5">
        <f t="shared" si="39"/>
        <v>0</v>
      </c>
      <c r="AD38" s="100">
        <f t="shared" si="8"/>
        <v>0</v>
      </c>
      <c r="AE38" s="100">
        <f t="shared" si="9"/>
        <v>0</v>
      </c>
      <c r="AF38" s="194">
        <f t="shared" si="34"/>
        <v>0</v>
      </c>
      <c r="AG38" s="194">
        <f t="shared" si="35"/>
        <v>0</v>
      </c>
      <c r="AH38" s="194">
        <f t="shared" si="36"/>
        <v>0</v>
      </c>
      <c r="AI38" s="199">
        <f t="shared" si="37"/>
        <v>0</v>
      </c>
      <c r="AK38" s="71">
        <v>33</v>
      </c>
      <c r="AL38" s="33"/>
      <c r="AM38" s="33"/>
      <c r="AN38" s="33"/>
      <c r="AO38" s="33"/>
      <c r="AP38" s="33"/>
      <c r="AQ38" s="194"/>
      <c r="AR38" s="194"/>
      <c r="AS38" s="194"/>
      <c r="AT38" s="194"/>
      <c r="AU38" s="33"/>
      <c r="AV38" s="33"/>
      <c r="AW38" s="33"/>
      <c r="AX38" s="33"/>
      <c r="AY38" s="76"/>
    </row>
    <row r="39" spans="2:51" x14ac:dyDescent="0.3">
      <c r="B39" s="40">
        <f t="shared" si="31"/>
        <v>51</v>
      </c>
      <c r="C39" s="152">
        <f t="shared" si="38"/>
        <v>55</v>
      </c>
      <c r="D39" s="137">
        <f>D40+21</f>
        <v>197</v>
      </c>
      <c r="E39" s="141">
        <f t="shared" si="29"/>
        <v>1.56</v>
      </c>
      <c r="F39" s="42">
        <f t="shared" si="30"/>
        <v>307.32</v>
      </c>
      <c r="G39" s="51">
        <f t="shared" si="33"/>
        <v>15.599999999999994</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5">
        <f t="shared" si="39"/>
        <v>0</v>
      </c>
      <c r="AD39" s="100">
        <f t="shared" si="8"/>
        <v>0</v>
      </c>
      <c r="AE39" s="100">
        <f t="shared" si="9"/>
        <v>0</v>
      </c>
      <c r="AF39" s="194">
        <f t="shared" si="34"/>
        <v>0</v>
      </c>
      <c r="AG39" s="194">
        <f t="shared" si="35"/>
        <v>0</v>
      </c>
      <c r="AH39" s="194">
        <f t="shared" si="36"/>
        <v>0</v>
      </c>
      <c r="AI39" s="199">
        <f t="shared" si="37"/>
        <v>0</v>
      </c>
      <c r="AK39" s="71">
        <v>34</v>
      </c>
      <c r="AL39" s="33"/>
      <c r="AM39" s="33"/>
      <c r="AN39" s="33"/>
      <c r="AO39" s="33"/>
      <c r="AP39" s="33"/>
      <c r="AQ39" s="194"/>
      <c r="AR39" s="194"/>
      <c r="AS39" s="194"/>
      <c r="AT39" s="194"/>
      <c r="AU39" s="33"/>
      <c r="AV39" s="33"/>
      <c r="AW39" s="33"/>
      <c r="AX39" s="33"/>
      <c r="AY39" s="76"/>
    </row>
    <row r="40" spans="2:51" x14ac:dyDescent="0.3">
      <c r="B40" s="40">
        <f t="shared" si="31"/>
        <v>55</v>
      </c>
      <c r="C40" s="152">
        <f t="shared" si="38"/>
        <v>56</v>
      </c>
      <c r="D40" s="137">
        <v>176</v>
      </c>
      <c r="E40" s="141">
        <f t="shared" si="29"/>
        <v>1.56</v>
      </c>
      <c r="F40" s="42">
        <f t="shared" si="30"/>
        <v>274.56</v>
      </c>
      <c r="G40" s="51">
        <f t="shared" si="33"/>
        <v>-32.759999999999991</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5">
        <f t="shared" si="39"/>
        <v>0</v>
      </c>
      <c r="AD40" s="100">
        <f t="shared" si="8"/>
        <v>0</v>
      </c>
      <c r="AE40" s="100">
        <f t="shared" si="9"/>
        <v>0</v>
      </c>
      <c r="AF40" s="194">
        <f t="shared" si="34"/>
        <v>0</v>
      </c>
      <c r="AG40" s="194">
        <f t="shared" si="35"/>
        <v>0</v>
      </c>
      <c r="AH40" s="194">
        <f t="shared" si="36"/>
        <v>0</v>
      </c>
      <c r="AI40" s="199">
        <f t="shared" si="37"/>
        <v>0</v>
      </c>
      <c r="AK40" s="71">
        <v>35</v>
      </c>
      <c r="AL40" s="33"/>
      <c r="AM40" s="33"/>
      <c r="AN40" s="33"/>
      <c r="AO40" s="33"/>
      <c r="AP40" s="33"/>
      <c r="AQ40" s="194"/>
      <c r="AR40" s="194"/>
      <c r="AS40" s="194"/>
      <c r="AT40" s="194"/>
      <c r="AU40" s="33"/>
      <c r="AV40" s="33"/>
      <c r="AW40" s="33"/>
      <c r="AX40" s="33"/>
      <c r="AY40" s="76"/>
    </row>
    <row r="41" spans="2:51" x14ac:dyDescent="0.3">
      <c r="B41" s="40">
        <f t="shared" si="31"/>
        <v>56</v>
      </c>
      <c r="C41" s="152">
        <f t="shared" si="38"/>
        <v>60</v>
      </c>
      <c r="D41" s="137">
        <f>D42+21</f>
        <v>214</v>
      </c>
      <c r="E41" s="141">
        <f t="shared" si="29"/>
        <v>1.56</v>
      </c>
      <c r="F41" s="42">
        <f t="shared" si="30"/>
        <v>333.84000000000003</v>
      </c>
      <c r="G41" s="51">
        <f t="shared" si="33"/>
        <v>14.820000000000007</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5">
        <f t="shared" si="39"/>
        <v>0</v>
      </c>
      <c r="AD41" s="100">
        <f t="shared" si="8"/>
        <v>0</v>
      </c>
      <c r="AE41" s="100">
        <f t="shared" si="9"/>
        <v>0</v>
      </c>
      <c r="AF41" s="194">
        <f t="shared" si="34"/>
        <v>0</v>
      </c>
      <c r="AG41" s="194">
        <f t="shared" si="35"/>
        <v>0</v>
      </c>
      <c r="AH41" s="194">
        <f t="shared" si="36"/>
        <v>0</v>
      </c>
      <c r="AI41" s="199">
        <f t="shared" si="37"/>
        <v>0</v>
      </c>
      <c r="AK41" s="71">
        <v>36</v>
      </c>
      <c r="AL41" s="33"/>
      <c r="AM41" s="33"/>
      <c r="AN41" s="33"/>
      <c r="AO41" s="33"/>
      <c r="AP41" s="33"/>
      <c r="AQ41" s="194"/>
      <c r="AR41" s="194"/>
      <c r="AS41" s="194"/>
      <c r="AT41" s="194"/>
      <c r="AU41" s="33"/>
      <c r="AV41" s="33"/>
      <c r="AW41" s="33"/>
      <c r="AX41" s="33"/>
      <c r="AY41" s="76"/>
    </row>
    <row r="42" spans="2:51" x14ac:dyDescent="0.3">
      <c r="B42" s="40">
        <f t="shared" si="31"/>
        <v>60</v>
      </c>
      <c r="C42" s="152">
        <f t="shared" si="38"/>
        <v>61</v>
      </c>
      <c r="D42" s="137">
        <v>193</v>
      </c>
      <c r="E42" s="141">
        <f t="shared" si="29"/>
        <v>1.56</v>
      </c>
      <c r="F42" s="42">
        <f t="shared" si="30"/>
        <v>301.08</v>
      </c>
      <c r="G42" s="51">
        <f t="shared" si="33"/>
        <v>-32.760000000000048</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5">
        <f t="shared" si="39"/>
        <v>0</v>
      </c>
      <c r="AD42" s="100">
        <f t="shared" si="8"/>
        <v>0</v>
      </c>
      <c r="AE42" s="100">
        <f t="shared" si="9"/>
        <v>0</v>
      </c>
      <c r="AF42" s="194">
        <f t="shared" si="34"/>
        <v>0</v>
      </c>
      <c r="AG42" s="194">
        <f t="shared" si="35"/>
        <v>0</v>
      </c>
      <c r="AH42" s="194">
        <f t="shared" si="36"/>
        <v>0</v>
      </c>
      <c r="AI42" s="199">
        <f t="shared" si="37"/>
        <v>0</v>
      </c>
      <c r="AK42" s="71">
        <v>37</v>
      </c>
      <c r="AL42" s="33"/>
      <c r="AM42" s="33"/>
      <c r="AN42" s="33"/>
      <c r="AO42" s="33"/>
      <c r="AP42" s="33"/>
      <c r="AQ42" s="194"/>
      <c r="AR42" s="194"/>
      <c r="AS42" s="194"/>
      <c r="AT42" s="194"/>
      <c r="AU42" s="33"/>
      <c r="AV42" s="33"/>
      <c r="AW42" s="33"/>
      <c r="AX42" s="33"/>
      <c r="AY42" s="76"/>
    </row>
    <row r="43" spans="2:51" x14ac:dyDescent="0.3">
      <c r="B43" s="40">
        <f t="shared" si="31"/>
        <v>61</v>
      </c>
      <c r="C43" s="152">
        <f t="shared" si="38"/>
        <v>65</v>
      </c>
      <c r="D43" s="137">
        <f>D44+21</f>
        <v>229</v>
      </c>
      <c r="E43" s="141">
        <f t="shared" si="29"/>
        <v>1.56</v>
      </c>
      <c r="F43" s="42">
        <f t="shared" si="30"/>
        <v>357.24</v>
      </c>
      <c r="G43" s="51">
        <f t="shared" si="33"/>
        <v>14.040000000000006</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5">
        <f t="shared" si="39"/>
        <v>0</v>
      </c>
      <c r="AD43" s="100">
        <f t="shared" si="8"/>
        <v>0</v>
      </c>
      <c r="AE43" s="100">
        <f t="shared" si="9"/>
        <v>0</v>
      </c>
      <c r="AF43" s="194">
        <f t="shared" si="34"/>
        <v>0</v>
      </c>
      <c r="AG43" s="194">
        <f t="shared" si="35"/>
        <v>0</v>
      </c>
      <c r="AH43" s="194">
        <f t="shared" si="36"/>
        <v>0</v>
      </c>
      <c r="AI43" s="199">
        <f t="shared" si="37"/>
        <v>0</v>
      </c>
      <c r="AK43" s="71">
        <v>38</v>
      </c>
      <c r="AL43" s="33"/>
      <c r="AM43" s="33"/>
      <c r="AN43" s="33"/>
      <c r="AO43" s="33"/>
      <c r="AP43" s="33"/>
      <c r="AQ43" s="194"/>
      <c r="AR43" s="194"/>
      <c r="AS43" s="194"/>
      <c r="AT43" s="194"/>
      <c r="AU43" s="33"/>
      <c r="AV43" s="33"/>
      <c r="AW43" s="33"/>
      <c r="AX43" s="33"/>
      <c r="AY43" s="76"/>
    </row>
    <row r="44" spans="2:51" x14ac:dyDescent="0.3">
      <c r="B44" s="40">
        <f t="shared" si="31"/>
        <v>65</v>
      </c>
      <c r="C44" s="152">
        <f t="shared" si="38"/>
        <v>66</v>
      </c>
      <c r="D44" s="137">
        <v>208</v>
      </c>
      <c r="E44" s="141">
        <f t="shared" si="29"/>
        <v>1.56</v>
      </c>
      <c r="F44" s="42">
        <f t="shared" si="30"/>
        <v>324.48</v>
      </c>
      <c r="G44" s="51">
        <f t="shared" si="33"/>
        <v>-32.759999999999991</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5">
        <f t="shared" si="39"/>
        <v>0</v>
      </c>
      <c r="AD44" s="100">
        <f t="shared" si="8"/>
        <v>0</v>
      </c>
      <c r="AE44" s="100">
        <f t="shared" si="9"/>
        <v>0</v>
      </c>
      <c r="AF44" s="194">
        <f t="shared" si="34"/>
        <v>0</v>
      </c>
      <c r="AG44" s="194">
        <f t="shared" si="35"/>
        <v>0</v>
      </c>
      <c r="AH44" s="194">
        <f t="shared" si="36"/>
        <v>0</v>
      </c>
      <c r="AI44" s="199">
        <f t="shared" si="37"/>
        <v>0</v>
      </c>
      <c r="AK44" s="71">
        <v>39</v>
      </c>
      <c r="AL44" s="33"/>
      <c r="AM44" s="33"/>
      <c r="AN44" s="33"/>
      <c r="AO44" s="33"/>
      <c r="AP44" s="33"/>
      <c r="AQ44" s="194"/>
      <c r="AR44" s="194"/>
      <c r="AS44" s="194"/>
      <c r="AT44" s="194"/>
      <c r="AU44" s="33"/>
      <c r="AV44" s="33"/>
      <c r="AW44" s="33"/>
      <c r="AX44" s="33"/>
      <c r="AY44" s="76"/>
    </row>
    <row r="45" spans="2:51" x14ac:dyDescent="0.3">
      <c r="B45" s="40">
        <f t="shared" si="31"/>
        <v>66</v>
      </c>
      <c r="C45" s="152">
        <f t="shared" si="38"/>
        <v>70</v>
      </c>
      <c r="D45" s="137">
        <f>D46+21</f>
        <v>242</v>
      </c>
      <c r="E45" s="141">
        <f t="shared" si="29"/>
        <v>1.56</v>
      </c>
      <c r="F45" s="42">
        <f t="shared" si="30"/>
        <v>377.52000000000004</v>
      </c>
      <c r="G45" s="51">
        <f t="shared" si="33"/>
        <v>13.260000000000005</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5">
        <f t="shared" si="39"/>
        <v>0</v>
      </c>
      <c r="AD45" s="100">
        <f t="shared" si="8"/>
        <v>0</v>
      </c>
      <c r="AE45" s="100">
        <f t="shared" si="9"/>
        <v>0</v>
      </c>
      <c r="AF45" s="194">
        <f t="shared" si="34"/>
        <v>0</v>
      </c>
      <c r="AG45" s="194">
        <f t="shared" si="35"/>
        <v>0</v>
      </c>
      <c r="AH45" s="194">
        <f t="shared" si="36"/>
        <v>0</v>
      </c>
      <c r="AI45" s="199">
        <f t="shared" si="37"/>
        <v>0</v>
      </c>
      <c r="AK45" s="71">
        <v>40</v>
      </c>
      <c r="AL45" s="33"/>
      <c r="AM45" s="33"/>
      <c r="AN45" s="33"/>
      <c r="AO45" s="33"/>
      <c r="AP45" s="33"/>
      <c r="AQ45" s="194"/>
      <c r="AR45" s="194"/>
      <c r="AS45" s="194"/>
      <c r="AT45" s="194"/>
      <c r="AU45" s="33"/>
      <c r="AV45" s="33"/>
      <c r="AW45" s="33"/>
      <c r="AX45" s="33"/>
      <c r="AY45" s="76"/>
    </row>
    <row r="46" spans="2:51" x14ac:dyDescent="0.3">
      <c r="B46" s="40">
        <f t="shared" si="31"/>
        <v>70</v>
      </c>
      <c r="C46" s="152">
        <f t="shared" si="38"/>
        <v>71</v>
      </c>
      <c r="D46" s="137">
        <v>221</v>
      </c>
      <c r="E46" s="141">
        <f t="shared" si="29"/>
        <v>1.56</v>
      </c>
      <c r="F46" s="42">
        <f t="shared" si="30"/>
        <v>344.76</v>
      </c>
      <c r="G46" s="51">
        <f t="shared" si="33"/>
        <v>-32.760000000000048</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5">
        <f t="shared" si="39"/>
        <v>0</v>
      </c>
      <c r="AD46" s="100">
        <f t="shared" si="8"/>
        <v>0</v>
      </c>
      <c r="AE46" s="100">
        <f t="shared" si="9"/>
        <v>0</v>
      </c>
      <c r="AF46" s="194">
        <f t="shared" si="34"/>
        <v>0</v>
      </c>
      <c r="AG46" s="194">
        <f t="shared" si="35"/>
        <v>0</v>
      </c>
      <c r="AH46" s="194">
        <f t="shared" si="36"/>
        <v>0</v>
      </c>
      <c r="AI46" s="199">
        <f t="shared" si="37"/>
        <v>0</v>
      </c>
      <c r="AK46" s="71">
        <v>41</v>
      </c>
      <c r="AL46" s="33"/>
      <c r="AM46" s="33"/>
      <c r="AN46" s="33"/>
      <c r="AO46" s="33"/>
      <c r="AP46" s="33"/>
      <c r="AQ46" s="194"/>
      <c r="AR46" s="194"/>
      <c r="AS46" s="194"/>
      <c r="AT46" s="194"/>
      <c r="AU46" s="33"/>
      <c r="AV46" s="33"/>
      <c r="AW46" s="33"/>
      <c r="AX46" s="33"/>
      <c r="AY46" s="76"/>
    </row>
    <row r="47" spans="2:51" x14ac:dyDescent="0.3">
      <c r="B47" s="40">
        <f t="shared" si="31"/>
        <v>71</v>
      </c>
      <c r="C47" s="152">
        <f t="shared" si="38"/>
        <v>75</v>
      </c>
      <c r="D47" s="137">
        <f>D48+21</f>
        <v>252</v>
      </c>
      <c r="E47" s="141">
        <f t="shared" si="29"/>
        <v>1.56</v>
      </c>
      <c r="F47" s="42">
        <f t="shared" si="30"/>
        <v>393.12</v>
      </c>
      <c r="G47" s="51">
        <f t="shared" si="33"/>
        <v>12.090000000000003</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5">
        <f t="shared" si="39"/>
        <v>0</v>
      </c>
      <c r="AD47" s="100">
        <f t="shared" si="8"/>
        <v>0</v>
      </c>
      <c r="AE47" s="100">
        <f t="shared" si="9"/>
        <v>0</v>
      </c>
      <c r="AF47" s="194">
        <f t="shared" si="34"/>
        <v>0</v>
      </c>
      <c r="AG47" s="194">
        <f t="shared" si="35"/>
        <v>0</v>
      </c>
      <c r="AH47" s="194">
        <f t="shared" si="36"/>
        <v>0</v>
      </c>
      <c r="AI47" s="199">
        <f t="shared" si="37"/>
        <v>0</v>
      </c>
      <c r="AK47" s="71">
        <v>42</v>
      </c>
      <c r="AL47" s="33"/>
      <c r="AM47" s="33"/>
      <c r="AN47" s="33"/>
      <c r="AO47" s="33"/>
      <c r="AP47" s="33"/>
      <c r="AQ47" s="194"/>
      <c r="AR47" s="194"/>
      <c r="AS47" s="194"/>
      <c r="AT47" s="194"/>
      <c r="AU47" s="33"/>
      <c r="AV47" s="33"/>
      <c r="AW47" s="33"/>
      <c r="AX47" s="33"/>
      <c r="AY47" s="76"/>
    </row>
    <row r="48" spans="2:51" x14ac:dyDescent="0.3">
      <c r="B48" s="40">
        <f t="shared" si="31"/>
        <v>75</v>
      </c>
      <c r="C48" s="152">
        <f t="shared" si="38"/>
        <v>76</v>
      </c>
      <c r="D48" s="137">
        <v>231</v>
      </c>
      <c r="E48" s="141">
        <f t="shared" si="29"/>
        <v>1.56</v>
      </c>
      <c r="F48" s="42">
        <f t="shared" ref="F48:F78" si="40">D48*E48</f>
        <v>360.36</v>
      </c>
      <c r="G48" s="51">
        <f t="shared" ref="G48:G78" si="41">(F48-F47)/(C48-B48)</f>
        <v>-32.759999999999991</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5">
        <f t="shared" si="39"/>
        <v>0</v>
      </c>
      <c r="AD48" s="100">
        <f t="shared" si="8"/>
        <v>0</v>
      </c>
      <c r="AE48" s="100">
        <f t="shared" si="9"/>
        <v>0</v>
      </c>
      <c r="AF48" s="194">
        <f t="shared" si="34"/>
        <v>0</v>
      </c>
      <c r="AG48" s="194">
        <f t="shared" si="35"/>
        <v>0</v>
      </c>
      <c r="AH48" s="194">
        <f t="shared" si="36"/>
        <v>0</v>
      </c>
      <c r="AI48" s="199">
        <f t="shared" si="37"/>
        <v>0</v>
      </c>
      <c r="AK48" s="71">
        <v>43</v>
      </c>
      <c r="AL48" s="33"/>
      <c r="AM48" s="33"/>
      <c r="AN48" s="33"/>
      <c r="AO48" s="33"/>
      <c r="AP48" s="33"/>
      <c r="AQ48" s="194"/>
      <c r="AR48" s="194"/>
      <c r="AS48" s="194"/>
      <c r="AT48" s="194"/>
      <c r="AU48" s="33"/>
      <c r="AV48" s="33"/>
      <c r="AW48" s="33"/>
      <c r="AX48" s="33"/>
      <c r="AY48" s="76"/>
    </row>
    <row r="49" spans="2:51" x14ac:dyDescent="0.3">
      <c r="B49" s="40">
        <f t="shared" si="31"/>
        <v>76</v>
      </c>
      <c r="C49" s="152">
        <f t="shared" si="38"/>
        <v>80</v>
      </c>
      <c r="D49" s="137">
        <f>D50+21</f>
        <v>261</v>
      </c>
      <c r="E49" s="141">
        <f t="shared" si="29"/>
        <v>1.56</v>
      </c>
      <c r="F49" s="42">
        <f t="shared" si="40"/>
        <v>407.16</v>
      </c>
      <c r="G49" s="51">
        <f t="shared" si="41"/>
        <v>11.700000000000003</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5">
        <f t="shared" si="39"/>
        <v>0</v>
      </c>
      <c r="AD49" s="100">
        <f t="shared" si="8"/>
        <v>0</v>
      </c>
      <c r="AE49" s="100">
        <f t="shared" si="9"/>
        <v>0</v>
      </c>
      <c r="AF49" s="194">
        <f t="shared" si="34"/>
        <v>0</v>
      </c>
      <c r="AG49" s="194">
        <f t="shared" si="35"/>
        <v>0</v>
      </c>
      <c r="AH49" s="194">
        <f t="shared" si="36"/>
        <v>0</v>
      </c>
      <c r="AI49" s="199">
        <f t="shared" si="37"/>
        <v>0</v>
      </c>
      <c r="AK49" s="71">
        <v>44</v>
      </c>
      <c r="AL49" s="33"/>
      <c r="AM49" s="33"/>
      <c r="AN49" s="33"/>
      <c r="AO49" s="33"/>
      <c r="AP49" s="33"/>
      <c r="AQ49" s="194"/>
      <c r="AR49" s="194"/>
      <c r="AS49" s="194"/>
      <c r="AT49" s="194"/>
      <c r="AU49" s="33"/>
      <c r="AV49" s="33"/>
      <c r="AW49" s="33"/>
      <c r="AX49" s="33"/>
      <c r="AY49" s="76"/>
    </row>
    <row r="50" spans="2:51" x14ac:dyDescent="0.3">
      <c r="B50" s="40">
        <f t="shared" si="31"/>
        <v>80</v>
      </c>
      <c r="C50" s="152">
        <f t="shared" si="38"/>
        <v>81</v>
      </c>
      <c r="D50" s="137">
        <v>240</v>
      </c>
      <c r="E50" s="141">
        <f t="shared" si="29"/>
        <v>1.56</v>
      </c>
      <c r="F50" s="42">
        <f t="shared" si="40"/>
        <v>374.40000000000003</v>
      </c>
      <c r="G50" s="51">
        <f t="shared" si="41"/>
        <v>-32.759999999999991</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5">
        <f t="shared" si="39"/>
        <v>0</v>
      </c>
      <c r="AD50" s="100">
        <f t="shared" si="8"/>
        <v>0</v>
      </c>
      <c r="AE50" s="100">
        <f t="shared" si="9"/>
        <v>0</v>
      </c>
      <c r="AF50" s="194">
        <f t="shared" si="34"/>
        <v>0</v>
      </c>
      <c r="AG50" s="194">
        <f t="shared" si="35"/>
        <v>0</v>
      </c>
      <c r="AH50" s="194">
        <f t="shared" si="36"/>
        <v>0</v>
      </c>
      <c r="AI50" s="199">
        <f t="shared" si="37"/>
        <v>0</v>
      </c>
      <c r="AK50" s="71">
        <v>45</v>
      </c>
      <c r="AL50" s="33"/>
      <c r="AM50" s="33"/>
      <c r="AN50" s="33"/>
      <c r="AO50" s="33"/>
      <c r="AP50" s="33"/>
      <c r="AQ50" s="194"/>
      <c r="AR50" s="194"/>
      <c r="AS50" s="194"/>
      <c r="AT50" s="194"/>
      <c r="AU50" s="33"/>
      <c r="AV50" s="33"/>
      <c r="AW50" s="33"/>
      <c r="AX50" s="33"/>
      <c r="AY50" s="76"/>
    </row>
    <row r="51" spans="2:51" x14ac:dyDescent="0.3">
      <c r="B51" s="40">
        <f t="shared" si="31"/>
        <v>81</v>
      </c>
      <c r="C51" s="152">
        <f t="shared" si="38"/>
        <v>85</v>
      </c>
      <c r="D51" s="137">
        <f>D52+21</f>
        <v>269</v>
      </c>
      <c r="E51" s="141">
        <f t="shared" si="29"/>
        <v>1.56</v>
      </c>
      <c r="F51" s="42">
        <f t="shared" si="40"/>
        <v>419.64</v>
      </c>
      <c r="G51" s="51">
        <f t="shared" si="41"/>
        <v>11.309999999999988</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5">
        <f t="shared" si="39"/>
        <v>0</v>
      </c>
      <c r="AD51" s="100">
        <f t="shared" si="8"/>
        <v>0</v>
      </c>
      <c r="AE51" s="100">
        <f t="shared" si="9"/>
        <v>0</v>
      </c>
      <c r="AF51" s="194">
        <f t="shared" si="34"/>
        <v>0</v>
      </c>
      <c r="AG51" s="194">
        <f t="shared" si="35"/>
        <v>0</v>
      </c>
      <c r="AH51" s="194">
        <f t="shared" si="36"/>
        <v>0</v>
      </c>
      <c r="AI51" s="199">
        <f t="shared" si="37"/>
        <v>0</v>
      </c>
      <c r="AK51" s="71">
        <v>46</v>
      </c>
      <c r="AL51" s="33"/>
      <c r="AM51" s="33"/>
      <c r="AN51" s="33"/>
      <c r="AO51" s="33"/>
      <c r="AP51" s="33"/>
      <c r="AQ51" s="194"/>
      <c r="AR51" s="194"/>
      <c r="AS51" s="194"/>
      <c r="AT51" s="194"/>
      <c r="AU51" s="33"/>
      <c r="AV51" s="33"/>
      <c r="AW51" s="33"/>
      <c r="AX51" s="33"/>
      <c r="AY51" s="76"/>
    </row>
    <row r="52" spans="2:51" x14ac:dyDescent="0.3">
      <c r="B52" s="40">
        <f t="shared" si="31"/>
        <v>85</v>
      </c>
      <c r="C52" s="152">
        <f t="shared" si="38"/>
        <v>86</v>
      </c>
      <c r="D52" s="137">
        <v>248</v>
      </c>
      <c r="E52" s="141">
        <f t="shared" si="29"/>
        <v>1.56</v>
      </c>
      <c r="F52" s="42">
        <f t="shared" si="40"/>
        <v>386.88</v>
      </c>
      <c r="G52" s="51">
        <f t="shared" si="41"/>
        <v>-32.759999999999991</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5">
        <f t="shared" si="39"/>
        <v>0</v>
      </c>
      <c r="AD52" s="100">
        <f t="shared" si="8"/>
        <v>0</v>
      </c>
      <c r="AE52" s="100">
        <f t="shared" si="9"/>
        <v>0</v>
      </c>
      <c r="AF52" s="194">
        <f t="shared" si="34"/>
        <v>0</v>
      </c>
      <c r="AG52" s="194">
        <f t="shared" si="35"/>
        <v>0</v>
      </c>
      <c r="AH52" s="194">
        <f t="shared" si="36"/>
        <v>0</v>
      </c>
      <c r="AI52" s="199">
        <f t="shared" si="37"/>
        <v>0</v>
      </c>
      <c r="AK52" s="71">
        <v>47</v>
      </c>
      <c r="AL52" s="33"/>
      <c r="AM52" s="33"/>
      <c r="AN52" s="33"/>
      <c r="AO52" s="33"/>
      <c r="AP52" s="33"/>
      <c r="AQ52" s="194"/>
      <c r="AR52" s="194"/>
      <c r="AS52" s="194"/>
      <c r="AT52" s="194"/>
      <c r="AU52" s="33"/>
      <c r="AV52" s="33"/>
      <c r="AW52" s="33"/>
      <c r="AX52" s="33"/>
      <c r="AY52" s="76"/>
    </row>
    <row r="53" spans="2:51" x14ac:dyDescent="0.3">
      <c r="B53" s="40">
        <f t="shared" si="31"/>
        <v>86</v>
      </c>
      <c r="C53" s="152">
        <f t="shared" si="38"/>
        <v>90</v>
      </c>
      <c r="D53" s="137">
        <f>D54+21</f>
        <v>275</v>
      </c>
      <c r="E53" s="141">
        <f t="shared" si="29"/>
        <v>1.56</v>
      </c>
      <c r="F53" s="42">
        <f t="shared" si="40"/>
        <v>429</v>
      </c>
      <c r="G53" s="51">
        <f t="shared" si="41"/>
        <v>10.530000000000001</v>
      </c>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5">
        <f t="shared" si="39"/>
        <v>0</v>
      </c>
      <c r="AD53" s="100">
        <f t="shared" si="8"/>
        <v>0</v>
      </c>
      <c r="AE53" s="100">
        <f t="shared" si="9"/>
        <v>0</v>
      </c>
      <c r="AF53" s="194">
        <f t="shared" si="34"/>
        <v>0</v>
      </c>
      <c r="AG53" s="194">
        <f t="shared" si="35"/>
        <v>0</v>
      </c>
      <c r="AH53" s="194">
        <f t="shared" si="36"/>
        <v>0</v>
      </c>
      <c r="AI53" s="199">
        <f t="shared" si="37"/>
        <v>0</v>
      </c>
      <c r="AK53" s="71">
        <v>48</v>
      </c>
      <c r="AL53" s="33"/>
      <c r="AM53" s="33"/>
      <c r="AN53" s="33"/>
      <c r="AO53" s="33"/>
      <c r="AP53" s="33"/>
      <c r="AQ53" s="194"/>
      <c r="AR53" s="194"/>
      <c r="AS53" s="194"/>
      <c r="AT53" s="194"/>
      <c r="AU53" s="33"/>
      <c r="AV53" s="33"/>
      <c r="AW53" s="33"/>
      <c r="AX53" s="33"/>
      <c r="AY53" s="76"/>
    </row>
    <row r="54" spans="2:51" x14ac:dyDescent="0.3">
      <c r="B54" s="40">
        <f t="shared" si="31"/>
        <v>90</v>
      </c>
      <c r="C54" s="152">
        <f t="shared" si="38"/>
        <v>91</v>
      </c>
      <c r="D54" s="137">
        <v>254</v>
      </c>
      <c r="E54" s="141">
        <f t="shared" si="29"/>
        <v>1.56</v>
      </c>
      <c r="F54" s="42">
        <f t="shared" si="40"/>
        <v>396.24</v>
      </c>
      <c r="G54" s="51">
        <f t="shared" si="41"/>
        <v>-32.759999999999991</v>
      </c>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5">
        <f t="shared" si="39"/>
        <v>0</v>
      </c>
      <c r="AD54" s="100">
        <f t="shared" si="8"/>
        <v>0</v>
      </c>
      <c r="AE54" s="100">
        <f t="shared" si="9"/>
        <v>0</v>
      </c>
      <c r="AF54" s="194">
        <f t="shared" si="34"/>
        <v>0</v>
      </c>
      <c r="AG54" s="194">
        <f t="shared" si="35"/>
        <v>0</v>
      </c>
      <c r="AH54" s="194">
        <f t="shared" si="36"/>
        <v>0</v>
      </c>
      <c r="AI54" s="199">
        <f t="shared" si="37"/>
        <v>0</v>
      </c>
      <c r="AK54" s="71">
        <v>49</v>
      </c>
      <c r="AL54" s="33"/>
      <c r="AM54" s="33"/>
      <c r="AN54" s="33"/>
      <c r="AO54" s="33"/>
      <c r="AP54" s="33"/>
      <c r="AQ54" s="194"/>
      <c r="AR54" s="194"/>
      <c r="AS54" s="194"/>
      <c r="AT54" s="194"/>
      <c r="AU54" s="33"/>
      <c r="AV54" s="33"/>
      <c r="AW54" s="33"/>
      <c r="AX54" s="33"/>
      <c r="AY54" s="76"/>
    </row>
    <row r="55" spans="2:51" x14ac:dyDescent="0.3">
      <c r="B55" s="40">
        <f t="shared" si="31"/>
        <v>91</v>
      </c>
      <c r="C55" s="152">
        <f t="shared" si="38"/>
        <v>95</v>
      </c>
      <c r="D55" s="137">
        <f>D56+21</f>
        <v>279</v>
      </c>
      <c r="E55" s="141">
        <f t="shared" si="29"/>
        <v>1.56</v>
      </c>
      <c r="F55" s="42">
        <f t="shared" si="40"/>
        <v>435.24</v>
      </c>
      <c r="G55" s="51">
        <f t="shared" si="41"/>
        <v>9.75</v>
      </c>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5">
        <f t="shared" si="39"/>
        <v>0</v>
      </c>
      <c r="AD55" s="100">
        <f t="shared" si="8"/>
        <v>0</v>
      </c>
      <c r="AE55" s="100">
        <f t="shared" si="9"/>
        <v>0</v>
      </c>
      <c r="AF55" s="194">
        <f t="shared" si="34"/>
        <v>0</v>
      </c>
      <c r="AG55" s="194">
        <f t="shared" si="35"/>
        <v>0</v>
      </c>
      <c r="AH55" s="194">
        <f t="shared" si="36"/>
        <v>0</v>
      </c>
      <c r="AI55" s="199">
        <f t="shared" si="37"/>
        <v>0</v>
      </c>
      <c r="AK55" s="71">
        <v>50</v>
      </c>
      <c r="AL55" s="33"/>
      <c r="AM55" s="33"/>
      <c r="AN55" s="33"/>
      <c r="AO55" s="33"/>
      <c r="AP55" s="33"/>
      <c r="AQ55" s="194"/>
      <c r="AR55" s="194"/>
      <c r="AS55" s="194"/>
      <c r="AT55" s="194"/>
      <c r="AU55" s="33"/>
      <c r="AV55" s="33"/>
      <c r="AW55" s="33"/>
      <c r="AX55" s="33"/>
      <c r="AY55" s="76"/>
    </row>
    <row r="56" spans="2:51" x14ac:dyDescent="0.3">
      <c r="B56" s="40">
        <f t="shared" si="31"/>
        <v>95</v>
      </c>
      <c r="C56" s="152">
        <f t="shared" si="38"/>
        <v>96</v>
      </c>
      <c r="D56" s="137">
        <v>258</v>
      </c>
      <c r="E56" s="141">
        <f t="shared" si="29"/>
        <v>1.56</v>
      </c>
      <c r="F56" s="42">
        <f t="shared" si="40"/>
        <v>402.48</v>
      </c>
      <c r="G56" s="51">
        <f t="shared" si="41"/>
        <v>-32.759999999999991</v>
      </c>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5">
        <f t="shared" si="39"/>
        <v>0</v>
      </c>
      <c r="AD56" s="100">
        <f t="shared" si="8"/>
        <v>0</v>
      </c>
      <c r="AE56" s="100">
        <f t="shared" si="9"/>
        <v>0</v>
      </c>
      <c r="AF56" s="194">
        <f t="shared" si="34"/>
        <v>0</v>
      </c>
      <c r="AG56" s="194">
        <f t="shared" si="35"/>
        <v>0</v>
      </c>
      <c r="AH56" s="194">
        <f t="shared" si="36"/>
        <v>0</v>
      </c>
      <c r="AI56" s="199">
        <f t="shared" si="37"/>
        <v>0</v>
      </c>
      <c r="AK56" s="71">
        <v>51</v>
      </c>
      <c r="AL56" s="33"/>
      <c r="AM56" s="33"/>
      <c r="AN56" s="33"/>
      <c r="AO56" s="33"/>
      <c r="AP56" s="33"/>
      <c r="AQ56" s="194"/>
      <c r="AR56" s="194"/>
      <c r="AS56" s="194"/>
      <c r="AT56" s="194"/>
      <c r="AU56" s="33"/>
      <c r="AV56" s="33"/>
      <c r="AW56" s="33"/>
      <c r="AX56" s="33"/>
      <c r="AY56" s="76"/>
    </row>
    <row r="57" spans="2:51" x14ac:dyDescent="0.3">
      <c r="B57" s="40">
        <f t="shared" si="31"/>
        <v>96</v>
      </c>
      <c r="C57" s="152">
        <f t="shared" si="38"/>
        <v>100</v>
      </c>
      <c r="D57" s="137">
        <f>D58+21</f>
        <v>282</v>
      </c>
      <c r="E57" s="141">
        <f t="shared" si="29"/>
        <v>1.56</v>
      </c>
      <c r="F57" s="42">
        <f t="shared" si="40"/>
        <v>439.92</v>
      </c>
      <c r="G57" s="51">
        <f t="shared" si="41"/>
        <v>9.36</v>
      </c>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5">
        <f t="shared" si="39"/>
        <v>0</v>
      </c>
      <c r="AD57" s="100">
        <f t="shared" si="8"/>
        <v>0</v>
      </c>
      <c r="AE57" s="100">
        <f t="shared" si="9"/>
        <v>0</v>
      </c>
      <c r="AF57" s="194">
        <f t="shared" si="34"/>
        <v>0</v>
      </c>
      <c r="AG57" s="194">
        <f t="shared" si="35"/>
        <v>0</v>
      </c>
      <c r="AH57" s="194">
        <f t="shared" si="36"/>
        <v>0</v>
      </c>
      <c r="AI57" s="199">
        <f t="shared" si="37"/>
        <v>0</v>
      </c>
      <c r="AK57" s="71">
        <v>52</v>
      </c>
      <c r="AL57" s="33"/>
      <c r="AM57" s="33"/>
      <c r="AN57" s="33"/>
      <c r="AO57" s="33"/>
      <c r="AP57" s="33"/>
      <c r="AQ57" s="194"/>
      <c r="AR57" s="194"/>
      <c r="AS57" s="194"/>
      <c r="AT57" s="194"/>
      <c r="AU57" s="33"/>
      <c r="AV57" s="33"/>
      <c r="AW57" s="33"/>
      <c r="AX57" s="33"/>
      <c r="AY57" s="76"/>
    </row>
    <row r="58" spans="2:51" x14ac:dyDescent="0.3">
      <c r="B58" s="40">
        <f t="shared" si="31"/>
        <v>100</v>
      </c>
      <c r="C58" s="152">
        <f t="shared" si="38"/>
        <v>101</v>
      </c>
      <c r="D58" s="137">
        <v>261</v>
      </c>
      <c r="E58" s="141">
        <f t="shared" si="29"/>
        <v>1.56</v>
      </c>
      <c r="F58" s="42">
        <f t="shared" si="40"/>
        <v>407.16</v>
      </c>
      <c r="G58" s="51">
        <f t="shared" si="41"/>
        <v>-32.759999999999991</v>
      </c>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5">
        <f t="shared" si="39"/>
        <v>0</v>
      </c>
      <c r="AD58" s="100">
        <f t="shared" si="8"/>
        <v>0</v>
      </c>
      <c r="AE58" s="100">
        <f t="shared" si="9"/>
        <v>0</v>
      </c>
      <c r="AF58" s="194">
        <f t="shared" si="34"/>
        <v>0</v>
      </c>
      <c r="AG58" s="194">
        <f t="shared" si="35"/>
        <v>0</v>
      </c>
      <c r="AH58" s="194">
        <f t="shared" si="36"/>
        <v>0</v>
      </c>
      <c r="AI58" s="199">
        <f t="shared" si="37"/>
        <v>0</v>
      </c>
      <c r="AK58" s="71">
        <v>53</v>
      </c>
      <c r="AL58" s="33"/>
      <c r="AM58" s="33"/>
      <c r="AN58" s="33"/>
      <c r="AO58" s="33"/>
      <c r="AP58" s="33"/>
      <c r="AQ58" s="194"/>
      <c r="AR58" s="194"/>
      <c r="AS58" s="194"/>
      <c r="AT58" s="194"/>
      <c r="AU58" s="33"/>
      <c r="AV58" s="33"/>
      <c r="AW58" s="33"/>
      <c r="AX58" s="33"/>
      <c r="AY58" s="76"/>
    </row>
    <row r="59" spans="2:51" x14ac:dyDescent="0.3">
      <c r="B59" s="40">
        <f t="shared" si="31"/>
        <v>101</v>
      </c>
      <c r="C59" s="152">
        <f t="shared" si="38"/>
        <v>105</v>
      </c>
      <c r="D59" s="137">
        <f>D60+20</f>
        <v>284</v>
      </c>
      <c r="E59" s="141">
        <f t="shared" si="29"/>
        <v>1.56</v>
      </c>
      <c r="F59" s="42">
        <f t="shared" si="40"/>
        <v>443.04</v>
      </c>
      <c r="G59" s="51">
        <f t="shared" si="41"/>
        <v>8.9699999999999989</v>
      </c>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5">
        <f t="shared" si="39"/>
        <v>0</v>
      </c>
      <c r="AD59" s="100">
        <f t="shared" si="8"/>
        <v>0</v>
      </c>
      <c r="AE59" s="100">
        <f t="shared" si="9"/>
        <v>0</v>
      </c>
      <c r="AF59" s="194">
        <f t="shared" si="34"/>
        <v>0</v>
      </c>
      <c r="AG59" s="194">
        <f t="shared" si="35"/>
        <v>0</v>
      </c>
      <c r="AH59" s="194">
        <f t="shared" si="36"/>
        <v>0</v>
      </c>
      <c r="AI59" s="199">
        <f t="shared" si="37"/>
        <v>0</v>
      </c>
      <c r="AK59" s="71">
        <v>54</v>
      </c>
      <c r="AL59" s="33"/>
      <c r="AM59" s="33"/>
      <c r="AN59" s="33"/>
      <c r="AO59" s="33"/>
      <c r="AP59" s="33"/>
      <c r="AQ59" s="194"/>
      <c r="AR59" s="194"/>
      <c r="AS59" s="194"/>
      <c r="AT59" s="194"/>
      <c r="AU59" s="33"/>
      <c r="AV59" s="33"/>
      <c r="AW59" s="33"/>
      <c r="AX59" s="33"/>
      <c r="AY59" s="76"/>
    </row>
    <row r="60" spans="2:51" x14ac:dyDescent="0.3">
      <c r="B60" s="40">
        <f t="shared" si="31"/>
        <v>105</v>
      </c>
      <c r="C60" s="152">
        <f t="shared" si="38"/>
        <v>106</v>
      </c>
      <c r="D60" s="137">
        <v>264</v>
      </c>
      <c r="E60" s="141">
        <f t="shared" si="29"/>
        <v>1.56</v>
      </c>
      <c r="F60" s="42">
        <f t="shared" si="40"/>
        <v>411.84000000000003</v>
      </c>
      <c r="G60" s="51">
        <f t="shared" si="41"/>
        <v>-31.199999999999989</v>
      </c>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5">
        <f t="shared" si="39"/>
        <v>0</v>
      </c>
      <c r="AD60" s="100">
        <f t="shared" si="8"/>
        <v>0</v>
      </c>
      <c r="AE60" s="100">
        <f t="shared" si="9"/>
        <v>0</v>
      </c>
      <c r="AF60" s="194">
        <f t="shared" si="34"/>
        <v>0</v>
      </c>
      <c r="AG60" s="194">
        <f t="shared" si="35"/>
        <v>0</v>
      </c>
      <c r="AH60" s="194">
        <f t="shared" si="36"/>
        <v>0</v>
      </c>
      <c r="AI60" s="199">
        <f t="shared" si="37"/>
        <v>0</v>
      </c>
      <c r="AK60" s="71">
        <v>55</v>
      </c>
      <c r="AL60" s="33"/>
      <c r="AM60" s="33"/>
      <c r="AN60" s="33"/>
      <c r="AO60" s="33"/>
      <c r="AP60" s="33"/>
      <c r="AQ60" s="194"/>
      <c r="AR60" s="194"/>
      <c r="AS60" s="194"/>
      <c r="AT60" s="194"/>
      <c r="AU60" s="33"/>
      <c r="AV60" s="33"/>
      <c r="AW60" s="33"/>
      <c r="AX60" s="33"/>
      <c r="AY60" s="76"/>
    </row>
    <row r="61" spans="2:51" x14ac:dyDescent="0.3">
      <c r="B61" s="40">
        <f t="shared" si="31"/>
        <v>106</v>
      </c>
      <c r="C61" s="152">
        <f t="shared" si="38"/>
        <v>110</v>
      </c>
      <c r="D61" s="137">
        <f>D62+19</f>
        <v>285</v>
      </c>
      <c r="E61" s="141">
        <f t="shared" si="29"/>
        <v>1.56</v>
      </c>
      <c r="F61" s="42">
        <f t="shared" si="40"/>
        <v>444.6</v>
      </c>
      <c r="G61" s="51">
        <f t="shared" si="41"/>
        <v>8.1899999999999977</v>
      </c>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5">
        <f t="shared" si="39"/>
        <v>0</v>
      </c>
      <c r="AD61" s="100">
        <f t="shared" si="8"/>
        <v>0</v>
      </c>
      <c r="AE61" s="100">
        <f t="shared" si="9"/>
        <v>0</v>
      </c>
      <c r="AF61" s="194">
        <f t="shared" si="34"/>
        <v>0</v>
      </c>
      <c r="AG61" s="194">
        <f t="shared" si="35"/>
        <v>0</v>
      </c>
      <c r="AH61" s="194">
        <f t="shared" si="36"/>
        <v>0</v>
      </c>
      <c r="AI61" s="199">
        <f t="shared" si="37"/>
        <v>0</v>
      </c>
      <c r="AK61" s="71">
        <v>56</v>
      </c>
      <c r="AL61" s="33"/>
      <c r="AM61" s="33"/>
      <c r="AN61" s="33"/>
      <c r="AO61" s="33"/>
      <c r="AP61" s="33"/>
      <c r="AQ61" s="194"/>
      <c r="AR61" s="194"/>
      <c r="AS61" s="194"/>
      <c r="AT61" s="194"/>
      <c r="AU61" s="33"/>
      <c r="AV61" s="33"/>
      <c r="AW61" s="33"/>
      <c r="AX61" s="33"/>
      <c r="AY61" s="76"/>
    </row>
    <row r="62" spans="2:51" x14ac:dyDescent="0.3">
      <c r="B62" s="40">
        <f t="shared" si="31"/>
        <v>110</v>
      </c>
      <c r="C62" s="152">
        <f t="shared" si="38"/>
        <v>111</v>
      </c>
      <c r="D62" s="137">
        <v>266</v>
      </c>
      <c r="E62" s="141">
        <f t="shared" si="29"/>
        <v>1.56</v>
      </c>
      <c r="F62" s="42">
        <f t="shared" si="40"/>
        <v>414.96000000000004</v>
      </c>
      <c r="G62" s="51">
        <f t="shared" si="41"/>
        <v>-29.639999999999986</v>
      </c>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5">
        <f t="shared" si="39"/>
        <v>0</v>
      </c>
      <c r="AD62" s="100">
        <f t="shared" si="8"/>
        <v>0</v>
      </c>
      <c r="AE62" s="100">
        <f t="shared" si="9"/>
        <v>0</v>
      </c>
      <c r="AF62" s="194">
        <f t="shared" si="34"/>
        <v>0</v>
      </c>
      <c r="AG62" s="194">
        <f t="shared" si="35"/>
        <v>0</v>
      </c>
      <c r="AH62" s="194">
        <f t="shared" si="36"/>
        <v>0</v>
      </c>
      <c r="AI62" s="199">
        <f t="shared" si="37"/>
        <v>0</v>
      </c>
      <c r="AK62" s="71">
        <v>57</v>
      </c>
      <c r="AL62" s="33"/>
      <c r="AM62" s="33"/>
      <c r="AN62" s="33"/>
      <c r="AO62" s="33"/>
      <c r="AP62" s="33"/>
      <c r="AQ62" s="194"/>
      <c r="AR62" s="194"/>
      <c r="AS62" s="194"/>
      <c r="AT62" s="194"/>
      <c r="AU62" s="33"/>
      <c r="AV62" s="33"/>
      <c r="AW62" s="33"/>
      <c r="AX62" s="33"/>
      <c r="AY62" s="76"/>
    </row>
    <row r="63" spans="2:51" x14ac:dyDescent="0.3">
      <c r="B63" s="40">
        <f t="shared" si="31"/>
        <v>111</v>
      </c>
      <c r="C63" s="152">
        <f t="shared" si="38"/>
        <v>115</v>
      </c>
      <c r="D63" s="137">
        <f>D64+18</f>
        <v>285</v>
      </c>
      <c r="E63" s="141">
        <f t="shared" si="29"/>
        <v>1.56</v>
      </c>
      <c r="F63" s="42">
        <f t="shared" si="40"/>
        <v>444.6</v>
      </c>
      <c r="G63" s="51">
        <f t="shared" si="41"/>
        <v>7.4099999999999966</v>
      </c>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5">
        <f t="shared" si="39"/>
        <v>0</v>
      </c>
      <c r="AD63" s="100">
        <f t="shared" si="8"/>
        <v>0</v>
      </c>
      <c r="AE63" s="100">
        <f t="shared" si="9"/>
        <v>0</v>
      </c>
      <c r="AF63" s="194">
        <f t="shared" si="34"/>
        <v>0</v>
      </c>
      <c r="AG63" s="194">
        <f t="shared" si="35"/>
        <v>0</v>
      </c>
      <c r="AH63" s="194">
        <f t="shared" si="36"/>
        <v>0</v>
      </c>
      <c r="AI63" s="199">
        <f t="shared" si="37"/>
        <v>0</v>
      </c>
      <c r="AK63" s="71">
        <v>58</v>
      </c>
      <c r="AL63" s="33"/>
      <c r="AM63" s="33"/>
      <c r="AN63" s="33"/>
      <c r="AO63" s="33"/>
      <c r="AP63" s="33"/>
      <c r="AQ63" s="194"/>
      <c r="AR63" s="194"/>
      <c r="AS63" s="194"/>
      <c r="AT63" s="194"/>
      <c r="AU63" s="33"/>
      <c r="AV63" s="33"/>
      <c r="AW63" s="33"/>
      <c r="AX63" s="33"/>
      <c r="AY63" s="76"/>
    </row>
    <row r="64" spans="2:51" x14ac:dyDescent="0.3">
      <c r="B64" s="40">
        <f t="shared" si="31"/>
        <v>115</v>
      </c>
      <c r="C64" s="152">
        <f t="shared" si="38"/>
        <v>116</v>
      </c>
      <c r="D64" s="137">
        <v>267</v>
      </c>
      <c r="E64" s="141">
        <f t="shared" si="29"/>
        <v>1.56</v>
      </c>
      <c r="F64" s="42">
        <f t="shared" si="40"/>
        <v>416.52000000000004</v>
      </c>
      <c r="G64" s="51">
        <f t="shared" si="41"/>
        <v>-28.079999999999984</v>
      </c>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5">
        <f t="shared" si="39"/>
        <v>0</v>
      </c>
      <c r="AD64" s="100">
        <f t="shared" si="8"/>
        <v>0</v>
      </c>
      <c r="AE64" s="100">
        <f t="shared" si="9"/>
        <v>0</v>
      </c>
      <c r="AF64" s="194">
        <f t="shared" si="34"/>
        <v>0</v>
      </c>
      <c r="AG64" s="194">
        <f t="shared" si="35"/>
        <v>0</v>
      </c>
      <c r="AH64" s="194">
        <f t="shared" si="36"/>
        <v>0</v>
      </c>
      <c r="AI64" s="199">
        <f t="shared" si="37"/>
        <v>0</v>
      </c>
      <c r="AK64" s="71">
        <v>59</v>
      </c>
      <c r="AL64" s="33"/>
      <c r="AM64" s="33"/>
      <c r="AN64" s="33"/>
      <c r="AO64" s="33"/>
      <c r="AP64" s="33"/>
      <c r="AQ64" s="194"/>
      <c r="AR64" s="194"/>
      <c r="AS64" s="194"/>
      <c r="AT64" s="194"/>
      <c r="AU64" s="33"/>
      <c r="AV64" s="33"/>
      <c r="AW64" s="33"/>
      <c r="AX64" s="33"/>
      <c r="AY64" s="76"/>
    </row>
    <row r="65" spans="2:51" x14ac:dyDescent="0.3">
      <c r="B65" s="40">
        <f t="shared" si="31"/>
        <v>116</v>
      </c>
      <c r="C65" s="152">
        <f t="shared" si="38"/>
        <v>120</v>
      </c>
      <c r="D65" s="137">
        <f>D66+17</f>
        <v>285</v>
      </c>
      <c r="E65" s="141">
        <f t="shared" si="29"/>
        <v>1.56</v>
      </c>
      <c r="F65" s="42">
        <f t="shared" si="40"/>
        <v>444.6</v>
      </c>
      <c r="G65" s="51">
        <f t="shared" si="41"/>
        <v>7.019999999999996</v>
      </c>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5">
        <f t="shared" si="39"/>
        <v>0</v>
      </c>
      <c r="AD65" s="100">
        <f t="shared" si="8"/>
        <v>0</v>
      </c>
      <c r="AE65" s="100">
        <f t="shared" si="9"/>
        <v>0</v>
      </c>
      <c r="AF65" s="194">
        <f t="shared" si="34"/>
        <v>0</v>
      </c>
      <c r="AG65" s="194">
        <f t="shared" si="35"/>
        <v>0</v>
      </c>
      <c r="AH65" s="194">
        <f t="shared" si="36"/>
        <v>0</v>
      </c>
      <c r="AI65" s="199">
        <f t="shared" si="37"/>
        <v>0</v>
      </c>
      <c r="AK65" s="71">
        <v>60</v>
      </c>
      <c r="AL65" s="33"/>
      <c r="AM65" s="33"/>
      <c r="AN65" s="33"/>
      <c r="AO65" s="33"/>
      <c r="AP65" s="33"/>
      <c r="AQ65" s="194"/>
      <c r="AR65" s="194"/>
      <c r="AS65" s="194"/>
      <c r="AT65" s="194"/>
      <c r="AU65" s="33"/>
      <c r="AV65" s="33"/>
      <c r="AW65" s="33"/>
      <c r="AX65" s="33"/>
      <c r="AY65" s="76"/>
    </row>
    <row r="66" spans="2:51" x14ac:dyDescent="0.3">
      <c r="B66" s="40">
        <f t="shared" si="31"/>
        <v>120</v>
      </c>
      <c r="C66" s="152">
        <f t="shared" si="38"/>
        <v>121</v>
      </c>
      <c r="D66" s="137">
        <v>268</v>
      </c>
      <c r="E66" s="141">
        <f t="shared" si="29"/>
        <v>1.56</v>
      </c>
      <c r="F66" s="42">
        <f t="shared" si="40"/>
        <v>418.08000000000004</v>
      </c>
      <c r="G66" s="51">
        <f t="shared" si="41"/>
        <v>-26.519999999999982</v>
      </c>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5">
        <f t="shared" si="39"/>
        <v>0</v>
      </c>
      <c r="AD66" s="100">
        <f t="shared" si="8"/>
        <v>0</v>
      </c>
      <c r="AE66" s="100">
        <f t="shared" si="9"/>
        <v>0</v>
      </c>
      <c r="AF66" s="194">
        <f t="shared" si="34"/>
        <v>0</v>
      </c>
      <c r="AG66" s="194">
        <f t="shared" si="35"/>
        <v>0</v>
      </c>
      <c r="AH66" s="194">
        <f t="shared" si="36"/>
        <v>0</v>
      </c>
      <c r="AI66" s="199">
        <f t="shared" si="37"/>
        <v>0</v>
      </c>
      <c r="AK66" s="71">
        <v>61</v>
      </c>
      <c r="AL66" s="33"/>
      <c r="AM66" s="33"/>
      <c r="AN66" s="33"/>
      <c r="AO66" s="33"/>
      <c r="AP66" s="33"/>
      <c r="AQ66" s="194"/>
      <c r="AR66" s="194"/>
      <c r="AS66" s="194"/>
      <c r="AT66" s="194"/>
      <c r="AU66" s="33"/>
      <c r="AV66" s="33"/>
      <c r="AW66" s="33"/>
      <c r="AX66" s="33"/>
      <c r="AY66" s="76"/>
    </row>
    <row r="67" spans="2:51" x14ac:dyDescent="0.3">
      <c r="B67" s="40">
        <f t="shared" si="31"/>
        <v>121</v>
      </c>
      <c r="C67" s="152">
        <f t="shared" si="38"/>
        <v>125</v>
      </c>
      <c r="D67" s="137">
        <f>D68+16</f>
        <v>284</v>
      </c>
      <c r="E67" s="141">
        <f t="shared" si="29"/>
        <v>1.56</v>
      </c>
      <c r="F67" s="42">
        <f t="shared" si="40"/>
        <v>443.04</v>
      </c>
      <c r="G67" s="51">
        <f t="shared" si="41"/>
        <v>6.2399999999999949</v>
      </c>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5">
        <f t="shared" si="39"/>
        <v>0</v>
      </c>
      <c r="AD67" s="100">
        <f t="shared" si="8"/>
        <v>0</v>
      </c>
      <c r="AE67" s="100">
        <f t="shared" si="9"/>
        <v>0</v>
      </c>
      <c r="AF67" s="194">
        <f t="shared" si="34"/>
        <v>0</v>
      </c>
      <c r="AG67" s="194">
        <f t="shared" si="35"/>
        <v>0</v>
      </c>
      <c r="AH67" s="194">
        <f t="shared" si="36"/>
        <v>0</v>
      </c>
      <c r="AI67" s="199">
        <f t="shared" si="37"/>
        <v>0</v>
      </c>
      <c r="AK67" s="71">
        <v>62</v>
      </c>
      <c r="AL67" s="33"/>
      <c r="AM67" s="33"/>
      <c r="AN67" s="33"/>
      <c r="AO67" s="33"/>
      <c r="AP67" s="33"/>
      <c r="AQ67" s="194"/>
      <c r="AR67" s="194"/>
      <c r="AS67" s="194"/>
      <c r="AT67" s="194"/>
      <c r="AU67" s="33"/>
      <c r="AV67" s="33"/>
      <c r="AW67" s="33"/>
      <c r="AX67" s="33"/>
      <c r="AY67" s="76"/>
    </row>
    <row r="68" spans="2:51" x14ac:dyDescent="0.3">
      <c r="B68" s="40">
        <f t="shared" si="31"/>
        <v>125</v>
      </c>
      <c r="C68" s="152">
        <f t="shared" si="38"/>
        <v>126</v>
      </c>
      <c r="D68" s="137">
        <v>268</v>
      </c>
      <c r="E68" s="141">
        <f t="shared" si="29"/>
        <v>1.56</v>
      </c>
      <c r="F68" s="42">
        <f t="shared" si="40"/>
        <v>418.08000000000004</v>
      </c>
      <c r="G68" s="51">
        <f t="shared" si="41"/>
        <v>-24.95999999999998</v>
      </c>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5">
        <f t="shared" si="39"/>
        <v>0</v>
      </c>
      <c r="AD68" s="100">
        <f t="shared" si="8"/>
        <v>0</v>
      </c>
      <c r="AE68" s="100">
        <f t="shared" si="9"/>
        <v>0</v>
      </c>
      <c r="AF68" s="194">
        <f t="shared" si="34"/>
        <v>0</v>
      </c>
      <c r="AG68" s="194">
        <f t="shared" si="35"/>
        <v>0</v>
      </c>
      <c r="AH68" s="194">
        <f t="shared" si="36"/>
        <v>0</v>
      </c>
      <c r="AI68" s="199">
        <f t="shared" si="37"/>
        <v>0</v>
      </c>
      <c r="AK68" s="71">
        <v>63</v>
      </c>
      <c r="AL68" s="33"/>
      <c r="AM68" s="33"/>
      <c r="AN68" s="33"/>
      <c r="AO68" s="33"/>
      <c r="AP68" s="33"/>
      <c r="AQ68" s="194"/>
      <c r="AR68" s="194"/>
      <c r="AS68" s="194"/>
      <c r="AT68" s="194"/>
      <c r="AU68" s="33"/>
      <c r="AV68" s="33"/>
      <c r="AW68" s="33"/>
      <c r="AX68" s="33"/>
      <c r="AY68" s="76"/>
    </row>
    <row r="69" spans="2:51" x14ac:dyDescent="0.3">
      <c r="B69" s="40">
        <f t="shared" si="31"/>
        <v>126</v>
      </c>
      <c r="C69" s="152">
        <f t="shared" si="38"/>
        <v>130</v>
      </c>
      <c r="D69" s="137">
        <f>D70+15</f>
        <v>284</v>
      </c>
      <c r="E69" s="141">
        <f t="shared" si="29"/>
        <v>1.56</v>
      </c>
      <c r="F69" s="42">
        <f t="shared" si="40"/>
        <v>443.04</v>
      </c>
      <c r="G69" s="51">
        <f t="shared" si="41"/>
        <v>6.2399999999999949</v>
      </c>
      <c r="I69" s="55">
        <v>64</v>
      </c>
      <c r="J69" s="33">
        <f t="shared" si="18"/>
        <v>0</v>
      </c>
      <c r="K69" s="33">
        <f t="shared" si="19"/>
        <v>0</v>
      </c>
      <c r="L69" s="33">
        <f t="shared" si="20"/>
        <v>0</v>
      </c>
      <c r="M69" s="33">
        <f t="shared" si="21"/>
        <v>0</v>
      </c>
      <c r="N69" s="33">
        <f t="shared" ref="N69:N132" si="42">IF(P70&lt;=$F$18,0,)</f>
        <v>0</v>
      </c>
      <c r="O69" s="34">
        <f t="shared" ref="O69:O132" si="43">((J69+K69)*0.475+L69+M69+N69)*44/12</f>
        <v>0</v>
      </c>
      <c r="P69" s="55">
        <v>64</v>
      </c>
      <c r="Q69" s="33">
        <f t="shared" si="15"/>
        <v>0</v>
      </c>
      <c r="R69" s="33">
        <f t="shared" si="22"/>
        <v>0</v>
      </c>
      <c r="S69" s="33">
        <f t="shared" si="23"/>
        <v>0</v>
      </c>
      <c r="T69" s="33">
        <f t="shared" ref="T69:T132" si="44">IF(S69=0,0,EXP(-1.0587+0.8836*LN(S69)+0.284))</f>
        <v>0</v>
      </c>
      <c r="U69" s="33">
        <f t="shared" si="16"/>
        <v>0</v>
      </c>
      <c r="V69" s="33">
        <f t="shared" ref="V69:V132" si="45">IF(P69&lt;=$F$18,IF(P69&lt;=30,P69*($F$16-$F$6)/30,$F$16-$F$6),)</f>
        <v>0</v>
      </c>
      <c r="W69" s="33">
        <v>0</v>
      </c>
      <c r="X69" s="33">
        <f t="shared" ref="X69:X132" si="46">((S69+T69)*0.475+U69+V69+W69)*44/12</f>
        <v>0</v>
      </c>
      <c r="Y69" s="38">
        <f t="shared" ref="Y69:Y132" si="47">IF(P69&lt;=$F$18,X69-O69,)</f>
        <v>0</v>
      </c>
      <c r="AA69" s="71">
        <v>64</v>
      </c>
      <c r="AB69" s="33">
        <f t="shared" ref="AB69:AB132" si="48">IF(AA69&lt;=$F$18,IFERROR(VLOOKUP($AA69,$B$82:$G$94,2,FALSE),0),)</f>
        <v>0</v>
      </c>
      <c r="AC69" s="305">
        <f t="shared" si="39"/>
        <v>0</v>
      </c>
      <c r="AD69" s="100">
        <f t="shared" ref="AD69:AD132" si="49">IF(AA69&lt;=$F$18,IFERROR(VLOOKUP($AA69,$B$82:$G$94,4,FALSE),0),)</f>
        <v>0</v>
      </c>
      <c r="AE69" s="100">
        <f t="shared" ref="AE69:AE132" si="50">IF(AA69&lt;=$F$18,IFERROR(VLOOKUP($AA69,$B$82:$G$94,5,FALSE),0),)</f>
        <v>0</v>
      </c>
      <c r="AF69" s="194">
        <f t="shared" si="34"/>
        <v>0</v>
      </c>
      <c r="AG69" s="194">
        <f t="shared" si="35"/>
        <v>0</v>
      </c>
      <c r="AH69" s="194">
        <f t="shared" si="36"/>
        <v>0</v>
      </c>
      <c r="AI69" s="199">
        <f t="shared" si="37"/>
        <v>0</v>
      </c>
      <c r="AK69" s="71">
        <v>64</v>
      </c>
      <c r="AL69" s="33"/>
      <c r="AM69" s="33"/>
      <c r="AN69" s="33"/>
      <c r="AO69" s="33"/>
      <c r="AP69" s="33"/>
      <c r="AQ69" s="194"/>
      <c r="AR69" s="194"/>
      <c r="AS69" s="194"/>
      <c r="AT69" s="194"/>
      <c r="AU69" s="33"/>
      <c r="AV69" s="33"/>
      <c r="AW69" s="33"/>
      <c r="AX69" s="33"/>
      <c r="AY69" s="76"/>
    </row>
    <row r="70" spans="2:51" x14ac:dyDescent="0.3">
      <c r="B70" s="40">
        <f t="shared" si="31"/>
        <v>130</v>
      </c>
      <c r="C70" s="152">
        <f t="shared" si="38"/>
        <v>131</v>
      </c>
      <c r="D70" s="137">
        <v>269</v>
      </c>
      <c r="E70" s="141">
        <f t="shared" si="29"/>
        <v>1.56</v>
      </c>
      <c r="F70" s="42">
        <f t="shared" si="40"/>
        <v>419.64</v>
      </c>
      <c r="G70" s="51">
        <f t="shared" si="41"/>
        <v>-23.400000000000034</v>
      </c>
      <c r="I70" s="55">
        <v>65</v>
      </c>
      <c r="J70" s="33">
        <f t="shared" si="18"/>
        <v>0</v>
      </c>
      <c r="K70" s="33">
        <f t="shared" si="19"/>
        <v>0</v>
      </c>
      <c r="L70" s="33">
        <f t="shared" si="20"/>
        <v>0</v>
      </c>
      <c r="M70" s="33">
        <f t="shared" si="21"/>
        <v>0</v>
      </c>
      <c r="N70" s="33">
        <f t="shared" si="42"/>
        <v>0</v>
      </c>
      <c r="O70" s="34">
        <f t="shared" si="43"/>
        <v>0</v>
      </c>
      <c r="P70" s="55">
        <v>65</v>
      </c>
      <c r="Q70" s="33">
        <f t="shared" ref="Q70:Q133" si="51">IF(P70&lt;=$F$18,LOOKUP(P70-1,$B$25:$B$78,$G$25:$G$78),)</f>
        <v>0</v>
      </c>
      <c r="R70" s="33">
        <f t="shared" si="22"/>
        <v>0</v>
      </c>
      <c r="S70" s="33">
        <f t="shared" si="23"/>
        <v>0</v>
      </c>
      <c r="T70" s="33">
        <f t="shared" si="44"/>
        <v>0</v>
      </c>
      <c r="U70" s="33">
        <f t="shared" ref="U70:U133" si="52">IF(P70&lt;=$F$18,$F$5+($F$15-$F$5)*(1-EXP(-0.0175*P70)),)</f>
        <v>0</v>
      </c>
      <c r="V70" s="33">
        <f t="shared" si="45"/>
        <v>0</v>
      </c>
      <c r="W70" s="33">
        <v>0</v>
      </c>
      <c r="X70" s="33">
        <f t="shared" si="46"/>
        <v>0</v>
      </c>
      <c r="Y70" s="38">
        <f t="shared" si="47"/>
        <v>0</v>
      </c>
      <c r="AA70" s="71">
        <v>65</v>
      </c>
      <c r="AB70" s="33">
        <f t="shared" si="48"/>
        <v>0</v>
      </c>
      <c r="AC70" s="305">
        <f t="shared" si="39"/>
        <v>0</v>
      </c>
      <c r="AD70" s="100">
        <f t="shared" si="49"/>
        <v>0</v>
      </c>
      <c r="AE70" s="100">
        <f t="shared" si="50"/>
        <v>0</v>
      </c>
      <c r="AF70" s="194">
        <f t="shared" si="34"/>
        <v>0</v>
      </c>
      <c r="AG70" s="194">
        <f t="shared" si="35"/>
        <v>0</v>
      </c>
      <c r="AH70" s="194">
        <f t="shared" si="36"/>
        <v>0</v>
      </c>
      <c r="AI70" s="199">
        <f t="shared" si="37"/>
        <v>0</v>
      </c>
      <c r="AK70" s="71">
        <v>65</v>
      </c>
      <c r="AL70" s="33"/>
      <c r="AM70" s="33"/>
      <c r="AN70" s="33"/>
      <c r="AO70" s="33"/>
      <c r="AP70" s="33"/>
      <c r="AQ70" s="194"/>
      <c r="AR70" s="194"/>
      <c r="AS70" s="194"/>
      <c r="AT70" s="194"/>
      <c r="AU70" s="33"/>
      <c r="AV70" s="33"/>
      <c r="AW70" s="33"/>
      <c r="AX70" s="33"/>
      <c r="AY70" s="76"/>
    </row>
    <row r="71" spans="2:51" x14ac:dyDescent="0.3">
      <c r="B71" s="40">
        <f t="shared" si="31"/>
        <v>131</v>
      </c>
      <c r="C71" s="152">
        <f t="shared" si="38"/>
        <v>135</v>
      </c>
      <c r="D71" s="137">
        <f>D72+14</f>
        <v>283</v>
      </c>
      <c r="E71" s="141">
        <f t="shared" si="29"/>
        <v>1.56</v>
      </c>
      <c r="F71" s="42">
        <f t="shared" si="40"/>
        <v>441.48</v>
      </c>
      <c r="G71" s="51">
        <f t="shared" si="41"/>
        <v>5.460000000000008</v>
      </c>
      <c r="I71" s="55">
        <v>66</v>
      </c>
      <c r="J71" s="33">
        <f t="shared" ref="J71:J134" si="53">IF($I71&lt;=$F$10,$F$11*$F$13+J70,)</f>
        <v>0</v>
      </c>
      <c r="K71" s="33">
        <f t="shared" ref="K71:K134" si="54">IF(J71=0,0,EXP(-1.0587+0.8836*LN(J71)+0.284))</f>
        <v>0</v>
      </c>
      <c r="L71" s="33">
        <f t="shared" ref="L71:L134" si="55">IF(I71&lt;=$F$10,$F$5+($F$8-$F$5)*(1-EXP(-0.0175*I71)),)</f>
        <v>0</v>
      </c>
      <c r="M71" s="33">
        <f t="shared" ref="M71:M134" si="56">IF(I71&lt;=$F$10,IF(I71&lt;=30,I71*($F$9-$F$6)/30,$F$9-$F$6),)</f>
        <v>0</v>
      </c>
      <c r="N71" s="33">
        <f t="shared" si="42"/>
        <v>0</v>
      </c>
      <c r="O71" s="34">
        <f t="shared" si="43"/>
        <v>0</v>
      </c>
      <c r="P71" s="55">
        <v>66</v>
      </c>
      <c r="Q71" s="33">
        <f t="shared" si="51"/>
        <v>0</v>
      </c>
      <c r="R71" s="33">
        <f t="shared" ref="R71:R134" si="57">IF(P71&lt;=$F$18,Q71+R70,)</f>
        <v>0</v>
      </c>
      <c r="S71" s="33">
        <f t="shared" ref="S71:S134" si="58">$F$19*R71</f>
        <v>0</v>
      </c>
      <c r="T71" s="33">
        <f t="shared" si="44"/>
        <v>0</v>
      </c>
      <c r="U71" s="33">
        <f t="shared" si="52"/>
        <v>0</v>
      </c>
      <c r="V71" s="33">
        <f t="shared" si="45"/>
        <v>0</v>
      </c>
      <c r="W71" s="33">
        <v>0</v>
      </c>
      <c r="X71" s="33">
        <f t="shared" si="46"/>
        <v>0</v>
      </c>
      <c r="Y71" s="38">
        <f t="shared" si="47"/>
        <v>0</v>
      </c>
      <c r="AA71" s="71">
        <v>66</v>
      </c>
      <c r="AB71" s="33">
        <f t="shared" si="48"/>
        <v>0</v>
      </c>
      <c r="AC71" s="305">
        <f t="shared" si="39"/>
        <v>0</v>
      </c>
      <c r="AD71" s="100">
        <f t="shared" si="49"/>
        <v>0</v>
      </c>
      <c r="AE71" s="100">
        <f t="shared" si="50"/>
        <v>0</v>
      </c>
      <c r="AF71" s="194">
        <f t="shared" si="34"/>
        <v>0</v>
      </c>
      <c r="AG71" s="194">
        <f t="shared" si="35"/>
        <v>0</v>
      </c>
      <c r="AH71" s="194">
        <f t="shared" si="36"/>
        <v>0</v>
      </c>
      <c r="AI71" s="199">
        <f t="shared" si="37"/>
        <v>0</v>
      </c>
      <c r="AK71" s="71">
        <v>66</v>
      </c>
      <c r="AL71" s="33"/>
      <c r="AM71" s="33"/>
      <c r="AN71" s="33"/>
      <c r="AO71" s="33"/>
      <c r="AP71" s="33"/>
      <c r="AQ71" s="194"/>
      <c r="AR71" s="194"/>
      <c r="AS71" s="194"/>
      <c r="AT71" s="194"/>
      <c r="AU71" s="33"/>
      <c r="AV71" s="33"/>
      <c r="AW71" s="33"/>
      <c r="AX71" s="33"/>
      <c r="AY71" s="76"/>
    </row>
    <row r="72" spans="2:51" x14ac:dyDescent="0.3">
      <c r="B72" s="40">
        <f t="shared" si="31"/>
        <v>135</v>
      </c>
      <c r="C72" s="152">
        <f t="shared" si="38"/>
        <v>136</v>
      </c>
      <c r="D72" s="137">
        <v>269</v>
      </c>
      <c r="E72" s="141">
        <f t="shared" si="29"/>
        <v>1.56</v>
      </c>
      <c r="F72" s="42">
        <f t="shared" si="40"/>
        <v>419.64</v>
      </c>
      <c r="G72" s="51">
        <f t="shared" si="41"/>
        <v>-21.840000000000032</v>
      </c>
      <c r="I72" s="55">
        <v>67</v>
      </c>
      <c r="J72" s="33">
        <f t="shared" si="53"/>
        <v>0</v>
      </c>
      <c r="K72" s="33">
        <f t="shared" si="54"/>
        <v>0</v>
      </c>
      <c r="L72" s="33">
        <f t="shared" si="55"/>
        <v>0</v>
      </c>
      <c r="M72" s="33">
        <f t="shared" si="56"/>
        <v>0</v>
      </c>
      <c r="N72" s="33">
        <f t="shared" si="42"/>
        <v>0</v>
      </c>
      <c r="O72" s="34">
        <f t="shared" si="43"/>
        <v>0</v>
      </c>
      <c r="P72" s="55">
        <v>67</v>
      </c>
      <c r="Q72" s="33">
        <f t="shared" si="51"/>
        <v>0</v>
      </c>
      <c r="R72" s="33">
        <f t="shared" si="57"/>
        <v>0</v>
      </c>
      <c r="S72" s="33">
        <f t="shared" si="58"/>
        <v>0</v>
      </c>
      <c r="T72" s="33">
        <f t="shared" si="44"/>
        <v>0</v>
      </c>
      <c r="U72" s="33">
        <f t="shared" si="52"/>
        <v>0</v>
      </c>
      <c r="V72" s="33">
        <f t="shared" si="45"/>
        <v>0</v>
      </c>
      <c r="W72" s="33">
        <v>0</v>
      </c>
      <c r="X72" s="33">
        <f t="shared" si="46"/>
        <v>0</v>
      </c>
      <c r="Y72" s="38">
        <f t="shared" si="47"/>
        <v>0</v>
      </c>
      <c r="AA72" s="71">
        <v>67</v>
      </c>
      <c r="AB72" s="33">
        <f t="shared" si="48"/>
        <v>0</v>
      </c>
      <c r="AC72" s="305">
        <f t="shared" si="39"/>
        <v>0</v>
      </c>
      <c r="AD72" s="100">
        <f t="shared" si="49"/>
        <v>0</v>
      </c>
      <c r="AE72" s="100">
        <f t="shared" si="50"/>
        <v>0</v>
      </c>
      <c r="AF72" s="194">
        <f t="shared" si="34"/>
        <v>0</v>
      </c>
      <c r="AG72" s="194">
        <f t="shared" si="35"/>
        <v>0</v>
      </c>
      <c r="AH72" s="194">
        <f t="shared" si="36"/>
        <v>0</v>
      </c>
      <c r="AI72" s="199">
        <f t="shared" si="37"/>
        <v>0</v>
      </c>
      <c r="AK72" s="71">
        <v>67</v>
      </c>
      <c r="AL72" s="33"/>
      <c r="AM72" s="33"/>
      <c r="AN72" s="33"/>
      <c r="AO72" s="33"/>
      <c r="AP72" s="33"/>
      <c r="AQ72" s="194"/>
      <c r="AR72" s="194"/>
      <c r="AS72" s="194"/>
      <c r="AT72" s="194"/>
      <c r="AU72" s="33"/>
      <c r="AV72" s="33"/>
      <c r="AW72" s="33"/>
      <c r="AX72" s="33"/>
      <c r="AY72" s="76"/>
    </row>
    <row r="73" spans="2:51" x14ac:dyDescent="0.3">
      <c r="B73" s="40">
        <f t="shared" si="31"/>
        <v>136</v>
      </c>
      <c r="C73" s="152">
        <f t="shared" si="38"/>
        <v>140</v>
      </c>
      <c r="D73" s="137">
        <f>D74+13</f>
        <v>282</v>
      </c>
      <c r="E73" s="141">
        <f t="shared" si="29"/>
        <v>1.56</v>
      </c>
      <c r="F73" s="42">
        <f t="shared" si="40"/>
        <v>439.92</v>
      </c>
      <c r="G73" s="51">
        <f t="shared" si="41"/>
        <v>5.0700000000000074</v>
      </c>
      <c r="I73" s="55">
        <v>68</v>
      </c>
      <c r="J73" s="33">
        <f t="shared" si="53"/>
        <v>0</v>
      </c>
      <c r="K73" s="33">
        <f t="shared" si="54"/>
        <v>0</v>
      </c>
      <c r="L73" s="33">
        <f t="shared" si="55"/>
        <v>0</v>
      </c>
      <c r="M73" s="33">
        <f t="shared" si="56"/>
        <v>0</v>
      </c>
      <c r="N73" s="33">
        <f t="shared" si="42"/>
        <v>0</v>
      </c>
      <c r="O73" s="34">
        <f t="shared" si="43"/>
        <v>0</v>
      </c>
      <c r="P73" s="55">
        <v>68</v>
      </c>
      <c r="Q73" s="33">
        <f t="shared" si="51"/>
        <v>0</v>
      </c>
      <c r="R73" s="33">
        <f t="shared" si="57"/>
        <v>0</v>
      </c>
      <c r="S73" s="33">
        <f t="shared" si="58"/>
        <v>0</v>
      </c>
      <c r="T73" s="33">
        <f t="shared" si="44"/>
        <v>0</v>
      </c>
      <c r="U73" s="33">
        <f t="shared" si="52"/>
        <v>0</v>
      </c>
      <c r="V73" s="33">
        <f t="shared" si="45"/>
        <v>0</v>
      </c>
      <c r="W73" s="33">
        <v>0</v>
      </c>
      <c r="X73" s="33">
        <f t="shared" si="46"/>
        <v>0</v>
      </c>
      <c r="Y73" s="38">
        <f t="shared" si="47"/>
        <v>0</v>
      </c>
      <c r="AA73" s="71">
        <v>68</v>
      </c>
      <c r="AB73" s="33">
        <f t="shared" si="48"/>
        <v>0</v>
      </c>
      <c r="AC73" s="305">
        <f t="shared" si="39"/>
        <v>0</v>
      </c>
      <c r="AD73" s="100">
        <f t="shared" si="49"/>
        <v>0</v>
      </c>
      <c r="AE73" s="100">
        <f t="shared" si="50"/>
        <v>0</v>
      </c>
      <c r="AF73" s="194">
        <f t="shared" si="34"/>
        <v>0</v>
      </c>
      <c r="AG73" s="194">
        <f t="shared" si="35"/>
        <v>0</v>
      </c>
      <c r="AH73" s="194">
        <f t="shared" si="36"/>
        <v>0</v>
      </c>
      <c r="AI73" s="199">
        <f t="shared" si="37"/>
        <v>0</v>
      </c>
      <c r="AK73" s="71">
        <v>68</v>
      </c>
      <c r="AL73" s="33"/>
      <c r="AM73" s="33"/>
      <c r="AN73" s="33"/>
      <c r="AO73" s="33"/>
      <c r="AP73" s="33"/>
      <c r="AQ73" s="194"/>
      <c r="AR73" s="194"/>
      <c r="AS73" s="194"/>
      <c r="AT73" s="194"/>
      <c r="AU73" s="33"/>
      <c r="AV73" s="33"/>
      <c r="AW73" s="33"/>
      <c r="AX73" s="33"/>
      <c r="AY73" s="76"/>
    </row>
    <row r="74" spans="2:51" x14ac:dyDescent="0.3">
      <c r="B74" s="40">
        <f t="shared" si="31"/>
        <v>140</v>
      </c>
      <c r="C74" s="152">
        <f t="shared" si="38"/>
        <v>141</v>
      </c>
      <c r="D74" s="137">
        <v>269</v>
      </c>
      <c r="E74" s="141">
        <f t="shared" si="29"/>
        <v>1.56</v>
      </c>
      <c r="F74" s="42">
        <f t="shared" si="40"/>
        <v>419.64</v>
      </c>
      <c r="G74" s="51">
        <f t="shared" si="41"/>
        <v>-20.28000000000003</v>
      </c>
      <c r="I74" s="55">
        <v>69</v>
      </c>
      <c r="J74" s="33">
        <f t="shared" si="53"/>
        <v>0</v>
      </c>
      <c r="K74" s="33">
        <f t="shared" si="54"/>
        <v>0</v>
      </c>
      <c r="L74" s="33">
        <f t="shared" si="55"/>
        <v>0</v>
      </c>
      <c r="M74" s="33">
        <f t="shared" si="56"/>
        <v>0</v>
      </c>
      <c r="N74" s="33">
        <f t="shared" si="42"/>
        <v>0</v>
      </c>
      <c r="O74" s="34">
        <f t="shared" si="43"/>
        <v>0</v>
      </c>
      <c r="P74" s="55">
        <v>69</v>
      </c>
      <c r="Q74" s="33">
        <f t="shared" si="51"/>
        <v>0</v>
      </c>
      <c r="R74" s="33">
        <f t="shared" si="57"/>
        <v>0</v>
      </c>
      <c r="S74" s="33">
        <f t="shared" si="58"/>
        <v>0</v>
      </c>
      <c r="T74" s="33">
        <f t="shared" si="44"/>
        <v>0</v>
      </c>
      <c r="U74" s="33">
        <f t="shared" si="52"/>
        <v>0</v>
      </c>
      <c r="V74" s="33">
        <f t="shared" si="45"/>
        <v>0</v>
      </c>
      <c r="W74" s="33">
        <v>0</v>
      </c>
      <c r="X74" s="33">
        <f t="shared" si="46"/>
        <v>0</v>
      </c>
      <c r="Y74" s="38">
        <f t="shared" si="47"/>
        <v>0</v>
      </c>
      <c r="AA74" s="71">
        <v>69</v>
      </c>
      <c r="AB74" s="33">
        <f t="shared" si="48"/>
        <v>0</v>
      </c>
      <c r="AC74" s="305">
        <f t="shared" si="39"/>
        <v>0</v>
      </c>
      <c r="AD74" s="100">
        <f t="shared" si="49"/>
        <v>0</v>
      </c>
      <c r="AE74" s="100">
        <f t="shared" si="50"/>
        <v>0</v>
      </c>
      <c r="AF74" s="194">
        <f t="shared" si="34"/>
        <v>0</v>
      </c>
      <c r="AG74" s="194">
        <f t="shared" si="35"/>
        <v>0</v>
      </c>
      <c r="AH74" s="194">
        <f t="shared" si="36"/>
        <v>0</v>
      </c>
      <c r="AI74" s="199">
        <f t="shared" si="37"/>
        <v>0</v>
      </c>
      <c r="AK74" s="71">
        <v>69</v>
      </c>
      <c r="AL74" s="33"/>
      <c r="AM74" s="33"/>
      <c r="AN74" s="33"/>
      <c r="AO74" s="33"/>
      <c r="AP74" s="33"/>
      <c r="AQ74" s="194"/>
      <c r="AR74" s="194"/>
      <c r="AS74" s="194"/>
      <c r="AT74" s="194"/>
      <c r="AU74" s="33"/>
      <c r="AV74" s="33"/>
      <c r="AW74" s="33"/>
      <c r="AX74" s="33"/>
      <c r="AY74" s="76"/>
    </row>
    <row r="75" spans="2:51" x14ac:dyDescent="0.3">
      <c r="B75" s="40">
        <f t="shared" si="31"/>
        <v>141</v>
      </c>
      <c r="C75" s="152">
        <f t="shared" si="38"/>
        <v>145</v>
      </c>
      <c r="D75" s="137">
        <f>D76+13</f>
        <v>282</v>
      </c>
      <c r="E75" s="141">
        <f t="shared" si="29"/>
        <v>1.56</v>
      </c>
      <c r="F75" s="42">
        <f t="shared" si="40"/>
        <v>439.92</v>
      </c>
      <c r="G75" s="51">
        <f t="shared" si="41"/>
        <v>5.0700000000000074</v>
      </c>
      <c r="I75" s="55">
        <v>70</v>
      </c>
      <c r="J75" s="33">
        <f t="shared" si="53"/>
        <v>0</v>
      </c>
      <c r="K75" s="33">
        <f t="shared" si="54"/>
        <v>0</v>
      </c>
      <c r="L75" s="33">
        <f t="shared" si="55"/>
        <v>0</v>
      </c>
      <c r="M75" s="33">
        <f t="shared" si="56"/>
        <v>0</v>
      </c>
      <c r="N75" s="33">
        <f t="shared" si="42"/>
        <v>0</v>
      </c>
      <c r="O75" s="34">
        <f t="shared" si="43"/>
        <v>0</v>
      </c>
      <c r="P75" s="55">
        <v>70</v>
      </c>
      <c r="Q75" s="33">
        <f t="shared" si="51"/>
        <v>0</v>
      </c>
      <c r="R75" s="33">
        <f t="shared" si="57"/>
        <v>0</v>
      </c>
      <c r="S75" s="33">
        <f t="shared" si="58"/>
        <v>0</v>
      </c>
      <c r="T75" s="33">
        <f t="shared" si="44"/>
        <v>0</v>
      </c>
      <c r="U75" s="33">
        <f t="shared" si="52"/>
        <v>0</v>
      </c>
      <c r="V75" s="33">
        <f t="shared" si="45"/>
        <v>0</v>
      </c>
      <c r="W75" s="33">
        <v>0</v>
      </c>
      <c r="X75" s="33">
        <f t="shared" si="46"/>
        <v>0</v>
      </c>
      <c r="Y75" s="38">
        <f t="shared" si="47"/>
        <v>0</v>
      </c>
      <c r="AA75" s="71">
        <v>70</v>
      </c>
      <c r="AB75" s="33">
        <f t="shared" si="48"/>
        <v>0</v>
      </c>
      <c r="AC75" s="305">
        <f t="shared" si="39"/>
        <v>0</v>
      </c>
      <c r="AD75" s="100">
        <f t="shared" si="49"/>
        <v>0</v>
      </c>
      <c r="AE75" s="100">
        <f t="shared" si="50"/>
        <v>0</v>
      </c>
      <c r="AF75" s="194">
        <f t="shared" si="34"/>
        <v>0</v>
      </c>
      <c r="AG75" s="194">
        <f t="shared" si="35"/>
        <v>0</v>
      </c>
      <c r="AH75" s="194">
        <f t="shared" si="36"/>
        <v>0</v>
      </c>
      <c r="AI75" s="199">
        <f t="shared" si="37"/>
        <v>0</v>
      </c>
      <c r="AK75" s="71">
        <v>70</v>
      </c>
      <c r="AL75" s="33"/>
      <c r="AM75" s="33"/>
      <c r="AN75" s="33"/>
      <c r="AO75" s="33"/>
      <c r="AP75" s="33"/>
      <c r="AQ75" s="194"/>
      <c r="AR75" s="194"/>
      <c r="AS75" s="194"/>
      <c r="AT75" s="194"/>
      <c r="AU75" s="33"/>
      <c r="AV75" s="33"/>
      <c r="AW75" s="33"/>
      <c r="AX75" s="33"/>
      <c r="AY75" s="76"/>
    </row>
    <row r="76" spans="2:51" x14ac:dyDescent="0.3">
      <c r="B76" s="40">
        <f t="shared" si="31"/>
        <v>145</v>
      </c>
      <c r="C76" s="152">
        <f t="shared" si="38"/>
        <v>146</v>
      </c>
      <c r="D76" s="137">
        <v>269</v>
      </c>
      <c r="E76" s="141">
        <f t="shared" si="29"/>
        <v>1.56</v>
      </c>
      <c r="F76" s="42">
        <f t="shared" si="40"/>
        <v>419.64</v>
      </c>
      <c r="G76" s="51">
        <f t="shared" si="41"/>
        <v>-20.28000000000003</v>
      </c>
      <c r="I76" s="55">
        <v>71</v>
      </c>
      <c r="J76" s="33">
        <f t="shared" si="53"/>
        <v>0</v>
      </c>
      <c r="K76" s="33">
        <f t="shared" si="54"/>
        <v>0</v>
      </c>
      <c r="L76" s="33">
        <f t="shared" si="55"/>
        <v>0</v>
      </c>
      <c r="M76" s="33">
        <f t="shared" si="56"/>
        <v>0</v>
      </c>
      <c r="N76" s="33">
        <f t="shared" si="42"/>
        <v>0</v>
      </c>
      <c r="O76" s="34">
        <f t="shared" si="43"/>
        <v>0</v>
      </c>
      <c r="P76" s="55">
        <v>71</v>
      </c>
      <c r="Q76" s="33">
        <f t="shared" si="51"/>
        <v>0</v>
      </c>
      <c r="R76" s="33">
        <f t="shared" si="57"/>
        <v>0</v>
      </c>
      <c r="S76" s="33">
        <f t="shared" si="58"/>
        <v>0</v>
      </c>
      <c r="T76" s="33">
        <f t="shared" si="44"/>
        <v>0</v>
      </c>
      <c r="U76" s="33">
        <f t="shared" si="52"/>
        <v>0</v>
      </c>
      <c r="V76" s="33">
        <f t="shared" si="45"/>
        <v>0</v>
      </c>
      <c r="W76" s="33">
        <v>0</v>
      </c>
      <c r="X76" s="33">
        <f t="shared" si="46"/>
        <v>0</v>
      </c>
      <c r="Y76" s="38">
        <f t="shared" si="47"/>
        <v>0</v>
      </c>
      <c r="AA76" s="71">
        <v>71</v>
      </c>
      <c r="AB76" s="33">
        <f t="shared" si="48"/>
        <v>0</v>
      </c>
      <c r="AC76" s="305">
        <f t="shared" si="39"/>
        <v>0</v>
      </c>
      <c r="AD76" s="100">
        <f t="shared" si="49"/>
        <v>0</v>
      </c>
      <c r="AE76" s="100">
        <f t="shared" si="50"/>
        <v>0</v>
      </c>
      <c r="AF76" s="194">
        <f t="shared" si="34"/>
        <v>0</v>
      </c>
      <c r="AG76" s="194">
        <f t="shared" si="35"/>
        <v>0</v>
      </c>
      <c r="AH76" s="194">
        <f t="shared" si="36"/>
        <v>0</v>
      </c>
      <c r="AI76" s="199">
        <f t="shared" si="37"/>
        <v>0</v>
      </c>
      <c r="AK76" s="71">
        <v>71</v>
      </c>
      <c r="AL76" s="33"/>
      <c r="AM76" s="33"/>
      <c r="AN76" s="33"/>
      <c r="AO76" s="33"/>
      <c r="AP76" s="33"/>
      <c r="AQ76" s="194"/>
      <c r="AR76" s="194"/>
      <c r="AS76" s="194"/>
      <c r="AT76" s="194"/>
      <c r="AU76" s="33"/>
      <c r="AV76" s="33"/>
      <c r="AW76" s="33"/>
      <c r="AX76" s="33"/>
      <c r="AY76" s="76"/>
    </row>
    <row r="77" spans="2:51" x14ac:dyDescent="0.3">
      <c r="B77" s="40">
        <f t="shared" si="31"/>
        <v>146</v>
      </c>
      <c r="C77" s="152">
        <f t="shared" si="38"/>
        <v>150</v>
      </c>
      <c r="D77" s="137">
        <f>D78+12</f>
        <v>280</v>
      </c>
      <c r="E77" s="141">
        <f t="shared" si="29"/>
        <v>1.56</v>
      </c>
      <c r="F77" s="42">
        <f t="shared" si="40"/>
        <v>436.8</v>
      </c>
      <c r="G77" s="51">
        <f t="shared" si="41"/>
        <v>4.2900000000000063</v>
      </c>
      <c r="I77" s="55">
        <v>72</v>
      </c>
      <c r="J77" s="33">
        <f t="shared" si="53"/>
        <v>0</v>
      </c>
      <c r="K77" s="33">
        <f t="shared" si="54"/>
        <v>0</v>
      </c>
      <c r="L77" s="33">
        <f t="shared" si="55"/>
        <v>0</v>
      </c>
      <c r="M77" s="33">
        <f t="shared" si="56"/>
        <v>0</v>
      </c>
      <c r="N77" s="33">
        <f t="shared" si="42"/>
        <v>0</v>
      </c>
      <c r="O77" s="34">
        <f t="shared" si="43"/>
        <v>0</v>
      </c>
      <c r="P77" s="55">
        <v>72</v>
      </c>
      <c r="Q77" s="33">
        <f t="shared" si="51"/>
        <v>0</v>
      </c>
      <c r="R77" s="33">
        <f t="shared" si="57"/>
        <v>0</v>
      </c>
      <c r="S77" s="33">
        <f t="shared" si="58"/>
        <v>0</v>
      </c>
      <c r="T77" s="33">
        <f t="shared" si="44"/>
        <v>0</v>
      </c>
      <c r="U77" s="33">
        <f t="shared" si="52"/>
        <v>0</v>
      </c>
      <c r="V77" s="33">
        <f t="shared" si="45"/>
        <v>0</v>
      </c>
      <c r="W77" s="33">
        <v>0</v>
      </c>
      <c r="X77" s="33">
        <f t="shared" si="46"/>
        <v>0</v>
      </c>
      <c r="Y77" s="38">
        <f t="shared" si="47"/>
        <v>0</v>
      </c>
      <c r="AA77" s="71">
        <v>72</v>
      </c>
      <c r="AB77" s="33">
        <f t="shared" si="48"/>
        <v>0</v>
      </c>
      <c r="AC77" s="305">
        <f t="shared" si="39"/>
        <v>0</v>
      </c>
      <c r="AD77" s="100">
        <f t="shared" si="49"/>
        <v>0</v>
      </c>
      <c r="AE77" s="100">
        <f t="shared" si="50"/>
        <v>0</v>
      </c>
      <c r="AF77" s="194">
        <f t="shared" si="34"/>
        <v>0</v>
      </c>
      <c r="AG77" s="194">
        <f t="shared" si="35"/>
        <v>0</v>
      </c>
      <c r="AH77" s="194">
        <f t="shared" si="36"/>
        <v>0</v>
      </c>
      <c r="AI77" s="199">
        <f t="shared" si="37"/>
        <v>0</v>
      </c>
      <c r="AK77" s="71">
        <v>72</v>
      </c>
      <c r="AL77" s="33"/>
      <c r="AM77" s="33"/>
      <c r="AN77" s="33"/>
      <c r="AO77" s="33"/>
      <c r="AP77" s="33"/>
      <c r="AQ77" s="194"/>
      <c r="AR77" s="194"/>
      <c r="AS77" s="194"/>
      <c r="AT77" s="194"/>
      <c r="AU77" s="33"/>
      <c r="AV77" s="33"/>
      <c r="AW77" s="33"/>
      <c r="AX77" s="33"/>
      <c r="AY77" s="76"/>
    </row>
    <row r="78" spans="2:51" x14ac:dyDescent="0.3">
      <c r="B78" s="43">
        <f t="shared" si="31"/>
        <v>150</v>
      </c>
      <c r="C78" s="153">
        <f t="shared" si="38"/>
        <v>151</v>
      </c>
      <c r="D78" s="154">
        <v>268</v>
      </c>
      <c r="E78" s="141">
        <f t="shared" si="29"/>
        <v>1.56</v>
      </c>
      <c r="F78" s="42">
        <f t="shared" si="40"/>
        <v>418.08000000000004</v>
      </c>
      <c r="G78" s="51">
        <f t="shared" si="41"/>
        <v>-18.71999999999997</v>
      </c>
      <c r="I78" s="55">
        <v>73</v>
      </c>
      <c r="J78" s="33">
        <f t="shared" si="53"/>
        <v>0</v>
      </c>
      <c r="K78" s="33">
        <f t="shared" si="54"/>
        <v>0</v>
      </c>
      <c r="L78" s="33">
        <f t="shared" si="55"/>
        <v>0</v>
      </c>
      <c r="M78" s="33">
        <f t="shared" si="56"/>
        <v>0</v>
      </c>
      <c r="N78" s="33">
        <f t="shared" si="42"/>
        <v>0</v>
      </c>
      <c r="O78" s="34">
        <f t="shared" si="43"/>
        <v>0</v>
      </c>
      <c r="P78" s="55">
        <v>73</v>
      </c>
      <c r="Q78" s="33">
        <f t="shared" si="51"/>
        <v>0</v>
      </c>
      <c r="R78" s="33">
        <f t="shared" si="57"/>
        <v>0</v>
      </c>
      <c r="S78" s="33">
        <f t="shared" si="58"/>
        <v>0</v>
      </c>
      <c r="T78" s="33">
        <f t="shared" si="44"/>
        <v>0</v>
      </c>
      <c r="U78" s="33">
        <f t="shared" si="52"/>
        <v>0</v>
      </c>
      <c r="V78" s="33">
        <f t="shared" si="45"/>
        <v>0</v>
      </c>
      <c r="W78" s="33">
        <v>0</v>
      </c>
      <c r="X78" s="33">
        <f t="shared" si="46"/>
        <v>0</v>
      </c>
      <c r="Y78" s="38">
        <f t="shared" si="47"/>
        <v>0</v>
      </c>
      <c r="AA78" s="71">
        <v>73</v>
      </c>
      <c r="AB78" s="33">
        <f t="shared" si="48"/>
        <v>0</v>
      </c>
      <c r="AC78" s="305">
        <f t="shared" si="39"/>
        <v>0</v>
      </c>
      <c r="AD78" s="100">
        <f t="shared" si="49"/>
        <v>0</v>
      </c>
      <c r="AE78" s="100">
        <f t="shared" si="50"/>
        <v>0</v>
      </c>
      <c r="AF78" s="194">
        <f t="shared" si="34"/>
        <v>0</v>
      </c>
      <c r="AG78" s="194">
        <f t="shared" si="35"/>
        <v>0</v>
      </c>
      <c r="AH78" s="194">
        <f t="shared" si="36"/>
        <v>0</v>
      </c>
      <c r="AI78" s="199">
        <f t="shared" si="37"/>
        <v>0</v>
      </c>
      <c r="AK78" s="71">
        <v>73</v>
      </c>
      <c r="AL78" s="33"/>
      <c r="AM78" s="33"/>
      <c r="AN78" s="33"/>
      <c r="AO78" s="33"/>
      <c r="AP78" s="33"/>
      <c r="AQ78" s="194"/>
      <c r="AR78" s="194"/>
      <c r="AS78" s="194"/>
      <c r="AT78" s="194"/>
      <c r="AU78" s="33"/>
      <c r="AV78" s="33"/>
      <c r="AW78" s="33"/>
      <c r="AX78" s="33"/>
      <c r="AY78" s="76"/>
    </row>
    <row r="79" spans="2:51" x14ac:dyDescent="0.3">
      <c r="I79" s="55">
        <v>74</v>
      </c>
      <c r="J79" s="33">
        <f t="shared" si="53"/>
        <v>0</v>
      </c>
      <c r="K79" s="33">
        <f t="shared" si="54"/>
        <v>0</v>
      </c>
      <c r="L79" s="33">
        <f t="shared" si="55"/>
        <v>0</v>
      </c>
      <c r="M79" s="33">
        <f t="shared" si="56"/>
        <v>0</v>
      </c>
      <c r="N79" s="33">
        <f t="shared" si="42"/>
        <v>0</v>
      </c>
      <c r="O79" s="34">
        <f t="shared" si="43"/>
        <v>0</v>
      </c>
      <c r="P79" s="55">
        <v>74</v>
      </c>
      <c r="Q79" s="33">
        <f t="shared" si="51"/>
        <v>0</v>
      </c>
      <c r="R79" s="33">
        <f t="shared" si="57"/>
        <v>0</v>
      </c>
      <c r="S79" s="33">
        <f t="shared" si="58"/>
        <v>0</v>
      </c>
      <c r="T79" s="33">
        <f t="shared" si="44"/>
        <v>0</v>
      </c>
      <c r="U79" s="33">
        <f t="shared" si="52"/>
        <v>0</v>
      </c>
      <c r="V79" s="33">
        <f t="shared" si="45"/>
        <v>0</v>
      </c>
      <c r="W79" s="33">
        <v>0</v>
      </c>
      <c r="X79" s="33">
        <f t="shared" si="46"/>
        <v>0</v>
      </c>
      <c r="Y79" s="38">
        <f t="shared" si="47"/>
        <v>0</v>
      </c>
      <c r="AA79" s="71">
        <v>74</v>
      </c>
      <c r="AB79" s="33">
        <f t="shared" si="48"/>
        <v>0</v>
      </c>
      <c r="AC79" s="305">
        <f t="shared" si="39"/>
        <v>0</v>
      </c>
      <c r="AD79" s="100">
        <f t="shared" si="49"/>
        <v>0</v>
      </c>
      <c r="AE79" s="100">
        <f t="shared" si="50"/>
        <v>0</v>
      </c>
      <c r="AF79" s="194">
        <f t="shared" si="34"/>
        <v>0</v>
      </c>
      <c r="AG79" s="194">
        <f t="shared" si="35"/>
        <v>0</v>
      </c>
      <c r="AH79" s="194">
        <f t="shared" si="36"/>
        <v>0</v>
      </c>
      <c r="AI79" s="199">
        <f t="shared" si="37"/>
        <v>0</v>
      </c>
      <c r="AK79" s="71">
        <v>74</v>
      </c>
      <c r="AL79" s="33"/>
      <c r="AM79" s="33"/>
      <c r="AN79" s="33"/>
      <c r="AO79" s="33"/>
      <c r="AP79" s="33"/>
      <c r="AQ79" s="194"/>
      <c r="AR79" s="194"/>
      <c r="AS79" s="194"/>
      <c r="AT79" s="194"/>
      <c r="AU79" s="33"/>
      <c r="AV79" s="33"/>
      <c r="AW79" s="33"/>
      <c r="AX79" s="33"/>
      <c r="AY79" s="76"/>
    </row>
    <row r="80" spans="2:51" x14ac:dyDescent="0.3">
      <c r="B80" s="356" t="s">
        <v>259</v>
      </c>
      <c r="C80" s="357"/>
      <c r="D80" s="357"/>
      <c r="E80" s="357"/>
      <c r="F80" s="357"/>
      <c r="G80" s="358"/>
      <c r="H80" s="23"/>
      <c r="I80" s="55">
        <v>75</v>
      </c>
      <c r="J80" s="33">
        <f t="shared" si="53"/>
        <v>0</v>
      </c>
      <c r="K80" s="33">
        <f t="shared" si="54"/>
        <v>0</v>
      </c>
      <c r="L80" s="33">
        <f t="shared" si="55"/>
        <v>0</v>
      </c>
      <c r="M80" s="33">
        <f t="shared" si="56"/>
        <v>0</v>
      </c>
      <c r="N80" s="33">
        <f t="shared" si="42"/>
        <v>0</v>
      </c>
      <c r="O80" s="34">
        <f t="shared" si="43"/>
        <v>0</v>
      </c>
      <c r="P80" s="55">
        <v>75</v>
      </c>
      <c r="Q80" s="33">
        <f t="shared" si="51"/>
        <v>0</v>
      </c>
      <c r="R80" s="33">
        <f t="shared" si="57"/>
        <v>0</v>
      </c>
      <c r="S80" s="33">
        <f t="shared" si="58"/>
        <v>0</v>
      </c>
      <c r="T80" s="33">
        <f t="shared" si="44"/>
        <v>0</v>
      </c>
      <c r="U80" s="33">
        <f t="shared" si="52"/>
        <v>0</v>
      </c>
      <c r="V80" s="33">
        <f t="shared" si="45"/>
        <v>0</v>
      </c>
      <c r="W80" s="33">
        <v>0</v>
      </c>
      <c r="X80" s="33">
        <f t="shared" si="46"/>
        <v>0</v>
      </c>
      <c r="Y80" s="38">
        <f t="shared" si="47"/>
        <v>0</v>
      </c>
      <c r="AA80" s="71">
        <v>75</v>
      </c>
      <c r="AB80" s="33">
        <f t="shared" si="48"/>
        <v>0</v>
      </c>
      <c r="AC80" s="305">
        <f t="shared" si="39"/>
        <v>0</v>
      </c>
      <c r="AD80" s="100">
        <f t="shared" si="49"/>
        <v>0</v>
      </c>
      <c r="AE80" s="100">
        <f t="shared" si="50"/>
        <v>0</v>
      </c>
      <c r="AF80" s="194">
        <f t="shared" si="34"/>
        <v>0</v>
      </c>
      <c r="AG80" s="194">
        <f t="shared" si="35"/>
        <v>0</v>
      </c>
      <c r="AH80" s="194">
        <f t="shared" si="36"/>
        <v>0</v>
      </c>
      <c r="AI80" s="199">
        <f t="shared" si="37"/>
        <v>0</v>
      </c>
      <c r="AK80" s="71">
        <v>75</v>
      </c>
      <c r="AL80" s="33"/>
      <c r="AM80" s="33"/>
      <c r="AN80" s="33"/>
      <c r="AO80" s="33"/>
      <c r="AP80" s="33"/>
      <c r="AQ80" s="194"/>
      <c r="AR80" s="194"/>
      <c r="AS80" s="194"/>
      <c r="AT80" s="194"/>
      <c r="AU80" s="33"/>
      <c r="AV80" s="33"/>
      <c r="AW80" s="33"/>
      <c r="AX80" s="33"/>
      <c r="AY80" s="76"/>
    </row>
    <row r="81" spans="2:51" x14ac:dyDescent="0.3">
      <c r="B81" s="156" t="s">
        <v>76</v>
      </c>
      <c r="C81" s="132" t="s">
        <v>156</v>
      </c>
      <c r="D81" s="130" t="s">
        <v>78</v>
      </c>
      <c r="E81" s="130" t="s">
        <v>81</v>
      </c>
      <c r="F81" s="130" t="s">
        <v>80</v>
      </c>
      <c r="G81" s="131" t="s">
        <v>79</v>
      </c>
      <c r="H81" s="57"/>
      <c r="I81" s="55">
        <v>76</v>
      </c>
      <c r="J81" s="33">
        <f t="shared" si="53"/>
        <v>0</v>
      </c>
      <c r="K81" s="33">
        <f t="shared" si="54"/>
        <v>0</v>
      </c>
      <c r="L81" s="33">
        <f t="shared" si="55"/>
        <v>0</v>
      </c>
      <c r="M81" s="33">
        <f t="shared" si="56"/>
        <v>0</v>
      </c>
      <c r="N81" s="33">
        <f t="shared" si="42"/>
        <v>0</v>
      </c>
      <c r="O81" s="34">
        <f t="shared" si="43"/>
        <v>0</v>
      </c>
      <c r="P81" s="55">
        <v>76</v>
      </c>
      <c r="Q81" s="33">
        <f t="shared" si="51"/>
        <v>0</v>
      </c>
      <c r="R81" s="33">
        <f t="shared" si="57"/>
        <v>0</v>
      </c>
      <c r="S81" s="33">
        <f t="shared" si="58"/>
        <v>0</v>
      </c>
      <c r="T81" s="33">
        <f t="shared" si="44"/>
        <v>0</v>
      </c>
      <c r="U81" s="33">
        <f t="shared" si="52"/>
        <v>0</v>
      </c>
      <c r="V81" s="33">
        <f t="shared" si="45"/>
        <v>0</v>
      </c>
      <c r="W81" s="33">
        <v>0</v>
      </c>
      <c r="X81" s="33">
        <f t="shared" si="46"/>
        <v>0</v>
      </c>
      <c r="Y81" s="38">
        <f t="shared" si="47"/>
        <v>0</v>
      </c>
      <c r="AA81" s="71">
        <v>76</v>
      </c>
      <c r="AB81" s="33">
        <f t="shared" si="48"/>
        <v>0</v>
      </c>
      <c r="AC81" s="305">
        <f t="shared" si="39"/>
        <v>0</v>
      </c>
      <c r="AD81" s="100">
        <f t="shared" si="49"/>
        <v>0</v>
      </c>
      <c r="AE81" s="100">
        <f t="shared" si="50"/>
        <v>0</v>
      </c>
      <c r="AF81" s="194">
        <f t="shared" si="34"/>
        <v>0</v>
      </c>
      <c r="AG81" s="194">
        <f t="shared" si="35"/>
        <v>0</v>
      </c>
      <c r="AH81" s="194">
        <f t="shared" si="36"/>
        <v>0</v>
      </c>
      <c r="AI81" s="199">
        <f t="shared" si="37"/>
        <v>0</v>
      </c>
      <c r="AK81" s="71">
        <v>76</v>
      </c>
      <c r="AL81" s="33"/>
      <c r="AM81" s="33"/>
      <c r="AN81" s="33"/>
      <c r="AO81" s="33"/>
      <c r="AP81" s="33"/>
      <c r="AQ81" s="194"/>
      <c r="AR81" s="194"/>
      <c r="AS81" s="194"/>
      <c r="AT81" s="194"/>
      <c r="AU81" s="33"/>
      <c r="AV81" s="33"/>
      <c r="AW81" s="33"/>
      <c r="AX81" s="33"/>
      <c r="AY81" s="76"/>
    </row>
    <row r="82" spans="2:51" x14ac:dyDescent="0.3">
      <c r="B82" s="170" t="str">
        <f>IF(C25&lt;=$F$18,C25+1,"-")</f>
        <v>-</v>
      </c>
      <c r="C82" s="145">
        <f>D25-D26</f>
        <v>0</v>
      </c>
      <c r="D82" s="146">
        <v>0</v>
      </c>
      <c r="E82" s="171">
        <f>IF(G82+D82&lt;&gt;1,(1-(G82+D82))*56%,0)</f>
        <v>0</v>
      </c>
      <c r="F82" s="171">
        <f>IF(G82+D82&lt;&gt;1,(1-(G82+D82))*44%,0)</f>
        <v>0</v>
      </c>
      <c r="G82" s="147">
        <f>1-D82</f>
        <v>1</v>
      </c>
      <c r="H82" s="58">
        <f t="shared" ref="H82:H94" si="59">IF(C82=0,0,IF(SUM(D82:G82)&lt;&gt;1,"erreur",))</f>
        <v>0</v>
      </c>
      <c r="I82" s="55">
        <v>77</v>
      </c>
      <c r="J82" s="33">
        <f t="shared" si="53"/>
        <v>0</v>
      </c>
      <c r="K82" s="33">
        <f t="shared" si="54"/>
        <v>0</v>
      </c>
      <c r="L82" s="33">
        <f t="shared" si="55"/>
        <v>0</v>
      </c>
      <c r="M82" s="33">
        <f t="shared" si="56"/>
        <v>0</v>
      </c>
      <c r="N82" s="33">
        <f t="shared" si="42"/>
        <v>0</v>
      </c>
      <c r="O82" s="34">
        <f t="shared" si="43"/>
        <v>0</v>
      </c>
      <c r="P82" s="55">
        <v>77</v>
      </c>
      <c r="Q82" s="33">
        <f t="shared" si="51"/>
        <v>0</v>
      </c>
      <c r="R82" s="33">
        <f t="shared" si="57"/>
        <v>0</v>
      </c>
      <c r="S82" s="33">
        <f t="shared" si="58"/>
        <v>0</v>
      </c>
      <c r="T82" s="33">
        <f t="shared" si="44"/>
        <v>0</v>
      </c>
      <c r="U82" s="33">
        <f t="shared" si="52"/>
        <v>0</v>
      </c>
      <c r="V82" s="33">
        <f t="shared" si="45"/>
        <v>0</v>
      </c>
      <c r="W82" s="33">
        <v>0</v>
      </c>
      <c r="X82" s="33">
        <f t="shared" si="46"/>
        <v>0</v>
      </c>
      <c r="Y82" s="38">
        <f t="shared" si="47"/>
        <v>0</v>
      </c>
      <c r="AA82" s="71">
        <v>77</v>
      </c>
      <c r="AB82" s="33">
        <f t="shared" si="48"/>
        <v>0</v>
      </c>
      <c r="AC82" s="305">
        <f t="shared" si="39"/>
        <v>0</v>
      </c>
      <c r="AD82" s="100">
        <f t="shared" si="49"/>
        <v>0</v>
      </c>
      <c r="AE82" s="100">
        <f t="shared" si="50"/>
        <v>0</v>
      </c>
      <c r="AF82" s="194">
        <f t="shared" si="34"/>
        <v>0</v>
      </c>
      <c r="AG82" s="194">
        <f t="shared" si="35"/>
        <v>0</v>
      </c>
      <c r="AH82" s="194">
        <f t="shared" si="36"/>
        <v>0</v>
      </c>
      <c r="AI82" s="199">
        <f t="shared" si="37"/>
        <v>0</v>
      </c>
      <c r="AK82" s="71">
        <v>77</v>
      </c>
      <c r="AL82" s="33"/>
      <c r="AM82" s="33"/>
      <c r="AN82" s="33"/>
      <c r="AO82" s="33"/>
      <c r="AP82" s="33"/>
      <c r="AQ82" s="194"/>
      <c r="AR82" s="194"/>
      <c r="AS82" s="194"/>
      <c r="AT82" s="194"/>
      <c r="AU82" s="33"/>
      <c r="AV82" s="33"/>
      <c r="AW82" s="33"/>
      <c r="AX82" s="33"/>
      <c r="AY82" s="76"/>
    </row>
    <row r="83" spans="2:51" x14ac:dyDescent="0.3">
      <c r="B83" s="172" t="str">
        <f>IF(C27&lt;=$F$18,C27+1,"-")</f>
        <v>-</v>
      </c>
      <c r="C83" s="148">
        <f>D27-D28</f>
        <v>8</v>
      </c>
      <c r="D83" s="149">
        <v>0.1</v>
      </c>
      <c r="E83" s="129">
        <f t="shared" ref="E83:E94" si="60">IF(G83+D83&lt;&gt;1,(1-(G83+D83))*56%,0)</f>
        <v>0</v>
      </c>
      <c r="F83" s="129">
        <f t="shared" ref="F83:F94" si="61">IF(G83+D83&lt;&gt;1,(1-(G83+D83))*44%,0)</f>
        <v>0</v>
      </c>
      <c r="G83" s="150">
        <f t="shared" ref="G83:G94" si="62">1-D83</f>
        <v>0.9</v>
      </c>
      <c r="H83" s="58">
        <f t="shared" si="59"/>
        <v>0</v>
      </c>
      <c r="I83" s="55">
        <v>78</v>
      </c>
      <c r="J83" s="33">
        <f t="shared" si="53"/>
        <v>0</v>
      </c>
      <c r="K83" s="33">
        <f t="shared" si="54"/>
        <v>0</v>
      </c>
      <c r="L83" s="33">
        <f t="shared" si="55"/>
        <v>0</v>
      </c>
      <c r="M83" s="33">
        <f t="shared" si="56"/>
        <v>0</v>
      </c>
      <c r="N83" s="33">
        <f t="shared" si="42"/>
        <v>0</v>
      </c>
      <c r="O83" s="34">
        <f t="shared" si="43"/>
        <v>0</v>
      </c>
      <c r="P83" s="55">
        <v>78</v>
      </c>
      <c r="Q83" s="33">
        <f t="shared" si="51"/>
        <v>0</v>
      </c>
      <c r="R83" s="33">
        <f t="shared" si="57"/>
        <v>0</v>
      </c>
      <c r="S83" s="33">
        <f t="shared" si="58"/>
        <v>0</v>
      </c>
      <c r="T83" s="33">
        <f t="shared" si="44"/>
        <v>0</v>
      </c>
      <c r="U83" s="33">
        <f t="shared" si="52"/>
        <v>0</v>
      </c>
      <c r="V83" s="33">
        <f t="shared" si="45"/>
        <v>0</v>
      </c>
      <c r="W83" s="33">
        <v>0</v>
      </c>
      <c r="X83" s="33">
        <f t="shared" si="46"/>
        <v>0</v>
      </c>
      <c r="Y83" s="38">
        <f t="shared" si="47"/>
        <v>0</v>
      </c>
      <c r="AA83" s="71">
        <v>78</v>
      </c>
      <c r="AB83" s="33">
        <f t="shared" si="48"/>
        <v>0</v>
      </c>
      <c r="AC83" s="305">
        <f t="shared" si="39"/>
        <v>0</v>
      </c>
      <c r="AD83" s="100">
        <f t="shared" si="49"/>
        <v>0</v>
      </c>
      <c r="AE83" s="100">
        <f t="shared" si="50"/>
        <v>0</v>
      </c>
      <c r="AF83" s="194">
        <f t="shared" si="34"/>
        <v>0</v>
      </c>
      <c r="AG83" s="194">
        <f t="shared" si="35"/>
        <v>0</v>
      </c>
      <c r="AH83" s="194">
        <f t="shared" si="36"/>
        <v>0</v>
      </c>
      <c r="AI83" s="199">
        <f t="shared" si="37"/>
        <v>0</v>
      </c>
      <c r="AK83" s="71">
        <v>78</v>
      </c>
      <c r="AL83" s="33"/>
      <c r="AM83" s="33"/>
      <c r="AN83" s="33"/>
      <c r="AO83" s="33"/>
      <c r="AP83" s="33"/>
      <c r="AQ83" s="194"/>
      <c r="AR83" s="194"/>
      <c r="AS83" s="194"/>
      <c r="AT83" s="194"/>
      <c r="AU83" s="33"/>
      <c r="AV83" s="33"/>
      <c r="AW83" s="33"/>
      <c r="AX83" s="33"/>
      <c r="AY83" s="76"/>
    </row>
    <row r="84" spans="2:51" x14ac:dyDescent="0.3">
      <c r="B84" s="187" t="str">
        <f>IF(C29&lt;=$F$18,C29+1,"-")</f>
        <v>-</v>
      </c>
      <c r="C84" s="148">
        <f>D29-D30</f>
        <v>21</v>
      </c>
      <c r="D84" s="149">
        <v>0.2</v>
      </c>
      <c r="E84" s="129">
        <f t="shared" si="60"/>
        <v>0</v>
      </c>
      <c r="F84" s="129">
        <f t="shared" si="61"/>
        <v>0</v>
      </c>
      <c r="G84" s="150">
        <f t="shared" si="62"/>
        <v>0.8</v>
      </c>
      <c r="H84" s="58">
        <f t="shared" si="59"/>
        <v>0</v>
      </c>
      <c r="I84" s="55">
        <v>79</v>
      </c>
      <c r="J84" s="33">
        <f t="shared" si="53"/>
        <v>0</v>
      </c>
      <c r="K84" s="33">
        <f t="shared" si="54"/>
        <v>0</v>
      </c>
      <c r="L84" s="33">
        <f t="shared" si="55"/>
        <v>0</v>
      </c>
      <c r="M84" s="33">
        <f t="shared" si="56"/>
        <v>0</v>
      </c>
      <c r="N84" s="33">
        <f t="shared" si="42"/>
        <v>0</v>
      </c>
      <c r="O84" s="34">
        <f t="shared" si="43"/>
        <v>0</v>
      </c>
      <c r="P84" s="55">
        <v>79</v>
      </c>
      <c r="Q84" s="33">
        <f t="shared" si="51"/>
        <v>0</v>
      </c>
      <c r="R84" s="33">
        <f t="shared" si="57"/>
        <v>0</v>
      </c>
      <c r="S84" s="33">
        <f t="shared" si="58"/>
        <v>0</v>
      </c>
      <c r="T84" s="33">
        <f t="shared" si="44"/>
        <v>0</v>
      </c>
      <c r="U84" s="33">
        <f t="shared" si="52"/>
        <v>0</v>
      </c>
      <c r="V84" s="33">
        <f t="shared" si="45"/>
        <v>0</v>
      </c>
      <c r="W84" s="33">
        <v>0</v>
      </c>
      <c r="X84" s="33">
        <f t="shared" si="46"/>
        <v>0</v>
      </c>
      <c r="Y84" s="38">
        <f t="shared" si="47"/>
        <v>0</v>
      </c>
      <c r="AA84" s="71">
        <v>79</v>
      </c>
      <c r="AB84" s="33">
        <f t="shared" si="48"/>
        <v>0</v>
      </c>
      <c r="AC84" s="305">
        <f t="shared" si="39"/>
        <v>0</v>
      </c>
      <c r="AD84" s="100">
        <f t="shared" si="49"/>
        <v>0</v>
      </c>
      <c r="AE84" s="100">
        <f t="shared" si="50"/>
        <v>0</v>
      </c>
      <c r="AF84" s="194">
        <f t="shared" si="34"/>
        <v>0</v>
      </c>
      <c r="AG84" s="194">
        <f t="shared" si="35"/>
        <v>0</v>
      </c>
      <c r="AH84" s="194">
        <f t="shared" si="36"/>
        <v>0</v>
      </c>
      <c r="AI84" s="199">
        <f t="shared" si="37"/>
        <v>0</v>
      </c>
      <c r="AK84" s="71">
        <v>79</v>
      </c>
      <c r="AL84" s="33"/>
      <c r="AM84" s="33"/>
      <c r="AN84" s="33"/>
      <c r="AO84" s="33"/>
      <c r="AP84" s="33"/>
      <c r="AQ84" s="194"/>
      <c r="AR84" s="194"/>
      <c r="AS84" s="194"/>
      <c r="AT84" s="194"/>
      <c r="AU84" s="33"/>
      <c r="AV84" s="33"/>
      <c r="AW84" s="33"/>
      <c r="AX84" s="33"/>
      <c r="AY84" s="76"/>
    </row>
    <row r="85" spans="2:51" x14ac:dyDescent="0.3">
      <c r="B85" s="172" t="str">
        <f>IF(C31&lt;=$F$18,C31+1,"-")</f>
        <v>-</v>
      </c>
      <c r="C85" s="148">
        <f>D31-D32</f>
        <v>21</v>
      </c>
      <c r="D85" s="149">
        <v>0.3</v>
      </c>
      <c r="E85" s="129">
        <f t="shared" si="60"/>
        <v>0</v>
      </c>
      <c r="F85" s="129">
        <f t="shared" si="61"/>
        <v>0</v>
      </c>
      <c r="G85" s="150">
        <f t="shared" si="62"/>
        <v>0.7</v>
      </c>
      <c r="H85" s="58">
        <f t="shared" si="59"/>
        <v>0</v>
      </c>
      <c r="I85" s="55">
        <v>80</v>
      </c>
      <c r="J85" s="33">
        <f t="shared" si="53"/>
        <v>0</v>
      </c>
      <c r="K85" s="33">
        <f t="shared" si="54"/>
        <v>0</v>
      </c>
      <c r="L85" s="33">
        <f t="shared" si="55"/>
        <v>0</v>
      </c>
      <c r="M85" s="33">
        <f t="shared" si="56"/>
        <v>0</v>
      </c>
      <c r="N85" s="33">
        <f t="shared" si="42"/>
        <v>0</v>
      </c>
      <c r="O85" s="34">
        <f t="shared" si="43"/>
        <v>0</v>
      </c>
      <c r="P85" s="55">
        <v>80</v>
      </c>
      <c r="Q85" s="33">
        <f t="shared" si="51"/>
        <v>0</v>
      </c>
      <c r="R85" s="33">
        <f t="shared" si="57"/>
        <v>0</v>
      </c>
      <c r="S85" s="33">
        <f t="shared" si="58"/>
        <v>0</v>
      </c>
      <c r="T85" s="33">
        <f t="shared" si="44"/>
        <v>0</v>
      </c>
      <c r="U85" s="33">
        <f t="shared" si="52"/>
        <v>0</v>
      </c>
      <c r="V85" s="33">
        <f t="shared" si="45"/>
        <v>0</v>
      </c>
      <c r="W85" s="33">
        <v>0</v>
      </c>
      <c r="X85" s="33">
        <f t="shared" si="46"/>
        <v>0</v>
      </c>
      <c r="Y85" s="38">
        <f t="shared" si="47"/>
        <v>0</v>
      </c>
      <c r="AA85" s="71">
        <v>80</v>
      </c>
      <c r="AB85" s="33">
        <f t="shared" si="48"/>
        <v>0</v>
      </c>
      <c r="AC85" s="305">
        <f t="shared" si="39"/>
        <v>0</v>
      </c>
      <c r="AD85" s="100">
        <f t="shared" si="49"/>
        <v>0</v>
      </c>
      <c r="AE85" s="100">
        <f t="shared" si="50"/>
        <v>0</v>
      </c>
      <c r="AF85" s="194">
        <f t="shared" si="34"/>
        <v>0</v>
      </c>
      <c r="AG85" s="194">
        <f t="shared" si="35"/>
        <v>0</v>
      </c>
      <c r="AH85" s="194">
        <f t="shared" si="36"/>
        <v>0</v>
      </c>
      <c r="AI85" s="199">
        <f t="shared" si="37"/>
        <v>0</v>
      </c>
      <c r="AK85" s="71">
        <v>80</v>
      </c>
      <c r="AL85" s="33"/>
      <c r="AM85" s="33"/>
      <c r="AN85" s="33"/>
      <c r="AO85" s="33"/>
      <c r="AP85" s="33"/>
      <c r="AQ85" s="194"/>
      <c r="AR85" s="194"/>
      <c r="AS85" s="194"/>
      <c r="AT85" s="194"/>
      <c r="AU85" s="33"/>
      <c r="AV85" s="33"/>
      <c r="AW85" s="33"/>
      <c r="AX85" s="33"/>
      <c r="AY85" s="76"/>
    </row>
    <row r="86" spans="2:51" x14ac:dyDescent="0.3">
      <c r="B86" s="172" t="str">
        <f>IF(C33&lt;=$F$18,C33+1,"-")</f>
        <v>-</v>
      </c>
      <c r="C86" s="148">
        <f>D33-D34</f>
        <v>21</v>
      </c>
      <c r="D86" s="149">
        <v>0.4</v>
      </c>
      <c r="E86" s="129">
        <f t="shared" si="60"/>
        <v>0</v>
      </c>
      <c r="F86" s="129">
        <f t="shared" si="61"/>
        <v>0</v>
      </c>
      <c r="G86" s="150">
        <f t="shared" si="62"/>
        <v>0.6</v>
      </c>
      <c r="H86" s="58">
        <f t="shared" si="59"/>
        <v>0</v>
      </c>
      <c r="I86" s="55">
        <v>81</v>
      </c>
      <c r="J86" s="33">
        <f t="shared" si="53"/>
        <v>0</v>
      </c>
      <c r="K86" s="33">
        <f t="shared" si="54"/>
        <v>0</v>
      </c>
      <c r="L86" s="33">
        <f t="shared" si="55"/>
        <v>0</v>
      </c>
      <c r="M86" s="33">
        <f t="shared" si="56"/>
        <v>0</v>
      </c>
      <c r="N86" s="33">
        <f t="shared" si="42"/>
        <v>0</v>
      </c>
      <c r="O86" s="34">
        <f t="shared" si="43"/>
        <v>0</v>
      </c>
      <c r="P86" s="55">
        <v>81</v>
      </c>
      <c r="Q86" s="33">
        <f t="shared" si="51"/>
        <v>0</v>
      </c>
      <c r="R86" s="33">
        <f t="shared" si="57"/>
        <v>0</v>
      </c>
      <c r="S86" s="33">
        <f t="shared" si="58"/>
        <v>0</v>
      </c>
      <c r="T86" s="33">
        <f t="shared" si="44"/>
        <v>0</v>
      </c>
      <c r="U86" s="33">
        <f t="shared" si="52"/>
        <v>0</v>
      </c>
      <c r="V86" s="33">
        <f t="shared" si="45"/>
        <v>0</v>
      </c>
      <c r="W86" s="33">
        <v>0</v>
      </c>
      <c r="X86" s="33">
        <f t="shared" si="46"/>
        <v>0</v>
      </c>
      <c r="Y86" s="38">
        <f t="shared" si="47"/>
        <v>0</v>
      </c>
      <c r="AA86" s="71">
        <v>81</v>
      </c>
      <c r="AB86" s="33">
        <f t="shared" si="48"/>
        <v>0</v>
      </c>
      <c r="AC86" s="305">
        <f t="shared" si="39"/>
        <v>0</v>
      </c>
      <c r="AD86" s="100">
        <f t="shared" si="49"/>
        <v>0</v>
      </c>
      <c r="AE86" s="100">
        <f t="shared" si="50"/>
        <v>0</v>
      </c>
      <c r="AF86" s="194">
        <f t="shared" si="34"/>
        <v>0</v>
      </c>
      <c r="AG86" s="194">
        <f t="shared" si="35"/>
        <v>0</v>
      </c>
      <c r="AH86" s="194">
        <f t="shared" si="36"/>
        <v>0</v>
      </c>
      <c r="AI86" s="199">
        <f t="shared" si="37"/>
        <v>0</v>
      </c>
      <c r="AK86" s="71">
        <v>81</v>
      </c>
      <c r="AL86" s="33"/>
      <c r="AM86" s="33"/>
      <c r="AN86" s="33"/>
      <c r="AO86" s="33"/>
      <c r="AP86" s="33"/>
      <c r="AQ86" s="194"/>
      <c r="AR86" s="194"/>
      <c r="AS86" s="194"/>
      <c r="AT86" s="194"/>
      <c r="AU86" s="33"/>
      <c r="AV86" s="33"/>
      <c r="AW86" s="33"/>
      <c r="AX86" s="33"/>
      <c r="AY86" s="76"/>
    </row>
    <row r="87" spans="2:51" x14ac:dyDescent="0.3">
      <c r="B87" s="172" t="str">
        <f>IF(C35&lt;=$F$18,C35+1,"-")</f>
        <v>-</v>
      </c>
      <c r="C87" s="148">
        <f>D35-D36</f>
        <v>21</v>
      </c>
      <c r="D87" s="149">
        <v>0.5</v>
      </c>
      <c r="E87" s="129">
        <f t="shared" si="60"/>
        <v>0</v>
      </c>
      <c r="F87" s="129">
        <f t="shared" si="61"/>
        <v>0</v>
      </c>
      <c r="G87" s="150">
        <f t="shared" si="62"/>
        <v>0.5</v>
      </c>
      <c r="H87" s="58">
        <f t="shared" si="59"/>
        <v>0</v>
      </c>
      <c r="I87" s="55">
        <v>82</v>
      </c>
      <c r="J87" s="33">
        <f t="shared" si="53"/>
        <v>0</v>
      </c>
      <c r="K87" s="33">
        <f t="shared" si="54"/>
        <v>0</v>
      </c>
      <c r="L87" s="33">
        <f t="shared" si="55"/>
        <v>0</v>
      </c>
      <c r="M87" s="33">
        <f t="shared" si="56"/>
        <v>0</v>
      </c>
      <c r="N87" s="33">
        <f t="shared" si="42"/>
        <v>0</v>
      </c>
      <c r="O87" s="34">
        <f t="shared" si="43"/>
        <v>0</v>
      </c>
      <c r="P87" s="55">
        <v>82</v>
      </c>
      <c r="Q87" s="33">
        <f t="shared" si="51"/>
        <v>0</v>
      </c>
      <c r="R87" s="33">
        <f t="shared" si="57"/>
        <v>0</v>
      </c>
      <c r="S87" s="33">
        <f t="shared" si="58"/>
        <v>0</v>
      </c>
      <c r="T87" s="33">
        <f t="shared" si="44"/>
        <v>0</v>
      </c>
      <c r="U87" s="33">
        <f t="shared" si="52"/>
        <v>0</v>
      </c>
      <c r="V87" s="33">
        <f t="shared" si="45"/>
        <v>0</v>
      </c>
      <c r="W87" s="33">
        <v>0</v>
      </c>
      <c r="X87" s="33">
        <f t="shared" si="46"/>
        <v>0</v>
      </c>
      <c r="Y87" s="38">
        <f t="shared" si="47"/>
        <v>0</v>
      </c>
      <c r="AA87" s="71">
        <v>82</v>
      </c>
      <c r="AB87" s="33">
        <f t="shared" si="48"/>
        <v>0</v>
      </c>
      <c r="AC87" s="305">
        <f t="shared" si="39"/>
        <v>0</v>
      </c>
      <c r="AD87" s="100">
        <f t="shared" si="49"/>
        <v>0</v>
      </c>
      <c r="AE87" s="100">
        <f t="shared" si="50"/>
        <v>0</v>
      </c>
      <c r="AF87" s="194">
        <f t="shared" si="34"/>
        <v>0</v>
      </c>
      <c r="AG87" s="194">
        <f t="shared" si="35"/>
        <v>0</v>
      </c>
      <c r="AH87" s="194">
        <f t="shared" si="36"/>
        <v>0</v>
      </c>
      <c r="AI87" s="199">
        <f t="shared" si="37"/>
        <v>0</v>
      </c>
      <c r="AK87" s="71">
        <v>82</v>
      </c>
      <c r="AL87" s="33"/>
      <c r="AM87" s="33"/>
      <c r="AN87" s="33"/>
      <c r="AO87" s="33"/>
      <c r="AP87" s="33"/>
      <c r="AQ87" s="194"/>
      <c r="AR87" s="194"/>
      <c r="AS87" s="194"/>
      <c r="AT87" s="194"/>
      <c r="AU87" s="33"/>
      <c r="AV87" s="33"/>
      <c r="AW87" s="33"/>
      <c r="AX87" s="33"/>
      <c r="AY87" s="76"/>
    </row>
    <row r="88" spans="2:51" x14ac:dyDescent="0.3">
      <c r="B88" s="172" t="str">
        <f>IF(C37&lt;=$F$18,C37+1,"-")</f>
        <v>-</v>
      </c>
      <c r="C88" s="148">
        <f>D37-D38</f>
        <v>21</v>
      </c>
      <c r="D88" s="149">
        <v>0.6</v>
      </c>
      <c r="E88" s="129">
        <f t="shared" si="60"/>
        <v>0</v>
      </c>
      <c r="F88" s="129">
        <f t="shared" si="61"/>
        <v>0</v>
      </c>
      <c r="G88" s="150">
        <f t="shared" si="62"/>
        <v>0.4</v>
      </c>
      <c r="H88" s="58">
        <f t="shared" si="59"/>
        <v>0</v>
      </c>
      <c r="I88" s="55">
        <v>83</v>
      </c>
      <c r="J88" s="33">
        <f t="shared" si="53"/>
        <v>0</v>
      </c>
      <c r="K88" s="33">
        <f t="shared" si="54"/>
        <v>0</v>
      </c>
      <c r="L88" s="33">
        <f t="shared" si="55"/>
        <v>0</v>
      </c>
      <c r="M88" s="33">
        <f t="shared" si="56"/>
        <v>0</v>
      </c>
      <c r="N88" s="33">
        <f t="shared" si="42"/>
        <v>0</v>
      </c>
      <c r="O88" s="34">
        <f t="shared" si="43"/>
        <v>0</v>
      </c>
      <c r="P88" s="55">
        <v>83</v>
      </c>
      <c r="Q88" s="33">
        <f t="shared" si="51"/>
        <v>0</v>
      </c>
      <c r="R88" s="33">
        <f t="shared" si="57"/>
        <v>0</v>
      </c>
      <c r="S88" s="33">
        <f t="shared" si="58"/>
        <v>0</v>
      </c>
      <c r="T88" s="33">
        <f t="shared" si="44"/>
        <v>0</v>
      </c>
      <c r="U88" s="33">
        <f t="shared" si="52"/>
        <v>0</v>
      </c>
      <c r="V88" s="33">
        <f t="shared" si="45"/>
        <v>0</v>
      </c>
      <c r="W88" s="33">
        <v>0</v>
      </c>
      <c r="X88" s="33">
        <f t="shared" si="46"/>
        <v>0</v>
      </c>
      <c r="Y88" s="38">
        <f t="shared" si="47"/>
        <v>0</v>
      </c>
      <c r="AA88" s="71">
        <v>83</v>
      </c>
      <c r="AB88" s="33">
        <f t="shared" si="48"/>
        <v>0</v>
      </c>
      <c r="AC88" s="305">
        <f t="shared" si="39"/>
        <v>0</v>
      </c>
      <c r="AD88" s="100">
        <f t="shared" si="49"/>
        <v>0</v>
      </c>
      <c r="AE88" s="100">
        <f t="shared" si="50"/>
        <v>0</v>
      </c>
      <c r="AF88" s="194">
        <f t="shared" si="34"/>
        <v>0</v>
      </c>
      <c r="AG88" s="194">
        <f t="shared" si="35"/>
        <v>0</v>
      </c>
      <c r="AH88" s="194">
        <f t="shared" si="36"/>
        <v>0</v>
      </c>
      <c r="AI88" s="199">
        <f t="shared" si="37"/>
        <v>0</v>
      </c>
      <c r="AK88" s="71">
        <v>83</v>
      </c>
      <c r="AL88" s="33"/>
      <c r="AM88" s="33"/>
      <c r="AN88" s="33"/>
      <c r="AO88" s="33"/>
      <c r="AP88" s="33"/>
      <c r="AQ88" s="194"/>
      <c r="AR88" s="194"/>
      <c r="AS88" s="194"/>
      <c r="AT88" s="194"/>
      <c r="AU88" s="33"/>
      <c r="AV88" s="33"/>
      <c r="AW88" s="33"/>
      <c r="AX88" s="33"/>
      <c r="AY88" s="76"/>
    </row>
    <row r="89" spans="2:51" x14ac:dyDescent="0.3">
      <c r="B89" s="172" t="str">
        <f>IF(C39&lt;=$F$18,C39+1,"-")</f>
        <v>-</v>
      </c>
      <c r="C89" s="148">
        <f>D39-D40</f>
        <v>21</v>
      </c>
      <c r="D89" s="149">
        <v>0.7</v>
      </c>
      <c r="E89" s="129">
        <f t="shared" si="60"/>
        <v>0</v>
      </c>
      <c r="F89" s="129">
        <f t="shared" si="61"/>
        <v>0</v>
      </c>
      <c r="G89" s="150">
        <f t="shared" si="62"/>
        <v>0.30000000000000004</v>
      </c>
      <c r="H89" s="58">
        <f t="shared" si="59"/>
        <v>0</v>
      </c>
      <c r="I89" s="55">
        <v>84</v>
      </c>
      <c r="J89" s="33">
        <f t="shared" si="53"/>
        <v>0</v>
      </c>
      <c r="K89" s="33">
        <f t="shared" si="54"/>
        <v>0</v>
      </c>
      <c r="L89" s="33">
        <f t="shared" si="55"/>
        <v>0</v>
      </c>
      <c r="M89" s="33">
        <f t="shared" si="56"/>
        <v>0</v>
      </c>
      <c r="N89" s="33">
        <f t="shared" si="42"/>
        <v>0</v>
      </c>
      <c r="O89" s="34">
        <f t="shared" si="43"/>
        <v>0</v>
      </c>
      <c r="P89" s="55">
        <v>84</v>
      </c>
      <c r="Q89" s="33">
        <f t="shared" si="51"/>
        <v>0</v>
      </c>
      <c r="R89" s="33">
        <f t="shared" si="57"/>
        <v>0</v>
      </c>
      <c r="S89" s="33">
        <f t="shared" si="58"/>
        <v>0</v>
      </c>
      <c r="T89" s="33">
        <f t="shared" si="44"/>
        <v>0</v>
      </c>
      <c r="U89" s="33">
        <f t="shared" si="52"/>
        <v>0</v>
      </c>
      <c r="V89" s="33">
        <f t="shared" si="45"/>
        <v>0</v>
      </c>
      <c r="W89" s="33">
        <v>0</v>
      </c>
      <c r="X89" s="33">
        <f t="shared" si="46"/>
        <v>0</v>
      </c>
      <c r="Y89" s="38">
        <f t="shared" si="47"/>
        <v>0</v>
      </c>
      <c r="AA89" s="71">
        <v>84</v>
      </c>
      <c r="AB89" s="33">
        <f t="shared" si="48"/>
        <v>0</v>
      </c>
      <c r="AC89" s="305">
        <f t="shared" si="39"/>
        <v>0</v>
      </c>
      <c r="AD89" s="100">
        <f t="shared" si="49"/>
        <v>0</v>
      </c>
      <c r="AE89" s="100">
        <f t="shared" si="50"/>
        <v>0</v>
      </c>
      <c r="AF89" s="194">
        <f t="shared" si="34"/>
        <v>0</v>
      </c>
      <c r="AG89" s="194">
        <f t="shared" si="35"/>
        <v>0</v>
      </c>
      <c r="AH89" s="194">
        <f t="shared" si="36"/>
        <v>0</v>
      </c>
      <c r="AI89" s="199">
        <f t="shared" si="37"/>
        <v>0</v>
      </c>
      <c r="AK89" s="71">
        <v>84</v>
      </c>
      <c r="AL89" s="33"/>
      <c r="AM89" s="33"/>
      <c r="AN89" s="33"/>
      <c r="AO89" s="33"/>
      <c r="AP89" s="33"/>
      <c r="AQ89" s="194"/>
      <c r="AR89" s="194"/>
      <c r="AS89" s="194"/>
      <c r="AT89" s="194"/>
      <c r="AU89" s="33"/>
      <c r="AV89" s="33"/>
      <c r="AW89" s="33"/>
      <c r="AX89" s="33"/>
      <c r="AY89" s="76"/>
    </row>
    <row r="90" spans="2:51" x14ac:dyDescent="0.3">
      <c r="B90" s="172" t="str">
        <f>IF(C41&lt;=$F$18,C41+1,"-")</f>
        <v>-</v>
      </c>
      <c r="C90" s="148">
        <f>D41-D42</f>
        <v>21</v>
      </c>
      <c r="D90" s="149">
        <v>0.8</v>
      </c>
      <c r="E90" s="129">
        <f t="shared" si="60"/>
        <v>0</v>
      </c>
      <c r="F90" s="129">
        <f t="shared" si="61"/>
        <v>0</v>
      </c>
      <c r="G90" s="150">
        <f t="shared" si="62"/>
        <v>0.19999999999999996</v>
      </c>
      <c r="H90" s="58">
        <f t="shared" si="59"/>
        <v>0</v>
      </c>
      <c r="I90" s="55">
        <v>85</v>
      </c>
      <c r="J90" s="33">
        <f t="shared" si="53"/>
        <v>0</v>
      </c>
      <c r="K90" s="33">
        <f t="shared" si="54"/>
        <v>0</v>
      </c>
      <c r="L90" s="33">
        <f t="shared" si="55"/>
        <v>0</v>
      </c>
      <c r="M90" s="33">
        <f t="shared" si="56"/>
        <v>0</v>
      </c>
      <c r="N90" s="33">
        <f t="shared" si="42"/>
        <v>0</v>
      </c>
      <c r="O90" s="34">
        <f t="shared" si="43"/>
        <v>0</v>
      </c>
      <c r="P90" s="55">
        <v>85</v>
      </c>
      <c r="Q90" s="33">
        <f t="shared" si="51"/>
        <v>0</v>
      </c>
      <c r="R90" s="33">
        <f t="shared" si="57"/>
        <v>0</v>
      </c>
      <c r="S90" s="33">
        <f t="shared" si="58"/>
        <v>0</v>
      </c>
      <c r="T90" s="33">
        <f t="shared" si="44"/>
        <v>0</v>
      </c>
      <c r="U90" s="33">
        <f t="shared" si="52"/>
        <v>0</v>
      </c>
      <c r="V90" s="33">
        <f t="shared" si="45"/>
        <v>0</v>
      </c>
      <c r="W90" s="33">
        <v>0</v>
      </c>
      <c r="X90" s="33">
        <f t="shared" si="46"/>
        <v>0</v>
      </c>
      <c r="Y90" s="38">
        <f t="shared" si="47"/>
        <v>0</v>
      </c>
      <c r="AA90" s="71">
        <v>85</v>
      </c>
      <c r="AB90" s="33">
        <f t="shared" si="48"/>
        <v>0</v>
      </c>
      <c r="AC90" s="305">
        <f t="shared" si="39"/>
        <v>0</v>
      </c>
      <c r="AD90" s="100">
        <f t="shared" si="49"/>
        <v>0</v>
      </c>
      <c r="AE90" s="100">
        <f t="shared" si="50"/>
        <v>0</v>
      </c>
      <c r="AF90" s="194">
        <f t="shared" si="34"/>
        <v>0</v>
      </c>
      <c r="AG90" s="194">
        <f t="shared" si="35"/>
        <v>0</v>
      </c>
      <c r="AH90" s="194">
        <f t="shared" si="36"/>
        <v>0</v>
      </c>
      <c r="AI90" s="199">
        <f t="shared" si="37"/>
        <v>0</v>
      </c>
      <c r="AK90" s="71">
        <v>85</v>
      </c>
      <c r="AL90" s="33"/>
      <c r="AM90" s="33"/>
      <c r="AN90" s="33"/>
      <c r="AO90" s="33"/>
      <c r="AP90" s="33"/>
      <c r="AQ90" s="194"/>
      <c r="AR90" s="194"/>
      <c r="AS90" s="194"/>
      <c r="AT90" s="194"/>
      <c r="AU90" s="33"/>
      <c r="AV90" s="33"/>
      <c r="AW90" s="33"/>
      <c r="AX90" s="33"/>
      <c r="AY90" s="76"/>
    </row>
    <row r="91" spans="2:51" x14ac:dyDescent="0.3">
      <c r="B91" s="172" t="str">
        <f>IF(C43&lt;=$F$18,C43+1,"-")</f>
        <v>-</v>
      </c>
      <c r="C91" s="148">
        <f>D43-D44</f>
        <v>21</v>
      </c>
      <c r="D91" s="149">
        <v>0.7</v>
      </c>
      <c r="E91" s="129">
        <f t="shared" si="60"/>
        <v>0</v>
      </c>
      <c r="F91" s="129">
        <f t="shared" si="61"/>
        <v>0</v>
      </c>
      <c r="G91" s="150">
        <f t="shared" si="62"/>
        <v>0.30000000000000004</v>
      </c>
      <c r="H91" s="58">
        <f t="shared" si="59"/>
        <v>0</v>
      </c>
      <c r="I91" s="55">
        <v>86</v>
      </c>
      <c r="J91" s="33">
        <f t="shared" si="53"/>
        <v>0</v>
      </c>
      <c r="K91" s="33">
        <f t="shared" si="54"/>
        <v>0</v>
      </c>
      <c r="L91" s="33">
        <f t="shared" si="55"/>
        <v>0</v>
      </c>
      <c r="M91" s="33">
        <f t="shared" si="56"/>
        <v>0</v>
      </c>
      <c r="N91" s="33">
        <f t="shared" si="42"/>
        <v>0</v>
      </c>
      <c r="O91" s="34">
        <f t="shared" si="43"/>
        <v>0</v>
      </c>
      <c r="P91" s="55">
        <v>86</v>
      </c>
      <c r="Q91" s="33">
        <f t="shared" si="51"/>
        <v>0</v>
      </c>
      <c r="R91" s="33">
        <f t="shared" si="57"/>
        <v>0</v>
      </c>
      <c r="S91" s="33">
        <f t="shared" si="58"/>
        <v>0</v>
      </c>
      <c r="T91" s="33">
        <f t="shared" si="44"/>
        <v>0</v>
      </c>
      <c r="U91" s="33">
        <f t="shared" si="52"/>
        <v>0</v>
      </c>
      <c r="V91" s="33">
        <f t="shared" si="45"/>
        <v>0</v>
      </c>
      <c r="W91" s="33">
        <v>0</v>
      </c>
      <c r="X91" s="33">
        <f t="shared" si="46"/>
        <v>0</v>
      </c>
      <c r="Y91" s="38">
        <f t="shared" si="47"/>
        <v>0</v>
      </c>
      <c r="AA91" s="71">
        <v>86</v>
      </c>
      <c r="AB91" s="33">
        <f t="shared" si="48"/>
        <v>0</v>
      </c>
      <c r="AC91" s="305">
        <f t="shared" si="39"/>
        <v>0</v>
      </c>
      <c r="AD91" s="100">
        <f t="shared" si="49"/>
        <v>0</v>
      </c>
      <c r="AE91" s="100">
        <f t="shared" si="50"/>
        <v>0</v>
      </c>
      <c r="AF91" s="194">
        <f t="shared" ref="AF91:AF154" si="63">IF(OR(AA91&lt;=$F$18,AA91&lt;=30),EXP(-LN(2)/$D$104)*AF90+((1-EXP(-LN(2)/$D$104))/(LN(2)/$D$104))*$AB91*AC91*0.475*$F$19*44/12,)</f>
        <v>0</v>
      </c>
      <c r="AG91" s="194">
        <f t="shared" ref="AG91:AG154" si="64">IF(OR(AA91&lt;=$F$18,AA91&lt;=30),EXP(-LN(2)/$D$106)*AG90+((1-EXP(-LN(2)/$D$106))/(LN(2)/$D$106))*$AB91*AD91*0.475*$F$19*44/12,)</f>
        <v>0</v>
      </c>
      <c r="AH91" s="194">
        <f t="shared" ref="AH91:AH154" si="65">IF(OR(AA91&lt;=$F$18,AA91&lt;=30),EXP(-LN(2)/$D$105)*AH90+((1-EXP(-LN(2)/$D$105))/(LN(2)/$D$105))*$AB91*AE91*0.475*$F$19*44/12,)</f>
        <v>0</v>
      </c>
      <c r="AI91" s="199">
        <f t="shared" ref="AI91:AI154" si="66">IF(OR(AA91&lt;=$F$18,AA91&lt;=30),SUM(AF91:AH91),)</f>
        <v>0</v>
      </c>
      <c r="AK91" s="71">
        <v>86</v>
      </c>
      <c r="AL91" s="33"/>
      <c r="AM91" s="33"/>
      <c r="AN91" s="33"/>
      <c r="AO91" s="33"/>
      <c r="AP91" s="33"/>
      <c r="AQ91" s="194"/>
      <c r="AR91" s="194"/>
      <c r="AS91" s="194"/>
      <c r="AT91" s="194"/>
      <c r="AU91" s="33"/>
      <c r="AV91" s="33"/>
      <c r="AW91" s="33"/>
      <c r="AX91" s="33"/>
      <c r="AY91" s="76"/>
    </row>
    <row r="92" spans="2:51" x14ac:dyDescent="0.3">
      <c r="B92" s="172" t="str">
        <f>IF(C45&lt;=$F$18,C45+1,"-")</f>
        <v>-</v>
      </c>
      <c r="C92" s="148">
        <f>D45-D46</f>
        <v>21</v>
      </c>
      <c r="D92" s="149">
        <v>0.8</v>
      </c>
      <c r="E92" s="129">
        <f t="shared" si="60"/>
        <v>0</v>
      </c>
      <c r="F92" s="129">
        <f t="shared" si="61"/>
        <v>0</v>
      </c>
      <c r="G92" s="150">
        <f t="shared" si="62"/>
        <v>0.19999999999999996</v>
      </c>
      <c r="H92" s="58">
        <f t="shared" si="59"/>
        <v>0</v>
      </c>
      <c r="I92" s="55">
        <v>87</v>
      </c>
      <c r="J92" s="33">
        <f t="shared" si="53"/>
        <v>0</v>
      </c>
      <c r="K92" s="33">
        <f t="shared" si="54"/>
        <v>0</v>
      </c>
      <c r="L92" s="33">
        <f t="shared" si="55"/>
        <v>0</v>
      </c>
      <c r="M92" s="33">
        <f t="shared" si="56"/>
        <v>0</v>
      </c>
      <c r="N92" s="33">
        <f t="shared" si="42"/>
        <v>0</v>
      </c>
      <c r="O92" s="34">
        <f t="shared" si="43"/>
        <v>0</v>
      </c>
      <c r="P92" s="55">
        <v>87</v>
      </c>
      <c r="Q92" s="33">
        <f t="shared" si="51"/>
        <v>0</v>
      </c>
      <c r="R92" s="33">
        <f t="shared" si="57"/>
        <v>0</v>
      </c>
      <c r="S92" s="33">
        <f t="shared" si="58"/>
        <v>0</v>
      </c>
      <c r="T92" s="33">
        <f t="shared" si="44"/>
        <v>0</v>
      </c>
      <c r="U92" s="33">
        <f t="shared" si="52"/>
        <v>0</v>
      </c>
      <c r="V92" s="33">
        <f t="shared" si="45"/>
        <v>0</v>
      </c>
      <c r="W92" s="33">
        <v>0</v>
      </c>
      <c r="X92" s="33">
        <f t="shared" si="46"/>
        <v>0</v>
      </c>
      <c r="Y92" s="38">
        <f t="shared" si="47"/>
        <v>0</v>
      </c>
      <c r="AA92" s="71">
        <v>87</v>
      </c>
      <c r="AB92" s="33">
        <f t="shared" si="48"/>
        <v>0</v>
      </c>
      <c r="AC92" s="305">
        <f t="shared" si="39"/>
        <v>0</v>
      </c>
      <c r="AD92" s="100">
        <f t="shared" si="49"/>
        <v>0</v>
      </c>
      <c r="AE92" s="100">
        <f t="shared" si="50"/>
        <v>0</v>
      </c>
      <c r="AF92" s="194">
        <f t="shared" si="63"/>
        <v>0</v>
      </c>
      <c r="AG92" s="194">
        <f t="shared" si="64"/>
        <v>0</v>
      </c>
      <c r="AH92" s="194">
        <f t="shared" si="65"/>
        <v>0</v>
      </c>
      <c r="AI92" s="199">
        <f t="shared" si="66"/>
        <v>0</v>
      </c>
      <c r="AK92" s="71">
        <v>87</v>
      </c>
      <c r="AL92" s="33"/>
      <c r="AM92" s="33"/>
      <c r="AN92" s="33"/>
      <c r="AO92" s="33"/>
      <c r="AP92" s="33"/>
      <c r="AQ92" s="194"/>
      <c r="AR92" s="194"/>
      <c r="AS92" s="194"/>
      <c r="AT92" s="194"/>
      <c r="AU92" s="33"/>
      <c r="AV92" s="33"/>
      <c r="AW92" s="33"/>
      <c r="AX92" s="33"/>
      <c r="AY92" s="76"/>
    </row>
    <row r="93" spans="2:51" x14ac:dyDescent="0.3">
      <c r="B93" s="172" t="str">
        <f>IF(C47&lt;=$F$18,C47+1,"-")</f>
        <v>-</v>
      </c>
      <c r="C93" s="148">
        <f>D47-D48</f>
        <v>21</v>
      </c>
      <c r="D93" s="149">
        <v>0.9</v>
      </c>
      <c r="E93" s="129">
        <f t="shared" si="60"/>
        <v>0</v>
      </c>
      <c r="F93" s="129">
        <f t="shared" si="61"/>
        <v>0</v>
      </c>
      <c r="G93" s="150">
        <f t="shared" si="62"/>
        <v>9.9999999999999978E-2</v>
      </c>
      <c r="H93" s="58">
        <f t="shared" si="59"/>
        <v>0</v>
      </c>
      <c r="I93" s="55">
        <v>88</v>
      </c>
      <c r="J93" s="33">
        <f t="shared" si="53"/>
        <v>0</v>
      </c>
      <c r="K93" s="33">
        <f t="shared" si="54"/>
        <v>0</v>
      </c>
      <c r="L93" s="33">
        <f t="shared" si="55"/>
        <v>0</v>
      </c>
      <c r="M93" s="33">
        <f t="shared" si="56"/>
        <v>0</v>
      </c>
      <c r="N93" s="33">
        <f t="shared" si="42"/>
        <v>0</v>
      </c>
      <c r="O93" s="34">
        <f t="shared" si="43"/>
        <v>0</v>
      </c>
      <c r="P93" s="55">
        <v>88</v>
      </c>
      <c r="Q93" s="33">
        <f t="shared" si="51"/>
        <v>0</v>
      </c>
      <c r="R93" s="33">
        <f t="shared" si="57"/>
        <v>0</v>
      </c>
      <c r="S93" s="33">
        <f t="shared" si="58"/>
        <v>0</v>
      </c>
      <c r="T93" s="33">
        <f t="shared" si="44"/>
        <v>0</v>
      </c>
      <c r="U93" s="33">
        <f t="shared" si="52"/>
        <v>0</v>
      </c>
      <c r="V93" s="33">
        <f t="shared" si="45"/>
        <v>0</v>
      </c>
      <c r="W93" s="33">
        <v>0</v>
      </c>
      <c r="X93" s="33">
        <f t="shared" si="46"/>
        <v>0</v>
      </c>
      <c r="Y93" s="38">
        <f t="shared" si="47"/>
        <v>0</v>
      </c>
      <c r="AA93" s="71">
        <v>88</v>
      </c>
      <c r="AB93" s="33">
        <f t="shared" si="48"/>
        <v>0</v>
      </c>
      <c r="AC93" s="305">
        <f t="shared" si="39"/>
        <v>0</v>
      </c>
      <c r="AD93" s="100">
        <f t="shared" si="49"/>
        <v>0</v>
      </c>
      <c r="AE93" s="100">
        <f t="shared" si="50"/>
        <v>0</v>
      </c>
      <c r="AF93" s="194">
        <f t="shared" si="63"/>
        <v>0</v>
      </c>
      <c r="AG93" s="194">
        <f t="shared" si="64"/>
        <v>0</v>
      </c>
      <c r="AH93" s="194">
        <f t="shared" si="65"/>
        <v>0</v>
      </c>
      <c r="AI93" s="199">
        <f t="shared" si="66"/>
        <v>0</v>
      </c>
      <c r="AK93" s="71">
        <v>88</v>
      </c>
      <c r="AL93" s="33"/>
      <c r="AM93" s="33"/>
      <c r="AN93" s="33"/>
      <c r="AO93" s="33"/>
      <c r="AP93" s="33"/>
      <c r="AQ93" s="194"/>
      <c r="AR93" s="194"/>
      <c r="AS93" s="194"/>
      <c r="AT93" s="194"/>
      <c r="AU93" s="33"/>
      <c r="AV93" s="33"/>
      <c r="AW93" s="33"/>
      <c r="AX93" s="33"/>
      <c r="AY93" s="76"/>
    </row>
    <row r="94" spans="2:51" x14ac:dyDescent="0.3">
      <c r="B94" s="184">
        <f>F18</f>
        <v>0</v>
      </c>
      <c r="C94" s="181">
        <f>IFERROR(VLOOKUP(B94,C25:D78,2),)</f>
        <v>0</v>
      </c>
      <c r="D94" s="182">
        <v>0.95</v>
      </c>
      <c r="E94" s="183">
        <f t="shared" si="60"/>
        <v>0</v>
      </c>
      <c r="F94" s="183">
        <f t="shared" si="61"/>
        <v>0</v>
      </c>
      <c r="G94" s="151">
        <f t="shared" si="62"/>
        <v>5.0000000000000044E-2</v>
      </c>
      <c r="H94" s="58">
        <f t="shared" si="59"/>
        <v>0</v>
      </c>
      <c r="I94" s="55">
        <v>89</v>
      </c>
      <c r="J94" s="33">
        <f t="shared" si="53"/>
        <v>0</v>
      </c>
      <c r="K94" s="33">
        <f t="shared" si="54"/>
        <v>0</v>
      </c>
      <c r="L94" s="33">
        <f t="shared" si="55"/>
        <v>0</v>
      </c>
      <c r="M94" s="33">
        <f t="shared" si="56"/>
        <v>0</v>
      </c>
      <c r="N94" s="33">
        <f t="shared" si="42"/>
        <v>0</v>
      </c>
      <c r="O94" s="34">
        <f t="shared" si="43"/>
        <v>0</v>
      </c>
      <c r="P94" s="55">
        <v>89</v>
      </c>
      <c r="Q94" s="33">
        <f t="shared" si="51"/>
        <v>0</v>
      </c>
      <c r="R94" s="33">
        <f t="shared" si="57"/>
        <v>0</v>
      </c>
      <c r="S94" s="33">
        <f t="shared" si="58"/>
        <v>0</v>
      </c>
      <c r="T94" s="33">
        <f t="shared" si="44"/>
        <v>0</v>
      </c>
      <c r="U94" s="33">
        <f t="shared" si="52"/>
        <v>0</v>
      </c>
      <c r="V94" s="33">
        <f t="shared" si="45"/>
        <v>0</v>
      </c>
      <c r="W94" s="33">
        <v>0</v>
      </c>
      <c r="X94" s="33">
        <f t="shared" si="46"/>
        <v>0</v>
      </c>
      <c r="Y94" s="38">
        <f t="shared" si="47"/>
        <v>0</v>
      </c>
      <c r="AA94" s="71">
        <v>89</v>
      </c>
      <c r="AB94" s="33">
        <f t="shared" si="48"/>
        <v>0</v>
      </c>
      <c r="AC94" s="305">
        <f t="shared" si="39"/>
        <v>0</v>
      </c>
      <c r="AD94" s="100">
        <f t="shared" si="49"/>
        <v>0</v>
      </c>
      <c r="AE94" s="100">
        <f t="shared" si="50"/>
        <v>0</v>
      </c>
      <c r="AF94" s="194">
        <f t="shared" si="63"/>
        <v>0</v>
      </c>
      <c r="AG94" s="194">
        <f t="shared" si="64"/>
        <v>0</v>
      </c>
      <c r="AH94" s="194">
        <f t="shared" si="65"/>
        <v>0</v>
      </c>
      <c r="AI94" s="199">
        <f t="shared" si="66"/>
        <v>0</v>
      </c>
      <c r="AK94" s="71">
        <v>89</v>
      </c>
      <c r="AL94" s="33"/>
      <c r="AM94" s="33"/>
      <c r="AN94" s="33"/>
      <c r="AO94" s="33"/>
      <c r="AP94" s="33"/>
      <c r="AQ94" s="194"/>
      <c r="AR94" s="194"/>
      <c r="AS94" s="194"/>
      <c r="AT94" s="194"/>
      <c r="AU94" s="33"/>
      <c r="AV94" s="33"/>
      <c r="AW94" s="33"/>
      <c r="AX94" s="33"/>
      <c r="AY94" s="76"/>
    </row>
    <row r="95" spans="2:51" x14ac:dyDescent="0.3">
      <c r="I95" s="55">
        <v>90</v>
      </c>
      <c r="J95" s="33">
        <f t="shared" si="53"/>
        <v>0</v>
      </c>
      <c r="K95" s="33">
        <f t="shared" si="54"/>
        <v>0</v>
      </c>
      <c r="L95" s="33">
        <f t="shared" si="55"/>
        <v>0</v>
      </c>
      <c r="M95" s="33">
        <f t="shared" si="56"/>
        <v>0</v>
      </c>
      <c r="N95" s="33">
        <f t="shared" si="42"/>
        <v>0</v>
      </c>
      <c r="O95" s="34">
        <f t="shared" si="43"/>
        <v>0</v>
      </c>
      <c r="P95" s="55">
        <v>90</v>
      </c>
      <c r="Q95" s="33">
        <f t="shared" si="51"/>
        <v>0</v>
      </c>
      <c r="R95" s="33">
        <f t="shared" si="57"/>
        <v>0</v>
      </c>
      <c r="S95" s="33">
        <f t="shared" si="58"/>
        <v>0</v>
      </c>
      <c r="T95" s="33">
        <f t="shared" si="44"/>
        <v>0</v>
      </c>
      <c r="U95" s="33">
        <f t="shared" si="52"/>
        <v>0</v>
      </c>
      <c r="V95" s="33">
        <f t="shared" si="45"/>
        <v>0</v>
      </c>
      <c r="W95" s="33">
        <v>0</v>
      </c>
      <c r="X95" s="33">
        <f t="shared" si="46"/>
        <v>0</v>
      </c>
      <c r="Y95" s="38">
        <f t="shared" si="47"/>
        <v>0</v>
      </c>
      <c r="AA95" s="71">
        <v>90</v>
      </c>
      <c r="AB95" s="33">
        <f t="shared" si="48"/>
        <v>0</v>
      </c>
      <c r="AC95" s="305">
        <f t="shared" ref="AC95:AC158" si="67">IF(AA95&lt;=$F$18,IFERROR(VLOOKUP($AA95,$B$82:$G$94,3,FALSE),0),)*50%</f>
        <v>0</v>
      </c>
      <c r="AD95" s="100">
        <f t="shared" si="49"/>
        <v>0</v>
      </c>
      <c r="AE95" s="100">
        <f t="shared" si="50"/>
        <v>0</v>
      </c>
      <c r="AF95" s="194">
        <f t="shared" si="63"/>
        <v>0</v>
      </c>
      <c r="AG95" s="194">
        <f t="shared" si="64"/>
        <v>0</v>
      </c>
      <c r="AH95" s="194">
        <f t="shared" si="65"/>
        <v>0</v>
      </c>
      <c r="AI95" s="199">
        <f t="shared" si="66"/>
        <v>0</v>
      </c>
      <c r="AK95" s="71">
        <v>90</v>
      </c>
      <c r="AL95" s="33"/>
      <c r="AM95" s="33"/>
      <c r="AN95" s="33"/>
      <c r="AO95" s="33"/>
      <c r="AP95" s="33"/>
      <c r="AQ95" s="194"/>
      <c r="AR95" s="194"/>
      <c r="AS95" s="194"/>
      <c r="AT95" s="194"/>
      <c r="AU95" s="33"/>
      <c r="AV95" s="33"/>
      <c r="AW95" s="33"/>
      <c r="AX95" s="33"/>
      <c r="AY95" s="76"/>
    </row>
    <row r="96" spans="2:51" x14ac:dyDescent="0.3">
      <c r="C96" s="67" t="s">
        <v>154</v>
      </c>
      <c r="D96" t="s">
        <v>137</v>
      </c>
      <c r="E96" s="6"/>
      <c r="I96" s="55">
        <v>91</v>
      </c>
      <c r="J96" s="33">
        <f t="shared" si="53"/>
        <v>0</v>
      </c>
      <c r="K96" s="33">
        <f t="shared" si="54"/>
        <v>0</v>
      </c>
      <c r="L96" s="33">
        <f t="shared" si="55"/>
        <v>0</v>
      </c>
      <c r="M96" s="33">
        <f t="shared" si="56"/>
        <v>0</v>
      </c>
      <c r="N96" s="33">
        <f t="shared" si="42"/>
        <v>0</v>
      </c>
      <c r="O96" s="34">
        <f t="shared" si="43"/>
        <v>0</v>
      </c>
      <c r="P96" s="55">
        <v>91</v>
      </c>
      <c r="Q96" s="33">
        <f t="shared" si="51"/>
        <v>0</v>
      </c>
      <c r="R96" s="33">
        <f t="shared" si="57"/>
        <v>0</v>
      </c>
      <c r="S96" s="33">
        <f t="shared" si="58"/>
        <v>0</v>
      </c>
      <c r="T96" s="33">
        <f t="shared" si="44"/>
        <v>0</v>
      </c>
      <c r="U96" s="33">
        <f t="shared" si="52"/>
        <v>0</v>
      </c>
      <c r="V96" s="33">
        <f t="shared" si="45"/>
        <v>0</v>
      </c>
      <c r="W96" s="33">
        <v>0</v>
      </c>
      <c r="X96" s="33">
        <f t="shared" si="46"/>
        <v>0</v>
      </c>
      <c r="Y96" s="38">
        <f t="shared" si="47"/>
        <v>0</v>
      </c>
      <c r="AA96" s="71">
        <v>91</v>
      </c>
      <c r="AB96" s="33">
        <f t="shared" si="48"/>
        <v>0</v>
      </c>
      <c r="AC96" s="305">
        <f t="shared" si="67"/>
        <v>0</v>
      </c>
      <c r="AD96" s="100">
        <f t="shared" si="49"/>
        <v>0</v>
      </c>
      <c r="AE96" s="100">
        <f t="shared" si="50"/>
        <v>0</v>
      </c>
      <c r="AF96" s="194">
        <f t="shared" si="63"/>
        <v>0</v>
      </c>
      <c r="AG96" s="194">
        <f t="shared" si="64"/>
        <v>0</v>
      </c>
      <c r="AH96" s="194">
        <f t="shared" si="65"/>
        <v>0</v>
      </c>
      <c r="AI96" s="199">
        <f t="shared" si="66"/>
        <v>0</v>
      </c>
      <c r="AK96" s="71">
        <v>91</v>
      </c>
      <c r="AL96" s="33"/>
      <c r="AM96" s="33"/>
      <c r="AN96" s="33"/>
      <c r="AO96" s="33"/>
      <c r="AP96" s="33"/>
      <c r="AQ96" s="194"/>
      <c r="AR96" s="194"/>
      <c r="AS96" s="194"/>
      <c r="AT96" s="194"/>
      <c r="AU96" s="33"/>
      <c r="AV96" s="33"/>
      <c r="AW96" s="33"/>
      <c r="AX96" s="33"/>
      <c r="AY96" s="76"/>
    </row>
    <row r="97" spans="2:51" x14ac:dyDescent="0.3">
      <c r="B97" s="2" t="s">
        <v>0</v>
      </c>
      <c r="C97">
        <v>32</v>
      </c>
      <c r="D97">
        <v>0</v>
      </c>
      <c r="E97" s="6"/>
      <c r="I97" s="55">
        <v>92</v>
      </c>
      <c r="J97" s="33">
        <f t="shared" si="53"/>
        <v>0</v>
      </c>
      <c r="K97" s="33">
        <f t="shared" si="54"/>
        <v>0</v>
      </c>
      <c r="L97" s="33">
        <f t="shared" si="55"/>
        <v>0</v>
      </c>
      <c r="M97" s="33">
        <f t="shared" si="56"/>
        <v>0</v>
      </c>
      <c r="N97" s="33">
        <f t="shared" si="42"/>
        <v>0</v>
      </c>
      <c r="O97" s="34">
        <f t="shared" si="43"/>
        <v>0</v>
      </c>
      <c r="P97" s="55">
        <v>92</v>
      </c>
      <c r="Q97" s="33">
        <f t="shared" si="51"/>
        <v>0</v>
      </c>
      <c r="R97" s="33">
        <f t="shared" si="57"/>
        <v>0</v>
      </c>
      <c r="S97" s="33">
        <f t="shared" si="58"/>
        <v>0</v>
      </c>
      <c r="T97" s="33">
        <f t="shared" si="44"/>
        <v>0</v>
      </c>
      <c r="U97" s="33">
        <f t="shared" si="52"/>
        <v>0</v>
      </c>
      <c r="V97" s="33">
        <f t="shared" si="45"/>
        <v>0</v>
      </c>
      <c r="W97" s="33">
        <v>0</v>
      </c>
      <c r="X97" s="33">
        <f t="shared" si="46"/>
        <v>0</v>
      </c>
      <c r="Y97" s="38">
        <f t="shared" si="47"/>
        <v>0</v>
      </c>
      <c r="AA97" s="71">
        <v>92</v>
      </c>
      <c r="AB97" s="33">
        <f t="shared" si="48"/>
        <v>0</v>
      </c>
      <c r="AC97" s="305">
        <f t="shared" si="67"/>
        <v>0</v>
      </c>
      <c r="AD97" s="100">
        <f t="shared" si="49"/>
        <v>0</v>
      </c>
      <c r="AE97" s="100">
        <f t="shared" si="50"/>
        <v>0</v>
      </c>
      <c r="AF97" s="194">
        <f t="shared" si="63"/>
        <v>0</v>
      </c>
      <c r="AG97" s="194">
        <f t="shared" si="64"/>
        <v>0</v>
      </c>
      <c r="AH97" s="194">
        <f t="shared" si="65"/>
        <v>0</v>
      </c>
      <c r="AI97" s="199">
        <f t="shared" si="66"/>
        <v>0</v>
      </c>
      <c r="AK97" s="71">
        <v>92</v>
      </c>
      <c r="AL97" s="33"/>
      <c r="AM97" s="33"/>
      <c r="AN97" s="33"/>
      <c r="AO97" s="33"/>
      <c r="AP97" s="33"/>
      <c r="AQ97" s="194"/>
      <c r="AR97" s="194"/>
      <c r="AS97" s="194"/>
      <c r="AT97" s="194"/>
      <c r="AU97" s="33"/>
      <c r="AV97" s="33"/>
      <c r="AW97" s="33"/>
      <c r="AX97" s="33"/>
      <c r="AY97" s="76"/>
    </row>
    <row r="98" spans="2:51" x14ac:dyDescent="0.3">
      <c r="B98" s="2" t="s">
        <v>1</v>
      </c>
      <c r="C98">
        <v>45</v>
      </c>
      <c r="D98">
        <v>0</v>
      </c>
      <c r="E98" s="6"/>
      <c r="I98" s="55">
        <v>93</v>
      </c>
      <c r="J98" s="33">
        <f t="shared" si="53"/>
        <v>0</v>
      </c>
      <c r="K98" s="33">
        <f t="shared" si="54"/>
        <v>0</v>
      </c>
      <c r="L98" s="33">
        <f t="shared" si="55"/>
        <v>0</v>
      </c>
      <c r="M98" s="33">
        <f t="shared" si="56"/>
        <v>0</v>
      </c>
      <c r="N98" s="33">
        <f t="shared" si="42"/>
        <v>0</v>
      </c>
      <c r="O98" s="34">
        <f t="shared" si="43"/>
        <v>0</v>
      </c>
      <c r="P98" s="55">
        <v>93</v>
      </c>
      <c r="Q98" s="33">
        <f t="shared" si="51"/>
        <v>0</v>
      </c>
      <c r="R98" s="33">
        <f t="shared" si="57"/>
        <v>0</v>
      </c>
      <c r="S98" s="33">
        <f t="shared" si="58"/>
        <v>0</v>
      </c>
      <c r="T98" s="33">
        <f t="shared" si="44"/>
        <v>0</v>
      </c>
      <c r="U98" s="33">
        <f t="shared" si="52"/>
        <v>0</v>
      </c>
      <c r="V98" s="33">
        <f t="shared" si="45"/>
        <v>0</v>
      </c>
      <c r="W98" s="33">
        <v>0</v>
      </c>
      <c r="X98" s="33">
        <f t="shared" si="46"/>
        <v>0</v>
      </c>
      <c r="Y98" s="38">
        <f t="shared" si="47"/>
        <v>0</v>
      </c>
      <c r="AA98" s="71">
        <v>93</v>
      </c>
      <c r="AB98" s="33">
        <f t="shared" si="48"/>
        <v>0</v>
      </c>
      <c r="AC98" s="305">
        <f t="shared" si="67"/>
        <v>0</v>
      </c>
      <c r="AD98" s="100">
        <f t="shared" si="49"/>
        <v>0</v>
      </c>
      <c r="AE98" s="100">
        <f t="shared" si="50"/>
        <v>0</v>
      </c>
      <c r="AF98" s="194">
        <f t="shared" si="63"/>
        <v>0</v>
      </c>
      <c r="AG98" s="194">
        <f t="shared" si="64"/>
        <v>0</v>
      </c>
      <c r="AH98" s="194">
        <f t="shared" si="65"/>
        <v>0</v>
      </c>
      <c r="AI98" s="199">
        <f t="shared" si="66"/>
        <v>0</v>
      </c>
      <c r="AK98" s="71">
        <v>93</v>
      </c>
      <c r="AL98" s="33"/>
      <c r="AM98" s="33"/>
      <c r="AN98" s="33"/>
      <c r="AO98" s="33"/>
      <c r="AP98" s="33"/>
      <c r="AQ98" s="194"/>
      <c r="AR98" s="194"/>
      <c r="AS98" s="194"/>
      <c r="AT98" s="194"/>
      <c r="AU98" s="33"/>
      <c r="AV98" s="33"/>
      <c r="AW98" s="33"/>
      <c r="AX98" s="33"/>
      <c r="AY98" s="76"/>
    </row>
    <row r="99" spans="2:51" x14ac:dyDescent="0.3">
      <c r="B99" s="2" t="s">
        <v>2</v>
      </c>
      <c r="C99">
        <v>70</v>
      </c>
      <c r="D99">
        <v>0</v>
      </c>
      <c r="E99" s="6"/>
      <c r="I99" s="55">
        <v>94</v>
      </c>
      <c r="J99" s="33">
        <f t="shared" si="53"/>
        <v>0</v>
      </c>
      <c r="K99" s="33">
        <f t="shared" si="54"/>
        <v>0</v>
      </c>
      <c r="L99" s="33">
        <f t="shared" si="55"/>
        <v>0</v>
      </c>
      <c r="M99" s="33">
        <f t="shared" si="56"/>
        <v>0</v>
      </c>
      <c r="N99" s="33">
        <f t="shared" si="42"/>
        <v>0</v>
      </c>
      <c r="O99" s="34">
        <f t="shared" si="43"/>
        <v>0</v>
      </c>
      <c r="P99" s="55">
        <v>94</v>
      </c>
      <c r="Q99" s="33">
        <f t="shared" si="51"/>
        <v>0</v>
      </c>
      <c r="R99" s="33">
        <f t="shared" si="57"/>
        <v>0</v>
      </c>
      <c r="S99" s="33">
        <f t="shared" si="58"/>
        <v>0</v>
      </c>
      <c r="T99" s="33">
        <f t="shared" si="44"/>
        <v>0</v>
      </c>
      <c r="U99" s="33">
        <f t="shared" si="52"/>
        <v>0</v>
      </c>
      <c r="V99" s="33">
        <f t="shared" si="45"/>
        <v>0</v>
      </c>
      <c r="W99" s="33">
        <v>0</v>
      </c>
      <c r="X99" s="33">
        <f t="shared" si="46"/>
        <v>0</v>
      </c>
      <c r="Y99" s="38">
        <f t="shared" si="47"/>
        <v>0</v>
      </c>
      <c r="AA99" s="71">
        <v>94</v>
      </c>
      <c r="AB99" s="33">
        <f t="shared" si="48"/>
        <v>0</v>
      </c>
      <c r="AC99" s="305">
        <f t="shared" si="67"/>
        <v>0</v>
      </c>
      <c r="AD99" s="100">
        <f t="shared" si="49"/>
        <v>0</v>
      </c>
      <c r="AE99" s="100">
        <f t="shared" si="50"/>
        <v>0</v>
      </c>
      <c r="AF99" s="194">
        <f t="shared" si="63"/>
        <v>0</v>
      </c>
      <c r="AG99" s="194">
        <f t="shared" si="64"/>
        <v>0</v>
      </c>
      <c r="AH99" s="194">
        <f t="shared" si="65"/>
        <v>0</v>
      </c>
      <c r="AI99" s="199">
        <f t="shared" si="66"/>
        <v>0</v>
      </c>
      <c r="AK99" s="71">
        <v>94</v>
      </c>
      <c r="AL99" s="33"/>
      <c r="AM99" s="33"/>
      <c r="AN99" s="33"/>
      <c r="AO99" s="33"/>
      <c r="AP99" s="33"/>
      <c r="AQ99" s="194"/>
      <c r="AR99" s="194"/>
      <c r="AS99" s="194"/>
      <c r="AT99" s="194"/>
      <c r="AU99" s="33"/>
      <c r="AV99" s="33"/>
      <c r="AW99" s="33"/>
      <c r="AX99" s="33"/>
      <c r="AY99" s="76"/>
    </row>
    <row r="100" spans="2:51" x14ac:dyDescent="0.3">
      <c r="B100" s="2" t="s">
        <v>135</v>
      </c>
      <c r="C100">
        <v>70</v>
      </c>
      <c r="D100">
        <v>0</v>
      </c>
      <c r="E100" s="6"/>
      <c r="I100" s="55">
        <v>95</v>
      </c>
      <c r="J100" s="33">
        <f t="shared" si="53"/>
        <v>0</v>
      </c>
      <c r="K100" s="33">
        <f t="shared" si="54"/>
        <v>0</v>
      </c>
      <c r="L100" s="33">
        <f t="shared" si="55"/>
        <v>0</v>
      </c>
      <c r="M100" s="33">
        <f t="shared" si="56"/>
        <v>0</v>
      </c>
      <c r="N100" s="33">
        <f t="shared" si="42"/>
        <v>0</v>
      </c>
      <c r="O100" s="34">
        <f t="shared" si="43"/>
        <v>0</v>
      </c>
      <c r="P100" s="55">
        <v>95</v>
      </c>
      <c r="Q100" s="33">
        <f t="shared" si="51"/>
        <v>0</v>
      </c>
      <c r="R100" s="33">
        <f t="shared" si="57"/>
        <v>0</v>
      </c>
      <c r="S100" s="33">
        <f t="shared" si="58"/>
        <v>0</v>
      </c>
      <c r="T100" s="33">
        <f t="shared" si="44"/>
        <v>0</v>
      </c>
      <c r="U100" s="33">
        <f t="shared" si="52"/>
        <v>0</v>
      </c>
      <c r="V100" s="33">
        <f t="shared" si="45"/>
        <v>0</v>
      </c>
      <c r="W100" s="33">
        <v>0</v>
      </c>
      <c r="X100" s="33">
        <f t="shared" si="46"/>
        <v>0</v>
      </c>
      <c r="Y100" s="38">
        <f t="shared" si="47"/>
        <v>0</v>
      </c>
      <c r="AA100" s="71">
        <v>95</v>
      </c>
      <c r="AB100" s="33">
        <f t="shared" si="48"/>
        <v>0</v>
      </c>
      <c r="AC100" s="305">
        <f t="shared" si="67"/>
        <v>0</v>
      </c>
      <c r="AD100" s="100">
        <f t="shared" si="49"/>
        <v>0</v>
      </c>
      <c r="AE100" s="100">
        <f t="shared" si="50"/>
        <v>0</v>
      </c>
      <c r="AF100" s="194">
        <f t="shared" si="63"/>
        <v>0</v>
      </c>
      <c r="AG100" s="194">
        <f t="shared" si="64"/>
        <v>0</v>
      </c>
      <c r="AH100" s="194">
        <f t="shared" si="65"/>
        <v>0</v>
      </c>
      <c r="AI100" s="199">
        <f t="shared" si="66"/>
        <v>0</v>
      </c>
      <c r="AK100" s="71">
        <v>95</v>
      </c>
      <c r="AL100" s="33"/>
      <c r="AM100" s="33"/>
      <c r="AN100" s="33"/>
      <c r="AO100" s="33"/>
      <c r="AP100" s="33"/>
      <c r="AQ100" s="194"/>
      <c r="AR100" s="194"/>
      <c r="AS100" s="194"/>
      <c r="AT100" s="194"/>
      <c r="AU100" s="33"/>
      <c r="AV100" s="33"/>
      <c r="AW100" s="33"/>
      <c r="AX100" s="33"/>
      <c r="AY100" s="76"/>
    </row>
    <row r="101" spans="2:51" x14ac:dyDescent="0.3">
      <c r="C101" s="27"/>
      <c r="E101" s="6"/>
      <c r="I101" s="55">
        <v>96</v>
      </c>
      <c r="J101" s="33">
        <f t="shared" si="53"/>
        <v>0</v>
      </c>
      <c r="K101" s="33">
        <f t="shared" si="54"/>
        <v>0</v>
      </c>
      <c r="L101" s="33">
        <f t="shared" si="55"/>
        <v>0</v>
      </c>
      <c r="M101" s="33">
        <f t="shared" si="56"/>
        <v>0</v>
      </c>
      <c r="N101" s="33">
        <f t="shared" si="42"/>
        <v>0</v>
      </c>
      <c r="O101" s="34">
        <f t="shared" si="43"/>
        <v>0</v>
      </c>
      <c r="P101" s="55">
        <v>96</v>
      </c>
      <c r="Q101" s="33">
        <f t="shared" si="51"/>
        <v>0</v>
      </c>
      <c r="R101" s="33">
        <f t="shared" si="57"/>
        <v>0</v>
      </c>
      <c r="S101" s="33">
        <f t="shared" si="58"/>
        <v>0</v>
      </c>
      <c r="T101" s="33">
        <f t="shared" si="44"/>
        <v>0</v>
      </c>
      <c r="U101" s="33">
        <f t="shared" si="52"/>
        <v>0</v>
      </c>
      <c r="V101" s="33">
        <f t="shared" si="45"/>
        <v>0</v>
      </c>
      <c r="W101" s="33">
        <v>0</v>
      </c>
      <c r="X101" s="33">
        <f t="shared" si="46"/>
        <v>0</v>
      </c>
      <c r="Y101" s="38">
        <f t="shared" si="47"/>
        <v>0</v>
      </c>
      <c r="AA101" s="71">
        <v>96</v>
      </c>
      <c r="AB101" s="33">
        <f t="shared" si="48"/>
        <v>0</v>
      </c>
      <c r="AC101" s="305">
        <f t="shared" si="67"/>
        <v>0</v>
      </c>
      <c r="AD101" s="100">
        <f t="shared" si="49"/>
        <v>0</v>
      </c>
      <c r="AE101" s="100">
        <f t="shared" si="50"/>
        <v>0</v>
      </c>
      <c r="AF101" s="194">
        <f t="shared" si="63"/>
        <v>0</v>
      </c>
      <c r="AG101" s="194">
        <f t="shared" si="64"/>
        <v>0</v>
      </c>
      <c r="AH101" s="194">
        <f t="shared" si="65"/>
        <v>0</v>
      </c>
      <c r="AI101" s="199">
        <f t="shared" si="66"/>
        <v>0</v>
      </c>
      <c r="AK101" s="71">
        <v>96</v>
      </c>
      <c r="AL101" s="33"/>
      <c r="AM101" s="33"/>
      <c r="AN101" s="33"/>
      <c r="AO101" s="33"/>
      <c r="AP101" s="33"/>
      <c r="AQ101" s="194"/>
      <c r="AR101" s="194"/>
      <c r="AS101" s="194"/>
      <c r="AT101" s="194"/>
      <c r="AU101" s="33"/>
      <c r="AV101" s="33"/>
      <c r="AW101" s="33"/>
      <c r="AX101" s="33"/>
      <c r="AY101" s="76"/>
    </row>
    <row r="102" spans="2:51" x14ac:dyDescent="0.3">
      <c r="C102" s="27"/>
      <c r="E102" s="6"/>
      <c r="I102" s="55">
        <v>97</v>
      </c>
      <c r="J102" s="33">
        <f t="shared" si="53"/>
        <v>0</v>
      </c>
      <c r="K102" s="33">
        <f t="shared" si="54"/>
        <v>0</v>
      </c>
      <c r="L102" s="33">
        <f t="shared" si="55"/>
        <v>0</v>
      </c>
      <c r="M102" s="33">
        <f t="shared" si="56"/>
        <v>0</v>
      </c>
      <c r="N102" s="33">
        <f t="shared" si="42"/>
        <v>0</v>
      </c>
      <c r="O102" s="34">
        <f t="shared" si="43"/>
        <v>0</v>
      </c>
      <c r="P102" s="55">
        <v>97</v>
      </c>
      <c r="Q102" s="33">
        <f t="shared" si="51"/>
        <v>0</v>
      </c>
      <c r="R102" s="33">
        <f t="shared" si="57"/>
        <v>0</v>
      </c>
      <c r="S102" s="33">
        <f t="shared" si="58"/>
        <v>0</v>
      </c>
      <c r="T102" s="33">
        <f t="shared" si="44"/>
        <v>0</v>
      </c>
      <c r="U102" s="33">
        <f t="shared" si="52"/>
        <v>0</v>
      </c>
      <c r="V102" s="33">
        <f t="shared" si="45"/>
        <v>0</v>
      </c>
      <c r="W102" s="33">
        <v>0</v>
      </c>
      <c r="X102" s="33">
        <f t="shared" si="46"/>
        <v>0</v>
      </c>
      <c r="Y102" s="38">
        <f t="shared" si="47"/>
        <v>0</v>
      </c>
      <c r="AA102" s="71">
        <v>97</v>
      </c>
      <c r="AB102" s="33">
        <f t="shared" si="48"/>
        <v>0</v>
      </c>
      <c r="AC102" s="305">
        <f t="shared" si="67"/>
        <v>0</v>
      </c>
      <c r="AD102" s="100">
        <f t="shared" si="49"/>
        <v>0</v>
      </c>
      <c r="AE102" s="100">
        <f t="shared" si="50"/>
        <v>0</v>
      </c>
      <c r="AF102" s="194">
        <f t="shared" si="63"/>
        <v>0</v>
      </c>
      <c r="AG102" s="194">
        <f t="shared" si="64"/>
        <v>0</v>
      </c>
      <c r="AH102" s="194">
        <f t="shared" si="65"/>
        <v>0</v>
      </c>
      <c r="AI102" s="199">
        <f t="shared" si="66"/>
        <v>0</v>
      </c>
      <c r="AK102" s="71">
        <v>97</v>
      </c>
      <c r="AL102" s="33"/>
      <c r="AM102" s="33"/>
      <c r="AN102" s="33"/>
      <c r="AO102" s="33"/>
      <c r="AP102" s="33"/>
      <c r="AQ102" s="194"/>
      <c r="AR102" s="194"/>
      <c r="AS102" s="194"/>
      <c r="AT102" s="194"/>
      <c r="AU102" s="33"/>
      <c r="AV102" s="33"/>
      <c r="AW102" s="33"/>
      <c r="AX102" s="33"/>
      <c r="AY102" s="76"/>
    </row>
    <row r="103" spans="2:51" x14ac:dyDescent="0.3">
      <c r="C103" s="25" t="s">
        <v>157</v>
      </c>
      <c r="D103" s="157" t="s">
        <v>158</v>
      </c>
      <c r="F103" s="190" t="s">
        <v>232</v>
      </c>
      <c r="I103" s="55">
        <v>98</v>
      </c>
      <c r="J103" s="33">
        <f t="shared" si="53"/>
        <v>0</v>
      </c>
      <c r="K103" s="33">
        <f t="shared" si="54"/>
        <v>0</v>
      </c>
      <c r="L103" s="33">
        <f t="shared" si="55"/>
        <v>0</v>
      </c>
      <c r="M103" s="33">
        <f t="shared" si="56"/>
        <v>0</v>
      </c>
      <c r="N103" s="33">
        <f t="shared" si="42"/>
        <v>0</v>
      </c>
      <c r="O103" s="34">
        <f t="shared" si="43"/>
        <v>0</v>
      </c>
      <c r="P103" s="55">
        <v>98</v>
      </c>
      <c r="Q103" s="33">
        <f t="shared" si="51"/>
        <v>0</v>
      </c>
      <c r="R103" s="33">
        <f t="shared" si="57"/>
        <v>0</v>
      </c>
      <c r="S103" s="33">
        <f t="shared" si="58"/>
        <v>0</v>
      </c>
      <c r="T103" s="33">
        <f t="shared" si="44"/>
        <v>0</v>
      </c>
      <c r="U103" s="33">
        <f t="shared" si="52"/>
        <v>0</v>
      </c>
      <c r="V103" s="33">
        <f t="shared" si="45"/>
        <v>0</v>
      </c>
      <c r="W103" s="33">
        <v>0</v>
      </c>
      <c r="X103" s="33">
        <f t="shared" si="46"/>
        <v>0</v>
      </c>
      <c r="Y103" s="38">
        <f t="shared" si="47"/>
        <v>0</v>
      </c>
      <c r="AA103" s="71">
        <v>98</v>
      </c>
      <c r="AB103" s="33">
        <f t="shared" si="48"/>
        <v>0</v>
      </c>
      <c r="AC103" s="305">
        <f t="shared" si="67"/>
        <v>0</v>
      </c>
      <c r="AD103" s="100">
        <f t="shared" si="49"/>
        <v>0</v>
      </c>
      <c r="AE103" s="100">
        <f t="shared" si="50"/>
        <v>0</v>
      </c>
      <c r="AF103" s="194">
        <f t="shared" si="63"/>
        <v>0</v>
      </c>
      <c r="AG103" s="194">
        <f t="shared" si="64"/>
        <v>0</v>
      </c>
      <c r="AH103" s="194">
        <f t="shared" si="65"/>
        <v>0</v>
      </c>
      <c r="AI103" s="199">
        <f t="shared" si="66"/>
        <v>0</v>
      </c>
      <c r="AK103" s="71">
        <v>98</v>
      </c>
      <c r="AL103" s="33"/>
      <c r="AM103" s="33"/>
      <c r="AN103" s="33"/>
      <c r="AO103" s="33"/>
      <c r="AP103" s="33"/>
      <c r="AQ103" s="194"/>
      <c r="AR103" s="194"/>
      <c r="AS103" s="194"/>
      <c r="AT103" s="194"/>
      <c r="AU103" s="33"/>
      <c r="AV103" s="33"/>
      <c r="AW103" s="33"/>
      <c r="AX103" s="33"/>
      <c r="AY103" s="76"/>
    </row>
    <row r="104" spans="2:51" x14ac:dyDescent="0.3">
      <c r="B104" t="s">
        <v>78</v>
      </c>
      <c r="C104">
        <v>1.52</v>
      </c>
      <c r="D104">
        <v>35</v>
      </c>
      <c r="F104" s="189" t="s">
        <v>228</v>
      </c>
      <c r="G104" s="24">
        <v>0.25</v>
      </c>
      <c r="I104" s="55">
        <v>99</v>
      </c>
      <c r="J104" s="33">
        <f t="shared" si="53"/>
        <v>0</v>
      </c>
      <c r="K104" s="33">
        <f t="shared" si="54"/>
        <v>0</v>
      </c>
      <c r="L104" s="33">
        <f t="shared" si="55"/>
        <v>0</v>
      </c>
      <c r="M104" s="33">
        <f t="shared" si="56"/>
        <v>0</v>
      </c>
      <c r="N104" s="33">
        <f t="shared" si="42"/>
        <v>0</v>
      </c>
      <c r="O104" s="34">
        <f t="shared" si="43"/>
        <v>0</v>
      </c>
      <c r="P104" s="55">
        <v>99</v>
      </c>
      <c r="Q104" s="33">
        <f t="shared" si="51"/>
        <v>0</v>
      </c>
      <c r="R104" s="33">
        <f t="shared" si="57"/>
        <v>0</v>
      </c>
      <c r="S104" s="33">
        <f t="shared" si="58"/>
        <v>0</v>
      </c>
      <c r="T104" s="33">
        <f t="shared" si="44"/>
        <v>0</v>
      </c>
      <c r="U104" s="33">
        <f t="shared" si="52"/>
        <v>0</v>
      </c>
      <c r="V104" s="33">
        <f t="shared" si="45"/>
        <v>0</v>
      </c>
      <c r="W104" s="33">
        <v>0</v>
      </c>
      <c r="X104" s="33">
        <f t="shared" si="46"/>
        <v>0</v>
      </c>
      <c r="Y104" s="38">
        <f t="shared" si="47"/>
        <v>0</v>
      </c>
      <c r="AA104" s="71">
        <v>99</v>
      </c>
      <c r="AB104" s="33">
        <f t="shared" si="48"/>
        <v>0</v>
      </c>
      <c r="AC104" s="305">
        <f t="shared" si="67"/>
        <v>0</v>
      </c>
      <c r="AD104" s="100">
        <f t="shared" si="49"/>
        <v>0</v>
      </c>
      <c r="AE104" s="100">
        <f t="shared" si="50"/>
        <v>0</v>
      </c>
      <c r="AF104" s="194">
        <f t="shared" si="63"/>
        <v>0</v>
      </c>
      <c r="AG104" s="194">
        <f t="shared" si="64"/>
        <v>0</v>
      </c>
      <c r="AH104" s="194">
        <f t="shared" si="65"/>
        <v>0</v>
      </c>
      <c r="AI104" s="199">
        <f t="shared" si="66"/>
        <v>0</v>
      </c>
      <c r="AK104" s="71">
        <v>99</v>
      </c>
      <c r="AL104" s="33"/>
      <c r="AM104" s="33"/>
      <c r="AN104" s="33"/>
      <c r="AO104" s="33"/>
      <c r="AP104" s="33"/>
      <c r="AQ104" s="194"/>
      <c r="AR104" s="194"/>
      <c r="AS104" s="194"/>
      <c r="AT104" s="194"/>
      <c r="AU104" s="33"/>
      <c r="AV104" s="33"/>
      <c r="AW104" s="33"/>
      <c r="AX104" s="33"/>
      <c r="AY104" s="76"/>
    </row>
    <row r="105" spans="2:51" x14ac:dyDescent="0.3">
      <c r="B105" t="s">
        <v>80</v>
      </c>
      <c r="C105">
        <v>0</v>
      </c>
      <c r="D105">
        <v>2</v>
      </c>
      <c r="F105" s="189" t="s">
        <v>230</v>
      </c>
      <c r="G105" s="24">
        <v>1.03</v>
      </c>
      <c r="I105" s="55">
        <v>100</v>
      </c>
      <c r="J105" s="33">
        <f t="shared" si="53"/>
        <v>0</v>
      </c>
      <c r="K105" s="33">
        <f t="shared" si="54"/>
        <v>0</v>
      </c>
      <c r="L105" s="33">
        <f t="shared" si="55"/>
        <v>0</v>
      </c>
      <c r="M105" s="33">
        <f t="shared" si="56"/>
        <v>0</v>
      </c>
      <c r="N105" s="33">
        <f t="shared" si="42"/>
        <v>0</v>
      </c>
      <c r="O105" s="34">
        <f t="shared" si="43"/>
        <v>0</v>
      </c>
      <c r="P105" s="55">
        <v>100</v>
      </c>
      <c r="Q105" s="33">
        <f t="shared" si="51"/>
        <v>0</v>
      </c>
      <c r="R105" s="33">
        <f t="shared" si="57"/>
        <v>0</v>
      </c>
      <c r="S105" s="33">
        <f t="shared" si="58"/>
        <v>0</v>
      </c>
      <c r="T105" s="33">
        <f t="shared" si="44"/>
        <v>0</v>
      </c>
      <c r="U105" s="33">
        <f t="shared" si="52"/>
        <v>0</v>
      </c>
      <c r="V105" s="33">
        <f t="shared" si="45"/>
        <v>0</v>
      </c>
      <c r="W105" s="33">
        <v>0</v>
      </c>
      <c r="X105" s="33">
        <f t="shared" si="46"/>
        <v>0</v>
      </c>
      <c r="Y105" s="38">
        <f t="shared" si="47"/>
        <v>0</v>
      </c>
      <c r="AA105" s="71">
        <v>100</v>
      </c>
      <c r="AB105" s="33">
        <f t="shared" si="48"/>
        <v>0</v>
      </c>
      <c r="AC105" s="305">
        <f t="shared" si="67"/>
        <v>0</v>
      </c>
      <c r="AD105" s="100">
        <f t="shared" si="49"/>
        <v>0</v>
      </c>
      <c r="AE105" s="100">
        <f t="shared" si="50"/>
        <v>0</v>
      </c>
      <c r="AF105" s="194">
        <f t="shared" si="63"/>
        <v>0</v>
      </c>
      <c r="AG105" s="194">
        <f t="shared" si="64"/>
        <v>0</v>
      </c>
      <c r="AH105" s="194">
        <f t="shared" si="65"/>
        <v>0</v>
      </c>
      <c r="AI105" s="199">
        <f t="shared" si="66"/>
        <v>0</v>
      </c>
      <c r="AK105" s="71">
        <v>100</v>
      </c>
      <c r="AL105" s="33"/>
      <c r="AM105" s="33"/>
      <c r="AN105" s="33"/>
      <c r="AO105" s="33"/>
      <c r="AP105" s="33"/>
      <c r="AQ105" s="194"/>
      <c r="AR105" s="194"/>
      <c r="AS105" s="194"/>
      <c r="AT105" s="194"/>
      <c r="AU105" s="33"/>
      <c r="AV105" s="33"/>
      <c r="AW105" s="33"/>
      <c r="AX105" s="33"/>
      <c r="AY105" s="76"/>
    </row>
    <row r="106" spans="2:51" ht="27.6" x14ac:dyDescent="0.3">
      <c r="B106" t="s">
        <v>81</v>
      </c>
      <c r="C106">
        <v>0.77</v>
      </c>
      <c r="D106">
        <v>25</v>
      </c>
      <c r="F106" s="189" t="s">
        <v>231</v>
      </c>
      <c r="G106" s="24">
        <v>0.59</v>
      </c>
      <c r="I106" s="55">
        <v>101</v>
      </c>
      <c r="J106" s="33">
        <f t="shared" si="53"/>
        <v>0</v>
      </c>
      <c r="K106" s="33">
        <f t="shared" si="54"/>
        <v>0</v>
      </c>
      <c r="L106" s="33">
        <f t="shared" si="55"/>
        <v>0</v>
      </c>
      <c r="M106" s="33">
        <f t="shared" si="56"/>
        <v>0</v>
      </c>
      <c r="N106" s="33">
        <f t="shared" si="42"/>
        <v>0</v>
      </c>
      <c r="O106" s="34">
        <f t="shared" si="43"/>
        <v>0</v>
      </c>
      <c r="P106" s="55">
        <v>101</v>
      </c>
      <c r="Q106" s="33">
        <f t="shared" si="51"/>
        <v>0</v>
      </c>
      <c r="R106" s="33">
        <f t="shared" si="57"/>
        <v>0</v>
      </c>
      <c r="S106" s="33">
        <f t="shared" si="58"/>
        <v>0</v>
      </c>
      <c r="T106" s="33">
        <f t="shared" si="44"/>
        <v>0</v>
      </c>
      <c r="U106" s="33">
        <f t="shared" si="52"/>
        <v>0</v>
      </c>
      <c r="V106" s="33">
        <f t="shared" si="45"/>
        <v>0</v>
      </c>
      <c r="W106" s="33">
        <v>0</v>
      </c>
      <c r="X106" s="33">
        <f t="shared" si="46"/>
        <v>0</v>
      </c>
      <c r="Y106" s="38">
        <f t="shared" si="47"/>
        <v>0</v>
      </c>
      <c r="AA106" s="71">
        <v>101</v>
      </c>
      <c r="AB106" s="33">
        <f t="shared" si="48"/>
        <v>0</v>
      </c>
      <c r="AC106" s="305">
        <f t="shared" si="67"/>
        <v>0</v>
      </c>
      <c r="AD106" s="100">
        <f t="shared" si="49"/>
        <v>0</v>
      </c>
      <c r="AE106" s="100">
        <f t="shared" si="50"/>
        <v>0</v>
      </c>
      <c r="AF106" s="194">
        <f t="shared" si="63"/>
        <v>0</v>
      </c>
      <c r="AG106" s="194">
        <f t="shared" si="64"/>
        <v>0</v>
      </c>
      <c r="AH106" s="194">
        <f t="shared" si="65"/>
        <v>0</v>
      </c>
      <c r="AI106" s="199">
        <f t="shared" si="66"/>
        <v>0</v>
      </c>
      <c r="AK106" s="71">
        <v>101</v>
      </c>
      <c r="AL106" s="33"/>
      <c r="AM106" s="33"/>
      <c r="AN106" s="33"/>
      <c r="AO106" s="33"/>
      <c r="AP106" s="33"/>
      <c r="AQ106" s="194"/>
      <c r="AR106" s="194"/>
      <c r="AS106" s="194"/>
      <c r="AT106" s="194"/>
      <c r="AU106" s="33"/>
      <c r="AV106" s="33"/>
      <c r="AW106" s="33"/>
      <c r="AX106" s="33"/>
      <c r="AY106" s="76"/>
    </row>
    <row r="107" spans="2:51" x14ac:dyDescent="0.3">
      <c r="B107" t="s">
        <v>82</v>
      </c>
      <c r="C107">
        <f>44%*C105+56%*C106</f>
        <v>0.43120000000000003</v>
      </c>
      <c r="D107">
        <f>44%*D105+56%*D106</f>
        <v>14.880000000000003</v>
      </c>
      <c r="F107" s="189" t="s">
        <v>229</v>
      </c>
      <c r="G107" s="24">
        <v>0.43</v>
      </c>
      <c r="I107" s="55">
        <v>102</v>
      </c>
      <c r="J107" s="33">
        <f t="shared" si="53"/>
        <v>0</v>
      </c>
      <c r="K107" s="33">
        <f t="shared" si="54"/>
        <v>0</v>
      </c>
      <c r="L107" s="33">
        <f t="shared" si="55"/>
        <v>0</v>
      </c>
      <c r="M107" s="33">
        <f t="shared" si="56"/>
        <v>0</v>
      </c>
      <c r="N107" s="33">
        <f t="shared" si="42"/>
        <v>0</v>
      </c>
      <c r="O107" s="34">
        <f t="shared" si="43"/>
        <v>0</v>
      </c>
      <c r="P107" s="55">
        <v>102</v>
      </c>
      <c r="Q107" s="33">
        <f t="shared" si="51"/>
        <v>0</v>
      </c>
      <c r="R107" s="33">
        <f t="shared" si="57"/>
        <v>0</v>
      </c>
      <c r="S107" s="33">
        <f t="shared" si="58"/>
        <v>0</v>
      </c>
      <c r="T107" s="33">
        <f t="shared" si="44"/>
        <v>0</v>
      </c>
      <c r="U107" s="33">
        <f t="shared" si="52"/>
        <v>0</v>
      </c>
      <c r="V107" s="33">
        <f t="shared" si="45"/>
        <v>0</v>
      </c>
      <c r="W107" s="33">
        <v>0</v>
      </c>
      <c r="X107" s="33">
        <f t="shared" si="46"/>
        <v>0</v>
      </c>
      <c r="Y107" s="38">
        <f t="shared" si="47"/>
        <v>0</v>
      </c>
      <c r="AA107" s="71">
        <v>102</v>
      </c>
      <c r="AB107" s="33">
        <f t="shared" si="48"/>
        <v>0</v>
      </c>
      <c r="AC107" s="305">
        <f t="shared" si="67"/>
        <v>0</v>
      </c>
      <c r="AD107" s="100">
        <f t="shared" si="49"/>
        <v>0</v>
      </c>
      <c r="AE107" s="100">
        <f t="shared" si="50"/>
        <v>0</v>
      </c>
      <c r="AF107" s="194">
        <f t="shared" si="63"/>
        <v>0</v>
      </c>
      <c r="AG107" s="194">
        <f t="shared" si="64"/>
        <v>0</v>
      </c>
      <c r="AH107" s="194">
        <f t="shared" si="65"/>
        <v>0</v>
      </c>
      <c r="AI107" s="199">
        <f t="shared" si="66"/>
        <v>0</v>
      </c>
      <c r="AK107" s="71">
        <v>102</v>
      </c>
      <c r="AL107" s="33"/>
      <c r="AM107" s="33"/>
      <c r="AN107" s="33"/>
      <c r="AO107" s="33"/>
      <c r="AP107" s="33"/>
      <c r="AQ107" s="194"/>
      <c r="AR107" s="194"/>
      <c r="AS107" s="194"/>
      <c r="AT107" s="194"/>
      <c r="AU107" s="33"/>
      <c r="AV107" s="33"/>
      <c r="AW107" s="33"/>
      <c r="AX107" s="33"/>
      <c r="AY107" s="76"/>
    </row>
    <row r="108" spans="2:51" x14ac:dyDescent="0.3">
      <c r="B108" t="s">
        <v>79</v>
      </c>
      <c r="C108">
        <v>0.25</v>
      </c>
      <c r="D108">
        <v>0</v>
      </c>
      <c r="F108" s="191" t="s">
        <v>233</v>
      </c>
      <c r="G108" s="192">
        <f>VLOOKUP(VLOOKUP(F17,C131:E195,3,FALSE),F104:G107,2,FALSE)</f>
        <v>0.25</v>
      </c>
      <c r="I108" s="55">
        <v>103</v>
      </c>
      <c r="J108" s="33">
        <f t="shared" si="53"/>
        <v>0</v>
      </c>
      <c r="K108" s="33">
        <f t="shared" si="54"/>
        <v>0</v>
      </c>
      <c r="L108" s="33">
        <f t="shared" si="55"/>
        <v>0</v>
      </c>
      <c r="M108" s="33">
        <f t="shared" si="56"/>
        <v>0</v>
      </c>
      <c r="N108" s="33">
        <f t="shared" si="42"/>
        <v>0</v>
      </c>
      <c r="O108" s="34">
        <f t="shared" si="43"/>
        <v>0</v>
      </c>
      <c r="P108" s="55">
        <v>103</v>
      </c>
      <c r="Q108" s="33">
        <f t="shared" si="51"/>
        <v>0</v>
      </c>
      <c r="R108" s="33">
        <f t="shared" si="57"/>
        <v>0</v>
      </c>
      <c r="S108" s="33">
        <f t="shared" si="58"/>
        <v>0</v>
      </c>
      <c r="T108" s="33">
        <f t="shared" si="44"/>
        <v>0</v>
      </c>
      <c r="U108" s="33">
        <f t="shared" si="52"/>
        <v>0</v>
      </c>
      <c r="V108" s="33">
        <f t="shared" si="45"/>
        <v>0</v>
      </c>
      <c r="W108" s="33">
        <v>0</v>
      </c>
      <c r="X108" s="33">
        <f t="shared" si="46"/>
        <v>0</v>
      </c>
      <c r="Y108" s="38">
        <f t="shared" si="47"/>
        <v>0</v>
      </c>
      <c r="AA108" s="71">
        <v>103</v>
      </c>
      <c r="AB108" s="33">
        <f t="shared" si="48"/>
        <v>0</v>
      </c>
      <c r="AC108" s="305">
        <f t="shared" si="67"/>
        <v>0</v>
      </c>
      <c r="AD108" s="100">
        <f t="shared" si="49"/>
        <v>0</v>
      </c>
      <c r="AE108" s="100">
        <f t="shared" si="50"/>
        <v>0</v>
      </c>
      <c r="AF108" s="194">
        <f t="shared" si="63"/>
        <v>0</v>
      </c>
      <c r="AG108" s="194">
        <f t="shared" si="64"/>
        <v>0</v>
      </c>
      <c r="AH108" s="194">
        <f t="shared" si="65"/>
        <v>0</v>
      </c>
      <c r="AI108" s="199">
        <f t="shared" si="66"/>
        <v>0</v>
      </c>
      <c r="AK108" s="71">
        <v>103</v>
      </c>
      <c r="AL108" s="33"/>
      <c r="AM108" s="33"/>
      <c r="AN108" s="33"/>
      <c r="AO108" s="33"/>
      <c r="AP108" s="33"/>
      <c r="AQ108" s="194"/>
      <c r="AR108" s="194"/>
      <c r="AS108" s="194"/>
      <c r="AT108" s="194"/>
      <c r="AU108" s="33"/>
      <c r="AV108" s="33"/>
      <c r="AW108" s="33"/>
      <c r="AX108" s="33"/>
      <c r="AY108" s="76"/>
    </row>
    <row r="109" spans="2:51" x14ac:dyDescent="0.3">
      <c r="I109" s="55">
        <v>104</v>
      </c>
      <c r="J109" s="33">
        <f t="shared" si="53"/>
        <v>0</v>
      </c>
      <c r="K109" s="33">
        <f t="shared" si="54"/>
        <v>0</v>
      </c>
      <c r="L109" s="33">
        <f t="shared" si="55"/>
        <v>0</v>
      </c>
      <c r="M109" s="33">
        <f t="shared" si="56"/>
        <v>0</v>
      </c>
      <c r="N109" s="33">
        <f t="shared" si="42"/>
        <v>0</v>
      </c>
      <c r="O109" s="34">
        <f t="shared" si="43"/>
        <v>0</v>
      </c>
      <c r="P109" s="55">
        <v>104</v>
      </c>
      <c r="Q109" s="33">
        <f t="shared" si="51"/>
        <v>0</v>
      </c>
      <c r="R109" s="33">
        <f t="shared" si="57"/>
        <v>0</v>
      </c>
      <c r="S109" s="33">
        <f t="shared" si="58"/>
        <v>0</v>
      </c>
      <c r="T109" s="33">
        <f t="shared" si="44"/>
        <v>0</v>
      </c>
      <c r="U109" s="33">
        <f t="shared" si="52"/>
        <v>0</v>
      </c>
      <c r="V109" s="33">
        <f t="shared" si="45"/>
        <v>0</v>
      </c>
      <c r="W109" s="33">
        <v>0</v>
      </c>
      <c r="X109" s="33">
        <f t="shared" si="46"/>
        <v>0</v>
      </c>
      <c r="Y109" s="38">
        <f t="shared" si="47"/>
        <v>0</v>
      </c>
      <c r="AA109" s="71">
        <v>104</v>
      </c>
      <c r="AB109" s="33">
        <f t="shared" si="48"/>
        <v>0</v>
      </c>
      <c r="AC109" s="305">
        <f t="shared" si="67"/>
        <v>0</v>
      </c>
      <c r="AD109" s="100">
        <f t="shared" si="49"/>
        <v>0</v>
      </c>
      <c r="AE109" s="100">
        <f t="shared" si="50"/>
        <v>0</v>
      </c>
      <c r="AF109" s="194">
        <f t="shared" si="63"/>
        <v>0</v>
      </c>
      <c r="AG109" s="194">
        <f t="shared" si="64"/>
        <v>0</v>
      </c>
      <c r="AH109" s="194">
        <f t="shared" si="65"/>
        <v>0</v>
      </c>
      <c r="AI109" s="199">
        <f t="shared" si="66"/>
        <v>0</v>
      </c>
      <c r="AK109" s="71">
        <v>104</v>
      </c>
      <c r="AL109" s="33"/>
      <c r="AM109" s="33"/>
      <c r="AN109" s="33"/>
      <c r="AO109" s="33"/>
      <c r="AP109" s="33"/>
      <c r="AQ109" s="194"/>
      <c r="AR109" s="194"/>
      <c r="AS109" s="194"/>
      <c r="AT109" s="194"/>
      <c r="AU109" s="33"/>
      <c r="AV109" s="33"/>
      <c r="AW109" s="33"/>
      <c r="AX109" s="33"/>
      <c r="AY109" s="76"/>
    </row>
    <row r="110" spans="2:51" x14ac:dyDescent="0.3">
      <c r="I110" s="55">
        <v>105</v>
      </c>
      <c r="J110" s="33">
        <f t="shared" si="53"/>
        <v>0</v>
      </c>
      <c r="K110" s="33">
        <f t="shared" si="54"/>
        <v>0</v>
      </c>
      <c r="L110" s="33">
        <f t="shared" si="55"/>
        <v>0</v>
      </c>
      <c r="M110" s="33">
        <f t="shared" si="56"/>
        <v>0</v>
      </c>
      <c r="N110" s="33">
        <f t="shared" si="42"/>
        <v>0</v>
      </c>
      <c r="O110" s="34">
        <f t="shared" si="43"/>
        <v>0</v>
      </c>
      <c r="P110" s="55">
        <v>105</v>
      </c>
      <c r="Q110" s="33">
        <f t="shared" si="51"/>
        <v>0</v>
      </c>
      <c r="R110" s="33">
        <f t="shared" si="57"/>
        <v>0</v>
      </c>
      <c r="S110" s="33">
        <f t="shared" si="58"/>
        <v>0</v>
      </c>
      <c r="T110" s="33">
        <f t="shared" si="44"/>
        <v>0</v>
      </c>
      <c r="U110" s="33">
        <f t="shared" si="52"/>
        <v>0</v>
      </c>
      <c r="V110" s="33">
        <f t="shared" si="45"/>
        <v>0</v>
      </c>
      <c r="W110" s="33">
        <v>0</v>
      </c>
      <c r="X110" s="33">
        <f t="shared" si="46"/>
        <v>0</v>
      </c>
      <c r="Y110" s="38">
        <f t="shared" si="47"/>
        <v>0</v>
      </c>
      <c r="AA110" s="71">
        <v>105</v>
      </c>
      <c r="AB110" s="33">
        <f t="shared" si="48"/>
        <v>0</v>
      </c>
      <c r="AC110" s="305">
        <f t="shared" si="67"/>
        <v>0</v>
      </c>
      <c r="AD110" s="100">
        <f t="shared" si="49"/>
        <v>0</v>
      </c>
      <c r="AE110" s="100">
        <f t="shared" si="50"/>
        <v>0</v>
      </c>
      <c r="AF110" s="194">
        <f t="shared" si="63"/>
        <v>0</v>
      </c>
      <c r="AG110" s="194">
        <f t="shared" si="64"/>
        <v>0</v>
      </c>
      <c r="AH110" s="194">
        <f t="shared" si="65"/>
        <v>0</v>
      </c>
      <c r="AI110" s="199">
        <f t="shared" si="66"/>
        <v>0</v>
      </c>
      <c r="AK110" s="71">
        <v>105</v>
      </c>
      <c r="AL110" s="33"/>
      <c r="AM110" s="33"/>
      <c r="AN110" s="33"/>
      <c r="AO110" s="33"/>
      <c r="AP110" s="33"/>
      <c r="AQ110" s="194"/>
      <c r="AR110" s="194"/>
      <c r="AS110" s="194"/>
      <c r="AT110" s="194"/>
      <c r="AU110" s="33"/>
      <c r="AV110" s="33"/>
      <c r="AW110" s="33"/>
      <c r="AX110" s="33"/>
      <c r="AY110" s="76"/>
    </row>
    <row r="111" spans="2:51" x14ac:dyDescent="0.3">
      <c r="C111" s="157" t="s">
        <v>169</v>
      </c>
      <c r="D111" s="157"/>
      <c r="E111" s="157"/>
      <c r="I111" s="55">
        <v>106</v>
      </c>
      <c r="J111" s="33">
        <f t="shared" si="53"/>
        <v>0</v>
      </c>
      <c r="K111" s="33">
        <f t="shared" si="54"/>
        <v>0</v>
      </c>
      <c r="L111" s="33">
        <f t="shared" si="55"/>
        <v>0</v>
      </c>
      <c r="M111" s="33">
        <f t="shared" si="56"/>
        <v>0</v>
      </c>
      <c r="N111" s="33">
        <f t="shared" si="42"/>
        <v>0</v>
      </c>
      <c r="O111" s="34">
        <f t="shared" si="43"/>
        <v>0</v>
      </c>
      <c r="P111" s="55">
        <v>106</v>
      </c>
      <c r="Q111" s="33">
        <f t="shared" si="51"/>
        <v>0</v>
      </c>
      <c r="R111" s="33">
        <f t="shared" si="57"/>
        <v>0</v>
      </c>
      <c r="S111" s="33">
        <f t="shared" si="58"/>
        <v>0</v>
      </c>
      <c r="T111" s="33">
        <f t="shared" si="44"/>
        <v>0</v>
      </c>
      <c r="U111" s="33">
        <f t="shared" si="52"/>
        <v>0</v>
      </c>
      <c r="V111" s="33">
        <f t="shared" si="45"/>
        <v>0</v>
      </c>
      <c r="W111" s="33">
        <v>0</v>
      </c>
      <c r="X111" s="33">
        <f t="shared" si="46"/>
        <v>0</v>
      </c>
      <c r="Y111" s="38">
        <f t="shared" si="47"/>
        <v>0</v>
      </c>
      <c r="AA111" s="71">
        <v>106</v>
      </c>
      <c r="AB111" s="33">
        <f t="shared" si="48"/>
        <v>0</v>
      </c>
      <c r="AC111" s="305">
        <f t="shared" si="67"/>
        <v>0</v>
      </c>
      <c r="AD111" s="100">
        <f t="shared" si="49"/>
        <v>0</v>
      </c>
      <c r="AE111" s="100">
        <f t="shared" si="50"/>
        <v>0</v>
      </c>
      <c r="AF111" s="194">
        <f t="shared" si="63"/>
        <v>0</v>
      </c>
      <c r="AG111" s="194">
        <f t="shared" si="64"/>
        <v>0</v>
      </c>
      <c r="AH111" s="194">
        <f t="shared" si="65"/>
        <v>0</v>
      </c>
      <c r="AI111" s="199">
        <f t="shared" si="66"/>
        <v>0</v>
      </c>
      <c r="AK111" s="71">
        <v>106</v>
      </c>
      <c r="AL111" s="33"/>
      <c r="AM111" s="33"/>
      <c r="AN111" s="33"/>
      <c r="AO111" s="33"/>
      <c r="AP111" s="33"/>
      <c r="AQ111" s="194"/>
      <c r="AR111" s="194"/>
      <c r="AS111" s="194"/>
      <c r="AT111" s="194"/>
      <c r="AU111" s="33"/>
      <c r="AV111" s="33"/>
      <c r="AW111" s="33"/>
      <c r="AX111" s="33"/>
      <c r="AY111" s="76"/>
    </row>
    <row r="112" spans="2:51" x14ac:dyDescent="0.3">
      <c r="C112" s="74" t="s">
        <v>145</v>
      </c>
      <c r="D112" s="74" t="s">
        <v>72</v>
      </c>
      <c r="E112" s="74" t="s">
        <v>166</v>
      </c>
      <c r="I112" s="55">
        <v>107</v>
      </c>
      <c r="J112" s="33">
        <f t="shared" si="53"/>
        <v>0</v>
      </c>
      <c r="K112" s="33">
        <f t="shared" si="54"/>
        <v>0</v>
      </c>
      <c r="L112" s="33">
        <f t="shared" si="55"/>
        <v>0</v>
      </c>
      <c r="M112" s="33">
        <f t="shared" si="56"/>
        <v>0</v>
      </c>
      <c r="N112" s="33">
        <f t="shared" si="42"/>
        <v>0</v>
      </c>
      <c r="O112" s="34">
        <f t="shared" si="43"/>
        <v>0</v>
      </c>
      <c r="P112" s="55">
        <v>107</v>
      </c>
      <c r="Q112" s="33">
        <f t="shared" si="51"/>
        <v>0</v>
      </c>
      <c r="R112" s="33">
        <f t="shared" si="57"/>
        <v>0</v>
      </c>
      <c r="S112" s="33">
        <f t="shared" si="58"/>
        <v>0</v>
      </c>
      <c r="T112" s="33">
        <f t="shared" si="44"/>
        <v>0</v>
      </c>
      <c r="U112" s="33">
        <f t="shared" si="52"/>
        <v>0</v>
      </c>
      <c r="V112" s="33">
        <f t="shared" si="45"/>
        <v>0</v>
      </c>
      <c r="W112" s="33">
        <v>0</v>
      </c>
      <c r="X112" s="33">
        <f t="shared" si="46"/>
        <v>0</v>
      </c>
      <c r="Y112" s="38">
        <f t="shared" si="47"/>
        <v>0</v>
      </c>
      <c r="AA112" s="71">
        <v>107</v>
      </c>
      <c r="AB112" s="33">
        <f t="shared" si="48"/>
        <v>0</v>
      </c>
      <c r="AC112" s="305">
        <f t="shared" si="67"/>
        <v>0</v>
      </c>
      <c r="AD112" s="100">
        <f t="shared" si="49"/>
        <v>0</v>
      </c>
      <c r="AE112" s="100">
        <f t="shared" si="50"/>
        <v>0</v>
      </c>
      <c r="AF112" s="194">
        <f t="shared" si="63"/>
        <v>0</v>
      </c>
      <c r="AG112" s="194">
        <f t="shared" si="64"/>
        <v>0</v>
      </c>
      <c r="AH112" s="194">
        <f t="shared" si="65"/>
        <v>0</v>
      </c>
      <c r="AI112" s="199">
        <f t="shared" si="66"/>
        <v>0</v>
      </c>
      <c r="AK112" s="71">
        <v>107</v>
      </c>
      <c r="AL112" s="33"/>
      <c r="AM112" s="33"/>
      <c r="AN112" s="33"/>
      <c r="AO112" s="33"/>
      <c r="AP112" s="33"/>
      <c r="AQ112" s="194"/>
      <c r="AR112" s="194"/>
      <c r="AS112" s="194"/>
      <c r="AT112" s="194"/>
      <c r="AU112" s="33"/>
      <c r="AV112" s="33"/>
      <c r="AW112" s="33"/>
      <c r="AX112" s="33"/>
      <c r="AY112" s="76"/>
    </row>
    <row r="113" spans="2:51" x14ac:dyDescent="0.3">
      <c r="B113" s="67" t="s">
        <v>167</v>
      </c>
      <c r="C113" s="79" t="e">
        <f>1/$F$18*SUM(X6:X205)</f>
        <v>#DIV/0!</v>
      </c>
      <c r="D113" s="79" t="e">
        <f>1/$F$10*SUM(O6:O205)</f>
        <v>#DIV/0!</v>
      </c>
      <c r="E113" s="78" t="e">
        <f>C113-D113</f>
        <v>#DIV/0!</v>
      </c>
      <c r="I113" s="55">
        <v>108</v>
      </c>
      <c r="J113" s="33">
        <f t="shared" si="53"/>
        <v>0</v>
      </c>
      <c r="K113" s="33">
        <f t="shared" si="54"/>
        <v>0</v>
      </c>
      <c r="L113" s="33">
        <f t="shared" si="55"/>
        <v>0</v>
      </c>
      <c r="M113" s="33">
        <f t="shared" si="56"/>
        <v>0</v>
      </c>
      <c r="N113" s="33">
        <f t="shared" si="42"/>
        <v>0</v>
      </c>
      <c r="O113" s="34">
        <f t="shared" si="43"/>
        <v>0</v>
      </c>
      <c r="P113" s="55">
        <v>108</v>
      </c>
      <c r="Q113" s="33">
        <f t="shared" si="51"/>
        <v>0</v>
      </c>
      <c r="R113" s="33">
        <f t="shared" si="57"/>
        <v>0</v>
      </c>
      <c r="S113" s="33">
        <f t="shared" si="58"/>
        <v>0</v>
      </c>
      <c r="T113" s="33">
        <f t="shared" si="44"/>
        <v>0</v>
      </c>
      <c r="U113" s="33">
        <f t="shared" si="52"/>
        <v>0</v>
      </c>
      <c r="V113" s="33">
        <f t="shared" si="45"/>
        <v>0</v>
      </c>
      <c r="W113" s="33">
        <v>0</v>
      </c>
      <c r="X113" s="33">
        <f t="shared" si="46"/>
        <v>0</v>
      </c>
      <c r="Y113" s="38">
        <f t="shared" si="47"/>
        <v>0</v>
      </c>
      <c r="AA113" s="71">
        <v>108</v>
      </c>
      <c r="AB113" s="33">
        <f t="shared" si="48"/>
        <v>0</v>
      </c>
      <c r="AC113" s="305">
        <f t="shared" si="67"/>
        <v>0</v>
      </c>
      <c r="AD113" s="100">
        <f t="shared" si="49"/>
        <v>0</v>
      </c>
      <c r="AE113" s="100">
        <f t="shared" si="50"/>
        <v>0</v>
      </c>
      <c r="AF113" s="194">
        <f t="shared" si="63"/>
        <v>0</v>
      </c>
      <c r="AG113" s="194">
        <f t="shared" si="64"/>
        <v>0</v>
      </c>
      <c r="AH113" s="194">
        <f t="shared" si="65"/>
        <v>0</v>
      </c>
      <c r="AI113" s="199">
        <f t="shared" si="66"/>
        <v>0</v>
      </c>
      <c r="AK113" s="71">
        <v>108</v>
      </c>
      <c r="AL113" s="33"/>
      <c r="AM113" s="33"/>
      <c r="AN113" s="33"/>
      <c r="AO113" s="33"/>
      <c r="AP113" s="33"/>
      <c r="AQ113" s="194"/>
      <c r="AR113" s="194"/>
      <c r="AS113" s="194"/>
      <c r="AT113" s="194"/>
      <c r="AU113" s="33"/>
      <c r="AV113" s="33"/>
      <c r="AW113" s="33"/>
      <c r="AX113" s="33"/>
      <c r="AY113" s="76"/>
    </row>
    <row r="114" spans="2:51" x14ac:dyDescent="0.3">
      <c r="B114" s="67" t="s">
        <v>168</v>
      </c>
      <c r="C114" s="79">
        <f>X35</f>
        <v>0</v>
      </c>
      <c r="D114" s="79">
        <f>O35</f>
        <v>0</v>
      </c>
      <c r="E114" s="78">
        <f>VLOOKUP(30,I5:Y205,17,FALSE)</f>
        <v>0</v>
      </c>
      <c r="I114" s="55">
        <v>109</v>
      </c>
      <c r="J114" s="33">
        <f t="shared" si="53"/>
        <v>0</v>
      </c>
      <c r="K114" s="33">
        <f t="shared" si="54"/>
        <v>0</v>
      </c>
      <c r="L114" s="33">
        <f t="shared" si="55"/>
        <v>0</v>
      </c>
      <c r="M114" s="33">
        <f t="shared" si="56"/>
        <v>0</v>
      </c>
      <c r="N114" s="33">
        <f t="shared" si="42"/>
        <v>0</v>
      </c>
      <c r="O114" s="34">
        <f t="shared" si="43"/>
        <v>0</v>
      </c>
      <c r="P114" s="55">
        <v>109</v>
      </c>
      <c r="Q114" s="33">
        <f t="shared" si="51"/>
        <v>0</v>
      </c>
      <c r="R114" s="33">
        <f t="shared" si="57"/>
        <v>0</v>
      </c>
      <c r="S114" s="33">
        <f t="shared" si="58"/>
        <v>0</v>
      </c>
      <c r="T114" s="33">
        <f t="shared" si="44"/>
        <v>0</v>
      </c>
      <c r="U114" s="33">
        <f t="shared" si="52"/>
        <v>0</v>
      </c>
      <c r="V114" s="33">
        <f t="shared" si="45"/>
        <v>0</v>
      </c>
      <c r="W114" s="33">
        <v>0</v>
      </c>
      <c r="X114" s="33">
        <f t="shared" si="46"/>
        <v>0</v>
      </c>
      <c r="Y114" s="38">
        <f t="shared" si="47"/>
        <v>0</v>
      </c>
      <c r="AA114" s="71">
        <v>109</v>
      </c>
      <c r="AB114" s="33">
        <f t="shared" si="48"/>
        <v>0</v>
      </c>
      <c r="AC114" s="305">
        <f t="shared" si="67"/>
        <v>0</v>
      </c>
      <c r="AD114" s="100">
        <f t="shared" si="49"/>
        <v>0</v>
      </c>
      <c r="AE114" s="100">
        <f t="shared" si="50"/>
        <v>0</v>
      </c>
      <c r="AF114" s="194">
        <f t="shared" si="63"/>
        <v>0</v>
      </c>
      <c r="AG114" s="194">
        <f t="shared" si="64"/>
        <v>0</v>
      </c>
      <c r="AH114" s="194">
        <f t="shared" si="65"/>
        <v>0</v>
      </c>
      <c r="AI114" s="199">
        <f t="shared" si="66"/>
        <v>0</v>
      </c>
      <c r="AK114" s="71">
        <v>109</v>
      </c>
      <c r="AL114" s="33"/>
      <c r="AM114" s="33"/>
      <c r="AN114" s="33"/>
      <c r="AO114" s="33"/>
      <c r="AP114" s="33"/>
      <c r="AQ114" s="194"/>
      <c r="AR114" s="194"/>
      <c r="AS114" s="194"/>
      <c r="AT114" s="194"/>
      <c r="AU114" s="33"/>
      <c r="AV114" s="33"/>
      <c r="AW114" s="33"/>
      <c r="AX114" s="33"/>
      <c r="AY114" s="76"/>
    </row>
    <row r="115" spans="2:51" x14ac:dyDescent="0.3">
      <c r="C115" s="80"/>
      <c r="D115" s="80"/>
      <c r="E115" s="80"/>
      <c r="I115" s="55">
        <v>110</v>
      </c>
      <c r="J115" s="33">
        <f t="shared" si="53"/>
        <v>0</v>
      </c>
      <c r="K115" s="33">
        <f t="shared" si="54"/>
        <v>0</v>
      </c>
      <c r="L115" s="33">
        <f t="shared" si="55"/>
        <v>0</v>
      </c>
      <c r="M115" s="33">
        <f t="shared" si="56"/>
        <v>0</v>
      </c>
      <c r="N115" s="33">
        <f t="shared" si="42"/>
        <v>0</v>
      </c>
      <c r="O115" s="34">
        <f t="shared" si="43"/>
        <v>0</v>
      </c>
      <c r="P115" s="55">
        <v>110</v>
      </c>
      <c r="Q115" s="33">
        <f t="shared" si="51"/>
        <v>0</v>
      </c>
      <c r="R115" s="33">
        <f t="shared" si="57"/>
        <v>0</v>
      </c>
      <c r="S115" s="33">
        <f t="shared" si="58"/>
        <v>0</v>
      </c>
      <c r="T115" s="33">
        <f t="shared" si="44"/>
        <v>0</v>
      </c>
      <c r="U115" s="33">
        <f t="shared" si="52"/>
        <v>0</v>
      </c>
      <c r="V115" s="33">
        <f t="shared" si="45"/>
        <v>0</v>
      </c>
      <c r="W115" s="33">
        <v>0</v>
      </c>
      <c r="X115" s="33">
        <f t="shared" si="46"/>
        <v>0</v>
      </c>
      <c r="Y115" s="38">
        <f t="shared" si="47"/>
        <v>0</v>
      </c>
      <c r="AA115" s="71">
        <v>110</v>
      </c>
      <c r="AB115" s="33">
        <f t="shared" si="48"/>
        <v>0</v>
      </c>
      <c r="AC115" s="305">
        <f t="shared" si="67"/>
        <v>0</v>
      </c>
      <c r="AD115" s="100">
        <f t="shared" si="49"/>
        <v>0</v>
      </c>
      <c r="AE115" s="100">
        <f t="shared" si="50"/>
        <v>0</v>
      </c>
      <c r="AF115" s="194">
        <f t="shared" si="63"/>
        <v>0</v>
      </c>
      <c r="AG115" s="194">
        <f t="shared" si="64"/>
        <v>0</v>
      </c>
      <c r="AH115" s="194">
        <f t="shared" si="65"/>
        <v>0</v>
      </c>
      <c r="AI115" s="199">
        <f t="shared" si="66"/>
        <v>0</v>
      </c>
      <c r="AK115" s="71">
        <v>110</v>
      </c>
      <c r="AL115" s="33"/>
      <c r="AM115" s="33"/>
      <c r="AN115" s="33"/>
      <c r="AO115" s="33"/>
      <c r="AP115" s="33"/>
      <c r="AQ115" s="194"/>
      <c r="AR115" s="194"/>
      <c r="AS115" s="194"/>
      <c r="AT115" s="194"/>
      <c r="AU115" s="33"/>
      <c r="AV115" s="33"/>
      <c r="AW115" s="33"/>
      <c r="AX115" s="33"/>
      <c r="AY115" s="76"/>
    </row>
    <row r="116" spans="2:51" x14ac:dyDescent="0.3">
      <c r="C116" s="135" t="s">
        <v>125</v>
      </c>
      <c r="D116" s="135"/>
      <c r="E116" s="135"/>
      <c r="I116" s="55">
        <v>111</v>
      </c>
      <c r="J116" s="33">
        <f t="shared" si="53"/>
        <v>0</v>
      </c>
      <c r="K116" s="33">
        <f t="shared" si="54"/>
        <v>0</v>
      </c>
      <c r="L116" s="33">
        <f t="shared" si="55"/>
        <v>0</v>
      </c>
      <c r="M116" s="33">
        <f t="shared" si="56"/>
        <v>0</v>
      </c>
      <c r="N116" s="33">
        <f t="shared" si="42"/>
        <v>0</v>
      </c>
      <c r="O116" s="34">
        <f t="shared" si="43"/>
        <v>0</v>
      </c>
      <c r="P116" s="55">
        <v>111</v>
      </c>
      <c r="Q116" s="33">
        <f t="shared" si="51"/>
        <v>0</v>
      </c>
      <c r="R116" s="33">
        <f t="shared" si="57"/>
        <v>0</v>
      </c>
      <c r="S116" s="33">
        <f t="shared" si="58"/>
        <v>0</v>
      </c>
      <c r="T116" s="33">
        <f t="shared" si="44"/>
        <v>0</v>
      </c>
      <c r="U116" s="33">
        <f t="shared" si="52"/>
        <v>0</v>
      </c>
      <c r="V116" s="33">
        <f t="shared" si="45"/>
        <v>0</v>
      </c>
      <c r="W116" s="33">
        <v>0</v>
      </c>
      <c r="X116" s="33">
        <f t="shared" si="46"/>
        <v>0</v>
      </c>
      <c r="Y116" s="38">
        <f t="shared" si="47"/>
        <v>0</v>
      </c>
      <c r="AA116" s="71">
        <v>111</v>
      </c>
      <c r="AB116" s="33">
        <f t="shared" si="48"/>
        <v>0</v>
      </c>
      <c r="AC116" s="305">
        <f t="shared" si="67"/>
        <v>0</v>
      </c>
      <c r="AD116" s="100">
        <f t="shared" si="49"/>
        <v>0</v>
      </c>
      <c r="AE116" s="100">
        <f t="shared" si="50"/>
        <v>0</v>
      </c>
      <c r="AF116" s="194">
        <f t="shared" si="63"/>
        <v>0</v>
      </c>
      <c r="AG116" s="194">
        <f t="shared" si="64"/>
        <v>0</v>
      </c>
      <c r="AH116" s="194">
        <f t="shared" si="65"/>
        <v>0</v>
      </c>
      <c r="AI116" s="199">
        <f t="shared" si="66"/>
        <v>0</v>
      </c>
      <c r="AK116" s="71">
        <v>111</v>
      </c>
      <c r="AL116" s="33"/>
      <c r="AM116" s="33"/>
      <c r="AN116" s="33"/>
      <c r="AO116" s="33"/>
      <c r="AP116" s="33"/>
      <c r="AQ116" s="194"/>
      <c r="AR116" s="194"/>
      <c r="AS116" s="194"/>
      <c r="AT116" s="194"/>
      <c r="AU116" s="33"/>
      <c r="AV116" s="33"/>
      <c r="AW116" s="33"/>
      <c r="AX116" s="33"/>
      <c r="AY116" s="76"/>
    </row>
    <row r="117" spans="2:51" x14ac:dyDescent="0.3">
      <c r="C117" s="135" t="s">
        <v>145</v>
      </c>
      <c r="D117" s="135" t="s">
        <v>72</v>
      </c>
      <c r="E117" s="81" t="s">
        <v>166</v>
      </c>
      <c r="I117" s="55">
        <v>112</v>
      </c>
      <c r="J117" s="33">
        <f t="shared" si="53"/>
        <v>0</v>
      </c>
      <c r="K117" s="33">
        <f t="shared" si="54"/>
        <v>0</v>
      </c>
      <c r="L117" s="33">
        <f t="shared" si="55"/>
        <v>0</v>
      </c>
      <c r="M117" s="33">
        <f t="shared" si="56"/>
        <v>0</v>
      </c>
      <c r="N117" s="33">
        <f t="shared" si="42"/>
        <v>0</v>
      </c>
      <c r="O117" s="34">
        <f t="shared" si="43"/>
        <v>0</v>
      </c>
      <c r="P117" s="55">
        <v>112</v>
      </c>
      <c r="Q117" s="33">
        <f t="shared" si="51"/>
        <v>0</v>
      </c>
      <c r="R117" s="33">
        <f t="shared" si="57"/>
        <v>0</v>
      </c>
      <c r="S117" s="33">
        <f t="shared" si="58"/>
        <v>0</v>
      </c>
      <c r="T117" s="33">
        <f t="shared" si="44"/>
        <v>0</v>
      </c>
      <c r="U117" s="33">
        <f t="shared" si="52"/>
        <v>0</v>
      </c>
      <c r="V117" s="33">
        <f t="shared" si="45"/>
        <v>0</v>
      </c>
      <c r="W117" s="33">
        <v>0</v>
      </c>
      <c r="X117" s="33">
        <f t="shared" si="46"/>
        <v>0</v>
      </c>
      <c r="Y117" s="38">
        <f t="shared" si="47"/>
        <v>0</v>
      </c>
      <c r="AA117" s="71">
        <v>112</v>
      </c>
      <c r="AB117" s="33">
        <f t="shared" si="48"/>
        <v>0</v>
      </c>
      <c r="AC117" s="305">
        <f t="shared" si="67"/>
        <v>0</v>
      </c>
      <c r="AD117" s="100">
        <f t="shared" si="49"/>
        <v>0</v>
      </c>
      <c r="AE117" s="100">
        <f t="shared" si="50"/>
        <v>0</v>
      </c>
      <c r="AF117" s="194">
        <f t="shared" si="63"/>
        <v>0</v>
      </c>
      <c r="AG117" s="194">
        <f t="shared" si="64"/>
        <v>0</v>
      </c>
      <c r="AH117" s="194">
        <f t="shared" si="65"/>
        <v>0</v>
      </c>
      <c r="AI117" s="199">
        <f t="shared" si="66"/>
        <v>0</v>
      </c>
      <c r="AK117" s="71">
        <v>112</v>
      </c>
      <c r="AL117" s="33"/>
      <c r="AM117" s="33"/>
      <c r="AN117" s="33"/>
      <c r="AO117" s="33"/>
      <c r="AP117" s="33"/>
      <c r="AQ117" s="194"/>
      <c r="AR117" s="194"/>
      <c r="AS117" s="194"/>
      <c r="AT117" s="194"/>
      <c r="AU117" s="33"/>
      <c r="AV117" s="33"/>
      <c r="AW117" s="33"/>
      <c r="AX117" s="33"/>
      <c r="AY117" s="76"/>
    </row>
    <row r="118" spans="2:51" x14ac:dyDescent="0.3">
      <c r="B118" s="67" t="s">
        <v>261</v>
      </c>
      <c r="C118" s="303">
        <f>1/30*SUM(AI6:AI35)</f>
        <v>0</v>
      </c>
      <c r="D118" s="79">
        <v>0</v>
      </c>
      <c r="E118" s="78">
        <f>C118-D118</f>
        <v>0</v>
      </c>
      <c r="I118" s="55">
        <v>113</v>
      </c>
      <c r="J118" s="33">
        <f t="shared" si="53"/>
        <v>0</v>
      </c>
      <c r="K118" s="33">
        <f t="shared" si="54"/>
        <v>0</v>
      </c>
      <c r="L118" s="33">
        <f t="shared" si="55"/>
        <v>0</v>
      </c>
      <c r="M118" s="33">
        <f t="shared" si="56"/>
        <v>0</v>
      </c>
      <c r="N118" s="33">
        <f t="shared" si="42"/>
        <v>0</v>
      </c>
      <c r="O118" s="34">
        <f t="shared" si="43"/>
        <v>0</v>
      </c>
      <c r="P118" s="55">
        <v>113</v>
      </c>
      <c r="Q118" s="33">
        <f t="shared" si="51"/>
        <v>0</v>
      </c>
      <c r="R118" s="33">
        <f t="shared" si="57"/>
        <v>0</v>
      </c>
      <c r="S118" s="33">
        <f t="shared" si="58"/>
        <v>0</v>
      </c>
      <c r="T118" s="33">
        <f t="shared" si="44"/>
        <v>0</v>
      </c>
      <c r="U118" s="33">
        <f t="shared" si="52"/>
        <v>0</v>
      </c>
      <c r="V118" s="33">
        <f t="shared" si="45"/>
        <v>0</v>
      </c>
      <c r="W118" s="33">
        <v>0</v>
      </c>
      <c r="X118" s="33">
        <f t="shared" si="46"/>
        <v>0</v>
      </c>
      <c r="Y118" s="38">
        <f t="shared" si="47"/>
        <v>0</v>
      </c>
      <c r="AA118" s="71">
        <v>113</v>
      </c>
      <c r="AB118" s="33">
        <f t="shared" si="48"/>
        <v>0</v>
      </c>
      <c r="AC118" s="305">
        <f t="shared" si="67"/>
        <v>0</v>
      </c>
      <c r="AD118" s="100">
        <f t="shared" si="49"/>
        <v>0</v>
      </c>
      <c r="AE118" s="100">
        <f t="shared" si="50"/>
        <v>0</v>
      </c>
      <c r="AF118" s="194">
        <f t="shared" si="63"/>
        <v>0</v>
      </c>
      <c r="AG118" s="194">
        <f t="shared" si="64"/>
        <v>0</v>
      </c>
      <c r="AH118" s="194">
        <f t="shared" si="65"/>
        <v>0</v>
      </c>
      <c r="AI118" s="199">
        <f t="shared" si="66"/>
        <v>0</v>
      </c>
      <c r="AK118" s="71">
        <v>113</v>
      </c>
      <c r="AL118" s="33"/>
      <c r="AM118" s="33"/>
      <c r="AN118" s="33"/>
      <c r="AO118" s="33"/>
      <c r="AP118" s="33"/>
      <c r="AQ118" s="194"/>
      <c r="AR118" s="194"/>
      <c r="AS118" s="194"/>
      <c r="AT118" s="194"/>
      <c r="AU118" s="33"/>
      <c r="AV118" s="33"/>
      <c r="AW118" s="33"/>
      <c r="AX118" s="33"/>
      <c r="AY118" s="76"/>
    </row>
    <row r="119" spans="2:51" x14ac:dyDescent="0.3">
      <c r="B119" s="67"/>
      <c r="C119" s="82"/>
      <c r="D119" s="79"/>
      <c r="E119" s="78"/>
      <c r="I119" s="55">
        <v>114</v>
      </c>
      <c r="J119" s="33">
        <f t="shared" si="53"/>
        <v>0</v>
      </c>
      <c r="K119" s="33">
        <f t="shared" si="54"/>
        <v>0</v>
      </c>
      <c r="L119" s="33">
        <f t="shared" si="55"/>
        <v>0</v>
      </c>
      <c r="M119" s="33">
        <f t="shared" si="56"/>
        <v>0</v>
      </c>
      <c r="N119" s="33">
        <f t="shared" si="42"/>
        <v>0</v>
      </c>
      <c r="O119" s="34">
        <f t="shared" si="43"/>
        <v>0</v>
      </c>
      <c r="P119" s="55">
        <v>114</v>
      </c>
      <c r="Q119" s="33">
        <f t="shared" si="51"/>
        <v>0</v>
      </c>
      <c r="R119" s="33">
        <f t="shared" si="57"/>
        <v>0</v>
      </c>
      <c r="S119" s="33">
        <f t="shared" si="58"/>
        <v>0</v>
      </c>
      <c r="T119" s="33">
        <f t="shared" si="44"/>
        <v>0</v>
      </c>
      <c r="U119" s="33">
        <f t="shared" si="52"/>
        <v>0</v>
      </c>
      <c r="V119" s="33">
        <f t="shared" si="45"/>
        <v>0</v>
      </c>
      <c r="W119" s="33">
        <v>0</v>
      </c>
      <c r="X119" s="33">
        <f t="shared" si="46"/>
        <v>0</v>
      </c>
      <c r="Y119" s="38">
        <f t="shared" si="47"/>
        <v>0</v>
      </c>
      <c r="AA119" s="71">
        <v>114</v>
      </c>
      <c r="AB119" s="33">
        <f t="shared" si="48"/>
        <v>0</v>
      </c>
      <c r="AC119" s="305">
        <f t="shared" si="67"/>
        <v>0</v>
      </c>
      <c r="AD119" s="100">
        <f t="shared" si="49"/>
        <v>0</v>
      </c>
      <c r="AE119" s="100">
        <f t="shared" si="50"/>
        <v>0</v>
      </c>
      <c r="AF119" s="194">
        <f t="shared" si="63"/>
        <v>0</v>
      </c>
      <c r="AG119" s="194">
        <f t="shared" si="64"/>
        <v>0</v>
      </c>
      <c r="AH119" s="194">
        <f t="shared" si="65"/>
        <v>0</v>
      </c>
      <c r="AI119" s="199">
        <f t="shared" si="66"/>
        <v>0</v>
      </c>
      <c r="AK119" s="71">
        <v>114</v>
      </c>
      <c r="AL119" s="33"/>
      <c r="AM119" s="33"/>
      <c r="AN119" s="33"/>
      <c r="AO119" s="33"/>
      <c r="AP119" s="33"/>
      <c r="AQ119" s="194"/>
      <c r="AR119" s="194"/>
      <c r="AS119" s="194"/>
      <c r="AT119" s="194"/>
      <c r="AU119" s="33"/>
      <c r="AV119" s="33"/>
      <c r="AW119" s="33"/>
      <c r="AX119" s="33"/>
      <c r="AY119" s="76"/>
    </row>
    <row r="120" spans="2:51" x14ac:dyDescent="0.3">
      <c r="C120" s="80"/>
      <c r="D120" s="80"/>
      <c r="E120" s="83"/>
      <c r="I120" s="55">
        <v>115</v>
      </c>
      <c r="J120" s="33">
        <f t="shared" si="53"/>
        <v>0</v>
      </c>
      <c r="K120" s="33">
        <f t="shared" si="54"/>
        <v>0</v>
      </c>
      <c r="L120" s="33">
        <f t="shared" si="55"/>
        <v>0</v>
      </c>
      <c r="M120" s="33">
        <f t="shared" si="56"/>
        <v>0</v>
      </c>
      <c r="N120" s="33">
        <f t="shared" si="42"/>
        <v>0</v>
      </c>
      <c r="O120" s="34">
        <f t="shared" si="43"/>
        <v>0</v>
      </c>
      <c r="P120" s="55">
        <v>115</v>
      </c>
      <c r="Q120" s="33">
        <f t="shared" si="51"/>
        <v>0</v>
      </c>
      <c r="R120" s="33">
        <f t="shared" si="57"/>
        <v>0</v>
      </c>
      <c r="S120" s="33">
        <f t="shared" si="58"/>
        <v>0</v>
      </c>
      <c r="T120" s="33">
        <f t="shared" si="44"/>
        <v>0</v>
      </c>
      <c r="U120" s="33">
        <f t="shared" si="52"/>
        <v>0</v>
      </c>
      <c r="V120" s="33">
        <f t="shared" si="45"/>
        <v>0</v>
      </c>
      <c r="W120" s="33">
        <v>0</v>
      </c>
      <c r="X120" s="33">
        <f t="shared" si="46"/>
        <v>0</v>
      </c>
      <c r="Y120" s="38">
        <f t="shared" si="47"/>
        <v>0</v>
      </c>
      <c r="AA120" s="71">
        <v>115</v>
      </c>
      <c r="AB120" s="33">
        <f t="shared" si="48"/>
        <v>0</v>
      </c>
      <c r="AC120" s="305">
        <f t="shared" si="67"/>
        <v>0</v>
      </c>
      <c r="AD120" s="100">
        <f t="shared" si="49"/>
        <v>0</v>
      </c>
      <c r="AE120" s="100">
        <f t="shared" si="50"/>
        <v>0</v>
      </c>
      <c r="AF120" s="194">
        <f t="shared" si="63"/>
        <v>0</v>
      </c>
      <c r="AG120" s="194">
        <f t="shared" si="64"/>
        <v>0</v>
      </c>
      <c r="AH120" s="194">
        <f t="shared" si="65"/>
        <v>0</v>
      </c>
      <c r="AI120" s="199">
        <f t="shared" si="66"/>
        <v>0</v>
      </c>
      <c r="AK120" s="71">
        <v>115</v>
      </c>
      <c r="AL120" s="33"/>
      <c r="AM120" s="33"/>
      <c r="AN120" s="33"/>
      <c r="AO120" s="33"/>
      <c r="AP120" s="33"/>
      <c r="AQ120" s="194"/>
      <c r="AR120" s="194"/>
      <c r="AS120" s="194"/>
      <c r="AT120" s="194"/>
      <c r="AU120" s="33"/>
      <c r="AV120" s="33"/>
      <c r="AW120" s="33"/>
      <c r="AX120" s="33"/>
      <c r="AY120" s="76"/>
    </row>
    <row r="121" spans="2:51" x14ac:dyDescent="0.3">
      <c r="C121" s="135" t="s">
        <v>160</v>
      </c>
      <c r="D121" s="135"/>
      <c r="E121" s="135"/>
      <c r="I121" s="55">
        <v>116</v>
      </c>
      <c r="J121" s="33">
        <f t="shared" si="53"/>
        <v>0</v>
      </c>
      <c r="K121" s="33">
        <f t="shared" si="54"/>
        <v>0</v>
      </c>
      <c r="L121" s="33">
        <f t="shared" si="55"/>
        <v>0</v>
      </c>
      <c r="M121" s="33">
        <f t="shared" si="56"/>
        <v>0</v>
      </c>
      <c r="N121" s="33">
        <f t="shared" si="42"/>
        <v>0</v>
      </c>
      <c r="O121" s="34">
        <f t="shared" si="43"/>
        <v>0</v>
      </c>
      <c r="P121" s="55">
        <v>116</v>
      </c>
      <c r="Q121" s="33">
        <f t="shared" si="51"/>
        <v>0</v>
      </c>
      <c r="R121" s="33">
        <f t="shared" si="57"/>
        <v>0</v>
      </c>
      <c r="S121" s="33">
        <f t="shared" si="58"/>
        <v>0</v>
      </c>
      <c r="T121" s="33">
        <f t="shared" si="44"/>
        <v>0</v>
      </c>
      <c r="U121" s="33">
        <f t="shared" si="52"/>
        <v>0</v>
      </c>
      <c r="V121" s="33">
        <f t="shared" si="45"/>
        <v>0</v>
      </c>
      <c r="W121" s="33">
        <v>0</v>
      </c>
      <c r="X121" s="33">
        <f t="shared" si="46"/>
        <v>0</v>
      </c>
      <c r="Y121" s="38">
        <f t="shared" si="47"/>
        <v>0</v>
      </c>
      <c r="AA121" s="71">
        <v>116</v>
      </c>
      <c r="AB121" s="33">
        <f t="shared" si="48"/>
        <v>0</v>
      </c>
      <c r="AC121" s="305">
        <f t="shared" si="67"/>
        <v>0</v>
      </c>
      <c r="AD121" s="100">
        <f t="shared" si="49"/>
        <v>0</v>
      </c>
      <c r="AE121" s="100">
        <f t="shared" si="50"/>
        <v>0</v>
      </c>
      <c r="AF121" s="194">
        <f t="shared" si="63"/>
        <v>0</v>
      </c>
      <c r="AG121" s="194">
        <f t="shared" si="64"/>
        <v>0</v>
      </c>
      <c r="AH121" s="194">
        <f t="shared" si="65"/>
        <v>0</v>
      </c>
      <c r="AI121" s="199">
        <f t="shared" si="66"/>
        <v>0</v>
      </c>
      <c r="AK121" s="71">
        <v>116</v>
      </c>
      <c r="AL121" s="33"/>
      <c r="AM121" s="33"/>
      <c r="AN121" s="33"/>
      <c r="AO121" s="33"/>
      <c r="AP121" s="33"/>
      <c r="AQ121" s="194"/>
      <c r="AR121" s="194"/>
      <c r="AS121" s="194"/>
      <c r="AT121" s="194"/>
      <c r="AU121" s="33"/>
      <c r="AV121" s="33"/>
      <c r="AW121" s="33"/>
      <c r="AX121" s="33"/>
      <c r="AY121" s="76"/>
    </row>
    <row r="122" spans="2:51" x14ac:dyDescent="0.3">
      <c r="C122" s="135" t="s">
        <v>145</v>
      </c>
      <c r="D122" s="135" t="s">
        <v>72</v>
      </c>
      <c r="E122" s="81" t="s">
        <v>166</v>
      </c>
      <c r="I122" s="55">
        <v>117</v>
      </c>
      <c r="J122" s="33">
        <f t="shared" si="53"/>
        <v>0</v>
      </c>
      <c r="K122" s="33">
        <f t="shared" si="54"/>
        <v>0</v>
      </c>
      <c r="L122" s="33">
        <f t="shared" si="55"/>
        <v>0</v>
      </c>
      <c r="M122" s="33">
        <f t="shared" si="56"/>
        <v>0</v>
      </c>
      <c r="N122" s="33">
        <f t="shared" si="42"/>
        <v>0</v>
      </c>
      <c r="O122" s="34">
        <f t="shared" si="43"/>
        <v>0</v>
      </c>
      <c r="P122" s="55">
        <v>117</v>
      </c>
      <c r="Q122" s="33">
        <f t="shared" si="51"/>
        <v>0</v>
      </c>
      <c r="R122" s="33">
        <f t="shared" si="57"/>
        <v>0</v>
      </c>
      <c r="S122" s="33">
        <f t="shared" si="58"/>
        <v>0</v>
      </c>
      <c r="T122" s="33">
        <f t="shared" si="44"/>
        <v>0</v>
      </c>
      <c r="U122" s="33">
        <f t="shared" si="52"/>
        <v>0</v>
      </c>
      <c r="V122" s="33">
        <f t="shared" si="45"/>
        <v>0</v>
      </c>
      <c r="W122" s="33">
        <v>0</v>
      </c>
      <c r="X122" s="33">
        <f t="shared" si="46"/>
        <v>0</v>
      </c>
      <c r="Y122" s="38">
        <f t="shared" si="47"/>
        <v>0</v>
      </c>
      <c r="AA122" s="71">
        <v>117</v>
      </c>
      <c r="AB122" s="33">
        <f t="shared" si="48"/>
        <v>0</v>
      </c>
      <c r="AC122" s="305">
        <f t="shared" si="67"/>
        <v>0</v>
      </c>
      <c r="AD122" s="100">
        <f t="shared" si="49"/>
        <v>0</v>
      </c>
      <c r="AE122" s="100">
        <f t="shared" si="50"/>
        <v>0</v>
      </c>
      <c r="AF122" s="194">
        <f t="shared" si="63"/>
        <v>0</v>
      </c>
      <c r="AG122" s="194">
        <f t="shared" si="64"/>
        <v>0</v>
      </c>
      <c r="AH122" s="194">
        <f t="shared" si="65"/>
        <v>0</v>
      </c>
      <c r="AI122" s="199">
        <f t="shared" si="66"/>
        <v>0</v>
      </c>
      <c r="AK122" s="71">
        <v>117</v>
      </c>
      <c r="AL122" s="33"/>
      <c r="AM122" s="33"/>
      <c r="AN122" s="33"/>
      <c r="AO122" s="33"/>
      <c r="AP122" s="33"/>
      <c r="AQ122" s="194"/>
      <c r="AR122" s="194"/>
      <c r="AS122" s="194"/>
      <c r="AT122" s="194"/>
      <c r="AU122" s="33"/>
      <c r="AV122" s="33"/>
      <c r="AW122" s="33"/>
      <c r="AX122" s="33"/>
      <c r="AY122" s="76"/>
    </row>
    <row r="123" spans="2:51" x14ac:dyDescent="0.3">
      <c r="B123" s="67" t="s">
        <v>168</v>
      </c>
      <c r="C123" s="82">
        <f>AY35</f>
        <v>0</v>
      </c>
      <c r="D123" s="304">
        <f>IF(AND(D8=B100,F12=C194),J34*50%*G107,0)</f>
        <v>0</v>
      </c>
      <c r="E123" s="78">
        <f>C123-D123</f>
        <v>0</v>
      </c>
      <c r="I123" s="55">
        <v>118</v>
      </c>
      <c r="J123" s="33">
        <f t="shared" si="53"/>
        <v>0</v>
      </c>
      <c r="K123" s="33">
        <f t="shared" si="54"/>
        <v>0</v>
      </c>
      <c r="L123" s="33">
        <f t="shared" si="55"/>
        <v>0</v>
      </c>
      <c r="M123" s="33">
        <f t="shared" si="56"/>
        <v>0</v>
      </c>
      <c r="N123" s="33">
        <f t="shared" si="42"/>
        <v>0</v>
      </c>
      <c r="O123" s="34">
        <f t="shared" si="43"/>
        <v>0</v>
      </c>
      <c r="P123" s="55">
        <v>118</v>
      </c>
      <c r="Q123" s="33">
        <f t="shared" si="51"/>
        <v>0</v>
      </c>
      <c r="R123" s="33">
        <f t="shared" si="57"/>
        <v>0</v>
      </c>
      <c r="S123" s="33">
        <f t="shared" si="58"/>
        <v>0</v>
      </c>
      <c r="T123" s="33">
        <f t="shared" si="44"/>
        <v>0</v>
      </c>
      <c r="U123" s="33">
        <f t="shared" si="52"/>
        <v>0</v>
      </c>
      <c r="V123" s="33">
        <f t="shared" si="45"/>
        <v>0</v>
      </c>
      <c r="W123" s="33">
        <v>0</v>
      </c>
      <c r="X123" s="33">
        <f t="shared" si="46"/>
        <v>0</v>
      </c>
      <c r="Y123" s="38">
        <f t="shared" si="47"/>
        <v>0</v>
      </c>
      <c r="AA123" s="71">
        <v>118</v>
      </c>
      <c r="AB123" s="33">
        <f t="shared" si="48"/>
        <v>0</v>
      </c>
      <c r="AC123" s="305">
        <f t="shared" si="67"/>
        <v>0</v>
      </c>
      <c r="AD123" s="100">
        <f t="shared" si="49"/>
        <v>0</v>
      </c>
      <c r="AE123" s="100">
        <f t="shared" si="50"/>
        <v>0</v>
      </c>
      <c r="AF123" s="194">
        <f t="shared" si="63"/>
        <v>0</v>
      </c>
      <c r="AG123" s="194">
        <f t="shared" si="64"/>
        <v>0</v>
      </c>
      <c r="AH123" s="194">
        <f t="shared" si="65"/>
        <v>0</v>
      </c>
      <c r="AI123" s="199">
        <f t="shared" si="66"/>
        <v>0</v>
      </c>
      <c r="AK123" s="71">
        <v>118</v>
      </c>
      <c r="AL123" s="33"/>
      <c r="AM123" s="33"/>
      <c r="AN123" s="33"/>
      <c r="AO123" s="33"/>
      <c r="AP123" s="33"/>
      <c r="AQ123" s="194"/>
      <c r="AR123" s="194"/>
      <c r="AS123" s="194"/>
      <c r="AT123" s="194"/>
      <c r="AU123" s="33"/>
      <c r="AV123" s="33"/>
      <c r="AW123" s="33"/>
      <c r="AX123" s="33"/>
      <c r="AY123" s="76"/>
    </row>
    <row r="124" spans="2:51" x14ac:dyDescent="0.3">
      <c r="I124" s="55">
        <v>119</v>
      </c>
      <c r="J124" s="33">
        <f t="shared" si="53"/>
        <v>0</v>
      </c>
      <c r="K124" s="33">
        <f t="shared" si="54"/>
        <v>0</v>
      </c>
      <c r="L124" s="33">
        <f t="shared" si="55"/>
        <v>0</v>
      </c>
      <c r="M124" s="33">
        <f t="shared" si="56"/>
        <v>0</v>
      </c>
      <c r="N124" s="33">
        <f t="shared" si="42"/>
        <v>0</v>
      </c>
      <c r="O124" s="34">
        <f t="shared" si="43"/>
        <v>0</v>
      </c>
      <c r="P124" s="55">
        <v>119</v>
      </c>
      <c r="Q124" s="33">
        <f t="shared" si="51"/>
        <v>0</v>
      </c>
      <c r="R124" s="33">
        <f t="shared" si="57"/>
        <v>0</v>
      </c>
      <c r="S124" s="33">
        <f t="shared" si="58"/>
        <v>0</v>
      </c>
      <c r="T124" s="33">
        <f t="shared" si="44"/>
        <v>0</v>
      </c>
      <c r="U124" s="33">
        <f t="shared" si="52"/>
        <v>0</v>
      </c>
      <c r="V124" s="33">
        <f t="shared" si="45"/>
        <v>0</v>
      </c>
      <c r="W124" s="33">
        <v>0</v>
      </c>
      <c r="X124" s="33">
        <f t="shared" si="46"/>
        <v>0</v>
      </c>
      <c r="Y124" s="38">
        <f t="shared" si="47"/>
        <v>0</v>
      </c>
      <c r="AA124" s="71">
        <v>119</v>
      </c>
      <c r="AB124" s="33">
        <f t="shared" si="48"/>
        <v>0</v>
      </c>
      <c r="AC124" s="305">
        <f t="shared" si="67"/>
        <v>0</v>
      </c>
      <c r="AD124" s="100">
        <f t="shared" si="49"/>
        <v>0</v>
      </c>
      <c r="AE124" s="100">
        <f t="shared" si="50"/>
        <v>0</v>
      </c>
      <c r="AF124" s="194">
        <f t="shared" si="63"/>
        <v>0</v>
      </c>
      <c r="AG124" s="194">
        <f t="shared" si="64"/>
        <v>0</v>
      </c>
      <c r="AH124" s="194">
        <f t="shared" si="65"/>
        <v>0</v>
      </c>
      <c r="AI124" s="199">
        <f t="shared" si="66"/>
        <v>0</v>
      </c>
      <c r="AK124" s="71">
        <v>119</v>
      </c>
      <c r="AL124" s="33"/>
      <c r="AM124" s="33"/>
      <c r="AN124" s="33"/>
      <c r="AO124" s="33"/>
      <c r="AP124" s="33"/>
      <c r="AQ124" s="194"/>
      <c r="AR124" s="194"/>
      <c r="AS124" s="194"/>
      <c r="AT124" s="194"/>
      <c r="AU124" s="33"/>
      <c r="AV124" s="33"/>
      <c r="AW124" s="33"/>
      <c r="AX124" s="33"/>
      <c r="AY124" s="76"/>
    </row>
    <row r="125" spans="2:51" x14ac:dyDescent="0.3">
      <c r="C125" s="80"/>
      <c r="D125" s="80"/>
      <c r="E125" s="83"/>
      <c r="I125" s="55">
        <v>120</v>
      </c>
      <c r="J125" s="33">
        <f t="shared" si="53"/>
        <v>0</v>
      </c>
      <c r="K125" s="33">
        <f t="shared" si="54"/>
        <v>0</v>
      </c>
      <c r="L125" s="33">
        <f t="shared" si="55"/>
        <v>0</v>
      </c>
      <c r="M125" s="33">
        <f t="shared" si="56"/>
        <v>0</v>
      </c>
      <c r="N125" s="33">
        <f t="shared" si="42"/>
        <v>0</v>
      </c>
      <c r="O125" s="34">
        <f t="shared" si="43"/>
        <v>0</v>
      </c>
      <c r="P125" s="55">
        <v>120</v>
      </c>
      <c r="Q125" s="33">
        <f t="shared" si="51"/>
        <v>0</v>
      </c>
      <c r="R125" s="33">
        <f t="shared" si="57"/>
        <v>0</v>
      </c>
      <c r="S125" s="33">
        <f t="shared" si="58"/>
        <v>0</v>
      </c>
      <c r="T125" s="33">
        <f t="shared" si="44"/>
        <v>0</v>
      </c>
      <c r="U125" s="33">
        <f t="shared" si="52"/>
        <v>0</v>
      </c>
      <c r="V125" s="33">
        <f t="shared" si="45"/>
        <v>0</v>
      </c>
      <c r="W125" s="33">
        <v>0</v>
      </c>
      <c r="X125" s="33">
        <f t="shared" si="46"/>
        <v>0</v>
      </c>
      <c r="Y125" s="38">
        <f t="shared" si="47"/>
        <v>0</v>
      </c>
      <c r="AA125" s="71">
        <v>120</v>
      </c>
      <c r="AB125" s="33">
        <f t="shared" si="48"/>
        <v>0</v>
      </c>
      <c r="AC125" s="305">
        <f t="shared" si="67"/>
        <v>0</v>
      </c>
      <c r="AD125" s="100">
        <f t="shared" si="49"/>
        <v>0</v>
      </c>
      <c r="AE125" s="100">
        <f t="shared" si="50"/>
        <v>0</v>
      </c>
      <c r="AF125" s="194">
        <f t="shared" si="63"/>
        <v>0</v>
      </c>
      <c r="AG125" s="194">
        <f t="shared" si="64"/>
        <v>0</v>
      </c>
      <c r="AH125" s="194">
        <f t="shared" si="65"/>
        <v>0</v>
      </c>
      <c r="AI125" s="199">
        <f t="shared" si="66"/>
        <v>0</v>
      </c>
      <c r="AK125" s="71">
        <v>120</v>
      </c>
      <c r="AL125" s="33"/>
      <c r="AM125" s="33"/>
      <c r="AN125" s="33"/>
      <c r="AO125" s="33"/>
      <c r="AP125" s="33"/>
      <c r="AQ125" s="194"/>
      <c r="AR125" s="194"/>
      <c r="AS125" s="194"/>
      <c r="AT125" s="194"/>
      <c r="AU125" s="33"/>
      <c r="AV125" s="33"/>
      <c r="AW125" s="33"/>
      <c r="AX125" s="33"/>
      <c r="AY125" s="76"/>
    </row>
    <row r="126" spans="2:51" x14ac:dyDescent="0.3">
      <c r="C126" s="84" t="s">
        <v>129</v>
      </c>
      <c r="D126" s="84" t="s">
        <v>130</v>
      </c>
      <c r="E126" s="84" t="s">
        <v>160</v>
      </c>
      <c r="F126" s="157" t="s">
        <v>170</v>
      </c>
      <c r="I126" s="55">
        <v>121</v>
      </c>
      <c r="J126" s="33">
        <f t="shared" si="53"/>
        <v>0</v>
      </c>
      <c r="K126" s="33">
        <f t="shared" si="54"/>
        <v>0</v>
      </c>
      <c r="L126" s="33">
        <f t="shared" si="55"/>
        <v>0</v>
      </c>
      <c r="M126" s="33">
        <f t="shared" si="56"/>
        <v>0</v>
      </c>
      <c r="N126" s="33">
        <f t="shared" si="42"/>
        <v>0</v>
      </c>
      <c r="O126" s="34">
        <f t="shared" si="43"/>
        <v>0</v>
      </c>
      <c r="P126" s="55">
        <v>121</v>
      </c>
      <c r="Q126" s="33">
        <f t="shared" si="51"/>
        <v>0</v>
      </c>
      <c r="R126" s="33">
        <f t="shared" si="57"/>
        <v>0</v>
      </c>
      <c r="S126" s="33">
        <f t="shared" si="58"/>
        <v>0</v>
      </c>
      <c r="T126" s="33">
        <f t="shared" si="44"/>
        <v>0</v>
      </c>
      <c r="U126" s="33">
        <f t="shared" si="52"/>
        <v>0</v>
      </c>
      <c r="V126" s="33">
        <f t="shared" si="45"/>
        <v>0</v>
      </c>
      <c r="W126" s="33">
        <v>0</v>
      </c>
      <c r="X126" s="33">
        <f t="shared" si="46"/>
        <v>0</v>
      </c>
      <c r="Y126" s="38">
        <f t="shared" si="47"/>
        <v>0</v>
      </c>
      <c r="AA126" s="71">
        <v>121</v>
      </c>
      <c r="AB126" s="33">
        <f t="shared" si="48"/>
        <v>0</v>
      </c>
      <c r="AC126" s="305">
        <f t="shared" si="67"/>
        <v>0</v>
      </c>
      <c r="AD126" s="100">
        <f t="shared" si="49"/>
        <v>0</v>
      </c>
      <c r="AE126" s="100">
        <f t="shared" si="50"/>
        <v>0</v>
      </c>
      <c r="AF126" s="194">
        <f t="shared" si="63"/>
        <v>0</v>
      </c>
      <c r="AG126" s="194">
        <f t="shared" si="64"/>
        <v>0</v>
      </c>
      <c r="AH126" s="194">
        <f t="shared" si="65"/>
        <v>0</v>
      </c>
      <c r="AI126" s="199">
        <f t="shared" si="66"/>
        <v>0</v>
      </c>
      <c r="AK126" s="71">
        <v>121</v>
      </c>
      <c r="AL126" s="33"/>
      <c r="AM126" s="33"/>
      <c r="AN126" s="33"/>
      <c r="AO126" s="33"/>
      <c r="AP126" s="33"/>
      <c r="AQ126" s="194"/>
      <c r="AR126" s="194"/>
      <c r="AS126" s="194"/>
      <c r="AT126" s="194"/>
      <c r="AU126" s="33"/>
      <c r="AV126" s="33"/>
      <c r="AW126" s="33"/>
      <c r="AX126" s="33"/>
      <c r="AY126" s="76"/>
    </row>
    <row r="127" spans="2:51" x14ac:dyDescent="0.3">
      <c r="C127" s="82" t="e">
        <f>IF(F18&gt;30,MIN(E113:E114),E113)</f>
        <v>#DIV/0!</v>
      </c>
      <c r="D127" s="82">
        <f>MIN(E118:E119)</f>
        <v>0</v>
      </c>
      <c r="E127" s="85">
        <f>E123</f>
        <v>0</v>
      </c>
      <c r="F127" s="86" t="e">
        <f>SUM(C127:E127)</f>
        <v>#DIV/0!</v>
      </c>
      <c r="I127" s="55">
        <v>122</v>
      </c>
      <c r="J127" s="33">
        <f t="shared" si="53"/>
        <v>0</v>
      </c>
      <c r="K127" s="33">
        <f t="shared" si="54"/>
        <v>0</v>
      </c>
      <c r="L127" s="33">
        <f t="shared" si="55"/>
        <v>0</v>
      </c>
      <c r="M127" s="33">
        <f t="shared" si="56"/>
        <v>0</v>
      </c>
      <c r="N127" s="33">
        <f t="shared" si="42"/>
        <v>0</v>
      </c>
      <c r="O127" s="34">
        <f t="shared" si="43"/>
        <v>0</v>
      </c>
      <c r="P127" s="55">
        <v>122</v>
      </c>
      <c r="Q127" s="33">
        <f t="shared" si="51"/>
        <v>0</v>
      </c>
      <c r="R127" s="33">
        <f t="shared" si="57"/>
        <v>0</v>
      </c>
      <c r="S127" s="33">
        <f t="shared" si="58"/>
        <v>0</v>
      </c>
      <c r="T127" s="33">
        <f t="shared" si="44"/>
        <v>0</v>
      </c>
      <c r="U127" s="33">
        <f t="shared" si="52"/>
        <v>0</v>
      </c>
      <c r="V127" s="33">
        <f t="shared" si="45"/>
        <v>0</v>
      </c>
      <c r="W127" s="33">
        <v>0</v>
      </c>
      <c r="X127" s="33">
        <f t="shared" si="46"/>
        <v>0</v>
      </c>
      <c r="Y127" s="38">
        <f t="shared" si="47"/>
        <v>0</v>
      </c>
      <c r="AA127" s="71">
        <v>122</v>
      </c>
      <c r="AB127" s="33">
        <f t="shared" si="48"/>
        <v>0</v>
      </c>
      <c r="AC127" s="305">
        <f t="shared" si="67"/>
        <v>0</v>
      </c>
      <c r="AD127" s="100">
        <f t="shared" si="49"/>
        <v>0</v>
      </c>
      <c r="AE127" s="100">
        <f t="shared" si="50"/>
        <v>0</v>
      </c>
      <c r="AF127" s="194">
        <f t="shared" si="63"/>
        <v>0</v>
      </c>
      <c r="AG127" s="194">
        <f t="shared" si="64"/>
        <v>0</v>
      </c>
      <c r="AH127" s="194">
        <f t="shared" si="65"/>
        <v>0</v>
      </c>
      <c r="AI127" s="199">
        <f t="shared" si="66"/>
        <v>0</v>
      </c>
      <c r="AK127" s="71">
        <v>122</v>
      </c>
      <c r="AL127" s="33"/>
      <c r="AM127" s="33"/>
      <c r="AN127" s="33"/>
      <c r="AO127" s="33"/>
      <c r="AP127" s="33"/>
      <c r="AQ127" s="194"/>
      <c r="AR127" s="194"/>
      <c r="AS127" s="194"/>
      <c r="AT127" s="194"/>
      <c r="AU127" s="33"/>
      <c r="AV127" s="33"/>
      <c r="AW127" s="33"/>
      <c r="AX127" s="33"/>
      <c r="AY127" s="76"/>
    </row>
    <row r="128" spans="2:51" x14ac:dyDescent="0.3">
      <c r="E128" s="24"/>
      <c r="I128" s="55">
        <v>123</v>
      </c>
      <c r="J128" s="33">
        <f t="shared" si="53"/>
        <v>0</v>
      </c>
      <c r="K128" s="33">
        <f t="shared" si="54"/>
        <v>0</v>
      </c>
      <c r="L128" s="33">
        <f t="shared" si="55"/>
        <v>0</v>
      </c>
      <c r="M128" s="33">
        <f t="shared" si="56"/>
        <v>0</v>
      </c>
      <c r="N128" s="33">
        <f t="shared" si="42"/>
        <v>0</v>
      </c>
      <c r="O128" s="34">
        <f t="shared" si="43"/>
        <v>0</v>
      </c>
      <c r="P128" s="55">
        <v>123</v>
      </c>
      <c r="Q128" s="33">
        <f t="shared" si="51"/>
        <v>0</v>
      </c>
      <c r="R128" s="33">
        <f t="shared" si="57"/>
        <v>0</v>
      </c>
      <c r="S128" s="33">
        <f t="shared" si="58"/>
        <v>0</v>
      </c>
      <c r="T128" s="33">
        <f t="shared" si="44"/>
        <v>0</v>
      </c>
      <c r="U128" s="33">
        <f t="shared" si="52"/>
        <v>0</v>
      </c>
      <c r="V128" s="33">
        <f t="shared" si="45"/>
        <v>0</v>
      </c>
      <c r="W128" s="33">
        <v>0</v>
      </c>
      <c r="X128" s="33">
        <f t="shared" si="46"/>
        <v>0</v>
      </c>
      <c r="Y128" s="38">
        <f t="shared" si="47"/>
        <v>0</v>
      </c>
      <c r="AA128" s="71">
        <v>123</v>
      </c>
      <c r="AB128" s="33">
        <f t="shared" si="48"/>
        <v>0</v>
      </c>
      <c r="AC128" s="305">
        <f t="shared" si="67"/>
        <v>0</v>
      </c>
      <c r="AD128" s="100">
        <f t="shared" si="49"/>
        <v>0</v>
      </c>
      <c r="AE128" s="100">
        <f t="shared" si="50"/>
        <v>0</v>
      </c>
      <c r="AF128" s="194">
        <f t="shared" si="63"/>
        <v>0</v>
      </c>
      <c r="AG128" s="194">
        <f t="shared" si="64"/>
        <v>0</v>
      </c>
      <c r="AH128" s="194">
        <f t="shared" si="65"/>
        <v>0</v>
      </c>
      <c r="AI128" s="199">
        <f t="shared" si="66"/>
        <v>0</v>
      </c>
      <c r="AK128" s="71">
        <v>123</v>
      </c>
      <c r="AL128" s="33"/>
      <c r="AM128" s="33"/>
      <c r="AN128" s="33"/>
      <c r="AO128" s="33"/>
      <c r="AP128" s="33"/>
      <c r="AQ128" s="194"/>
      <c r="AR128" s="194"/>
      <c r="AS128" s="194"/>
      <c r="AT128" s="194"/>
      <c r="AU128" s="33"/>
      <c r="AV128" s="33"/>
      <c r="AW128" s="33"/>
      <c r="AX128" s="33"/>
      <c r="AY128" s="76"/>
    </row>
    <row r="129" spans="3:51" x14ac:dyDescent="0.3">
      <c r="E129" s="24"/>
      <c r="I129" s="55">
        <v>124</v>
      </c>
      <c r="J129" s="33">
        <f t="shared" si="53"/>
        <v>0</v>
      </c>
      <c r="K129" s="33">
        <f t="shared" si="54"/>
        <v>0</v>
      </c>
      <c r="L129" s="33">
        <f t="shared" si="55"/>
        <v>0</v>
      </c>
      <c r="M129" s="33">
        <f t="shared" si="56"/>
        <v>0</v>
      </c>
      <c r="N129" s="33">
        <f t="shared" si="42"/>
        <v>0</v>
      </c>
      <c r="O129" s="34">
        <f t="shared" si="43"/>
        <v>0</v>
      </c>
      <c r="P129" s="55">
        <v>124</v>
      </c>
      <c r="Q129" s="33">
        <f t="shared" si="51"/>
        <v>0</v>
      </c>
      <c r="R129" s="33">
        <f t="shared" si="57"/>
        <v>0</v>
      </c>
      <c r="S129" s="33">
        <f t="shared" si="58"/>
        <v>0</v>
      </c>
      <c r="T129" s="33">
        <f t="shared" si="44"/>
        <v>0</v>
      </c>
      <c r="U129" s="33">
        <f t="shared" si="52"/>
        <v>0</v>
      </c>
      <c r="V129" s="33">
        <f t="shared" si="45"/>
        <v>0</v>
      </c>
      <c r="W129" s="33">
        <v>0</v>
      </c>
      <c r="X129" s="33">
        <f t="shared" si="46"/>
        <v>0</v>
      </c>
      <c r="Y129" s="38">
        <f t="shared" si="47"/>
        <v>0</v>
      </c>
      <c r="AA129" s="71">
        <v>124</v>
      </c>
      <c r="AB129" s="33">
        <f t="shared" si="48"/>
        <v>0</v>
      </c>
      <c r="AC129" s="305">
        <f t="shared" si="67"/>
        <v>0</v>
      </c>
      <c r="AD129" s="100">
        <f t="shared" si="49"/>
        <v>0</v>
      </c>
      <c r="AE129" s="100">
        <f t="shared" si="50"/>
        <v>0</v>
      </c>
      <c r="AF129" s="194">
        <f t="shared" si="63"/>
        <v>0</v>
      </c>
      <c r="AG129" s="194">
        <f t="shared" si="64"/>
        <v>0</v>
      </c>
      <c r="AH129" s="194">
        <f t="shared" si="65"/>
        <v>0</v>
      </c>
      <c r="AI129" s="199">
        <f t="shared" si="66"/>
        <v>0</v>
      </c>
      <c r="AK129" s="71">
        <v>124</v>
      </c>
      <c r="AL129" s="33"/>
      <c r="AM129" s="33"/>
      <c r="AN129" s="33"/>
      <c r="AO129" s="33"/>
      <c r="AP129" s="33"/>
      <c r="AQ129" s="194"/>
      <c r="AR129" s="194"/>
      <c r="AS129" s="194"/>
      <c r="AT129" s="194"/>
      <c r="AU129" s="33"/>
      <c r="AV129" s="33"/>
      <c r="AW129" s="33"/>
      <c r="AX129" s="33"/>
      <c r="AY129" s="76"/>
    </row>
    <row r="130" spans="3:51" ht="41.4" x14ac:dyDescent="0.3">
      <c r="C130" s="3" t="s">
        <v>5</v>
      </c>
      <c r="D130" s="3" t="s">
        <v>6</v>
      </c>
      <c r="E130" s="188" t="s">
        <v>227</v>
      </c>
      <c r="F130" s="343" t="s">
        <v>266</v>
      </c>
      <c r="I130" s="55">
        <v>125</v>
      </c>
      <c r="J130" s="33">
        <f t="shared" si="53"/>
        <v>0</v>
      </c>
      <c r="K130" s="33">
        <f t="shared" si="54"/>
        <v>0</v>
      </c>
      <c r="L130" s="33">
        <f t="shared" si="55"/>
        <v>0</v>
      </c>
      <c r="M130" s="33">
        <f t="shared" si="56"/>
        <v>0</v>
      </c>
      <c r="N130" s="33">
        <f t="shared" si="42"/>
        <v>0</v>
      </c>
      <c r="O130" s="34">
        <f t="shared" si="43"/>
        <v>0</v>
      </c>
      <c r="P130" s="55">
        <v>125</v>
      </c>
      <c r="Q130" s="33">
        <f t="shared" si="51"/>
        <v>0</v>
      </c>
      <c r="R130" s="33">
        <f t="shared" si="57"/>
        <v>0</v>
      </c>
      <c r="S130" s="33">
        <f t="shared" si="58"/>
        <v>0</v>
      </c>
      <c r="T130" s="33">
        <f t="shared" si="44"/>
        <v>0</v>
      </c>
      <c r="U130" s="33">
        <f t="shared" si="52"/>
        <v>0</v>
      </c>
      <c r="V130" s="33">
        <f t="shared" si="45"/>
        <v>0</v>
      </c>
      <c r="W130" s="33">
        <v>0</v>
      </c>
      <c r="X130" s="33">
        <f t="shared" si="46"/>
        <v>0</v>
      </c>
      <c r="Y130" s="38">
        <f t="shared" si="47"/>
        <v>0</v>
      </c>
      <c r="AA130" s="71">
        <v>125</v>
      </c>
      <c r="AB130" s="33">
        <f t="shared" si="48"/>
        <v>0</v>
      </c>
      <c r="AC130" s="305">
        <f t="shared" si="67"/>
        <v>0</v>
      </c>
      <c r="AD130" s="100">
        <f t="shared" si="49"/>
        <v>0</v>
      </c>
      <c r="AE130" s="100">
        <f t="shared" si="50"/>
        <v>0</v>
      </c>
      <c r="AF130" s="194">
        <f t="shared" si="63"/>
        <v>0</v>
      </c>
      <c r="AG130" s="194">
        <f t="shared" si="64"/>
        <v>0</v>
      </c>
      <c r="AH130" s="194">
        <f t="shared" si="65"/>
        <v>0</v>
      </c>
      <c r="AI130" s="199">
        <f t="shared" si="66"/>
        <v>0</v>
      </c>
      <c r="AK130" s="71">
        <v>125</v>
      </c>
      <c r="AL130" s="33"/>
      <c r="AM130" s="33"/>
      <c r="AN130" s="33"/>
      <c r="AO130" s="33"/>
      <c r="AP130" s="33"/>
      <c r="AQ130" s="194"/>
      <c r="AR130" s="194"/>
      <c r="AS130" s="194"/>
      <c r="AT130" s="194"/>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53"/>
        <v>0</v>
      </c>
      <c r="K131" s="33">
        <f t="shared" si="54"/>
        <v>0</v>
      </c>
      <c r="L131" s="33">
        <f t="shared" si="55"/>
        <v>0</v>
      </c>
      <c r="M131" s="33">
        <f t="shared" si="56"/>
        <v>0</v>
      </c>
      <c r="N131" s="33">
        <f t="shared" si="42"/>
        <v>0</v>
      </c>
      <c r="O131" s="34">
        <f t="shared" si="43"/>
        <v>0</v>
      </c>
      <c r="P131" s="55">
        <v>126</v>
      </c>
      <c r="Q131" s="33">
        <f t="shared" si="51"/>
        <v>0</v>
      </c>
      <c r="R131" s="33">
        <f t="shared" si="57"/>
        <v>0</v>
      </c>
      <c r="S131" s="33">
        <f t="shared" si="58"/>
        <v>0</v>
      </c>
      <c r="T131" s="33">
        <f t="shared" si="44"/>
        <v>0</v>
      </c>
      <c r="U131" s="33">
        <f t="shared" si="52"/>
        <v>0</v>
      </c>
      <c r="V131" s="33">
        <f t="shared" si="45"/>
        <v>0</v>
      </c>
      <c r="W131" s="33">
        <v>0</v>
      </c>
      <c r="X131" s="33">
        <f t="shared" si="46"/>
        <v>0</v>
      </c>
      <c r="Y131" s="38">
        <f t="shared" si="47"/>
        <v>0</v>
      </c>
      <c r="AA131" s="71">
        <v>126</v>
      </c>
      <c r="AB131" s="33">
        <f t="shared" si="48"/>
        <v>0</v>
      </c>
      <c r="AC131" s="305">
        <f t="shared" si="67"/>
        <v>0</v>
      </c>
      <c r="AD131" s="100">
        <f t="shared" si="49"/>
        <v>0</v>
      </c>
      <c r="AE131" s="100">
        <f t="shared" si="50"/>
        <v>0</v>
      </c>
      <c r="AF131" s="194">
        <f t="shared" si="63"/>
        <v>0</v>
      </c>
      <c r="AG131" s="194">
        <f t="shared" si="64"/>
        <v>0</v>
      </c>
      <c r="AH131" s="194">
        <f t="shared" si="65"/>
        <v>0</v>
      </c>
      <c r="AI131" s="199">
        <f t="shared" si="66"/>
        <v>0</v>
      </c>
      <c r="AK131" s="71">
        <v>126</v>
      </c>
      <c r="AL131" s="33"/>
      <c r="AM131" s="33"/>
      <c r="AN131" s="33"/>
      <c r="AO131" s="33"/>
      <c r="AP131" s="33"/>
      <c r="AQ131" s="194"/>
      <c r="AR131" s="194"/>
      <c r="AS131" s="194"/>
      <c r="AT131" s="194"/>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53"/>
        <v>0</v>
      </c>
      <c r="K132" s="33">
        <f t="shared" si="54"/>
        <v>0</v>
      </c>
      <c r="L132" s="33">
        <f t="shared" si="55"/>
        <v>0</v>
      </c>
      <c r="M132" s="33">
        <f t="shared" si="56"/>
        <v>0</v>
      </c>
      <c r="N132" s="33">
        <f t="shared" si="42"/>
        <v>0</v>
      </c>
      <c r="O132" s="34">
        <f t="shared" si="43"/>
        <v>0</v>
      </c>
      <c r="P132" s="55">
        <v>127</v>
      </c>
      <c r="Q132" s="33">
        <f t="shared" si="51"/>
        <v>0</v>
      </c>
      <c r="R132" s="33">
        <f t="shared" si="57"/>
        <v>0</v>
      </c>
      <c r="S132" s="33">
        <f t="shared" si="58"/>
        <v>0</v>
      </c>
      <c r="T132" s="33">
        <f t="shared" si="44"/>
        <v>0</v>
      </c>
      <c r="U132" s="33">
        <f t="shared" si="52"/>
        <v>0</v>
      </c>
      <c r="V132" s="33">
        <f t="shared" si="45"/>
        <v>0</v>
      </c>
      <c r="W132" s="33">
        <v>0</v>
      </c>
      <c r="X132" s="33">
        <f t="shared" si="46"/>
        <v>0</v>
      </c>
      <c r="Y132" s="38">
        <f t="shared" si="47"/>
        <v>0</v>
      </c>
      <c r="AA132" s="71">
        <v>127</v>
      </c>
      <c r="AB132" s="33">
        <f t="shared" si="48"/>
        <v>0</v>
      </c>
      <c r="AC132" s="305">
        <f t="shared" si="67"/>
        <v>0</v>
      </c>
      <c r="AD132" s="100">
        <f t="shared" si="49"/>
        <v>0</v>
      </c>
      <c r="AE132" s="100">
        <f t="shared" si="50"/>
        <v>0</v>
      </c>
      <c r="AF132" s="194">
        <f t="shared" si="63"/>
        <v>0</v>
      </c>
      <c r="AG132" s="194">
        <f t="shared" si="64"/>
        <v>0</v>
      </c>
      <c r="AH132" s="194">
        <f t="shared" si="65"/>
        <v>0</v>
      </c>
      <c r="AI132" s="199">
        <f t="shared" si="66"/>
        <v>0</v>
      </c>
      <c r="AK132" s="71">
        <v>127</v>
      </c>
      <c r="AL132" s="33"/>
      <c r="AM132" s="33"/>
      <c r="AN132" s="33"/>
      <c r="AO132" s="33"/>
      <c r="AP132" s="33"/>
      <c r="AQ132" s="194"/>
      <c r="AR132" s="194"/>
      <c r="AS132" s="194"/>
      <c r="AT132" s="194"/>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53"/>
        <v>0</v>
      </c>
      <c r="K133" s="33">
        <f t="shared" si="54"/>
        <v>0</v>
      </c>
      <c r="L133" s="33">
        <f t="shared" si="55"/>
        <v>0</v>
      </c>
      <c r="M133" s="33">
        <f t="shared" si="56"/>
        <v>0</v>
      </c>
      <c r="N133" s="33">
        <f t="shared" ref="N133:N196" si="68">IF(P134&lt;=$F$18,0,)</f>
        <v>0</v>
      </c>
      <c r="O133" s="34">
        <f t="shared" ref="O133:O196" si="69">((J133+K133)*0.475+L133+M133+N133)*44/12</f>
        <v>0</v>
      </c>
      <c r="P133" s="55">
        <v>128</v>
      </c>
      <c r="Q133" s="33">
        <f t="shared" si="51"/>
        <v>0</v>
      </c>
      <c r="R133" s="33">
        <f t="shared" si="57"/>
        <v>0</v>
      </c>
      <c r="S133" s="33">
        <f t="shared" si="58"/>
        <v>0</v>
      </c>
      <c r="T133" s="33">
        <f t="shared" ref="T133:T196" si="70">IF(S133=0,0,EXP(-1.0587+0.8836*LN(S133)+0.284))</f>
        <v>0</v>
      </c>
      <c r="U133" s="33">
        <f t="shared" si="52"/>
        <v>0</v>
      </c>
      <c r="V133" s="33">
        <f t="shared" ref="V133:V196" si="71">IF(P133&lt;=$F$18,IF(P133&lt;=30,P133*($F$16-$F$6)/30,$F$16-$F$6),)</f>
        <v>0</v>
      </c>
      <c r="W133" s="33">
        <v>0</v>
      </c>
      <c r="X133" s="33">
        <f t="shared" ref="X133:X196" si="72">((S133+T133)*0.475+U133+V133+W133)*44/12</f>
        <v>0</v>
      </c>
      <c r="Y133" s="38">
        <f t="shared" ref="Y133:Y196" si="73">IF(P133&lt;=$F$18,X133-O133,)</f>
        <v>0</v>
      </c>
      <c r="AA133" s="71">
        <v>128</v>
      </c>
      <c r="AB133" s="33">
        <f t="shared" ref="AB133:AB196" si="74">IF(AA133&lt;=$F$18,IFERROR(VLOOKUP($AA133,$B$82:$G$94,2,FALSE),0),)</f>
        <v>0</v>
      </c>
      <c r="AC133" s="305">
        <f t="shared" si="67"/>
        <v>0</v>
      </c>
      <c r="AD133" s="100">
        <f t="shared" ref="AD133:AD196" si="75">IF(AA133&lt;=$F$18,IFERROR(VLOOKUP($AA133,$B$82:$G$94,4,FALSE),0),)</f>
        <v>0</v>
      </c>
      <c r="AE133" s="100">
        <f t="shared" ref="AE133:AE196" si="76">IF(AA133&lt;=$F$18,IFERROR(VLOOKUP($AA133,$B$82:$G$94,5,FALSE),0),)</f>
        <v>0</v>
      </c>
      <c r="AF133" s="194">
        <f t="shared" si="63"/>
        <v>0</v>
      </c>
      <c r="AG133" s="194">
        <f t="shared" si="64"/>
        <v>0</v>
      </c>
      <c r="AH133" s="194">
        <f t="shared" si="65"/>
        <v>0</v>
      </c>
      <c r="AI133" s="199">
        <f t="shared" si="66"/>
        <v>0</v>
      </c>
      <c r="AK133" s="71">
        <v>128</v>
      </c>
      <c r="AL133" s="33"/>
      <c r="AM133" s="33"/>
      <c r="AN133" s="33"/>
      <c r="AO133" s="33"/>
      <c r="AP133" s="33"/>
      <c r="AQ133" s="194"/>
      <c r="AR133" s="194"/>
      <c r="AS133" s="194"/>
      <c r="AT133" s="194"/>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53"/>
        <v>0</v>
      </c>
      <c r="K134" s="33">
        <f t="shared" si="54"/>
        <v>0</v>
      </c>
      <c r="L134" s="33">
        <f t="shared" si="55"/>
        <v>0</v>
      </c>
      <c r="M134" s="33">
        <f t="shared" si="56"/>
        <v>0</v>
      </c>
      <c r="N134" s="33">
        <f t="shared" si="68"/>
        <v>0</v>
      </c>
      <c r="O134" s="34">
        <f t="shared" si="69"/>
        <v>0</v>
      </c>
      <c r="P134" s="55">
        <v>129</v>
      </c>
      <c r="Q134" s="33">
        <f t="shared" ref="Q134:Q197" si="77">IF(P134&lt;=$F$18,LOOKUP(P134-1,$B$25:$B$78,$G$25:$G$78),)</f>
        <v>0</v>
      </c>
      <c r="R134" s="33">
        <f t="shared" si="57"/>
        <v>0</v>
      </c>
      <c r="S134" s="33">
        <f t="shared" si="58"/>
        <v>0</v>
      </c>
      <c r="T134" s="33">
        <f t="shared" si="70"/>
        <v>0</v>
      </c>
      <c r="U134" s="33">
        <f t="shared" ref="U134:U197" si="78">IF(P134&lt;=$F$18,$F$5+($F$15-$F$5)*(1-EXP(-0.0175*P134)),)</f>
        <v>0</v>
      </c>
      <c r="V134" s="33">
        <f t="shared" si="71"/>
        <v>0</v>
      </c>
      <c r="W134" s="33">
        <v>0</v>
      </c>
      <c r="X134" s="33">
        <f t="shared" si="72"/>
        <v>0</v>
      </c>
      <c r="Y134" s="38">
        <f t="shared" si="73"/>
        <v>0</v>
      </c>
      <c r="AA134" s="71">
        <v>129</v>
      </c>
      <c r="AB134" s="33">
        <f t="shared" si="74"/>
        <v>0</v>
      </c>
      <c r="AC134" s="305">
        <f t="shared" si="67"/>
        <v>0</v>
      </c>
      <c r="AD134" s="100">
        <f t="shared" si="75"/>
        <v>0</v>
      </c>
      <c r="AE134" s="100">
        <f t="shared" si="76"/>
        <v>0</v>
      </c>
      <c r="AF134" s="194">
        <f t="shared" si="63"/>
        <v>0</v>
      </c>
      <c r="AG134" s="194">
        <f t="shared" si="64"/>
        <v>0</v>
      </c>
      <c r="AH134" s="194">
        <f t="shared" si="65"/>
        <v>0</v>
      </c>
      <c r="AI134" s="199">
        <f t="shared" si="66"/>
        <v>0</v>
      </c>
      <c r="AK134" s="71">
        <v>129</v>
      </c>
      <c r="AL134" s="33"/>
      <c r="AM134" s="33"/>
      <c r="AN134" s="33"/>
      <c r="AO134" s="33"/>
      <c r="AP134" s="33"/>
      <c r="AQ134" s="194"/>
      <c r="AR134" s="194"/>
      <c r="AS134" s="194"/>
      <c r="AT134" s="194"/>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79">IF($I135&lt;=$F$10,$F$11*$F$13+J134,)</f>
        <v>0</v>
      </c>
      <c r="K135" s="33">
        <f t="shared" ref="K135:K198" si="80">IF(J135=0,0,EXP(-1.0587+0.8836*LN(J135)+0.284))</f>
        <v>0</v>
      </c>
      <c r="L135" s="33">
        <f t="shared" ref="L135:L198" si="81">IF(I135&lt;=$F$10,$F$5+($F$8-$F$5)*(1-EXP(-0.0175*I135)),)</f>
        <v>0</v>
      </c>
      <c r="M135" s="33">
        <f t="shared" ref="M135:M198" si="82">IF(I135&lt;=$F$10,IF(I135&lt;=30,I135*($F$9-$F$6)/30,$F$9-$F$6),)</f>
        <v>0</v>
      </c>
      <c r="N135" s="33">
        <f t="shared" si="68"/>
        <v>0</v>
      </c>
      <c r="O135" s="34">
        <f t="shared" si="69"/>
        <v>0</v>
      </c>
      <c r="P135" s="55">
        <v>130</v>
      </c>
      <c r="Q135" s="33">
        <f t="shared" si="77"/>
        <v>0</v>
      </c>
      <c r="R135" s="33">
        <f t="shared" ref="R135:R198" si="83">IF(P135&lt;=$F$18,Q135+R134,)</f>
        <v>0</v>
      </c>
      <c r="S135" s="33">
        <f t="shared" ref="S135:S198" si="84">$F$19*R135</f>
        <v>0</v>
      </c>
      <c r="T135" s="33">
        <f t="shared" si="70"/>
        <v>0</v>
      </c>
      <c r="U135" s="33">
        <f t="shared" si="78"/>
        <v>0</v>
      </c>
      <c r="V135" s="33">
        <f t="shared" si="71"/>
        <v>0</v>
      </c>
      <c r="W135" s="33">
        <v>0</v>
      </c>
      <c r="X135" s="33">
        <f t="shared" si="72"/>
        <v>0</v>
      </c>
      <c r="Y135" s="38">
        <f t="shared" si="73"/>
        <v>0</v>
      </c>
      <c r="AA135" s="71">
        <v>130</v>
      </c>
      <c r="AB135" s="33">
        <f t="shared" si="74"/>
        <v>0</v>
      </c>
      <c r="AC135" s="305">
        <f t="shared" si="67"/>
        <v>0</v>
      </c>
      <c r="AD135" s="100">
        <f t="shared" si="75"/>
        <v>0</v>
      </c>
      <c r="AE135" s="100">
        <f t="shared" si="76"/>
        <v>0</v>
      </c>
      <c r="AF135" s="194">
        <f t="shared" si="63"/>
        <v>0</v>
      </c>
      <c r="AG135" s="194">
        <f t="shared" si="64"/>
        <v>0</v>
      </c>
      <c r="AH135" s="194">
        <f t="shared" si="65"/>
        <v>0</v>
      </c>
      <c r="AI135" s="199">
        <f t="shared" si="66"/>
        <v>0</v>
      </c>
      <c r="AK135" s="71">
        <v>130</v>
      </c>
      <c r="AL135" s="33"/>
      <c r="AM135" s="33"/>
      <c r="AN135" s="33"/>
      <c r="AO135" s="33"/>
      <c r="AP135" s="33"/>
      <c r="AQ135" s="194"/>
      <c r="AR135" s="194"/>
      <c r="AS135" s="194"/>
      <c r="AT135" s="194"/>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79"/>
        <v>0</v>
      </c>
      <c r="K136" s="33">
        <f t="shared" si="80"/>
        <v>0</v>
      </c>
      <c r="L136" s="33">
        <f t="shared" si="81"/>
        <v>0</v>
      </c>
      <c r="M136" s="33">
        <f t="shared" si="82"/>
        <v>0</v>
      </c>
      <c r="N136" s="33">
        <f t="shared" si="68"/>
        <v>0</v>
      </c>
      <c r="O136" s="34">
        <f t="shared" si="69"/>
        <v>0</v>
      </c>
      <c r="P136" s="55">
        <v>131</v>
      </c>
      <c r="Q136" s="33">
        <f t="shared" si="77"/>
        <v>0</v>
      </c>
      <c r="R136" s="33">
        <f t="shared" si="83"/>
        <v>0</v>
      </c>
      <c r="S136" s="33">
        <f t="shared" si="84"/>
        <v>0</v>
      </c>
      <c r="T136" s="33">
        <f t="shared" si="70"/>
        <v>0</v>
      </c>
      <c r="U136" s="33">
        <f t="shared" si="78"/>
        <v>0</v>
      </c>
      <c r="V136" s="33">
        <f t="shared" si="71"/>
        <v>0</v>
      </c>
      <c r="W136" s="33">
        <v>0</v>
      </c>
      <c r="X136" s="33">
        <f t="shared" si="72"/>
        <v>0</v>
      </c>
      <c r="Y136" s="38">
        <f t="shared" si="73"/>
        <v>0</v>
      </c>
      <c r="AA136" s="71">
        <v>131</v>
      </c>
      <c r="AB136" s="33">
        <f t="shared" si="74"/>
        <v>0</v>
      </c>
      <c r="AC136" s="305">
        <f t="shared" si="67"/>
        <v>0</v>
      </c>
      <c r="AD136" s="100">
        <f t="shared" si="75"/>
        <v>0</v>
      </c>
      <c r="AE136" s="100">
        <f t="shared" si="76"/>
        <v>0</v>
      </c>
      <c r="AF136" s="194">
        <f t="shared" si="63"/>
        <v>0</v>
      </c>
      <c r="AG136" s="194">
        <f t="shared" si="64"/>
        <v>0</v>
      </c>
      <c r="AH136" s="194">
        <f t="shared" si="65"/>
        <v>0</v>
      </c>
      <c r="AI136" s="199">
        <f t="shared" si="66"/>
        <v>0</v>
      </c>
      <c r="AK136" s="71">
        <v>131</v>
      </c>
      <c r="AL136" s="33"/>
      <c r="AM136" s="33"/>
      <c r="AN136" s="33"/>
      <c r="AO136" s="33"/>
      <c r="AP136" s="33"/>
      <c r="AQ136" s="194"/>
      <c r="AR136" s="194"/>
      <c r="AS136" s="194"/>
      <c r="AT136" s="194"/>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79"/>
        <v>0</v>
      </c>
      <c r="K137" s="33">
        <f t="shared" si="80"/>
        <v>0</v>
      </c>
      <c r="L137" s="33">
        <f t="shared" si="81"/>
        <v>0</v>
      </c>
      <c r="M137" s="33">
        <f t="shared" si="82"/>
        <v>0</v>
      </c>
      <c r="N137" s="33">
        <f t="shared" si="68"/>
        <v>0</v>
      </c>
      <c r="O137" s="34">
        <f t="shared" si="69"/>
        <v>0</v>
      </c>
      <c r="P137" s="55">
        <v>132</v>
      </c>
      <c r="Q137" s="33">
        <f t="shared" si="77"/>
        <v>0</v>
      </c>
      <c r="R137" s="33">
        <f t="shared" si="83"/>
        <v>0</v>
      </c>
      <c r="S137" s="33">
        <f t="shared" si="84"/>
        <v>0</v>
      </c>
      <c r="T137" s="33">
        <f t="shared" si="70"/>
        <v>0</v>
      </c>
      <c r="U137" s="33">
        <f t="shared" si="78"/>
        <v>0</v>
      </c>
      <c r="V137" s="33">
        <f t="shared" si="71"/>
        <v>0</v>
      </c>
      <c r="W137" s="33">
        <v>0</v>
      </c>
      <c r="X137" s="33">
        <f t="shared" si="72"/>
        <v>0</v>
      </c>
      <c r="Y137" s="38">
        <f t="shared" si="73"/>
        <v>0</v>
      </c>
      <c r="AA137" s="71">
        <v>132</v>
      </c>
      <c r="AB137" s="33">
        <f t="shared" si="74"/>
        <v>0</v>
      </c>
      <c r="AC137" s="305">
        <f t="shared" si="67"/>
        <v>0</v>
      </c>
      <c r="AD137" s="100">
        <f t="shared" si="75"/>
        <v>0</v>
      </c>
      <c r="AE137" s="100">
        <f t="shared" si="76"/>
        <v>0</v>
      </c>
      <c r="AF137" s="194">
        <f t="shared" si="63"/>
        <v>0</v>
      </c>
      <c r="AG137" s="194">
        <f t="shared" si="64"/>
        <v>0</v>
      </c>
      <c r="AH137" s="194">
        <f t="shared" si="65"/>
        <v>0</v>
      </c>
      <c r="AI137" s="199">
        <f t="shared" si="66"/>
        <v>0</v>
      </c>
      <c r="AK137" s="71">
        <v>132</v>
      </c>
      <c r="AL137" s="33"/>
      <c r="AM137" s="33"/>
      <c r="AN137" s="33"/>
      <c r="AO137" s="33"/>
      <c r="AP137" s="33"/>
      <c r="AQ137" s="194"/>
      <c r="AR137" s="194"/>
      <c r="AS137" s="194"/>
      <c r="AT137" s="194"/>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79"/>
        <v>0</v>
      </c>
      <c r="K138" s="33">
        <f t="shared" si="80"/>
        <v>0</v>
      </c>
      <c r="L138" s="33">
        <f t="shared" si="81"/>
        <v>0</v>
      </c>
      <c r="M138" s="33">
        <f t="shared" si="82"/>
        <v>0</v>
      </c>
      <c r="N138" s="33">
        <f t="shared" si="68"/>
        <v>0</v>
      </c>
      <c r="O138" s="34">
        <f t="shared" si="69"/>
        <v>0</v>
      </c>
      <c r="P138" s="55">
        <v>133</v>
      </c>
      <c r="Q138" s="33">
        <f t="shared" si="77"/>
        <v>0</v>
      </c>
      <c r="R138" s="33">
        <f t="shared" si="83"/>
        <v>0</v>
      </c>
      <c r="S138" s="33">
        <f t="shared" si="84"/>
        <v>0</v>
      </c>
      <c r="T138" s="33">
        <f t="shared" si="70"/>
        <v>0</v>
      </c>
      <c r="U138" s="33">
        <f t="shared" si="78"/>
        <v>0</v>
      </c>
      <c r="V138" s="33">
        <f t="shared" si="71"/>
        <v>0</v>
      </c>
      <c r="W138" s="33">
        <v>0</v>
      </c>
      <c r="X138" s="33">
        <f t="shared" si="72"/>
        <v>0</v>
      </c>
      <c r="Y138" s="38">
        <f t="shared" si="73"/>
        <v>0</v>
      </c>
      <c r="AA138" s="71">
        <v>133</v>
      </c>
      <c r="AB138" s="33">
        <f t="shared" si="74"/>
        <v>0</v>
      </c>
      <c r="AC138" s="305">
        <f t="shared" si="67"/>
        <v>0</v>
      </c>
      <c r="AD138" s="100">
        <f t="shared" si="75"/>
        <v>0</v>
      </c>
      <c r="AE138" s="100">
        <f t="shared" si="76"/>
        <v>0</v>
      </c>
      <c r="AF138" s="194">
        <f t="shared" si="63"/>
        <v>0</v>
      </c>
      <c r="AG138" s="194">
        <f t="shared" si="64"/>
        <v>0</v>
      </c>
      <c r="AH138" s="194">
        <f t="shared" si="65"/>
        <v>0</v>
      </c>
      <c r="AI138" s="199">
        <f t="shared" si="66"/>
        <v>0</v>
      </c>
      <c r="AK138" s="71">
        <v>133</v>
      </c>
      <c r="AL138" s="33"/>
      <c r="AM138" s="33"/>
      <c r="AN138" s="33"/>
      <c r="AO138" s="33"/>
      <c r="AP138" s="33"/>
      <c r="AQ138" s="194"/>
      <c r="AR138" s="194"/>
      <c r="AS138" s="194"/>
      <c r="AT138" s="194"/>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79"/>
        <v>0</v>
      </c>
      <c r="K139" s="33">
        <f t="shared" si="80"/>
        <v>0</v>
      </c>
      <c r="L139" s="33">
        <f t="shared" si="81"/>
        <v>0</v>
      </c>
      <c r="M139" s="33">
        <f t="shared" si="82"/>
        <v>0</v>
      </c>
      <c r="N139" s="33">
        <f t="shared" si="68"/>
        <v>0</v>
      </c>
      <c r="O139" s="34">
        <f t="shared" si="69"/>
        <v>0</v>
      </c>
      <c r="P139" s="55">
        <v>134</v>
      </c>
      <c r="Q139" s="33">
        <f t="shared" si="77"/>
        <v>0</v>
      </c>
      <c r="R139" s="33">
        <f t="shared" si="83"/>
        <v>0</v>
      </c>
      <c r="S139" s="33">
        <f t="shared" si="84"/>
        <v>0</v>
      </c>
      <c r="T139" s="33">
        <f t="shared" si="70"/>
        <v>0</v>
      </c>
      <c r="U139" s="33">
        <f t="shared" si="78"/>
        <v>0</v>
      </c>
      <c r="V139" s="33">
        <f t="shared" si="71"/>
        <v>0</v>
      </c>
      <c r="W139" s="33">
        <v>0</v>
      </c>
      <c r="X139" s="33">
        <f t="shared" si="72"/>
        <v>0</v>
      </c>
      <c r="Y139" s="38">
        <f t="shared" si="73"/>
        <v>0</v>
      </c>
      <c r="AA139" s="71">
        <v>134</v>
      </c>
      <c r="AB139" s="33">
        <f t="shared" si="74"/>
        <v>0</v>
      </c>
      <c r="AC139" s="305">
        <f t="shared" si="67"/>
        <v>0</v>
      </c>
      <c r="AD139" s="100">
        <f t="shared" si="75"/>
        <v>0</v>
      </c>
      <c r="AE139" s="100">
        <f t="shared" si="76"/>
        <v>0</v>
      </c>
      <c r="AF139" s="194">
        <f t="shared" si="63"/>
        <v>0</v>
      </c>
      <c r="AG139" s="194">
        <f t="shared" si="64"/>
        <v>0</v>
      </c>
      <c r="AH139" s="194">
        <f t="shared" si="65"/>
        <v>0</v>
      </c>
      <c r="AI139" s="199">
        <f t="shared" si="66"/>
        <v>0</v>
      </c>
      <c r="AK139" s="71">
        <v>134</v>
      </c>
      <c r="AL139" s="33"/>
      <c r="AM139" s="33"/>
      <c r="AN139" s="33"/>
      <c r="AO139" s="33"/>
      <c r="AP139" s="33"/>
      <c r="AQ139" s="194"/>
      <c r="AR139" s="194"/>
      <c r="AS139" s="194"/>
      <c r="AT139" s="194"/>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79"/>
        <v>0</v>
      </c>
      <c r="K140" s="33">
        <f t="shared" si="80"/>
        <v>0</v>
      </c>
      <c r="L140" s="33">
        <f t="shared" si="81"/>
        <v>0</v>
      </c>
      <c r="M140" s="33">
        <f t="shared" si="82"/>
        <v>0</v>
      </c>
      <c r="N140" s="33">
        <f t="shared" si="68"/>
        <v>0</v>
      </c>
      <c r="O140" s="34">
        <f t="shared" si="69"/>
        <v>0</v>
      </c>
      <c r="P140" s="55">
        <v>135</v>
      </c>
      <c r="Q140" s="33">
        <f t="shared" si="77"/>
        <v>0</v>
      </c>
      <c r="R140" s="33">
        <f t="shared" si="83"/>
        <v>0</v>
      </c>
      <c r="S140" s="33">
        <f t="shared" si="84"/>
        <v>0</v>
      </c>
      <c r="T140" s="33">
        <f t="shared" si="70"/>
        <v>0</v>
      </c>
      <c r="U140" s="33">
        <f t="shared" si="78"/>
        <v>0</v>
      </c>
      <c r="V140" s="33">
        <f t="shared" si="71"/>
        <v>0</v>
      </c>
      <c r="W140" s="33">
        <v>0</v>
      </c>
      <c r="X140" s="33">
        <f t="shared" si="72"/>
        <v>0</v>
      </c>
      <c r="Y140" s="38">
        <f t="shared" si="73"/>
        <v>0</v>
      </c>
      <c r="AA140" s="71">
        <v>135</v>
      </c>
      <c r="AB140" s="33">
        <f t="shared" si="74"/>
        <v>0</v>
      </c>
      <c r="AC140" s="305">
        <f t="shared" si="67"/>
        <v>0</v>
      </c>
      <c r="AD140" s="100">
        <f t="shared" si="75"/>
        <v>0</v>
      </c>
      <c r="AE140" s="100">
        <f t="shared" si="76"/>
        <v>0</v>
      </c>
      <c r="AF140" s="194">
        <f t="shared" si="63"/>
        <v>0</v>
      </c>
      <c r="AG140" s="194">
        <f t="shared" si="64"/>
        <v>0</v>
      </c>
      <c r="AH140" s="194">
        <f t="shared" si="65"/>
        <v>0</v>
      </c>
      <c r="AI140" s="199">
        <f t="shared" si="66"/>
        <v>0</v>
      </c>
      <c r="AK140" s="71">
        <v>135</v>
      </c>
      <c r="AL140" s="33"/>
      <c r="AM140" s="33"/>
      <c r="AN140" s="33"/>
      <c r="AO140" s="33"/>
      <c r="AP140" s="33"/>
      <c r="AQ140" s="194"/>
      <c r="AR140" s="194"/>
      <c r="AS140" s="194"/>
      <c r="AT140" s="194"/>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79"/>
        <v>0</v>
      </c>
      <c r="K141" s="33">
        <f t="shared" si="80"/>
        <v>0</v>
      </c>
      <c r="L141" s="33">
        <f t="shared" si="81"/>
        <v>0</v>
      </c>
      <c r="M141" s="33">
        <f t="shared" si="82"/>
        <v>0</v>
      </c>
      <c r="N141" s="33">
        <f t="shared" si="68"/>
        <v>0</v>
      </c>
      <c r="O141" s="34">
        <f t="shared" si="69"/>
        <v>0</v>
      </c>
      <c r="P141" s="55">
        <v>136</v>
      </c>
      <c r="Q141" s="33">
        <f t="shared" si="77"/>
        <v>0</v>
      </c>
      <c r="R141" s="33">
        <f t="shared" si="83"/>
        <v>0</v>
      </c>
      <c r="S141" s="33">
        <f t="shared" si="84"/>
        <v>0</v>
      </c>
      <c r="T141" s="33">
        <f t="shared" si="70"/>
        <v>0</v>
      </c>
      <c r="U141" s="33">
        <f t="shared" si="78"/>
        <v>0</v>
      </c>
      <c r="V141" s="33">
        <f t="shared" si="71"/>
        <v>0</v>
      </c>
      <c r="W141" s="33">
        <v>0</v>
      </c>
      <c r="X141" s="33">
        <f t="shared" si="72"/>
        <v>0</v>
      </c>
      <c r="Y141" s="38">
        <f t="shared" si="73"/>
        <v>0</v>
      </c>
      <c r="AA141" s="71">
        <v>136</v>
      </c>
      <c r="AB141" s="33">
        <f t="shared" si="74"/>
        <v>0</v>
      </c>
      <c r="AC141" s="305">
        <f t="shared" si="67"/>
        <v>0</v>
      </c>
      <c r="AD141" s="100">
        <f t="shared" si="75"/>
        <v>0</v>
      </c>
      <c r="AE141" s="100">
        <f t="shared" si="76"/>
        <v>0</v>
      </c>
      <c r="AF141" s="194">
        <f t="shared" si="63"/>
        <v>0</v>
      </c>
      <c r="AG141" s="194">
        <f t="shared" si="64"/>
        <v>0</v>
      </c>
      <c r="AH141" s="194">
        <f t="shared" si="65"/>
        <v>0</v>
      </c>
      <c r="AI141" s="199">
        <f t="shared" si="66"/>
        <v>0</v>
      </c>
      <c r="AK141" s="71">
        <v>136</v>
      </c>
      <c r="AL141" s="33"/>
      <c r="AM141" s="33"/>
      <c r="AN141" s="33"/>
      <c r="AO141" s="33"/>
      <c r="AP141" s="33"/>
      <c r="AQ141" s="194"/>
      <c r="AR141" s="194"/>
      <c r="AS141" s="194"/>
      <c r="AT141" s="194"/>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79"/>
        <v>0</v>
      </c>
      <c r="K142" s="33">
        <f t="shared" si="80"/>
        <v>0</v>
      </c>
      <c r="L142" s="33">
        <f t="shared" si="81"/>
        <v>0</v>
      </c>
      <c r="M142" s="33">
        <f t="shared" si="82"/>
        <v>0</v>
      </c>
      <c r="N142" s="33">
        <f t="shared" si="68"/>
        <v>0</v>
      </c>
      <c r="O142" s="34">
        <f t="shared" si="69"/>
        <v>0</v>
      </c>
      <c r="P142" s="55">
        <v>137</v>
      </c>
      <c r="Q142" s="33">
        <f t="shared" si="77"/>
        <v>0</v>
      </c>
      <c r="R142" s="33">
        <f t="shared" si="83"/>
        <v>0</v>
      </c>
      <c r="S142" s="33">
        <f t="shared" si="84"/>
        <v>0</v>
      </c>
      <c r="T142" s="33">
        <f t="shared" si="70"/>
        <v>0</v>
      </c>
      <c r="U142" s="33">
        <f t="shared" si="78"/>
        <v>0</v>
      </c>
      <c r="V142" s="33">
        <f t="shared" si="71"/>
        <v>0</v>
      </c>
      <c r="W142" s="33">
        <v>0</v>
      </c>
      <c r="X142" s="33">
        <f t="shared" si="72"/>
        <v>0</v>
      </c>
      <c r="Y142" s="38">
        <f t="shared" si="73"/>
        <v>0</v>
      </c>
      <c r="AA142" s="71">
        <v>137</v>
      </c>
      <c r="AB142" s="33">
        <f t="shared" si="74"/>
        <v>0</v>
      </c>
      <c r="AC142" s="305">
        <f t="shared" si="67"/>
        <v>0</v>
      </c>
      <c r="AD142" s="100">
        <f t="shared" si="75"/>
        <v>0</v>
      </c>
      <c r="AE142" s="100">
        <f t="shared" si="76"/>
        <v>0</v>
      </c>
      <c r="AF142" s="194">
        <f t="shared" si="63"/>
        <v>0</v>
      </c>
      <c r="AG142" s="194">
        <f t="shared" si="64"/>
        <v>0</v>
      </c>
      <c r="AH142" s="194">
        <f t="shared" si="65"/>
        <v>0</v>
      </c>
      <c r="AI142" s="199">
        <f t="shared" si="66"/>
        <v>0</v>
      </c>
      <c r="AK142" s="71">
        <v>137</v>
      </c>
      <c r="AL142" s="33"/>
      <c r="AM142" s="33"/>
      <c r="AN142" s="33"/>
      <c r="AO142" s="33"/>
      <c r="AP142" s="33"/>
      <c r="AQ142" s="194"/>
      <c r="AR142" s="194"/>
      <c r="AS142" s="194"/>
      <c r="AT142" s="194"/>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79"/>
        <v>0</v>
      </c>
      <c r="K143" s="33">
        <f t="shared" si="80"/>
        <v>0</v>
      </c>
      <c r="L143" s="33">
        <f t="shared" si="81"/>
        <v>0</v>
      </c>
      <c r="M143" s="33">
        <f t="shared" si="82"/>
        <v>0</v>
      </c>
      <c r="N143" s="33">
        <f t="shared" si="68"/>
        <v>0</v>
      </c>
      <c r="O143" s="34">
        <f t="shared" si="69"/>
        <v>0</v>
      </c>
      <c r="P143" s="55">
        <v>138</v>
      </c>
      <c r="Q143" s="33">
        <f t="shared" si="77"/>
        <v>0</v>
      </c>
      <c r="R143" s="33">
        <f t="shared" si="83"/>
        <v>0</v>
      </c>
      <c r="S143" s="33">
        <f t="shared" si="84"/>
        <v>0</v>
      </c>
      <c r="T143" s="33">
        <f t="shared" si="70"/>
        <v>0</v>
      </c>
      <c r="U143" s="33">
        <f t="shared" si="78"/>
        <v>0</v>
      </c>
      <c r="V143" s="33">
        <f t="shared" si="71"/>
        <v>0</v>
      </c>
      <c r="W143" s="33">
        <v>0</v>
      </c>
      <c r="X143" s="33">
        <f t="shared" si="72"/>
        <v>0</v>
      </c>
      <c r="Y143" s="38">
        <f t="shared" si="73"/>
        <v>0</v>
      </c>
      <c r="AA143" s="71">
        <v>138</v>
      </c>
      <c r="AB143" s="33">
        <f t="shared" si="74"/>
        <v>0</v>
      </c>
      <c r="AC143" s="305">
        <f t="shared" si="67"/>
        <v>0</v>
      </c>
      <c r="AD143" s="100">
        <f t="shared" si="75"/>
        <v>0</v>
      </c>
      <c r="AE143" s="100">
        <f t="shared" si="76"/>
        <v>0</v>
      </c>
      <c r="AF143" s="194">
        <f t="shared" si="63"/>
        <v>0</v>
      </c>
      <c r="AG143" s="194">
        <f t="shared" si="64"/>
        <v>0</v>
      </c>
      <c r="AH143" s="194">
        <f t="shared" si="65"/>
        <v>0</v>
      </c>
      <c r="AI143" s="199">
        <f t="shared" si="66"/>
        <v>0</v>
      </c>
      <c r="AK143" s="71">
        <v>138</v>
      </c>
      <c r="AL143" s="33"/>
      <c r="AM143" s="33"/>
      <c r="AN143" s="33"/>
      <c r="AO143" s="33"/>
      <c r="AP143" s="33"/>
      <c r="AQ143" s="194"/>
      <c r="AR143" s="194"/>
      <c r="AS143" s="194"/>
      <c r="AT143" s="194"/>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79"/>
        <v>0</v>
      </c>
      <c r="K144" s="33">
        <f t="shared" si="80"/>
        <v>0</v>
      </c>
      <c r="L144" s="33">
        <f t="shared" si="81"/>
        <v>0</v>
      </c>
      <c r="M144" s="33">
        <f t="shared" si="82"/>
        <v>0</v>
      </c>
      <c r="N144" s="33">
        <f t="shared" si="68"/>
        <v>0</v>
      </c>
      <c r="O144" s="34">
        <f t="shared" si="69"/>
        <v>0</v>
      </c>
      <c r="P144" s="55">
        <v>139</v>
      </c>
      <c r="Q144" s="33">
        <f t="shared" si="77"/>
        <v>0</v>
      </c>
      <c r="R144" s="33">
        <f t="shared" si="83"/>
        <v>0</v>
      </c>
      <c r="S144" s="33">
        <f t="shared" si="84"/>
        <v>0</v>
      </c>
      <c r="T144" s="33">
        <f t="shared" si="70"/>
        <v>0</v>
      </c>
      <c r="U144" s="33">
        <f t="shared" si="78"/>
        <v>0</v>
      </c>
      <c r="V144" s="33">
        <f t="shared" si="71"/>
        <v>0</v>
      </c>
      <c r="W144" s="33">
        <v>0</v>
      </c>
      <c r="X144" s="33">
        <f t="shared" si="72"/>
        <v>0</v>
      </c>
      <c r="Y144" s="38">
        <f t="shared" si="73"/>
        <v>0</v>
      </c>
      <c r="AA144" s="71">
        <v>139</v>
      </c>
      <c r="AB144" s="33">
        <f t="shared" si="74"/>
        <v>0</v>
      </c>
      <c r="AC144" s="305">
        <f t="shared" si="67"/>
        <v>0</v>
      </c>
      <c r="AD144" s="100">
        <f t="shared" si="75"/>
        <v>0</v>
      </c>
      <c r="AE144" s="100">
        <f t="shared" si="76"/>
        <v>0</v>
      </c>
      <c r="AF144" s="194">
        <f t="shared" si="63"/>
        <v>0</v>
      </c>
      <c r="AG144" s="194">
        <f t="shared" si="64"/>
        <v>0</v>
      </c>
      <c r="AH144" s="194">
        <f t="shared" si="65"/>
        <v>0</v>
      </c>
      <c r="AI144" s="199">
        <f t="shared" si="66"/>
        <v>0</v>
      </c>
      <c r="AK144" s="71">
        <v>139</v>
      </c>
      <c r="AL144" s="33"/>
      <c r="AM144" s="33"/>
      <c r="AN144" s="33"/>
      <c r="AO144" s="33"/>
      <c r="AP144" s="33"/>
      <c r="AQ144" s="194"/>
      <c r="AR144" s="194"/>
      <c r="AS144" s="194"/>
      <c r="AT144" s="194"/>
      <c r="AU144" s="33"/>
      <c r="AV144" s="33"/>
      <c r="AW144" s="33"/>
      <c r="AX144" s="33"/>
      <c r="AY144" s="76"/>
    </row>
    <row r="145" spans="3:51" x14ac:dyDescent="0.3">
      <c r="C145" s="166" t="s">
        <v>20</v>
      </c>
      <c r="D145" s="4">
        <v>0.57999999999999996</v>
      </c>
      <c r="E145" s="188" t="s">
        <v>228</v>
      </c>
      <c r="F145" s="343">
        <f>IF(OR(Tableau145[[#This Row],[Type]]="Feuillus",Tableau145[[#This Row],[Type]]="Peupliers"),1.56,1.3)</f>
        <v>1.56</v>
      </c>
      <c r="I145" s="55">
        <v>140</v>
      </c>
      <c r="J145" s="33">
        <f t="shared" si="79"/>
        <v>0</v>
      </c>
      <c r="K145" s="33">
        <f t="shared" si="80"/>
        <v>0</v>
      </c>
      <c r="L145" s="33">
        <f t="shared" si="81"/>
        <v>0</v>
      </c>
      <c r="M145" s="33">
        <f t="shared" si="82"/>
        <v>0</v>
      </c>
      <c r="N145" s="33">
        <f t="shared" si="68"/>
        <v>0</v>
      </c>
      <c r="O145" s="34">
        <f t="shared" si="69"/>
        <v>0</v>
      </c>
      <c r="P145" s="55">
        <v>140</v>
      </c>
      <c r="Q145" s="33">
        <f t="shared" si="77"/>
        <v>0</v>
      </c>
      <c r="R145" s="33">
        <f t="shared" si="83"/>
        <v>0</v>
      </c>
      <c r="S145" s="33">
        <f t="shared" si="84"/>
        <v>0</v>
      </c>
      <c r="T145" s="33">
        <f t="shared" si="70"/>
        <v>0</v>
      </c>
      <c r="U145" s="33">
        <f t="shared" si="78"/>
        <v>0</v>
      </c>
      <c r="V145" s="33">
        <f t="shared" si="71"/>
        <v>0</v>
      </c>
      <c r="W145" s="33">
        <v>0</v>
      </c>
      <c r="X145" s="33">
        <f t="shared" si="72"/>
        <v>0</v>
      </c>
      <c r="Y145" s="38">
        <f t="shared" si="73"/>
        <v>0</v>
      </c>
      <c r="AA145" s="71">
        <v>140</v>
      </c>
      <c r="AB145" s="33">
        <f t="shared" si="74"/>
        <v>0</v>
      </c>
      <c r="AC145" s="305">
        <f t="shared" si="67"/>
        <v>0</v>
      </c>
      <c r="AD145" s="100">
        <f t="shared" si="75"/>
        <v>0</v>
      </c>
      <c r="AE145" s="100">
        <f t="shared" si="76"/>
        <v>0</v>
      </c>
      <c r="AF145" s="194">
        <f t="shared" si="63"/>
        <v>0</v>
      </c>
      <c r="AG145" s="194">
        <f t="shared" si="64"/>
        <v>0</v>
      </c>
      <c r="AH145" s="194">
        <f t="shared" si="65"/>
        <v>0</v>
      </c>
      <c r="AI145" s="199">
        <f t="shared" si="66"/>
        <v>0</v>
      </c>
      <c r="AK145" s="71">
        <v>140</v>
      </c>
      <c r="AL145" s="33"/>
      <c r="AM145" s="33"/>
      <c r="AN145" s="33"/>
      <c r="AO145" s="33"/>
      <c r="AP145" s="33"/>
      <c r="AQ145" s="194"/>
      <c r="AR145" s="194"/>
      <c r="AS145" s="194"/>
      <c r="AT145" s="194"/>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79"/>
        <v>0</v>
      </c>
      <c r="K146" s="33">
        <f t="shared" si="80"/>
        <v>0</v>
      </c>
      <c r="L146" s="33">
        <f t="shared" si="81"/>
        <v>0</v>
      </c>
      <c r="M146" s="33">
        <f t="shared" si="82"/>
        <v>0</v>
      </c>
      <c r="N146" s="33">
        <f t="shared" si="68"/>
        <v>0</v>
      </c>
      <c r="O146" s="34">
        <f t="shared" si="69"/>
        <v>0</v>
      </c>
      <c r="P146" s="55">
        <v>141</v>
      </c>
      <c r="Q146" s="33">
        <f t="shared" si="77"/>
        <v>0</v>
      </c>
      <c r="R146" s="33">
        <f t="shared" si="83"/>
        <v>0</v>
      </c>
      <c r="S146" s="33">
        <f t="shared" si="84"/>
        <v>0</v>
      </c>
      <c r="T146" s="33">
        <f t="shared" si="70"/>
        <v>0</v>
      </c>
      <c r="U146" s="33">
        <f t="shared" si="78"/>
        <v>0</v>
      </c>
      <c r="V146" s="33">
        <f t="shared" si="71"/>
        <v>0</v>
      </c>
      <c r="W146" s="33">
        <v>0</v>
      </c>
      <c r="X146" s="33">
        <f t="shared" si="72"/>
        <v>0</v>
      </c>
      <c r="Y146" s="38">
        <f t="shared" si="73"/>
        <v>0</v>
      </c>
      <c r="AA146" s="71">
        <v>141</v>
      </c>
      <c r="AB146" s="33">
        <f t="shared" si="74"/>
        <v>0</v>
      </c>
      <c r="AC146" s="305">
        <f t="shared" si="67"/>
        <v>0</v>
      </c>
      <c r="AD146" s="100">
        <f t="shared" si="75"/>
        <v>0</v>
      </c>
      <c r="AE146" s="100">
        <f t="shared" si="76"/>
        <v>0</v>
      </c>
      <c r="AF146" s="194">
        <f t="shared" si="63"/>
        <v>0</v>
      </c>
      <c r="AG146" s="194">
        <f t="shared" si="64"/>
        <v>0</v>
      </c>
      <c r="AH146" s="194">
        <f t="shared" si="65"/>
        <v>0</v>
      </c>
      <c r="AI146" s="199">
        <f t="shared" si="66"/>
        <v>0</v>
      </c>
      <c r="AK146" s="71">
        <v>141</v>
      </c>
      <c r="AL146" s="33"/>
      <c r="AM146" s="33"/>
      <c r="AN146" s="33"/>
      <c r="AO146" s="33"/>
      <c r="AP146" s="33"/>
      <c r="AQ146" s="194"/>
      <c r="AR146" s="194"/>
      <c r="AS146" s="194"/>
      <c r="AT146" s="194"/>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79"/>
        <v>0</v>
      </c>
      <c r="K147" s="33">
        <f t="shared" si="80"/>
        <v>0</v>
      </c>
      <c r="L147" s="33">
        <f t="shared" si="81"/>
        <v>0</v>
      </c>
      <c r="M147" s="33">
        <f t="shared" si="82"/>
        <v>0</v>
      </c>
      <c r="N147" s="33">
        <f t="shared" si="68"/>
        <v>0</v>
      </c>
      <c r="O147" s="34">
        <f t="shared" si="69"/>
        <v>0</v>
      </c>
      <c r="P147" s="55">
        <v>142</v>
      </c>
      <c r="Q147" s="33">
        <f t="shared" si="77"/>
        <v>0</v>
      </c>
      <c r="R147" s="33">
        <f t="shared" si="83"/>
        <v>0</v>
      </c>
      <c r="S147" s="33">
        <f t="shared" si="84"/>
        <v>0</v>
      </c>
      <c r="T147" s="33">
        <f t="shared" si="70"/>
        <v>0</v>
      </c>
      <c r="U147" s="33">
        <f t="shared" si="78"/>
        <v>0</v>
      </c>
      <c r="V147" s="33">
        <f t="shared" si="71"/>
        <v>0</v>
      </c>
      <c r="W147" s="33">
        <v>0</v>
      </c>
      <c r="X147" s="33">
        <f t="shared" si="72"/>
        <v>0</v>
      </c>
      <c r="Y147" s="38">
        <f t="shared" si="73"/>
        <v>0</v>
      </c>
      <c r="AA147" s="71">
        <v>142</v>
      </c>
      <c r="AB147" s="33">
        <f t="shared" si="74"/>
        <v>0</v>
      </c>
      <c r="AC147" s="305">
        <f t="shared" si="67"/>
        <v>0</v>
      </c>
      <c r="AD147" s="100">
        <f t="shared" si="75"/>
        <v>0</v>
      </c>
      <c r="AE147" s="100">
        <f t="shared" si="76"/>
        <v>0</v>
      </c>
      <c r="AF147" s="194">
        <f t="shared" si="63"/>
        <v>0</v>
      </c>
      <c r="AG147" s="194">
        <f t="shared" si="64"/>
        <v>0</v>
      </c>
      <c r="AH147" s="194">
        <f t="shared" si="65"/>
        <v>0</v>
      </c>
      <c r="AI147" s="199">
        <f t="shared" si="66"/>
        <v>0</v>
      </c>
      <c r="AK147" s="71">
        <v>142</v>
      </c>
      <c r="AL147" s="33"/>
      <c r="AM147" s="33"/>
      <c r="AN147" s="33"/>
      <c r="AO147" s="33"/>
      <c r="AP147" s="33"/>
      <c r="AQ147" s="194"/>
      <c r="AR147" s="194"/>
      <c r="AS147" s="194"/>
      <c r="AT147" s="194"/>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79"/>
        <v>0</v>
      </c>
      <c r="K148" s="33">
        <f t="shared" si="80"/>
        <v>0</v>
      </c>
      <c r="L148" s="33">
        <f t="shared" si="81"/>
        <v>0</v>
      </c>
      <c r="M148" s="33">
        <f t="shared" si="82"/>
        <v>0</v>
      </c>
      <c r="N148" s="33">
        <f t="shared" si="68"/>
        <v>0</v>
      </c>
      <c r="O148" s="34">
        <f t="shared" si="69"/>
        <v>0</v>
      </c>
      <c r="P148" s="55">
        <v>143</v>
      </c>
      <c r="Q148" s="33">
        <f t="shared" si="77"/>
        <v>0</v>
      </c>
      <c r="R148" s="33">
        <f t="shared" si="83"/>
        <v>0</v>
      </c>
      <c r="S148" s="33">
        <f t="shared" si="84"/>
        <v>0</v>
      </c>
      <c r="T148" s="33">
        <f t="shared" si="70"/>
        <v>0</v>
      </c>
      <c r="U148" s="33">
        <f t="shared" si="78"/>
        <v>0</v>
      </c>
      <c r="V148" s="33">
        <f t="shared" si="71"/>
        <v>0</v>
      </c>
      <c r="W148" s="33">
        <v>0</v>
      </c>
      <c r="X148" s="33">
        <f t="shared" si="72"/>
        <v>0</v>
      </c>
      <c r="Y148" s="38">
        <f t="shared" si="73"/>
        <v>0</v>
      </c>
      <c r="AA148" s="71">
        <v>143</v>
      </c>
      <c r="AB148" s="33">
        <f t="shared" si="74"/>
        <v>0</v>
      </c>
      <c r="AC148" s="305">
        <f t="shared" si="67"/>
        <v>0</v>
      </c>
      <c r="AD148" s="100">
        <f t="shared" si="75"/>
        <v>0</v>
      </c>
      <c r="AE148" s="100">
        <f t="shared" si="76"/>
        <v>0</v>
      </c>
      <c r="AF148" s="194">
        <f t="shared" si="63"/>
        <v>0</v>
      </c>
      <c r="AG148" s="194">
        <f t="shared" si="64"/>
        <v>0</v>
      </c>
      <c r="AH148" s="194">
        <f t="shared" si="65"/>
        <v>0</v>
      </c>
      <c r="AI148" s="199">
        <f t="shared" si="66"/>
        <v>0</v>
      </c>
      <c r="AK148" s="71">
        <v>143</v>
      </c>
      <c r="AL148" s="33"/>
      <c r="AM148" s="33"/>
      <c r="AN148" s="33"/>
      <c r="AO148" s="33"/>
      <c r="AP148" s="33"/>
      <c r="AQ148" s="194"/>
      <c r="AR148" s="194"/>
      <c r="AS148" s="194"/>
      <c r="AT148" s="194"/>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79"/>
        <v>0</v>
      </c>
      <c r="K149" s="33">
        <f t="shared" si="80"/>
        <v>0</v>
      </c>
      <c r="L149" s="33">
        <f t="shared" si="81"/>
        <v>0</v>
      </c>
      <c r="M149" s="33">
        <f t="shared" si="82"/>
        <v>0</v>
      </c>
      <c r="N149" s="33">
        <f t="shared" si="68"/>
        <v>0</v>
      </c>
      <c r="O149" s="34">
        <f t="shared" si="69"/>
        <v>0</v>
      </c>
      <c r="P149" s="55">
        <v>144</v>
      </c>
      <c r="Q149" s="33">
        <f t="shared" si="77"/>
        <v>0</v>
      </c>
      <c r="R149" s="33">
        <f t="shared" si="83"/>
        <v>0</v>
      </c>
      <c r="S149" s="33">
        <f t="shared" si="84"/>
        <v>0</v>
      </c>
      <c r="T149" s="33">
        <f t="shared" si="70"/>
        <v>0</v>
      </c>
      <c r="U149" s="33">
        <f t="shared" si="78"/>
        <v>0</v>
      </c>
      <c r="V149" s="33">
        <f t="shared" si="71"/>
        <v>0</v>
      </c>
      <c r="W149" s="33">
        <v>0</v>
      </c>
      <c r="X149" s="33">
        <f t="shared" si="72"/>
        <v>0</v>
      </c>
      <c r="Y149" s="38">
        <f t="shared" si="73"/>
        <v>0</v>
      </c>
      <c r="AA149" s="71">
        <v>144</v>
      </c>
      <c r="AB149" s="33">
        <f t="shared" si="74"/>
        <v>0</v>
      </c>
      <c r="AC149" s="305">
        <f t="shared" si="67"/>
        <v>0</v>
      </c>
      <c r="AD149" s="100">
        <f t="shared" si="75"/>
        <v>0</v>
      </c>
      <c r="AE149" s="100">
        <f t="shared" si="76"/>
        <v>0</v>
      </c>
      <c r="AF149" s="194">
        <f t="shared" si="63"/>
        <v>0</v>
      </c>
      <c r="AG149" s="194">
        <f t="shared" si="64"/>
        <v>0</v>
      </c>
      <c r="AH149" s="194">
        <f t="shared" si="65"/>
        <v>0</v>
      </c>
      <c r="AI149" s="199">
        <f t="shared" si="66"/>
        <v>0</v>
      </c>
      <c r="AK149" s="71">
        <v>144</v>
      </c>
      <c r="AL149" s="33"/>
      <c r="AM149" s="33"/>
      <c r="AN149" s="33"/>
      <c r="AO149" s="33"/>
      <c r="AP149" s="33"/>
      <c r="AQ149" s="194"/>
      <c r="AR149" s="194"/>
      <c r="AS149" s="194"/>
      <c r="AT149" s="194"/>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79"/>
        <v>0</v>
      </c>
      <c r="K150" s="33">
        <f t="shared" si="80"/>
        <v>0</v>
      </c>
      <c r="L150" s="33">
        <f t="shared" si="81"/>
        <v>0</v>
      </c>
      <c r="M150" s="33">
        <f t="shared" si="82"/>
        <v>0</v>
      </c>
      <c r="N150" s="33">
        <f t="shared" si="68"/>
        <v>0</v>
      </c>
      <c r="O150" s="34">
        <f t="shared" si="69"/>
        <v>0</v>
      </c>
      <c r="P150" s="55">
        <v>145</v>
      </c>
      <c r="Q150" s="33">
        <f t="shared" si="77"/>
        <v>0</v>
      </c>
      <c r="R150" s="33">
        <f t="shared" si="83"/>
        <v>0</v>
      </c>
      <c r="S150" s="33">
        <f t="shared" si="84"/>
        <v>0</v>
      </c>
      <c r="T150" s="33">
        <f t="shared" si="70"/>
        <v>0</v>
      </c>
      <c r="U150" s="33">
        <f t="shared" si="78"/>
        <v>0</v>
      </c>
      <c r="V150" s="33">
        <f t="shared" si="71"/>
        <v>0</v>
      </c>
      <c r="W150" s="33">
        <v>0</v>
      </c>
      <c r="X150" s="33">
        <f t="shared" si="72"/>
        <v>0</v>
      </c>
      <c r="Y150" s="38">
        <f t="shared" si="73"/>
        <v>0</v>
      </c>
      <c r="AA150" s="71">
        <v>145</v>
      </c>
      <c r="AB150" s="33">
        <f t="shared" si="74"/>
        <v>0</v>
      </c>
      <c r="AC150" s="305">
        <f t="shared" si="67"/>
        <v>0</v>
      </c>
      <c r="AD150" s="100">
        <f t="shared" si="75"/>
        <v>0</v>
      </c>
      <c r="AE150" s="100">
        <f t="shared" si="76"/>
        <v>0</v>
      </c>
      <c r="AF150" s="194">
        <f t="shared" si="63"/>
        <v>0</v>
      </c>
      <c r="AG150" s="194">
        <f t="shared" si="64"/>
        <v>0</v>
      </c>
      <c r="AH150" s="194">
        <f t="shared" si="65"/>
        <v>0</v>
      </c>
      <c r="AI150" s="199">
        <f t="shared" si="66"/>
        <v>0</v>
      </c>
      <c r="AK150" s="71">
        <v>145</v>
      </c>
      <c r="AL150" s="33"/>
      <c r="AM150" s="33"/>
      <c r="AN150" s="33"/>
      <c r="AO150" s="33"/>
      <c r="AP150" s="33"/>
      <c r="AQ150" s="194"/>
      <c r="AR150" s="194"/>
      <c r="AS150" s="194"/>
      <c r="AT150" s="194"/>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79"/>
        <v>0</v>
      </c>
      <c r="K151" s="33">
        <f t="shared" si="80"/>
        <v>0</v>
      </c>
      <c r="L151" s="33">
        <f t="shared" si="81"/>
        <v>0</v>
      </c>
      <c r="M151" s="33">
        <f t="shared" si="82"/>
        <v>0</v>
      </c>
      <c r="N151" s="33">
        <f t="shared" si="68"/>
        <v>0</v>
      </c>
      <c r="O151" s="34">
        <f t="shared" si="69"/>
        <v>0</v>
      </c>
      <c r="P151" s="55">
        <v>146</v>
      </c>
      <c r="Q151" s="33">
        <f t="shared" si="77"/>
        <v>0</v>
      </c>
      <c r="R151" s="33">
        <f t="shared" si="83"/>
        <v>0</v>
      </c>
      <c r="S151" s="33">
        <f t="shared" si="84"/>
        <v>0</v>
      </c>
      <c r="T151" s="33">
        <f t="shared" si="70"/>
        <v>0</v>
      </c>
      <c r="U151" s="33">
        <f t="shared" si="78"/>
        <v>0</v>
      </c>
      <c r="V151" s="33">
        <f t="shared" si="71"/>
        <v>0</v>
      </c>
      <c r="W151" s="33">
        <v>0</v>
      </c>
      <c r="X151" s="33">
        <f t="shared" si="72"/>
        <v>0</v>
      </c>
      <c r="Y151" s="38">
        <f t="shared" si="73"/>
        <v>0</v>
      </c>
      <c r="AA151" s="71">
        <v>146</v>
      </c>
      <c r="AB151" s="33">
        <f t="shared" si="74"/>
        <v>0</v>
      </c>
      <c r="AC151" s="305">
        <f t="shared" si="67"/>
        <v>0</v>
      </c>
      <c r="AD151" s="100">
        <f t="shared" si="75"/>
        <v>0</v>
      </c>
      <c r="AE151" s="100">
        <f t="shared" si="76"/>
        <v>0</v>
      </c>
      <c r="AF151" s="194">
        <f t="shared" si="63"/>
        <v>0</v>
      </c>
      <c r="AG151" s="194">
        <f t="shared" si="64"/>
        <v>0</v>
      </c>
      <c r="AH151" s="194">
        <f t="shared" si="65"/>
        <v>0</v>
      </c>
      <c r="AI151" s="199">
        <f t="shared" si="66"/>
        <v>0</v>
      </c>
      <c r="AK151" s="71">
        <v>146</v>
      </c>
      <c r="AL151" s="33"/>
      <c r="AM151" s="33"/>
      <c r="AN151" s="33"/>
      <c r="AO151" s="33"/>
      <c r="AP151" s="33"/>
      <c r="AQ151" s="194"/>
      <c r="AR151" s="194"/>
      <c r="AS151" s="194"/>
      <c r="AT151" s="194"/>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79"/>
        <v>0</v>
      </c>
      <c r="K152" s="33">
        <f t="shared" si="80"/>
        <v>0</v>
      </c>
      <c r="L152" s="33">
        <f t="shared" si="81"/>
        <v>0</v>
      </c>
      <c r="M152" s="33">
        <f t="shared" si="82"/>
        <v>0</v>
      </c>
      <c r="N152" s="33">
        <f t="shared" si="68"/>
        <v>0</v>
      </c>
      <c r="O152" s="34">
        <f t="shared" si="69"/>
        <v>0</v>
      </c>
      <c r="P152" s="55">
        <v>147</v>
      </c>
      <c r="Q152" s="33">
        <f t="shared" si="77"/>
        <v>0</v>
      </c>
      <c r="R152" s="33">
        <f t="shared" si="83"/>
        <v>0</v>
      </c>
      <c r="S152" s="33">
        <f t="shared" si="84"/>
        <v>0</v>
      </c>
      <c r="T152" s="33">
        <f t="shared" si="70"/>
        <v>0</v>
      </c>
      <c r="U152" s="33">
        <f t="shared" si="78"/>
        <v>0</v>
      </c>
      <c r="V152" s="33">
        <f t="shared" si="71"/>
        <v>0</v>
      </c>
      <c r="W152" s="33">
        <v>0</v>
      </c>
      <c r="X152" s="33">
        <f t="shared" si="72"/>
        <v>0</v>
      </c>
      <c r="Y152" s="38">
        <f t="shared" si="73"/>
        <v>0</v>
      </c>
      <c r="AA152" s="71">
        <v>147</v>
      </c>
      <c r="AB152" s="33">
        <f t="shared" si="74"/>
        <v>0</v>
      </c>
      <c r="AC152" s="305">
        <f t="shared" si="67"/>
        <v>0</v>
      </c>
      <c r="AD152" s="100">
        <f t="shared" si="75"/>
        <v>0</v>
      </c>
      <c r="AE152" s="100">
        <f t="shared" si="76"/>
        <v>0</v>
      </c>
      <c r="AF152" s="194">
        <f t="shared" si="63"/>
        <v>0</v>
      </c>
      <c r="AG152" s="194">
        <f t="shared" si="64"/>
        <v>0</v>
      </c>
      <c r="AH152" s="194">
        <f t="shared" si="65"/>
        <v>0</v>
      </c>
      <c r="AI152" s="199">
        <f t="shared" si="66"/>
        <v>0</v>
      </c>
      <c r="AK152" s="71">
        <v>147</v>
      </c>
      <c r="AL152" s="33"/>
      <c r="AM152" s="33"/>
      <c r="AN152" s="33"/>
      <c r="AO152" s="33"/>
      <c r="AP152" s="33"/>
      <c r="AQ152" s="194"/>
      <c r="AR152" s="194"/>
      <c r="AS152" s="194"/>
      <c r="AT152" s="194"/>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79"/>
        <v>0</v>
      </c>
      <c r="K153" s="33">
        <f t="shared" si="80"/>
        <v>0</v>
      </c>
      <c r="L153" s="33">
        <f t="shared" si="81"/>
        <v>0</v>
      </c>
      <c r="M153" s="33">
        <f t="shared" si="82"/>
        <v>0</v>
      </c>
      <c r="N153" s="33">
        <f t="shared" si="68"/>
        <v>0</v>
      </c>
      <c r="O153" s="34">
        <f t="shared" si="69"/>
        <v>0</v>
      </c>
      <c r="P153" s="55">
        <v>148</v>
      </c>
      <c r="Q153" s="33">
        <f t="shared" si="77"/>
        <v>0</v>
      </c>
      <c r="R153" s="33">
        <f t="shared" si="83"/>
        <v>0</v>
      </c>
      <c r="S153" s="33">
        <f t="shared" si="84"/>
        <v>0</v>
      </c>
      <c r="T153" s="33">
        <f t="shared" si="70"/>
        <v>0</v>
      </c>
      <c r="U153" s="33">
        <f t="shared" si="78"/>
        <v>0</v>
      </c>
      <c r="V153" s="33">
        <f t="shared" si="71"/>
        <v>0</v>
      </c>
      <c r="W153" s="33">
        <v>0</v>
      </c>
      <c r="X153" s="33">
        <f t="shared" si="72"/>
        <v>0</v>
      </c>
      <c r="Y153" s="38">
        <f t="shared" si="73"/>
        <v>0</v>
      </c>
      <c r="AA153" s="71">
        <v>148</v>
      </c>
      <c r="AB153" s="33">
        <f t="shared" si="74"/>
        <v>0</v>
      </c>
      <c r="AC153" s="305">
        <f t="shared" si="67"/>
        <v>0</v>
      </c>
      <c r="AD153" s="100">
        <f t="shared" si="75"/>
        <v>0</v>
      </c>
      <c r="AE153" s="100">
        <f t="shared" si="76"/>
        <v>0</v>
      </c>
      <c r="AF153" s="194">
        <f t="shared" si="63"/>
        <v>0</v>
      </c>
      <c r="AG153" s="194">
        <f t="shared" si="64"/>
        <v>0</v>
      </c>
      <c r="AH153" s="194">
        <f t="shared" si="65"/>
        <v>0</v>
      </c>
      <c r="AI153" s="199">
        <f t="shared" si="66"/>
        <v>0</v>
      </c>
      <c r="AK153" s="71">
        <v>148</v>
      </c>
      <c r="AL153" s="33"/>
      <c r="AM153" s="33"/>
      <c r="AN153" s="33"/>
      <c r="AO153" s="33"/>
      <c r="AP153" s="33"/>
      <c r="AQ153" s="194"/>
      <c r="AR153" s="194"/>
      <c r="AS153" s="194"/>
      <c r="AT153" s="194"/>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79"/>
        <v>0</v>
      </c>
      <c r="K154" s="33">
        <f t="shared" si="80"/>
        <v>0</v>
      </c>
      <c r="L154" s="33">
        <f t="shared" si="81"/>
        <v>0</v>
      </c>
      <c r="M154" s="33">
        <f t="shared" si="82"/>
        <v>0</v>
      </c>
      <c r="N154" s="33">
        <f t="shared" si="68"/>
        <v>0</v>
      </c>
      <c r="O154" s="34">
        <f t="shared" si="69"/>
        <v>0</v>
      </c>
      <c r="P154" s="55">
        <v>149</v>
      </c>
      <c r="Q154" s="33">
        <f t="shared" si="77"/>
        <v>0</v>
      </c>
      <c r="R154" s="33">
        <f t="shared" si="83"/>
        <v>0</v>
      </c>
      <c r="S154" s="33">
        <f t="shared" si="84"/>
        <v>0</v>
      </c>
      <c r="T154" s="33">
        <f t="shared" si="70"/>
        <v>0</v>
      </c>
      <c r="U154" s="33">
        <f t="shared" si="78"/>
        <v>0</v>
      </c>
      <c r="V154" s="33">
        <f t="shared" si="71"/>
        <v>0</v>
      </c>
      <c r="W154" s="33">
        <v>0</v>
      </c>
      <c r="X154" s="33">
        <f t="shared" si="72"/>
        <v>0</v>
      </c>
      <c r="Y154" s="38">
        <f t="shared" si="73"/>
        <v>0</v>
      </c>
      <c r="AA154" s="71">
        <v>149</v>
      </c>
      <c r="AB154" s="33">
        <f t="shared" si="74"/>
        <v>0</v>
      </c>
      <c r="AC154" s="305">
        <f t="shared" si="67"/>
        <v>0</v>
      </c>
      <c r="AD154" s="100">
        <f t="shared" si="75"/>
        <v>0</v>
      </c>
      <c r="AE154" s="100">
        <f t="shared" si="76"/>
        <v>0</v>
      </c>
      <c r="AF154" s="194">
        <f t="shared" si="63"/>
        <v>0</v>
      </c>
      <c r="AG154" s="194">
        <f t="shared" si="64"/>
        <v>0</v>
      </c>
      <c r="AH154" s="194">
        <f t="shared" si="65"/>
        <v>0</v>
      </c>
      <c r="AI154" s="199">
        <f t="shared" si="66"/>
        <v>0</v>
      </c>
      <c r="AK154" s="71">
        <v>149</v>
      </c>
      <c r="AL154" s="33"/>
      <c r="AM154" s="33"/>
      <c r="AN154" s="33"/>
      <c r="AO154" s="33"/>
      <c r="AP154" s="33"/>
      <c r="AQ154" s="194"/>
      <c r="AR154" s="194"/>
      <c r="AS154" s="194"/>
      <c r="AT154" s="194"/>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79"/>
        <v>0</v>
      </c>
      <c r="K155" s="33">
        <f t="shared" si="80"/>
        <v>0</v>
      </c>
      <c r="L155" s="33">
        <f t="shared" si="81"/>
        <v>0</v>
      </c>
      <c r="M155" s="33">
        <f t="shared" si="82"/>
        <v>0</v>
      </c>
      <c r="N155" s="33">
        <f t="shared" si="68"/>
        <v>0</v>
      </c>
      <c r="O155" s="34">
        <f t="shared" si="69"/>
        <v>0</v>
      </c>
      <c r="P155" s="55">
        <v>150</v>
      </c>
      <c r="Q155" s="33">
        <f t="shared" si="77"/>
        <v>0</v>
      </c>
      <c r="R155" s="33">
        <f t="shared" si="83"/>
        <v>0</v>
      </c>
      <c r="S155" s="33">
        <f t="shared" si="84"/>
        <v>0</v>
      </c>
      <c r="T155" s="33">
        <f t="shared" si="70"/>
        <v>0</v>
      </c>
      <c r="U155" s="33">
        <f t="shared" si="78"/>
        <v>0</v>
      </c>
      <c r="V155" s="33">
        <f t="shared" si="71"/>
        <v>0</v>
      </c>
      <c r="W155" s="33">
        <v>0</v>
      </c>
      <c r="X155" s="33">
        <f t="shared" si="72"/>
        <v>0</v>
      </c>
      <c r="Y155" s="38">
        <f t="shared" si="73"/>
        <v>0</v>
      </c>
      <c r="AA155" s="71">
        <v>150</v>
      </c>
      <c r="AB155" s="33">
        <f t="shared" si="74"/>
        <v>0</v>
      </c>
      <c r="AC155" s="305">
        <f t="shared" si="67"/>
        <v>0</v>
      </c>
      <c r="AD155" s="100">
        <f t="shared" si="75"/>
        <v>0</v>
      </c>
      <c r="AE155" s="100">
        <f t="shared" si="76"/>
        <v>0</v>
      </c>
      <c r="AF155" s="194">
        <f t="shared" ref="AF155:AF205" si="85">IF(OR(AA155&lt;=$F$18,AA155&lt;=30),EXP(-LN(2)/$D$104)*AF154+((1-EXP(-LN(2)/$D$104))/(LN(2)/$D$104))*$AB155*AC155*0.475*$F$19*44/12,)</f>
        <v>0</v>
      </c>
      <c r="AG155" s="194">
        <f t="shared" ref="AG155:AG205" si="86">IF(OR(AA155&lt;=$F$18,AA155&lt;=30),EXP(-LN(2)/$D$106)*AG154+((1-EXP(-LN(2)/$D$106))/(LN(2)/$D$106))*$AB155*AD155*0.475*$F$19*44/12,)</f>
        <v>0</v>
      </c>
      <c r="AH155" s="194">
        <f t="shared" ref="AH155:AH205" si="87">IF(OR(AA155&lt;=$F$18,AA155&lt;=30),EXP(-LN(2)/$D$105)*AH154+((1-EXP(-LN(2)/$D$105))/(LN(2)/$D$105))*$AB155*AE155*0.475*$F$19*44/12,)</f>
        <v>0</v>
      </c>
      <c r="AI155" s="199">
        <f t="shared" ref="AI155:AI205" si="88">IF(OR(AA155&lt;=$F$18,AA155&lt;=30),SUM(AF155:AH155),)</f>
        <v>0</v>
      </c>
      <c r="AK155" s="71">
        <v>150</v>
      </c>
      <c r="AL155" s="33"/>
      <c r="AM155" s="33"/>
      <c r="AN155" s="33"/>
      <c r="AO155" s="33"/>
      <c r="AP155" s="33"/>
      <c r="AQ155" s="194"/>
      <c r="AR155" s="194"/>
      <c r="AS155" s="194"/>
      <c r="AT155" s="194"/>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79"/>
        <v>0</v>
      </c>
      <c r="K156" s="33">
        <f t="shared" si="80"/>
        <v>0</v>
      </c>
      <c r="L156" s="33">
        <f t="shared" si="81"/>
        <v>0</v>
      </c>
      <c r="M156" s="33">
        <f t="shared" si="82"/>
        <v>0</v>
      </c>
      <c r="N156" s="33">
        <f t="shared" si="68"/>
        <v>0</v>
      </c>
      <c r="O156" s="34">
        <f t="shared" si="69"/>
        <v>0</v>
      </c>
      <c r="P156" s="55">
        <v>151</v>
      </c>
      <c r="Q156" s="33">
        <f t="shared" si="77"/>
        <v>0</v>
      </c>
      <c r="R156" s="33">
        <f t="shared" si="83"/>
        <v>0</v>
      </c>
      <c r="S156" s="33">
        <f t="shared" si="84"/>
        <v>0</v>
      </c>
      <c r="T156" s="33">
        <f t="shared" si="70"/>
        <v>0</v>
      </c>
      <c r="U156" s="33">
        <f t="shared" si="78"/>
        <v>0</v>
      </c>
      <c r="V156" s="33">
        <f t="shared" si="71"/>
        <v>0</v>
      </c>
      <c r="W156" s="33">
        <v>0</v>
      </c>
      <c r="X156" s="33">
        <f t="shared" si="72"/>
        <v>0</v>
      </c>
      <c r="Y156" s="38">
        <f t="shared" si="73"/>
        <v>0</v>
      </c>
      <c r="AA156" s="71">
        <v>151</v>
      </c>
      <c r="AB156" s="33">
        <f t="shared" si="74"/>
        <v>0</v>
      </c>
      <c r="AC156" s="305">
        <f t="shared" si="67"/>
        <v>0</v>
      </c>
      <c r="AD156" s="100">
        <f t="shared" si="75"/>
        <v>0</v>
      </c>
      <c r="AE156" s="100">
        <f t="shared" si="76"/>
        <v>0</v>
      </c>
      <c r="AF156" s="194">
        <f t="shared" si="85"/>
        <v>0</v>
      </c>
      <c r="AG156" s="194">
        <f t="shared" si="86"/>
        <v>0</v>
      </c>
      <c r="AH156" s="194">
        <f t="shared" si="87"/>
        <v>0</v>
      </c>
      <c r="AI156" s="199">
        <f t="shared" si="88"/>
        <v>0</v>
      </c>
      <c r="AK156" s="71">
        <v>151</v>
      </c>
      <c r="AL156" s="33"/>
      <c r="AM156" s="33"/>
      <c r="AN156" s="33"/>
      <c r="AO156" s="33"/>
      <c r="AP156" s="33"/>
      <c r="AQ156" s="194"/>
      <c r="AR156" s="194"/>
      <c r="AS156" s="194"/>
      <c r="AT156" s="194"/>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79"/>
        <v>0</v>
      </c>
      <c r="K157" s="33">
        <f t="shared" si="80"/>
        <v>0</v>
      </c>
      <c r="L157" s="33">
        <f t="shared" si="81"/>
        <v>0</v>
      </c>
      <c r="M157" s="33">
        <f t="shared" si="82"/>
        <v>0</v>
      </c>
      <c r="N157" s="33">
        <f t="shared" si="68"/>
        <v>0</v>
      </c>
      <c r="O157" s="34">
        <f t="shared" si="69"/>
        <v>0</v>
      </c>
      <c r="P157" s="55">
        <v>152</v>
      </c>
      <c r="Q157" s="33">
        <f t="shared" si="77"/>
        <v>0</v>
      </c>
      <c r="R157" s="33">
        <f t="shared" si="83"/>
        <v>0</v>
      </c>
      <c r="S157" s="33">
        <f t="shared" si="84"/>
        <v>0</v>
      </c>
      <c r="T157" s="33">
        <f t="shared" si="70"/>
        <v>0</v>
      </c>
      <c r="U157" s="33">
        <f t="shared" si="78"/>
        <v>0</v>
      </c>
      <c r="V157" s="33">
        <f t="shared" si="71"/>
        <v>0</v>
      </c>
      <c r="W157" s="33">
        <v>0</v>
      </c>
      <c r="X157" s="33">
        <f t="shared" si="72"/>
        <v>0</v>
      </c>
      <c r="Y157" s="38">
        <f t="shared" si="73"/>
        <v>0</v>
      </c>
      <c r="AA157" s="71">
        <v>152</v>
      </c>
      <c r="AB157" s="33">
        <f t="shared" si="74"/>
        <v>0</v>
      </c>
      <c r="AC157" s="305">
        <f t="shared" si="67"/>
        <v>0</v>
      </c>
      <c r="AD157" s="100">
        <f t="shared" si="75"/>
        <v>0</v>
      </c>
      <c r="AE157" s="100">
        <f t="shared" si="76"/>
        <v>0</v>
      </c>
      <c r="AF157" s="194">
        <f t="shared" si="85"/>
        <v>0</v>
      </c>
      <c r="AG157" s="194">
        <f t="shared" si="86"/>
        <v>0</v>
      </c>
      <c r="AH157" s="194">
        <f t="shared" si="87"/>
        <v>0</v>
      </c>
      <c r="AI157" s="199">
        <f t="shared" si="88"/>
        <v>0</v>
      </c>
      <c r="AK157" s="71">
        <v>152</v>
      </c>
      <c r="AL157" s="33"/>
      <c r="AM157" s="33"/>
      <c r="AN157" s="33"/>
      <c r="AO157" s="33"/>
      <c r="AP157" s="33"/>
      <c r="AQ157" s="194"/>
      <c r="AR157" s="194"/>
      <c r="AS157" s="194"/>
      <c r="AT157" s="194"/>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79"/>
        <v>0</v>
      </c>
      <c r="K158" s="33">
        <f t="shared" si="80"/>
        <v>0</v>
      </c>
      <c r="L158" s="33">
        <f t="shared" si="81"/>
        <v>0</v>
      </c>
      <c r="M158" s="33">
        <f t="shared" si="82"/>
        <v>0</v>
      </c>
      <c r="N158" s="33">
        <f t="shared" si="68"/>
        <v>0</v>
      </c>
      <c r="O158" s="34">
        <f t="shared" si="69"/>
        <v>0</v>
      </c>
      <c r="P158" s="55">
        <v>153</v>
      </c>
      <c r="Q158" s="33">
        <f t="shared" si="77"/>
        <v>0</v>
      </c>
      <c r="R158" s="33">
        <f t="shared" si="83"/>
        <v>0</v>
      </c>
      <c r="S158" s="33">
        <f t="shared" si="84"/>
        <v>0</v>
      </c>
      <c r="T158" s="33">
        <f t="shared" si="70"/>
        <v>0</v>
      </c>
      <c r="U158" s="33">
        <f t="shared" si="78"/>
        <v>0</v>
      </c>
      <c r="V158" s="33">
        <f t="shared" si="71"/>
        <v>0</v>
      </c>
      <c r="W158" s="33">
        <v>0</v>
      </c>
      <c r="X158" s="33">
        <f t="shared" si="72"/>
        <v>0</v>
      </c>
      <c r="Y158" s="38">
        <f t="shared" si="73"/>
        <v>0</v>
      </c>
      <c r="AA158" s="71">
        <v>153</v>
      </c>
      <c r="AB158" s="33">
        <f t="shared" si="74"/>
        <v>0</v>
      </c>
      <c r="AC158" s="305">
        <f t="shared" si="67"/>
        <v>0</v>
      </c>
      <c r="AD158" s="100">
        <f t="shared" si="75"/>
        <v>0</v>
      </c>
      <c r="AE158" s="100">
        <f t="shared" si="76"/>
        <v>0</v>
      </c>
      <c r="AF158" s="194">
        <f t="shared" si="85"/>
        <v>0</v>
      </c>
      <c r="AG158" s="194">
        <f t="shared" si="86"/>
        <v>0</v>
      </c>
      <c r="AH158" s="194">
        <f t="shared" si="87"/>
        <v>0</v>
      </c>
      <c r="AI158" s="199">
        <f t="shared" si="88"/>
        <v>0</v>
      </c>
      <c r="AK158" s="71">
        <v>153</v>
      </c>
      <c r="AL158" s="33"/>
      <c r="AM158" s="33"/>
      <c r="AN158" s="33"/>
      <c r="AO158" s="33"/>
      <c r="AP158" s="33"/>
      <c r="AQ158" s="194"/>
      <c r="AR158" s="194"/>
      <c r="AS158" s="194"/>
      <c r="AT158" s="194"/>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79"/>
        <v>0</v>
      </c>
      <c r="K159" s="33">
        <f t="shared" si="80"/>
        <v>0</v>
      </c>
      <c r="L159" s="33">
        <f t="shared" si="81"/>
        <v>0</v>
      </c>
      <c r="M159" s="33">
        <f t="shared" si="82"/>
        <v>0</v>
      </c>
      <c r="N159" s="33">
        <f t="shared" si="68"/>
        <v>0</v>
      </c>
      <c r="O159" s="34">
        <f t="shared" si="69"/>
        <v>0</v>
      </c>
      <c r="P159" s="55">
        <v>154</v>
      </c>
      <c r="Q159" s="33">
        <f t="shared" si="77"/>
        <v>0</v>
      </c>
      <c r="R159" s="33">
        <f t="shared" si="83"/>
        <v>0</v>
      </c>
      <c r="S159" s="33">
        <f t="shared" si="84"/>
        <v>0</v>
      </c>
      <c r="T159" s="33">
        <f t="shared" si="70"/>
        <v>0</v>
      </c>
      <c r="U159" s="33">
        <f t="shared" si="78"/>
        <v>0</v>
      </c>
      <c r="V159" s="33">
        <f t="shared" si="71"/>
        <v>0</v>
      </c>
      <c r="W159" s="33">
        <v>0</v>
      </c>
      <c r="X159" s="33">
        <f t="shared" si="72"/>
        <v>0</v>
      </c>
      <c r="Y159" s="38">
        <f t="shared" si="73"/>
        <v>0</v>
      </c>
      <c r="AA159" s="71">
        <v>154</v>
      </c>
      <c r="AB159" s="33">
        <f t="shared" si="74"/>
        <v>0</v>
      </c>
      <c r="AC159" s="305">
        <f t="shared" ref="AC159:AC205" si="89">IF(AA159&lt;=$F$18,IFERROR(VLOOKUP($AA159,$B$82:$G$94,3,FALSE),0),)*50%</f>
        <v>0</v>
      </c>
      <c r="AD159" s="100">
        <f t="shared" si="75"/>
        <v>0</v>
      </c>
      <c r="AE159" s="100">
        <f t="shared" si="76"/>
        <v>0</v>
      </c>
      <c r="AF159" s="194">
        <f t="shared" si="85"/>
        <v>0</v>
      </c>
      <c r="AG159" s="194">
        <f t="shared" si="86"/>
        <v>0</v>
      </c>
      <c r="AH159" s="194">
        <f t="shared" si="87"/>
        <v>0</v>
      </c>
      <c r="AI159" s="199">
        <f t="shared" si="88"/>
        <v>0</v>
      </c>
      <c r="AK159" s="71">
        <v>154</v>
      </c>
      <c r="AL159" s="33"/>
      <c r="AM159" s="33"/>
      <c r="AN159" s="33"/>
      <c r="AO159" s="33"/>
      <c r="AP159" s="33"/>
      <c r="AQ159" s="194"/>
      <c r="AR159" s="194"/>
      <c r="AS159" s="194"/>
      <c r="AT159" s="194"/>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79"/>
        <v>0</v>
      </c>
      <c r="K160" s="33">
        <f t="shared" si="80"/>
        <v>0</v>
      </c>
      <c r="L160" s="33">
        <f t="shared" si="81"/>
        <v>0</v>
      </c>
      <c r="M160" s="33">
        <f t="shared" si="82"/>
        <v>0</v>
      </c>
      <c r="N160" s="33">
        <f t="shared" si="68"/>
        <v>0</v>
      </c>
      <c r="O160" s="34">
        <f t="shared" si="69"/>
        <v>0</v>
      </c>
      <c r="P160" s="55">
        <v>155</v>
      </c>
      <c r="Q160" s="33">
        <f t="shared" si="77"/>
        <v>0</v>
      </c>
      <c r="R160" s="33">
        <f t="shared" si="83"/>
        <v>0</v>
      </c>
      <c r="S160" s="33">
        <f t="shared" si="84"/>
        <v>0</v>
      </c>
      <c r="T160" s="33">
        <f t="shared" si="70"/>
        <v>0</v>
      </c>
      <c r="U160" s="33">
        <f t="shared" si="78"/>
        <v>0</v>
      </c>
      <c r="V160" s="33">
        <f t="shared" si="71"/>
        <v>0</v>
      </c>
      <c r="W160" s="33">
        <v>0</v>
      </c>
      <c r="X160" s="33">
        <f t="shared" si="72"/>
        <v>0</v>
      </c>
      <c r="Y160" s="38">
        <f t="shared" si="73"/>
        <v>0</v>
      </c>
      <c r="AA160" s="71">
        <v>155</v>
      </c>
      <c r="AB160" s="33">
        <f t="shared" si="74"/>
        <v>0</v>
      </c>
      <c r="AC160" s="305">
        <f t="shared" si="89"/>
        <v>0</v>
      </c>
      <c r="AD160" s="100">
        <f t="shared" si="75"/>
        <v>0</v>
      </c>
      <c r="AE160" s="100">
        <f t="shared" si="76"/>
        <v>0</v>
      </c>
      <c r="AF160" s="194">
        <f t="shared" si="85"/>
        <v>0</v>
      </c>
      <c r="AG160" s="194">
        <f t="shared" si="86"/>
        <v>0</v>
      </c>
      <c r="AH160" s="194">
        <f t="shared" si="87"/>
        <v>0</v>
      </c>
      <c r="AI160" s="199">
        <f t="shared" si="88"/>
        <v>0</v>
      </c>
      <c r="AK160" s="71">
        <v>155</v>
      </c>
      <c r="AL160" s="33"/>
      <c r="AM160" s="33"/>
      <c r="AN160" s="33"/>
      <c r="AO160" s="33"/>
      <c r="AP160" s="33"/>
      <c r="AQ160" s="194"/>
      <c r="AR160" s="194"/>
      <c r="AS160" s="194"/>
      <c r="AT160" s="194"/>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79"/>
        <v>0</v>
      </c>
      <c r="K161" s="33">
        <f t="shared" si="80"/>
        <v>0</v>
      </c>
      <c r="L161" s="33">
        <f t="shared" si="81"/>
        <v>0</v>
      </c>
      <c r="M161" s="33">
        <f t="shared" si="82"/>
        <v>0</v>
      </c>
      <c r="N161" s="33">
        <f t="shared" si="68"/>
        <v>0</v>
      </c>
      <c r="O161" s="34">
        <f t="shared" si="69"/>
        <v>0</v>
      </c>
      <c r="P161" s="55">
        <v>156</v>
      </c>
      <c r="Q161" s="33">
        <f t="shared" si="77"/>
        <v>0</v>
      </c>
      <c r="R161" s="33">
        <f t="shared" si="83"/>
        <v>0</v>
      </c>
      <c r="S161" s="33">
        <f t="shared" si="84"/>
        <v>0</v>
      </c>
      <c r="T161" s="33">
        <f t="shared" si="70"/>
        <v>0</v>
      </c>
      <c r="U161" s="33">
        <f t="shared" si="78"/>
        <v>0</v>
      </c>
      <c r="V161" s="33">
        <f t="shared" si="71"/>
        <v>0</v>
      </c>
      <c r="W161" s="33">
        <v>0</v>
      </c>
      <c r="X161" s="33">
        <f t="shared" si="72"/>
        <v>0</v>
      </c>
      <c r="Y161" s="38">
        <f t="shared" si="73"/>
        <v>0</v>
      </c>
      <c r="AA161" s="71">
        <v>156</v>
      </c>
      <c r="AB161" s="33">
        <f t="shared" si="74"/>
        <v>0</v>
      </c>
      <c r="AC161" s="305">
        <f t="shared" si="89"/>
        <v>0</v>
      </c>
      <c r="AD161" s="100">
        <f t="shared" si="75"/>
        <v>0</v>
      </c>
      <c r="AE161" s="100">
        <f t="shared" si="76"/>
        <v>0</v>
      </c>
      <c r="AF161" s="194">
        <f t="shared" si="85"/>
        <v>0</v>
      </c>
      <c r="AG161" s="194">
        <f t="shared" si="86"/>
        <v>0</v>
      </c>
      <c r="AH161" s="194">
        <f t="shared" si="87"/>
        <v>0</v>
      </c>
      <c r="AI161" s="199">
        <f t="shared" si="88"/>
        <v>0</v>
      </c>
      <c r="AK161" s="71">
        <v>156</v>
      </c>
      <c r="AL161" s="33"/>
      <c r="AM161" s="33"/>
      <c r="AN161" s="33"/>
      <c r="AO161" s="33"/>
      <c r="AP161" s="33"/>
      <c r="AQ161" s="194"/>
      <c r="AR161" s="194"/>
      <c r="AS161" s="194"/>
      <c r="AT161" s="194"/>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79"/>
        <v>0</v>
      </c>
      <c r="K162" s="33">
        <f t="shared" si="80"/>
        <v>0</v>
      </c>
      <c r="L162" s="33">
        <f t="shared" si="81"/>
        <v>0</v>
      </c>
      <c r="M162" s="33">
        <f t="shared" si="82"/>
        <v>0</v>
      </c>
      <c r="N162" s="33">
        <f t="shared" si="68"/>
        <v>0</v>
      </c>
      <c r="O162" s="34">
        <f t="shared" si="69"/>
        <v>0</v>
      </c>
      <c r="P162" s="55">
        <v>157</v>
      </c>
      <c r="Q162" s="33">
        <f t="shared" si="77"/>
        <v>0</v>
      </c>
      <c r="R162" s="33">
        <f t="shared" si="83"/>
        <v>0</v>
      </c>
      <c r="S162" s="33">
        <f t="shared" si="84"/>
        <v>0</v>
      </c>
      <c r="T162" s="33">
        <f t="shared" si="70"/>
        <v>0</v>
      </c>
      <c r="U162" s="33">
        <f t="shared" si="78"/>
        <v>0</v>
      </c>
      <c r="V162" s="33">
        <f t="shared" si="71"/>
        <v>0</v>
      </c>
      <c r="W162" s="33">
        <v>0</v>
      </c>
      <c r="X162" s="33">
        <f t="shared" si="72"/>
        <v>0</v>
      </c>
      <c r="Y162" s="38">
        <f t="shared" si="73"/>
        <v>0</v>
      </c>
      <c r="AA162" s="71">
        <v>157</v>
      </c>
      <c r="AB162" s="33">
        <f t="shared" si="74"/>
        <v>0</v>
      </c>
      <c r="AC162" s="305">
        <f t="shared" si="89"/>
        <v>0</v>
      </c>
      <c r="AD162" s="100">
        <f t="shared" si="75"/>
        <v>0</v>
      </c>
      <c r="AE162" s="100">
        <f t="shared" si="76"/>
        <v>0</v>
      </c>
      <c r="AF162" s="194">
        <f t="shared" si="85"/>
        <v>0</v>
      </c>
      <c r="AG162" s="194">
        <f t="shared" si="86"/>
        <v>0</v>
      </c>
      <c r="AH162" s="194">
        <f t="shared" si="87"/>
        <v>0</v>
      </c>
      <c r="AI162" s="199">
        <f t="shared" si="88"/>
        <v>0</v>
      </c>
      <c r="AK162" s="71">
        <v>157</v>
      </c>
      <c r="AL162" s="33"/>
      <c r="AM162" s="33"/>
      <c r="AN162" s="33"/>
      <c r="AO162" s="33"/>
      <c r="AP162" s="33"/>
      <c r="AQ162" s="194"/>
      <c r="AR162" s="194"/>
      <c r="AS162" s="194"/>
      <c r="AT162" s="194"/>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79"/>
        <v>0</v>
      </c>
      <c r="K163" s="33">
        <f t="shared" si="80"/>
        <v>0</v>
      </c>
      <c r="L163" s="33">
        <f t="shared" si="81"/>
        <v>0</v>
      </c>
      <c r="M163" s="33">
        <f t="shared" si="82"/>
        <v>0</v>
      </c>
      <c r="N163" s="33">
        <f t="shared" si="68"/>
        <v>0</v>
      </c>
      <c r="O163" s="34">
        <f t="shared" si="69"/>
        <v>0</v>
      </c>
      <c r="P163" s="55">
        <v>158</v>
      </c>
      <c r="Q163" s="33">
        <f t="shared" si="77"/>
        <v>0</v>
      </c>
      <c r="R163" s="33">
        <f t="shared" si="83"/>
        <v>0</v>
      </c>
      <c r="S163" s="33">
        <f t="shared" si="84"/>
        <v>0</v>
      </c>
      <c r="T163" s="33">
        <f t="shared" si="70"/>
        <v>0</v>
      </c>
      <c r="U163" s="33">
        <f t="shared" si="78"/>
        <v>0</v>
      </c>
      <c r="V163" s="33">
        <f t="shared" si="71"/>
        <v>0</v>
      </c>
      <c r="W163" s="33">
        <v>0</v>
      </c>
      <c r="X163" s="33">
        <f t="shared" si="72"/>
        <v>0</v>
      </c>
      <c r="Y163" s="38">
        <f t="shared" si="73"/>
        <v>0</v>
      </c>
      <c r="AA163" s="71">
        <v>158</v>
      </c>
      <c r="AB163" s="33">
        <f t="shared" si="74"/>
        <v>0</v>
      </c>
      <c r="AC163" s="305">
        <f t="shared" si="89"/>
        <v>0</v>
      </c>
      <c r="AD163" s="100">
        <f t="shared" si="75"/>
        <v>0</v>
      </c>
      <c r="AE163" s="100">
        <f t="shared" si="76"/>
        <v>0</v>
      </c>
      <c r="AF163" s="194">
        <f t="shared" si="85"/>
        <v>0</v>
      </c>
      <c r="AG163" s="194">
        <f t="shared" si="86"/>
        <v>0</v>
      </c>
      <c r="AH163" s="194">
        <f t="shared" si="87"/>
        <v>0</v>
      </c>
      <c r="AI163" s="199">
        <f t="shared" si="88"/>
        <v>0</v>
      </c>
      <c r="AK163" s="71">
        <v>158</v>
      </c>
      <c r="AL163" s="33"/>
      <c r="AM163" s="33"/>
      <c r="AN163" s="33"/>
      <c r="AO163" s="33"/>
      <c r="AP163" s="33"/>
      <c r="AQ163" s="194"/>
      <c r="AR163" s="194"/>
      <c r="AS163" s="194"/>
      <c r="AT163" s="194"/>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79"/>
        <v>0</v>
      </c>
      <c r="K164" s="33">
        <f t="shared" si="80"/>
        <v>0</v>
      </c>
      <c r="L164" s="33">
        <f t="shared" si="81"/>
        <v>0</v>
      </c>
      <c r="M164" s="33">
        <f t="shared" si="82"/>
        <v>0</v>
      </c>
      <c r="N164" s="33">
        <f t="shared" si="68"/>
        <v>0</v>
      </c>
      <c r="O164" s="34">
        <f t="shared" si="69"/>
        <v>0</v>
      </c>
      <c r="P164" s="55">
        <v>159</v>
      </c>
      <c r="Q164" s="33">
        <f t="shared" si="77"/>
        <v>0</v>
      </c>
      <c r="R164" s="33">
        <f t="shared" si="83"/>
        <v>0</v>
      </c>
      <c r="S164" s="33">
        <f t="shared" si="84"/>
        <v>0</v>
      </c>
      <c r="T164" s="33">
        <f t="shared" si="70"/>
        <v>0</v>
      </c>
      <c r="U164" s="33">
        <f t="shared" si="78"/>
        <v>0</v>
      </c>
      <c r="V164" s="33">
        <f t="shared" si="71"/>
        <v>0</v>
      </c>
      <c r="W164" s="33">
        <v>0</v>
      </c>
      <c r="X164" s="33">
        <f t="shared" si="72"/>
        <v>0</v>
      </c>
      <c r="Y164" s="38">
        <f t="shared" si="73"/>
        <v>0</v>
      </c>
      <c r="AA164" s="71">
        <v>159</v>
      </c>
      <c r="AB164" s="33">
        <f t="shared" si="74"/>
        <v>0</v>
      </c>
      <c r="AC164" s="305">
        <f t="shared" si="89"/>
        <v>0</v>
      </c>
      <c r="AD164" s="100">
        <f t="shared" si="75"/>
        <v>0</v>
      </c>
      <c r="AE164" s="100">
        <f t="shared" si="76"/>
        <v>0</v>
      </c>
      <c r="AF164" s="194">
        <f t="shared" si="85"/>
        <v>0</v>
      </c>
      <c r="AG164" s="194">
        <f t="shared" si="86"/>
        <v>0</v>
      </c>
      <c r="AH164" s="194">
        <f t="shared" si="87"/>
        <v>0</v>
      </c>
      <c r="AI164" s="199">
        <f t="shared" si="88"/>
        <v>0</v>
      </c>
      <c r="AK164" s="71">
        <v>159</v>
      </c>
      <c r="AL164" s="33"/>
      <c r="AM164" s="33"/>
      <c r="AN164" s="33"/>
      <c r="AO164" s="33"/>
      <c r="AP164" s="33"/>
      <c r="AQ164" s="194"/>
      <c r="AR164" s="194"/>
      <c r="AS164" s="194"/>
      <c r="AT164" s="194"/>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79"/>
        <v>0</v>
      </c>
      <c r="K165" s="33">
        <f t="shared" si="80"/>
        <v>0</v>
      </c>
      <c r="L165" s="33">
        <f t="shared" si="81"/>
        <v>0</v>
      </c>
      <c r="M165" s="33">
        <f t="shared" si="82"/>
        <v>0</v>
      </c>
      <c r="N165" s="33">
        <f t="shared" si="68"/>
        <v>0</v>
      </c>
      <c r="O165" s="34">
        <f t="shared" si="69"/>
        <v>0</v>
      </c>
      <c r="P165" s="55">
        <v>160</v>
      </c>
      <c r="Q165" s="33">
        <f t="shared" si="77"/>
        <v>0</v>
      </c>
      <c r="R165" s="33">
        <f t="shared" si="83"/>
        <v>0</v>
      </c>
      <c r="S165" s="33">
        <f t="shared" si="84"/>
        <v>0</v>
      </c>
      <c r="T165" s="33">
        <f t="shared" si="70"/>
        <v>0</v>
      </c>
      <c r="U165" s="33">
        <f t="shared" si="78"/>
        <v>0</v>
      </c>
      <c r="V165" s="33">
        <f t="shared" si="71"/>
        <v>0</v>
      </c>
      <c r="W165" s="33">
        <v>0</v>
      </c>
      <c r="X165" s="33">
        <f t="shared" si="72"/>
        <v>0</v>
      </c>
      <c r="Y165" s="38">
        <f t="shared" si="73"/>
        <v>0</v>
      </c>
      <c r="AA165" s="71">
        <v>160</v>
      </c>
      <c r="AB165" s="33">
        <f t="shared" si="74"/>
        <v>0</v>
      </c>
      <c r="AC165" s="305">
        <f t="shared" si="89"/>
        <v>0</v>
      </c>
      <c r="AD165" s="100">
        <f t="shared" si="75"/>
        <v>0</v>
      </c>
      <c r="AE165" s="100">
        <f t="shared" si="76"/>
        <v>0</v>
      </c>
      <c r="AF165" s="194">
        <f t="shared" si="85"/>
        <v>0</v>
      </c>
      <c r="AG165" s="194">
        <f t="shared" si="86"/>
        <v>0</v>
      </c>
      <c r="AH165" s="194">
        <f t="shared" si="87"/>
        <v>0</v>
      </c>
      <c r="AI165" s="199">
        <f t="shared" si="88"/>
        <v>0</v>
      </c>
      <c r="AK165" s="71">
        <v>160</v>
      </c>
      <c r="AL165" s="33"/>
      <c r="AM165" s="33"/>
      <c r="AN165" s="33"/>
      <c r="AO165" s="33"/>
      <c r="AP165" s="33"/>
      <c r="AQ165" s="194"/>
      <c r="AR165" s="194"/>
      <c r="AS165" s="194"/>
      <c r="AT165" s="194"/>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79"/>
        <v>0</v>
      </c>
      <c r="K166" s="33">
        <f t="shared" si="80"/>
        <v>0</v>
      </c>
      <c r="L166" s="33">
        <f t="shared" si="81"/>
        <v>0</v>
      </c>
      <c r="M166" s="33">
        <f t="shared" si="82"/>
        <v>0</v>
      </c>
      <c r="N166" s="33">
        <f t="shared" si="68"/>
        <v>0</v>
      </c>
      <c r="O166" s="34">
        <f t="shared" si="69"/>
        <v>0</v>
      </c>
      <c r="P166" s="55">
        <v>161</v>
      </c>
      <c r="Q166" s="33">
        <f t="shared" si="77"/>
        <v>0</v>
      </c>
      <c r="R166" s="33">
        <f t="shared" si="83"/>
        <v>0</v>
      </c>
      <c r="S166" s="33">
        <f t="shared" si="84"/>
        <v>0</v>
      </c>
      <c r="T166" s="33">
        <f t="shared" si="70"/>
        <v>0</v>
      </c>
      <c r="U166" s="33">
        <f t="shared" si="78"/>
        <v>0</v>
      </c>
      <c r="V166" s="33">
        <f t="shared" si="71"/>
        <v>0</v>
      </c>
      <c r="W166" s="33">
        <v>0</v>
      </c>
      <c r="X166" s="33">
        <f t="shared" si="72"/>
        <v>0</v>
      </c>
      <c r="Y166" s="38">
        <f t="shared" si="73"/>
        <v>0</v>
      </c>
      <c r="AA166" s="71">
        <v>161</v>
      </c>
      <c r="AB166" s="33">
        <f t="shared" si="74"/>
        <v>0</v>
      </c>
      <c r="AC166" s="305">
        <f t="shared" si="89"/>
        <v>0</v>
      </c>
      <c r="AD166" s="100">
        <f t="shared" si="75"/>
        <v>0</v>
      </c>
      <c r="AE166" s="100">
        <f t="shared" si="76"/>
        <v>0</v>
      </c>
      <c r="AF166" s="194">
        <f t="shared" si="85"/>
        <v>0</v>
      </c>
      <c r="AG166" s="194">
        <f t="shared" si="86"/>
        <v>0</v>
      </c>
      <c r="AH166" s="194">
        <f t="shared" si="87"/>
        <v>0</v>
      </c>
      <c r="AI166" s="199">
        <f t="shared" si="88"/>
        <v>0</v>
      </c>
      <c r="AK166" s="71">
        <v>161</v>
      </c>
      <c r="AL166" s="33"/>
      <c r="AM166" s="33"/>
      <c r="AN166" s="33"/>
      <c r="AO166" s="33"/>
      <c r="AP166" s="33"/>
      <c r="AQ166" s="194"/>
      <c r="AR166" s="194"/>
      <c r="AS166" s="194"/>
      <c r="AT166" s="194"/>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79"/>
        <v>0</v>
      </c>
      <c r="K167" s="33">
        <f t="shared" si="80"/>
        <v>0</v>
      </c>
      <c r="L167" s="33">
        <f t="shared" si="81"/>
        <v>0</v>
      </c>
      <c r="M167" s="33">
        <f t="shared" si="82"/>
        <v>0</v>
      </c>
      <c r="N167" s="33">
        <f t="shared" si="68"/>
        <v>0</v>
      </c>
      <c r="O167" s="34">
        <f t="shared" si="69"/>
        <v>0</v>
      </c>
      <c r="P167" s="55">
        <v>162</v>
      </c>
      <c r="Q167" s="33">
        <f t="shared" si="77"/>
        <v>0</v>
      </c>
      <c r="R167" s="33">
        <f t="shared" si="83"/>
        <v>0</v>
      </c>
      <c r="S167" s="33">
        <f t="shared" si="84"/>
        <v>0</v>
      </c>
      <c r="T167" s="33">
        <f t="shared" si="70"/>
        <v>0</v>
      </c>
      <c r="U167" s="33">
        <f t="shared" si="78"/>
        <v>0</v>
      </c>
      <c r="V167" s="33">
        <f t="shared" si="71"/>
        <v>0</v>
      </c>
      <c r="W167" s="33">
        <v>0</v>
      </c>
      <c r="X167" s="33">
        <f t="shared" si="72"/>
        <v>0</v>
      </c>
      <c r="Y167" s="38">
        <f t="shared" si="73"/>
        <v>0</v>
      </c>
      <c r="AA167" s="71">
        <v>162</v>
      </c>
      <c r="AB167" s="33">
        <f t="shared" si="74"/>
        <v>0</v>
      </c>
      <c r="AC167" s="305">
        <f t="shared" si="89"/>
        <v>0</v>
      </c>
      <c r="AD167" s="100">
        <f t="shared" si="75"/>
        <v>0</v>
      </c>
      <c r="AE167" s="100">
        <f t="shared" si="76"/>
        <v>0</v>
      </c>
      <c r="AF167" s="194">
        <f t="shared" si="85"/>
        <v>0</v>
      </c>
      <c r="AG167" s="194">
        <f t="shared" si="86"/>
        <v>0</v>
      </c>
      <c r="AH167" s="194">
        <f t="shared" si="87"/>
        <v>0</v>
      </c>
      <c r="AI167" s="199">
        <f t="shared" si="88"/>
        <v>0</v>
      </c>
      <c r="AK167" s="71">
        <v>162</v>
      </c>
      <c r="AL167" s="33"/>
      <c r="AM167" s="33"/>
      <c r="AN167" s="33"/>
      <c r="AO167" s="33"/>
      <c r="AP167" s="33"/>
      <c r="AQ167" s="194"/>
      <c r="AR167" s="194"/>
      <c r="AS167" s="194"/>
      <c r="AT167" s="194"/>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79"/>
        <v>0</v>
      </c>
      <c r="K168" s="33">
        <f t="shared" si="80"/>
        <v>0</v>
      </c>
      <c r="L168" s="33">
        <f t="shared" si="81"/>
        <v>0</v>
      </c>
      <c r="M168" s="33">
        <f t="shared" si="82"/>
        <v>0</v>
      </c>
      <c r="N168" s="33">
        <f t="shared" si="68"/>
        <v>0</v>
      </c>
      <c r="O168" s="34">
        <f t="shared" si="69"/>
        <v>0</v>
      </c>
      <c r="P168" s="55">
        <v>163</v>
      </c>
      <c r="Q168" s="33">
        <f t="shared" si="77"/>
        <v>0</v>
      </c>
      <c r="R168" s="33">
        <f t="shared" si="83"/>
        <v>0</v>
      </c>
      <c r="S168" s="33">
        <f t="shared" si="84"/>
        <v>0</v>
      </c>
      <c r="T168" s="33">
        <f t="shared" si="70"/>
        <v>0</v>
      </c>
      <c r="U168" s="33">
        <f t="shared" si="78"/>
        <v>0</v>
      </c>
      <c r="V168" s="33">
        <f t="shared" si="71"/>
        <v>0</v>
      </c>
      <c r="W168" s="33">
        <v>0</v>
      </c>
      <c r="X168" s="33">
        <f t="shared" si="72"/>
        <v>0</v>
      </c>
      <c r="Y168" s="38">
        <f t="shared" si="73"/>
        <v>0</v>
      </c>
      <c r="AA168" s="71">
        <v>163</v>
      </c>
      <c r="AB168" s="33">
        <f t="shared" si="74"/>
        <v>0</v>
      </c>
      <c r="AC168" s="305">
        <f t="shared" si="89"/>
        <v>0</v>
      </c>
      <c r="AD168" s="100">
        <f t="shared" si="75"/>
        <v>0</v>
      </c>
      <c r="AE168" s="100">
        <f t="shared" si="76"/>
        <v>0</v>
      </c>
      <c r="AF168" s="194">
        <f t="shared" si="85"/>
        <v>0</v>
      </c>
      <c r="AG168" s="194">
        <f t="shared" si="86"/>
        <v>0</v>
      </c>
      <c r="AH168" s="194">
        <f t="shared" si="87"/>
        <v>0</v>
      </c>
      <c r="AI168" s="199">
        <f t="shared" si="88"/>
        <v>0</v>
      </c>
      <c r="AK168" s="71">
        <v>163</v>
      </c>
      <c r="AL168" s="33"/>
      <c r="AM168" s="33"/>
      <c r="AN168" s="33"/>
      <c r="AO168" s="33"/>
      <c r="AP168" s="33"/>
      <c r="AQ168" s="194"/>
      <c r="AR168" s="194"/>
      <c r="AS168" s="194"/>
      <c r="AT168" s="194"/>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79"/>
        <v>0</v>
      </c>
      <c r="K169" s="33">
        <f t="shared" si="80"/>
        <v>0</v>
      </c>
      <c r="L169" s="33">
        <f t="shared" si="81"/>
        <v>0</v>
      </c>
      <c r="M169" s="33">
        <f t="shared" si="82"/>
        <v>0</v>
      </c>
      <c r="N169" s="33">
        <f t="shared" si="68"/>
        <v>0</v>
      </c>
      <c r="O169" s="34">
        <f t="shared" si="69"/>
        <v>0</v>
      </c>
      <c r="P169" s="55">
        <v>164</v>
      </c>
      <c r="Q169" s="33">
        <f t="shared" si="77"/>
        <v>0</v>
      </c>
      <c r="R169" s="33">
        <f t="shared" si="83"/>
        <v>0</v>
      </c>
      <c r="S169" s="33">
        <f t="shared" si="84"/>
        <v>0</v>
      </c>
      <c r="T169" s="33">
        <f t="shared" si="70"/>
        <v>0</v>
      </c>
      <c r="U169" s="33">
        <f t="shared" si="78"/>
        <v>0</v>
      </c>
      <c r="V169" s="33">
        <f t="shared" si="71"/>
        <v>0</v>
      </c>
      <c r="W169" s="33">
        <v>0</v>
      </c>
      <c r="X169" s="33">
        <f t="shared" si="72"/>
        <v>0</v>
      </c>
      <c r="Y169" s="38">
        <f t="shared" si="73"/>
        <v>0</v>
      </c>
      <c r="AA169" s="71">
        <v>164</v>
      </c>
      <c r="AB169" s="33">
        <f t="shared" si="74"/>
        <v>0</v>
      </c>
      <c r="AC169" s="305">
        <f t="shared" si="89"/>
        <v>0</v>
      </c>
      <c r="AD169" s="100">
        <f t="shared" si="75"/>
        <v>0</v>
      </c>
      <c r="AE169" s="100">
        <f t="shared" si="76"/>
        <v>0</v>
      </c>
      <c r="AF169" s="194">
        <f t="shared" si="85"/>
        <v>0</v>
      </c>
      <c r="AG169" s="194">
        <f t="shared" si="86"/>
        <v>0</v>
      </c>
      <c r="AH169" s="194">
        <f t="shared" si="87"/>
        <v>0</v>
      </c>
      <c r="AI169" s="199">
        <f t="shared" si="88"/>
        <v>0</v>
      </c>
      <c r="AK169" s="71">
        <v>164</v>
      </c>
      <c r="AL169" s="33"/>
      <c r="AM169" s="33"/>
      <c r="AN169" s="33"/>
      <c r="AO169" s="33"/>
      <c r="AP169" s="33"/>
      <c r="AQ169" s="194"/>
      <c r="AR169" s="194"/>
      <c r="AS169" s="194"/>
      <c r="AT169" s="194"/>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79"/>
        <v>0</v>
      </c>
      <c r="K170" s="33">
        <f t="shared" si="80"/>
        <v>0</v>
      </c>
      <c r="L170" s="33">
        <f t="shared" si="81"/>
        <v>0</v>
      </c>
      <c r="M170" s="33">
        <f t="shared" si="82"/>
        <v>0</v>
      </c>
      <c r="N170" s="33">
        <f t="shared" si="68"/>
        <v>0</v>
      </c>
      <c r="O170" s="34">
        <f t="shared" si="69"/>
        <v>0</v>
      </c>
      <c r="P170" s="55">
        <v>165</v>
      </c>
      <c r="Q170" s="33">
        <f t="shared" si="77"/>
        <v>0</v>
      </c>
      <c r="R170" s="33">
        <f t="shared" si="83"/>
        <v>0</v>
      </c>
      <c r="S170" s="33">
        <f t="shared" si="84"/>
        <v>0</v>
      </c>
      <c r="T170" s="33">
        <f t="shared" si="70"/>
        <v>0</v>
      </c>
      <c r="U170" s="33">
        <f t="shared" si="78"/>
        <v>0</v>
      </c>
      <c r="V170" s="33">
        <f t="shared" si="71"/>
        <v>0</v>
      </c>
      <c r="W170" s="33">
        <v>0</v>
      </c>
      <c r="X170" s="33">
        <f t="shared" si="72"/>
        <v>0</v>
      </c>
      <c r="Y170" s="38">
        <f t="shared" si="73"/>
        <v>0</v>
      </c>
      <c r="AA170" s="71">
        <v>165</v>
      </c>
      <c r="AB170" s="33">
        <f t="shared" si="74"/>
        <v>0</v>
      </c>
      <c r="AC170" s="305">
        <f t="shared" si="89"/>
        <v>0</v>
      </c>
      <c r="AD170" s="100">
        <f t="shared" si="75"/>
        <v>0</v>
      </c>
      <c r="AE170" s="100">
        <f t="shared" si="76"/>
        <v>0</v>
      </c>
      <c r="AF170" s="194">
        <f t="shared" si="85"/>
        <v>0</v>
      </c>
      <c r="AG170" s="194">
        <f t="shared" si="86"/>
        <v>0</v>
      </c>
      <c r="AH170" s="194">
        <f t="shared" si="87"/>
        <v>0</v>
      </c>
      <c r="AI170" s="199">
        <f t="shared" si="88"/>
        <v>0</v>
      </c>
      <c r="AK170" s="71">
        <v>165</v>
      </c>
      <c r="AL170" s="33"/>
      <c r="AM170" s="33"/>
      <c r="AN170" s="33"/>
      <c r="AO170" s="33"/>
      <c r="AP170" s="33"/>
      <c r="AQ170" s="194"/>
      <c r="AR170" s="194"/>
      <c r="AS170" s="194"/>
      <c r="AT170" s="194"/>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79"/>
        <v>0</v>
      </c>
      <c r="K171" s="33">
        <f t="shared" si="80"/>
        <v>0</v>
      </c>
      <c r="L171" s="33">
        <f t="shared" si="81"/>
        <v>0</v>
      </c>
      <c r="M171" s="33">
        <f t="shared" si="82"/>
        <v>0</v>
      </c>
      <c r="N171" s="33">
        <f t="shared" si="68"/>
        <v>0</v>
      </c>
      <c r="O171" s="34">
        <f t="shared" si="69"/>
        <v>0</v>
      </c>
      <c r="P171" s="55">
        <v>166</v>
      </c>
      <c r="Q171" s="33">
        <f t="shared" si="77"/>
        <v>0</v>
      </c>
      <c r="R171" s="33">
        <f t="shared" si="83"/>
        <v>0</v>
      </c>
      <c r="S171" s="33">
        <f t="shared" si="84"/>
        <v>0</v>
      </c>
      <c r="T171" s="33">
        <f t="shared" si="70"/>
        <v>0</v>
      </c>
      <c r="U171" s="33">
        <f t="shared" si="78"/>
        <v>0</v>
      </c>
      <c r="V171" s="33">
        <f t="shared" si="71"/>
        <v>0</v>
      </c>
      <c r="W171" s="33">
        <v>0</v>
      </c>
      <c r="X171" s="33">
        <f t="shared" si="72"/>
        <v>0</v>
      </c>
      <c r="Y171" s="38">
        <f t="shared" si="73"/>
        <v>0</v>
      </c>
      <c r="AA171" s="71">
        <v>166</v>
      </c>
      <c r="AB171" s="33">
        <f t="shared" si="74"/>
        <v>0</v>
      </c>
      <c r="AC171" s="305">
        <f t="shared" si="89"/>
        <v>0</v>
      </c>
      <c r="AD171" s="100">
        <f t="shared" si="75"/>
        <v>0</v>
      </c>
      <c r="AE171" s="100">
        <f t="shared" si="76"/>
        <v>0</v>
      </c>
      <c r="AF171" s="194">
        <f t="shared" si="85"/>
        <v>0</v>
      </c>
      <c r="AG171" s="194">
        <f t="shared" si="86"/>
        <v>0</v>
      </c>
      <c r="AH171" s="194">
        <f t="shared" si="87"/>
        <v>0</v>
      </c>
      <c r="AI171" s="199">
        <f t="shared" si="88"/>
        <v>0</v>
      </c>
      <c r="AK171" s="71">
        <v>166</v>
      </c>
      <c r="AL171" s="33"/>
      <c r="AM171" s="33"/>
      <c r="AN171" s="33"/>
      <c r="AO171" s="33"/>
      <c r="AP171" s="33"/>
      <c r="AQ171" s="194"/>
      <c r="AR171" s="194"/>
      <c r="AS171" s="194"/>
      <c r="AT171" s="194"/>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79"/>
        <v>0</v>
      </c>
      <c r="K172" s="33">
        <f t="shared" si="80"/>
        <v>0</v>
      </c>
      <c r="L172" s="33">
        <f t="shared" si="81"/>
        <v>0</v>
      </c>
      <c r="M172" s="33">
        <f t="shared" si="82"/>
        <v>0</v>
      </c>
      <c r="N172" s="33">
        <f t="shared" si="68"/>
        <v>0</v>
      </c>
      <c r="O172" s="34">
        <f t="shared" si="69"/>
        <v>0</v>
      </c>
      <c r="P172" s="55">
        <v>167</v>
      </c>
      <c r="Q172" s="33">
        <f t="shared" si="77"/>
        <v>0</v>
      </c>
      <c r="R172" s="33">
        <f t="shared" si="83"/>
        <v>0</v>
      </c>
      <c r="S172" s="33">
        <f t="shared" si="84"/>
        <v>0</v>
      </c>
      <c r="T172" s="33">
        <f t="shared" si="70"/>
        <v>0</v>
      </c>
      <c r="U172" s="33">
        <f t="shared" si="78"/>
        <v>0</v>
      </c>
      <c r="V172" s="33">
        <f t="shared" si="71"/>
        <v>0</v>
      </c>
      <c r="W172" s="33">
        <v>0</v>
      </c>
      <c r="X172" s="33">
        <f t="shared" si="72"/>
        <v>0</v>
      </c>
      <c r="Y172" s="38">
        <f t="shared" si="73"/>
        <v>0</v>
      </c>
      <c r="AA172" s="71">
        <v>167</v>
      </c>
      <c r="AB172" s="33">
        <f t="shared" si="74"/>
        <v>0</v>
      </c>
      <c r="AC172" s="305">
        <f t="shared" si="89"/>
        <v>0</v>
      </c>
      <c r="AD172" s="100">
        <f t="shared" si="75"/>
        <v>0</v>
      </c>
      <c r="AE172" s="100">
        <f t="shared" si="76"/>
        <v>0</v>
      </c>
      <c r="AF172" s="194">
        <f t="shared" si="85"/>
        <v>0</v>
      </c>
      <c r="AG172" s="194">
        <f t="shared" si="86"/>
        <v>0</v>
      </c>
      <c r="AH172" s="194">
        <f t="shared" si="87"/>
        <v>0</v>
      </c>
      <c r="AI172" s="199">
        <f t="shared" si="88"/>
        <v>0</v>
      </c>
      <c r="AK172" s="71">
        <v>167</v>
      </c>
      <c r="AL172" s="33"/>
      <c r="AM172" s="33"/>
      <c r="AN172" s="33"/>
      <c r="AO172" s="33"/>
      <c r="AP172" s="33"/>
      <c r="AQ172" s="194"/>
      <c r="AR172" s="194"/>
      <c r="AS172" s="194"/>
      <c r="AT172" s="194"/>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79"/>
        <v>0</v>
      </c>
      <c r="K173" s="33">
        <f t="shared" si="80"/>
        <v>0</v>
      </c>
      <c r="L173" s="33">
        <f t="shared" si="81"/>
        <v>0</v>
      </c>
      <c r="M173" s="33">
        <f t="shared" si="82"/>
        <v>0</v>
      </c>
      <c r="N173" s="33">
        <f t="shared" si="68"/>
        <v>0</v>
      </c>
      <c r="O173" s="34">
        <f t="shared" si="69"/>
        <v>0</v>
      </c>
      <c r="P173" s="55">
        <v>168</v>
      </c>
      <c r="Q173" s="33">
        <f t="shared" si="77"/>
        <v>0</v>
      </c>
      <c r="R173" s="33">
        <f t="shared" si="83"/>
        <v>0</v>
      </c>
      <c r="S173" s="33">
        <f t="shared" si="84"/>
        <v>0</v>
      </c>
      <c r="T173" s="33">
        <f t="shared" si="70"/>
        <v>0</v>
      </c>
      <c r="U173" s="33">
        <f t="shared" si="78"/>
        <v>0</v>
      </c>
      <c r="V173" s="33">
        <f t="shared" si="71"/>
        <v>0</v>
      </c>
      <c r="W173" s="33">
        <v>0</v>
      </c>
      <c r="X173" s="33">
        <f t="shared" si="72"/>
        <v>0</v>
      </c>
      <c r="Y173" s="38">
        <f t="shared" si="73"/>
        <v>0</v>
      </c>
      <c r="AA173" s="71">
        <v>168</v>
      </c>
      <c r="AB173" s="33">
        <f t="shared" si="74"/>
        <v>0</v>
      </c>
      <c r="AC173" s="305">
        <f t="shared" si="89"/>
        <v>0</v>
      </c>
      <c r="AD173" s="100">
        <f t="shared" si="75"/>
        <v>0</v>
      </c>
      <c r="AE173" s="100">
        <f t="shared" si="76"/>
        <v>0</v>
      </c>
      <c r="AF173" s="194">
        <f t="shared" si="85"/>
        <v>0</v>
      </c>
      <c r="AG173" s="194">
        <f t="shared" si="86"/>
        <v>0</v>
      </c>
      <c r="AH173" s="194">
        <f t="shared" si="87"/>
        <v>0</v>
      </c>
      <c r="AI173" s="199">
        <f t="shared" si="88"/>
        <v>0</v>
      </c>
      <c r="AK173" s="71">
        <v>168</v>
      </c>
      <c r="AL173" s="33"/>
      <c r="AM173" s="33"/>
      <c r="AN173" s="33"/>
      <c r="AO173" s="33"/>
      <c r="AP173" s="33"/>
      <c r="AQ173" s="194"/>
      <c r="AR173" s="194"/>
      <c r="AS173" s="194"/>
      <c r="AT173" s="194"/>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79"/>
        <v>0</v>
      </c>
      <c r="K174" s="33">
        <f t="shared" si="80"/>
        <v>0</v>
      </c>
      <c r="L174" s="33">
        <f t="shared" si="81"/>
        <v>0</v>
      </c>
      <c r="M174" s="33">
        <f t="shared" si="82"/>
        <v>0</v>
      </c>
      <c r="N174" s="33">
        <f t="shared" si="68"/>
        <v>0</v>
      </c>
      <c r="O174" s="34">
        <f t="shared" si="69"/>
        <v>0</v>
      </c>
      <c r="P174" s="55">
        <v>169</v>
      </c>
      <c r="Q174" s="33">
        <f t="shared" si="77"/>
        <v>0</v>
      </c>
      <c r="R174" s="33">
        <f t="shared" si="83"/>
        <v>0</v>
      </c>
      <c r="S174" s="33">
        <f t="shared" si="84"/>
        <v>0</v>
      </c>
      <c r="T174" s="33">
        <f t="shared" si="70"/>
        <v>0</v>
      </c>
      <c r="U174" s="33">
        <f t="shared" si="78"/>
        <v>0</v>
      </c>
      <c r="V174" s="33">
        <f t="shared" si="71"/>
        <v>0</v>
      </c>
      <c r="W174" s="33">
        <v>0</v>
      </c>
      <c r="X174" s="33">
        <f t="shared" si="72"/>
        <v>0</v>
      </c>
      <c r="Y174" s="38">
        <f t="shared" si="73"/>
        <v>0</v>
      </c>
      <c r="AA174" s="71">
        <v>169</v>
      </c>
      <c r="AB174" s="33">
        <f t="shared" si="74"/>
        <v>0</v>
      </c>
      <c r="AC174" s="305">
        <f t="shared" si="89"/>
        <v>0</v>
      </c>
      <c r="AD174" s="100">
        <f t="shared" si="75"/>
        <v>0</v>
      </c>
      <c r="AE174" s="100">
        <f t="shared" si="76"/>
        <v>0</v>
      </c>
      <c r="AF174" s="194">
        <f t="shared" si="85"/>
        <v>0</v>
      </c>
      <c r="AG174" s="194">
        <f t="shared" si="86"/>
        <v>0</v>
      </c>
      <c r="AH174" s="194">
        <f t="shared" si="87"/>
        <v>0</v>
      </c>
      <c r="AI174" s="199">
        <f t="shared" si="88"/>
        <v>0</v>
      </c>
      <c r="AK174" s="71">
        <v>169</v>
      </c>
      <c r="AL174" s="33"/>
      <c r="AM174" s="33"/>
      <c r="AN174" s="33"/>
      <c r="AO174" s="33"/>
      <c r="AP174" s="33"/>
      <c r="AQ174" s="194"/>
      <c r="AR174" s="194"/>
      <c r="AS174" s="194"/>
      <c r="AT174" s="194"/>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79"/>
        <v>0</v>
      </c>
      <c r="K175" s="33">
        <f t="shared" si="80"/>
        <v>0</v>
      </c>
      <c r="L175" s="33">
        <f t="shared" si="81"/>
        <v>0</v>
      </c>
      <c r="M175" s="33">
        <f t="shared" si="82"/>
        <v>0</v>
      </c>
      <c r="N175" s="33">
        <f t="shared" si="68"/>
        <v>0</v>
      </c>
      <c r="O175" s="34">
        <f t="shared" si="69"/>
        <v>0</v>
      </c>
      <c r="P175" s="55">
        <v>170</v>
      </c>
      <c r="Q175" s="33">
        <f t="shared" si="77"/>
        <v>0</v>
      </c>
      <c r="R175" s="33">
        <f t="shared" si="83"/>
        <v>0</v>
      </c>
      <c r="S175" s="33">
        <f t="shared" si="84"/>
        <v>0</v>
      </c>
      <c r="T175" s="33">
        <f t="shared" si="70"/>
        <v>0</v>
      </c>
      <c r="U175" s="33">
        <f t="shared" si="78"/>
        <v>0</v>
      </c>
      <c r="V175" s="33">
        <f t="shared" si="71"/>
        <v>0</v>
      </c>
      <c r="W175" s="33">
        <v>0</v>
      </c>
      <c r="X175" s="33">
        <f t="shared" si="72"/>
        <v>0</v>
      </c>
      <c r="Y175" s="38">
        <f t="shared" si="73"/>
        <v>0</v>
      </c>
      <c r="AA175" s="71">
        <v>170</v>
      </c>
      <c r="AB175" s="33">
        <f t="shared" si="74"/>
        <v>0</v>
      </c>
      <c r="AC175" s="305">
        <f t="shared" si="89"/>
        <v>0</v>
      </c>
      <c r="AD175" s="100">
        <f t="shared" si="75"/>
        <v>0</v>
      </c>
      <c r="AE175" s="100">
        <f t="shared" si="76"/>
        <v>0</v>
      </c>
      <c r="AF175" s="194">
        <f t="shared" si="85"/>
        <v>0</v>
      </c>
      <c r="AG175" s="194">
        <f t="shared" si="86"/>
        <v>0</v>
      </c>
      <c r="AH175" s="194">
        <f t="shared" si="87"/>
        <v>0</v>
      </c>
      <c r="AI175" s="199">
        <f t="shared" si="88"/>
        <v>0</v>
      </c>
      <c r="AK175" s="71">
        <v>170</v>
      </c>
      <c r="AL175" s="33"/>
      <c r="AM175" s="33"/>
      <c r="AN175" s="33"/>
      <c r="AO175" s="33"/>
      <c r="AP175" s="33"/>
      <c r="AQ175" s="194"/>
      <c r="AR175" s="194"/>
      <c r="AS175" s="194"/>
      <c r="AT175" s="194"/>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79"/>
        <v>0</v>
      </c>
      <c r="K176" s="33">
        <f t="shared" si="80"/>
        <v>0</v>
      </c>
      <c r="L176" s="33">
        <f t="shared" si="81"/>
        <v>0</v>
      </c>
      <c r="M176" s="33">
        <f t="shared" si="82"/>
        <v>0</v>
      </c>
      <c r="N176" s="33">
        <f t="shared" si="68"/>
        <v>0</v>
      </c>
      <c r="O176" s="34">
        <f t="shared" si="69"/>
        <v>0</v>
      </c>
      <c r="P176" s="55">
        <v>171</v>
      </c>
      <c r="Q176" s="33">
        <f t="shared" si="77"/>
        <v>0</v>
      </c>
      <c r="R176" s="33">
        <f t="shared" si="83"/>
        <v>0</v>
      </c>
      <c r="S176" s="33">
        <f t="shared" si="84"/>
        <v>0</v>
      </c>
      <c r="T176" s="33">
        <f t="shared" si="70"/>
        <v>0</v>
      </c>
      <c r="U176" s="33">
        <f t="shared" si="78"/>
        <v>0</v>
      </c>
      <c r="V176" s="33">
        <f t="shared" si="71"/>
        <v>0</v>
      </c>
      <c r="W176" s="33">
        <v>0</v>
      </c>
      <c r="X176" s="33">
        <f t="shared" si="72"/>
        <v>0</v>
      </c>
      <c r="Y176" s="38">
        <f t="shared" si="73"/>
        <v>0</v>
      </c>
      <c r="AA176" s="71">
        <v>171</v>
      </c>
      <c r="AB176" s="33">
        <f t="shared" si="74"/>
        <v>0</v>
      </c>
      <c r="AC176" s="305">
        <f t="shared" si="89"/>
        <v>0</v>
      </c>
      <c r="AD176" s="100">
        <f t="shared" si="75"/>
        <v>0</v>
      </c>
      <c r="AE176" s="100">
        <f t="shared" si="76"/>
        <v>0</v>
      </c>
      <c r="AF176" s="194">
        <f t="shared" si="85"/>
        <v>0</v>
      </c>
      <c r="AG176" s="194">
        <f t="shared" si="86"/>
        <v>0</v>
      </c>
      <c r="AH176" s="194">
        <f t="shared" si="87"/>
        <v>0</v>
      </c>
      <c r="AI176" s="199">
        <f t="shared" si="88"/>
        <v>0</v>
      </c>
      <c r="AK176" s="71">
        <v>171</v>
      </c>
      <c r="AL176" s="33"/>
      <c r="AM176" s="33"/>
      <c r="AN176" s="33"/>
      <c r="AO176" s="33"/>
      <c r="AP176" s="33"/>
      <c r="AQ176" s="194"/>
      <c r="AR176" s="194"/>
      <c r="AS176" s="194"/>
      <c r="AT176" s="194"/>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79"/>
        <v>0</v>
      </c>
      <c r="K177" s="33">
        <f t="shared" si="80"/>
        <v>0</v>
      </c>
      <c r="L177" s="33">
        <f t="shared" si="81"/>
        <v>0</v>
      </c>
      <c r="M177" s="33">
        <f t="shared" si="82"/>
        <v>0</v>
      </c>
      <c r="N177" s="33">
        <f t="shared" si="68"/>
        <v>0</v>
      </c>
      <c r="O177" s="34">
        <f t="shared" si="69"/>
        <v>0</v>
      </c>
      <c r="P177" s="55">
        <v>172</v>
      </c>
      <c r="Q177" s="33">
        <f t="shared" si="77"/>
        <v>0</v>
      </c>
      <c r="R177" s="33">
        <f t="shared" si="83"/>
        <v>0</v>
      </c>
      <c r="S177" s="33">
        <f t="shared" si="84"/>
        <v>0</v>
      </c>
      <c r="T177" s="33">
        <f t="shared" si="70"/>
        <v>0</v>
      </c>
      <c r="U177" s="33">
        <f t="shared" si="78"/>
        <v>0</v>
      </c>
      <c r="V177" s="33">
        <f t="shared" si="71"/>
        <v>0</v>
      </c>
      <c r="W177" s="33">
        <v>0</v>
      </c>
      <c r="X177" s="33">
        <f t="shared" si="72"/>
        <v>0</v>
      </c>
      <c r="Y177" s="38">
        <f t="shared" si="73"/>
        <v>0</v>
      </c>
      <c r="AA177" s="71">
        <v>172</v>
      </c>
      <c r="AB177" s="33">
        <f t="shared" si="74"/>
        <v>0</v>
      </c>
      <c r="AC177" s="305">
        <f t="shared" si="89"/>
        <v>0</v>
      </c>
      <c r="AD177" s="100">
        <f t="shared" si="75"/>
        <v>0</v>
      </c>
      <c r="AE177" s="100">
        <f t="shared" si="76"/>
        <v>0</v>
      </c>
      <c r="AF177" s="194">
        <f t="shared" si="85"/>
        <v>0</v>
      </c>
      <c r="AG177" s="194">
        <f t="shared" si="86"/>
        <v>0</v>
      </c>
      <c r="AH177" s="194">
        <f t="shared" si="87"/>
        <v>0</v>
      </c>
      <c r="AI177" s="199">
        <f t="shared" si="88"/>
        <v>0</v>
      </c>
      <c r="AK177" s="71">
        <v>172</v>
      </c>
      <c r="AL177" s="33"/>
      <c r="AM177" s="33"/>
      <c r="AN177" s="33"/>
      <c r="AO177" s="33"/>
      <c r="AP177" s="33"/>
      <c r="AQ177" s="194"/>
      <c r="AR177" s="194"/>
      <c r="AS177" s="194"/>
      <c r="AT177" s="194"/>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79"/>
        <v>0</v>
      </c>
      <c r="K178" s="33">
        <f t="shared" si="80"/>
        <v>0</v>
      </c>
      <c r="L178" s="33">
        <f t="shared" si="81"/>
        <v>0</v>
      </c>
      <c r="M178" s="33">
        <f t="shared" si="82"/>
        <v>0</v>
      </c>
      <c r="N178" s="33">
        <f t="shared" si="68"/>
        <v>0</v>
      </c>
      <c r="O178" s="34">
        <f t="shared" si="69"/>
        <v>0</v>
      </c>
      <c r="P178" s="55">
        <v>173</v>
      </c>
      <c r="Q178" s="33">
        <f t="shared" si="77"/>
        <v>0</v>
      </c>
      <c r="R178" s="33">
        <f t="shared" si="83"/>
        <v>0</v>
      </c>
      <c r="S178" s="33">
        <f t="shared" si="84"/>
        <v>0</v>
      </c>
      <c r="T178" s="33">
        <f t="shared" si="70"/>
        <v>0</v>
      </c>
      <c r="U178" s="33">
        <f t="shared" si="78"/>
        <v>0</v>
      </c>
      <c r="V178" s="33">
        <f t="shared" si="71"/>
        <v>0</v>
      </c>
      <c r="W178" s="33">
        <v>0</v>
      </c>
      <c r="X178" s="33">
        <f t="shared" si="72"/>
        <v>0</v>
      </c>
      <c r="Y178" s="38">
        <f t="shared" si="73"/>
        <v>0</v>
      </c>
      <c r="AA178" s="71">
        <v>173</v>
      </c>
      <c r="AB178" s="33">
        <f t="shared" si="74"/>
        <v>0</v>
      </c>
      <c r="AC178" s="305">
        <f t="shared" si="89"/>
        <v>0</v>
      </c>
      <c r="AD178" s="100">
        <f t="shared" si="75"/>
        <v>0</v>
      </c>
      <c r="AE178" s="100">
        <f t="shared" si="76"/>
        <v>0</v>
      </c>
      <c r="AF178" s="194">
        <f t="shared" si="85"/>
        <v>0</v>
      </c>
      <c r="AG178" s="194">
        <f t="shared" si="86"/>
        <v>0</v>
      </c>
      <c r="AH178" s="194">
        <f t="shared" si="87"/>
        <v>0</v>
      </c>
      <c r="AI178" s="199">
        <f t="shared" si="88"/>
        <v>0</v>
      </c>
      <c r="AK178" s="71">
        <v>173</v>
      </c>
      <c r="AL178" s="33"/>
      <c r="AM178" s="33"/>
      <c r="AN178" s="33"/>
      <c r="AO178" s="33"/>
      <c r="AP178" s="33"/>
      <c r="AQ178" s="194"/>
      <c r="AR178" s="194"/>
      <c r="AS178" s="194"/>
      <c r="AT178" s="194"/>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79"/>
        <v>0</v>
      </c>
      <c r="K179" s="33">
        <f t="shared" si="80"/>
        <v>0</v>
      </c>
      <c r="L179" s="33">
        <f t="shared" si="81"/>
        <v>0</v>
      </c>
      <c r="M179" s="33">
        <f t="shared" si="82"/>
        <v>0</v>
      </c>
      <c r="N179" s="33">
        <f t="shared" si="68"/>
        <v>0</v>
      </c>
      <c r="O179" s="34">
        <f t="shared" si="69"/>
        <v>0</v>
      </c>
      <c r="P179" s="55">
        <v>174</v>
      </c>
      <c r="Q179" s="33">
        <f t="shared" si="77"/>
        <v>0</v>
      </c>
      <c r="R179" s="33">
        <f t="shared" si="83"/>
        <v>0</v>
      </c>
      <c r="S179" s="33">
        <f t="shared" si="84"/>
        <v>0</v>
      </c>
      <c r="T179" s="33">
        <f t="shared" si="70"/>
        <v>0</v>
      </c>
      <c r="U179" s="33">
        <f t="shared" si="78"/>
        <v>0</v>
      </c>
      <c r="V179" s="33">
        <f t="shared" si="71"/>
        <v>0</v>
      </c>
      <c r="W179" s="33">
        <v>0</v>
      </c>
      <c r="X179" s="33">
        <f t="shared" si="72"/>
        <v>0</v>
      </c>
      <c r="Y179" s="38">
        <f t="shared" si="73"/>
        <v>0</v>
      </c>
      <c r="AA179" s="71">
        <v>174</v>
      </c>
      <c r="AB179" s="33">
        <f t="shared" si="74"/>
        <v>0</v>
      </c>
      <c r="AC179" s="305">
        <f t="shared" si="89"/>
        <v>0</v>
      </c>
      <c r="AD179" s="100">
        <f t="shared" si="75"/>
        <v>0</v>
      </c>
      <c r="AE179" s="100">
        <f t="shared" si="76"/>
        <v>0</v>
      </c>
      <c r="AF179" s="194">
        <f t="shared" si="85"/>
        <v>0</v>
      </c>
      <c r="AG179" s="194">
        <f t="shared" si="86"/>
        <v>0</v>
      </c>
      <c r="AH179" s="194">
        <f t="shared" si="87"/>
        <v>0</v>
      </c>
      <c r="AI179" s="199">
        <f t="shared" si="88"/>
        <v>0</v>
      </c>
      <c r="AK179" s="71">
        <v>174</v>
      </c>
      <c r="AL179" s="33"/>
      <c r="AM179" s="33"/>
      <c r="AN179" s="33"/>
      <c r="AO179" s="33"/>
      <c r="AP179" s="33"/>
      <c r="AQ179" s="194"/>
      <c r="AR179" s="194"/>
      <c r="AS179" s="194"/>
      <c r="AT179" s="194"/>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79"/>
        <v>0</v>
      </c>
      <c r="K180" s="33">
        <f t="shared" si="80"/>
        <v>0</v>
      </c>
      <c r="L180" s="33">
        <f t="shared" si="81"/>
        <v>0</v>
      </c>
      <c r="M180" s="33">
        <f t="shared" si="82"/>
        <v>0</v>
      </c>
      <c r="N180" s="33">
        <f t="shared" si="68"/>
        <v>0</v>
      </c>
      <c r="O180" s="34">
        <f t="shared" si="69"/>
        <v>0</v>
      </c>
      <c r="P180" s="55">
        <v>175</v>
      </c>
      <c r="Q180" s="33">
        <f t="shared" si="77"/>
        <v>0</v>
      </c>
      <c r="R180" s="33">
        <f t="shared" si="83"/>
        <v>0</v>
      </c>
      <c r="S180" s="33">
        <f t="shared" si="84"/>
        <v>0</v>
      </c>
      <c r="T180" s="33">
        <f t="shared" si="70"/>
        <v>0</v>
      </c>
      <c r="U180" s="33">
        <f t="shared" si="78"/>
        <v>0</v>
      </c>
      <c r="V180" s="33">
        <f t="shared" si="71"/>
        <v>0</v>
      </c>
      <c r="W180" s="33">
        <v>0</v>
      </c>
      <c r="X180" s="33">
        <f t="shared" si="72"/>
        <v>0</v>
      </c>
      <c r="Y180" s="38">
        <f t="shared" si="73"/>
        <v>0</v>
      </c>
      <c r="AA180" s="71">
        <v>175</v>
      </c>
      <c r="AB180" s="33">
        <f t="shared" si="74"/>
        <v>0</v>
      </c>
      <c r="AC180" s="305">
        <f t="shared" si="89"/>
        <v>0</v>
      </c>
      <c r="AD180" s="100">
        <f t="shared" si="75"/>
        <v>0</v>
      </c>
      <c r="AE180" s="100">
        <f t="shared" si="76"/>
        <v>0</v>
      </c>
      <c r="AF180" s="194">
        <f t="shared" si="85"/>
        <v>0</v>
      </c>
      <c r="AG180" s="194">
        <f t="shared" si="86"/>
        <v>0</v>
      </c>
      <c r="AH180" s="194">
        <f t="shared" si="87"/>
        <v>0</v>
      </c>
      <c r="AI180" s="199">
        <f t="shared" si="88"/>
        <v>0</v>
      </c>
      <c r="AK180" s="71">
        <v>175</v>
      </c>
      <c r="AL180" s="33"/>
      <c r="AM180" s="33"/>
      <c r="AN180" s="33"/>
      <c r="AO180" s="33"/>
      <c r="AP180" s="33"/>
      <c r="AQ180" s="194"/>
      <c r="AR180" s="194"/>
      <c r="AS180" s="194"/>
      <c r="AT180" s="194"/>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79"/>
        <v>0</v>
      </c>
      <c r="K181" s="33">
        <f t="shared" si="80"/>
        <v>0</v>
      </c>
      <c r="L181" s="33">
        <f t="shared" si="81"/>
        <v>0</v>
      </c>
      <c r="M181" s="33">
        <f t="shared" si="82"/>
        <v>0</v>
      </c>
      <c r="N181" s="33">
        <f t="shared" si="68"/>
        <v>0</v>
      </c>
      <c r="O181" s="34">
        <f t="shared" si="69"/>
        <v>0</v>
      </c>
      <c r="P181" s="55">
        <v>176</v>
      </c>
      <c r="Q181" s="33">
        <f t="shared" si="77"/>
        <v>0</v>
      </c>
      <c r="R181" s="33">
        <f t="shared" si="83"/>
        <v>0</v>
      </c>
      <c r="S181" s="33">
        <f t="shared" si="84"/>
        <v>0</v>
      </c>
      <c r="T181" s="33">
        <f t="shared" si="70"/>
        <v>0</v>
      </c>
      <c r="U181" s="33">
        <f t="shared" si="78"/>
        <v>0</v>
      </c>
      <c r="V181" s="33">
        <f t="shared" si="71"/>
        <v>0</v>
      </c>
      <c r="W181" s="33">
        <v>0</v>
      </c>
      <c r="X181" s="33">
        <f t="shared" si="72"/>
        <v>0</v>
      </c>
      <c r="Y181" s="38">
        <f t="shared" si="73"/>
        <v>0</v>
      </c>
      <c r="AA181" s="71">
        <v>176</v>
      </c>
      <c r="AB181" s="33">
        <f t="shared" si="74"/>
        <v>0</v>
      </c>
      <c r="AC181" s="305">
        <f t="shared" si="89"/>
        <v>0</v>
      </c>
      <c r="AD181" s="100">
        <f t="shared" si="75"/>
        <v>0</v>
      </c>
      <c r="AE181" s="100">
        <f t="shared" si="76"/>
        <v>0</v>
      </c>
      <c r="AF181" s="194">
        <f t="shared" si="85"/>
        <v>0</v>
      </c>
      <c r="AG181" s="194">
        <f t="shared" si="86"/>
        <v>0</v>
      </c>
      <c r="AH181" s="194">
        <f t="shared" si="87"/>
        <v>0</v>
      </c>
      <c r="AI181" s="199">
        <f t="shared" si="88"/>
        <v>0</v>
      </c>
      <c r="AK181" s="71">
        <v>176</v>
      </c>
      <c r="AL181" s="33"/>
      <c r="AM181" s="33"/>
      <c r="AN181" s="33"/>
      <c r="AO181" s="33"/>
      <c r="AP181" s="33"/>
      <c r="AQ181" s="194"/>
      <c r="AR181" s="194"/>
      <c r="AS181" s="194"/>
      <c r="AT181" s="194"/>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79"/>
        <v>0</v>
      </c>
      <c r="K182" s="33">
        <f t="shared" si="80"/>
        <v>0</v>
      </c>
      <c r="L182" s="33">
        <f t="shared" si="81"/>
        <v>0</v>
      </c>
      <c r="M182" s="33">
        <f t="shared" si="82"/>
        <v>0</v>
      </c>
      <c r="N182" s="33">
        <f t="shared" si="68"/>
        <v>0</v>
      </c>
      <c r="O182" s="34">
        <f t="shared" si="69"/>
        <v>0</v>
      </c>
      <c r="P182" s="55">
        <v>177</v>
      </c>
      <c r="Q182" s="33">
        <f t="shared" si="77"/>
        <v>0</v>
      </c>
      <c r="R182" s="33">
        <f t="shared" si="83"/>
        <v>0</v>
      </c>
      <c r="S182" s="33">
        <f t="shared" si="84"/>
        <v>0</v>
      </c>
      <c r="T182" s="33">
        <f t="shared" si="70"/>
        <v>0</v>
      </c>
      <c r="U182" s="33">
        <f t="shared" si="78"/>
        <v>0</v>
      </c>
      <c r="V182" s="33">
        <f t="shared" si="71"/>
        <v>0</v>
      </c>
      <c r="W182" s="33">
        <v>0</v>
      </c>
      <c r="X182" s="33">
        <f t="shared" si="72"/>
        <v>0</v>
      </c>
      <c r="Y182" s="38">
        <f t="shared" si="73"/>
        <v>0</v>
      </c>
      <c r="AA182" s="71">
        <v>177</v>
      </c>
      <c r="AB182" s="33">
        <f t="shared" si="74"/>
        <v>0</v>
      </c>
      <c r="AC182" s="305">
        <f t="shared" si="89"/>
        <v>0</v>
      </c>
      <c r="AD182" s="100">
        <f t="shared" si="75"/>
        <v>0</v>
      </c>
      <c r="AE182" s="100">
        <f t="shared" si="76"/>
        <v>0</v>
      </c>
      <c r="AF182" s="194">
        <f t="shared" si="85"/>
        <v>0</v>
      </c>
      <c r="AG182" s="194">
        <f t="shared" si="86"/>
        <v>0</v>
      </c>
      <c r="AH182" s="194">
        <f t="shared" si="87"/>
        <v>0</v>
      </c>
      <c r="AI182" s="199">
        <f t="shared" si="88"/>
        <v>0</v>
      </c>
      <c r="AK182" s="71">
        <v>177</v>
      </c>
      <c r="AL182" s="33"/>
      <c r="AM182" s="33"/>
      <c r="AN182" s="33"/>
      <c r="AO182" s="33"/>
      <c r="AP182" s="33"/>
      <c r="AQ182" s="194"/>
      <c r="AR182" s="194"/>
      <c r="AS182" s="194"/>
      <c r="AT182" s="194"/>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79"/>
        <v>0</v>
      </c>
      <c r="K183" s="33">
        <f t="shared" si="80"/>
        <v>0</v>
      </c>
      <c r="L183" s="33">
        <f t="shared" si="81"/>
        <v>0</v>
      </c>
      <c r="M183" s="33">
        <f t="shared" si="82"/>
        <v>0</v>
      </c>
      <c r="N183" s="33">
        <f t="shared" si="68"/>
        <v>0</v>
      </c>
      <c r="O183" s="34">
        <f t="shared" si="69"/>
        <v>0</v>
      </c>
      <c r="P183" s="55">
        <v>178</v>
      </c>
      <c r="Q183" s="33">
        <f t="shared" si="77"/>
        <v>0</v>
      </c>
      <c r="R183" s="33">
        <f t="shared" si="83"/>
        <v>0</v>
      </c>
      <c r="S183" s="33">
        <f t="shared" si="84"/>
        <v>0</v>
      </c>
      <c r="T183" s="33">
        <f t="shared" si="70"/>
        <v>0</v>
      </c>
      <c r="U183" s="33">
        <f t="shared" si="78"/>
        <v>0</v>
      </c>
      <c r="V183" s="33">
        <f t="shared" si="71"/>
        <v>0</v>
      </c>
      <c r="W183" s="33">
        <v>0</v>
      </c>
      <c r="X183" s="33">
        <f t="shared" si="72"/>
        <v>0</v>
      </c>
      <c r="Y183" s="38">
        <f t="shared" si="73"/>
        <v>0</v>
      </c>
      <c r="AA183" s="71">
        <v>178</v>
      </c>
      <c r="AB183" s="33">
        <f t="shared" si="74"/>
        <v>0</v>
      </c>
      <c r="AC183" s="305">
        <f t="shared" si="89"/>
        <v>0</v>
      </c>
      <c r="AD183" s="100">
        <f t="shared" si="75"/>
        <v>0</v>
      </c>
      <c r="AE183" s="100">
        <f t="shared" si="76"/>
        <v>0</v>
      </c>
      <c r="AF183" s="194">
        <f t="shared" si="85"/>
        <v>0</v>
      </c>
      <c r="AG183" s="194">
        <f t="shared" si="86"/>
        <v>0</v>
      </c>
      <c r="AH183" s="194">
        <f t="shared" si="87"/>
        <v>0</v>
      </c>
      <c r="AI183" s="199">
        <f t="shared" si="88"/>
        <v>0</v>
      </c>
      <c r="AK183" s="71">
        <v>178</v>
      </c>
      <c r="AL183" s="33"/>
      <c r="AM183" s="33"/>
      <c r="AN183" s="33"/>
      <c r="AO183" s="33"/>
      <c r="AP183" s="33"/>
      <c r="AQ183" s="194"/>
      <c r="AR183" s="194"/>
      <c r="AS183" s="194"/>
      <c r="AT183" s="194"/>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79"/>
        <v>0</v>
      </c>
      <c r="K184" s="33">
        <f t="shared" si="80"/>
        <v>0</v>
      </c>
      <c r="L184" s="33">
        <f t="shared" si="81"/>
        <v>0</v>
      </c>
      <c r="M184" s="33">
        <f t="shared" si="82"/>
        <v>0</v>
      </c>
      <c r="N184" s="33">
        <f t="shared" si="68"/>
        <v>0</v>
      </c>
      <c r="O184" s="34">
        <f t="shared" si="69"/>
        <v>0</v>
      </c>
      <c r="P184" s="55">
        <v>179</v>
      </c>
      <c r="Q184" s="33">
        <f t="shared" si="77"/>
        <v>0</v>
      </c>
      <c r="R184" s="33">
        <f t="shared" si="83"/>
        <v>0</v>
      </c>
      <c r="S184" s="33">
        <f t="shared" si="84"/>
        <v>0</v>
      </c>
      <c r="T184" s="33">
        <f t="shared" si="70"/>
        <v>0</v>
      </c>
      <c r="U184" s="33">
        <f t="shared" si="78"/>
        <v>0</v>
      </c>
      <c r="V184" s="33">
        <f t="shared" si="71"/>
        <v>0</v>
      </c>
      <c r="W184" s="33">
        <v>0</v>
      </c>
      <c r="X184" s="33">
        <f t="shared" si="72"/>
        <v>0</v>
      </c>
      <c r="Y184" s="38">
        <f t="shared" si="73"/>
        <v>0</v>
      </c>
      <c r="AA184" s="71">
        <v>179</v>
      </c>
      <c r="AB184" s="33">
        <f t="shared" si="74"/>
        <v>0</v>
      </c>
      <c r="AC184" s="305">
        <f t="shared" si="89"/>
        <v>0</v>
      </c>
      <c r="AD184" s="100">
        <f t="shared" si="75"/>
        <v>0</v>
      </c>
      <c r="AE184" s="100">
        <f t="shared" si="76"/>
        <v>0</v>
      </c>
      <c r="AF184" s="194">
        <f t="shared" si="85"/>
        <v>0</v>
      </c>
      <c r="AG184" s="194">
        <f t="shared" si="86"/>
        <v>0</v>
      </c>
      <c r="AH184" s="194">
        <f t="shared" si="87"/>
        <v>0</v>
      </c>
      <c r="AI184" s="199">
        <f t="shared" si="88"/>
        <v>0</v>
      </c>
      <c r="AK184" s="71">
        <v>179</v>
      </c>
      <c r="AL184" s="33"/>
      <c r="AM184" s="33"/>
      <c r="AN184" s="33"/>
      <c r="AO184" s="33"/>
      <c r="AP184" s="33"/>
      <c r="AQ184" s="194"/>
      <c r="AR184" s="194"/>
      <c r="AS184" s="194"/>
      <c r="AT184" s="194"/>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79"/>
        <v>0</v>
      </c>
      <c r="K185" s="33">
        <f t="shared" si="80"/>
        <v>0</v>
      </c>
      <c r="L185" s="33">
        <f t="shared" si="81"/>
        <v>0</v>
      </c>
      <c r="M185" s="33">
        <f t="shared" si="82"/>
        <v>0</v>
      </c>
      <c r="N185" s="33">
        <f t="shared" si="68"/>
        <v>0</v>
      </c>
      <c r="O185" s="34">
        <f t="shared" si="69"/>
        <v>0</v>
      </c>
      <c r="P185" s="55">
        <v>180</v>
      </c>
      <c r="Q185" s="33">
        <f t="shared" si="77"/>
        <v>0</v>
      </c>
      <c r="R185" s="33">
        <f t="shared" si="83"/>
        <v>0</v>
      </c>
      <c r="S185" s="33">
        <f t="shared" si="84"/>
        <v>0</v>
      </c>
      <c r="T185" s="33">
        <f t="shared" si="70"/>
        <v>0</v>
      </c>
      <c r="U185" s="33">
        <f t="shared" si="78"/>
        <v>0</v>
      </c>
      <c r="V185" s="33">
        <f t="shared" si="71"/>
        <v>0</v>
      </c>
      <c r="W185" s="33">
        <v>0</v>
      </c>
      <c r="X185" s="33">
        <f t="shared" si="72"/>
        <v>0</v>
      </c>
      <c r="Y185" s="38">
        <f t="shared" si="73"/>
        <v>0</v>
      </c>
      <c r="AA185" s="71">
        <v>180</v>
      </c>
      <c r="AB185" s="33">
        <f t="shared" si="74"/>
        <v>0</v>
      </c>
      <c r="AC185" s="305">
        <f t="shared" si="89"/>
        <v>0</v>
      </c>
      <c r="AD185" s="100">
        <f t="shared" si="75"/>
        <v>0</v>
      </c>
      <c r="AE185" s="100">
        <f t="shared" si="76"/>
        <v>0</v>
      </c>
      <c r="AF185" s="194">
        <f t="shared" si="85"/>
        <v>0</v>
      </c>
      <c r="AG185" s="194">
        <f t="shared" si="86"/>
        <v>0</v>
      </c>
      <c r="AH185" s="194">
        <f t="shared" si="87"/>
        <v>0</v>
      </c>
      <c r="AI185" s="199">
        <f t="shared" si="88"/>
        <v>0</v>
      </c>
      <c r="AK185" s="71">
        <v>180</v>
      </c>
      <c r="AL185" s="33"/>
      <c r="AM185" s="33"/>
      <c r="AN185" s="33"/>
      <c r="AO185" s="33"/>
      <c r="AP185" s="33"/>
      <c r="AQ185" s="194"/>
      <c r="AR185" s="194"/>
      <c r="AS185" s="194"/>
      <c r="AT185" s="194"/>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79"/>
        <v>0</v>
      </c>
      <c r="K186" s="33">
        <f t="shared" si="80"/>
        <v>0</v>
      </c>
      <c r="L186" s="33">
        <f t="shared" si="81"/>
        <v>0</v>
      </c>
      <c r="M186" s="33">
        <f t="shared" si="82"/>
        <v>0</v>
      </c>
      <c r="N186" s="33">
        <f t="shared" si="68"/>
        <v>0</v>
      </c>
      <c r="O186" s="34">
        <f t="shared" si="69"/>
        <v>0</v>
      </c>
      <c r="P186" s="55">
        <v>181</v>
      </c>
      <c r="Q186" s="33">
        <f t="shared" si="77"/>
        <v>0</v>
      </c>
      <c r="R186" s="33">
        <f t="shared" si="83"/>
        <v>0</v>
      </c>
      <c r="S186" s="33">
        <f t="shared" si="84"/>
        <v>0</v>
      </c>
      <c r="T186" s="33">
        <f t="shared" si="70"/>
        <v>0</v>
      </c>
      <c r="U186" s="33">
        <f t="shared" si="78"/>
        <v>0</v>
      </c>
      <c r="V186" s="33">
        <f t="shared" si="71"/>
        <v>0</v>
      </c>
      <c r="W186" s="33">
        <v>0</v>
      </c>
      <c r="X186" s="33">
        <f t="shared" si="72"/>
        <v>0</v>
      </c>
      <c r="Y186" s="38">
        <f t="shared" si="73"/>
        <v>0</v>
      </c>
      <c r="AA186" s="71">
        <v>181</v>
      </c>
      <c r="AB186" s="33">
        <f t="shared" si="74"/>
        <v>0</v>
      </c>
      <c r="AC186" s="305">
        <f t="shared" si="89"/>
        <v>0</v>
      </c>
      <c r="AD186" s="100">
        <f t="shared" si="75"/>
        <v>0</v>
      </c>
      <c r="AE186" s="100">
        <f t="shared" si="76"/>
        <v>0</v>
      </c>
      <c r="AF186" s="194">
        <f t="shared" si="85"/>
        <v>0</v>
      </c>
      <c r="AG186" s="194">
        <f t="shared" si="86"/>
        <v>0</v>
      </c>
      <c r="AH186" s="194">
        <f t="shared" si="87"/>
        <v>0</v>
      </c>
      <c r="AI186" s="199">
        <f t="shared" si="88"/>
        <v>0</v>
      </c>
      <c r="AK186" s="71">
        <v>181</v>
      </c>
      <c r="AL186" s="33"/>
      <c r="AM186" s="33"/>
      <c r="AN186" s="33"/>
      <c r="AO186" s="33"/>
      <c r="AP186" s="33"/>
      <c r="AQ186" s="194"/>
      <c r="AR186" s="194"/>
      <c r="AS186" s="194"/>
      <c r="AT186" s="194"/>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79"/>
        <v>0</v>
      </c>
      <c r="K187" s="33">
        <f t="shared" si="80"/>
        <v>0</v>
      </c>
      <c r="L187" s="33">
        <f t="shared" si="81"/>
        <v>0</v>
      </c>
      <c r="M187" s="33">
        <f t="shared" si="82"/>
        <v>0</v>
      </c>
      <c r="N187" s="33">
        <f t="shared" si="68"/>
        <v>0</v>
      </c>
      <c r="O187" s="34">
        <f t="shared" si="69"/>
        <v>0</v>
      </c>
      <c r="P187" s="55">
        <v>182</v>
      </c>
      <c r="Q187" s="33">
        <f t="shared" si="77"/>
        <v>0</v>
      </c>
      <c r="R187" s="33">
        <f t="shared" si="83"/>
        <v>0</v>
      </c>
      <c r="S187" s="33">
        <f t="shared" si="84"/>
        <v>0</v>
      </c>
      <c r="T187" s="33">
        <f t="shared" si="70"/>
        <v>0</v>
      </c>
      <c r="U187" s="33">
        <f t="shared" si="78"/>
        <v>0</v>
      </c>
      <c r="V187" s="33">
        <f t="shared" si="71"/>
        <v>0</v>
      </c>
      <c r="W187" s="33">
        <v>0</v>
      </c>
      <c r="X187" s="33">
        <f t="shared" si="72"/>
        <v>0</v>
      </c>
      <c r="Y187" s="38">
        <f t="shared" si="73"/>
        <v>0</v>
      </c>
      <c r="AA187" s="71">
        <v>182</v>
      </c>
      <c r="AB187" s="33">
        <f t="shared" si="74"/>
        <v>0</v>
      </c>
      <c r="AC187" s="305">
        <f t="shared" si="89"/>
        <v>0</v>
      </c>
      <c r="AD187" s="100">
        <f t="shared" si="75"/>
        <v>0</v>
      </c>
      <c r="AE187" s="100">
        <f t="shared" si="76"/>
        <v>0</v>
      </c>
      <c r="AF187" s="194">
        <f t="shared" si="85"/>
        <v>0</v>
      </c>
      <c r="AG187" s="194">
        <f t="shared" si="86"/>
        <v>0</v>
      </c>
      <c r="AH187" s="194">
        <f t="shared" si="87"/>
        <v>0</v>
      </c>
      <c r="AI187" s="199">
        <f t="shared" si="88"/>
        <v>0</v>
      </c>
      <c r="AK187" s="71">
        <v>182</v>
      </c>
      <c r="AL187" s="33"/>
      <c r="AM187" s="33"/>
      <c r="AN187" s="33"/>
      <c r="AO187" s="33"/>
      <c r="AP187" s="33"/>
      <c r="AQ187" s="194"/>
      <c r="AR187" s="194"/>
      <c r="AS187" s="194"/>
      <c r="AT187" s="194"/>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79"/>
        <v>0</v>
      </c>
      <c r="K188" s="33">
        <f t="shared" si="80"/>
        <v>0</v>
      </c>
      <c r="L188" s="33">
        <f t="shared" si="81"/>
        <v>0</v>
      </c>
      <c r="M188" s="33">
        <f t="shared" si="82"/>
        <v>0</v>
      </c>
      <c r="N188" s="33">
        <f t="shared" si="68"/>
        <v>0</v>
      </c>
      <c r="O188" s="34">
        <f t="shared" si="69"/>
        <v>0</v>
      </c>
      <c r="P188" s="55">
        <v>183</v>
      </c>
      <c r="Q188" s="33">
        <f t="shared" si="77"/>
        <v>0</v>
      </c>
      <c r="R188" s="33">
        <f t="shared" si="83"/>
        <v>0</v>
      </c>
      <c r="S188" s="33">
        <f t="shared" si="84"/>
        <v>0</v>
      </c>
      <c r="T188" s="33">
        <f t="shared" si="70"/>
        <v>0</v>
      </c>
      <c r="U188" s="33">
        <f t="shared" si="78"/>
        <v>0</v>
      </c>
      <c r="V188" s="33">
        <f t="shared" si="71"/>
        <v>0</v>
      </c>
      <c r="W188" s="33">
        <v>0</v>
      </c>
      <c r="X188" s="33">
        <f t="shared" si="72"/>
        <v>0</v>
      </c>
      <c r="Y188" s="38">
        <f t="shared" si="73"/>
        <v>0</v>
      </c>
      <c r="AA188" s="71">
        <v>183</v>
      </c>
      <c r="AB188" s="33">
        <f t="shared" si="74"/>
        <v>0</v>
      </c>
      <c r="AC188" s="305">
        <f t="shared" si="89"/>
        <v>0</v>
      </c>
      <c r="AD188" s="100">
        <f t="shared" si="75"/>
        <v>0</v>
      </c>
      <c r="AE188" s="100">
        <f t="shared" si="76"/>
        <v>0</v>
      </c>
      <c r="AF188" s="194">
        <f t="shared" si="85"/>
        <v>0</v>
      </c>
      <c r="AG188" s="194">
        <f t="shared" si="86"/>
        <v>0</v>
      </c>
      <c r="AH188" s="194">
        <f t="shared" si="87"/>
        <v>0</v>
      </c>
      <c r="AI188" s="199">
        <f t="shared" si="88"/>
        <v>0</v>
      </c>
      <c r="AK188" s="71">
        <v>183</v>
      </c>
      <c r="AL188" s="33"/>
      <c r="AM188" s="33"/>
      <c r="AN188" s="33"/>
      <c r="AO188" s="33"/>
      <c r="AP188" s="33"/>
      <c r="AQ188" s="194"/>
      <c r="AR188" s="194"/>
      <c r="AS188" s="194"/>
      <c r="AT188" s="194"/>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79"/>
        <v>0</v>
      </c>
      <c r="K189" s="33">
        <f t="shared" si="80"/>
        <v>0</v>
      </c>
      <c r="L189" s="33">
        <f t="shared" si="81"/>
        <v>0</v>
      </c>
      <c r="M189" s="33">
        <f t="shared" si="82"/>
        <v>0</v>
      </c>
      <c r="N189" s="33">
        <f t="shared" si="68"/>
        <v>0</v>
      </c>
      <c r="O189" s="34">
        <f t="shared" si="69"/>
        <v>0</v>
      </c>
      <c r="P189" s="55">
        <v>184</v>
      </c>
      <c r="Q189" s="33">
        <f t="shared" si="77"/>
        <v>0</v>
      </c>
      <c r="R189" s="33">
        <f t="shared" si="83"/>
        <v>0</v>
      </c>
      <c r="S189" s="33">
        <f t="shared" si="84"/>
        <v>0</v>
      </c>
      <c r="T189" s="33">
        <f t="shared" si="70"/>
        <v>0</v>
      </c>
      <c r="U189" s="33">
        <f t="shared" si="78"/>
        <v>0</v>
      </c>
      <c r="V189" s="33">
        <f t="shared" si="71"/>
        <v>0</v>
      </c>
      <c r="W189" s="33">
        <v>0</v>
      </c>
      <c r="X189" s="33">
        <f t="shared" si="72"/>
        <v>0</v>
      </c>
      <c r="Y189" s="38">
        <f t="shared" si="73"/>
        <v>0</v>
      </c>
      <c r="AA189" s="71">
        <v>184</v>
      </c>
      <c r="AB189" s="33">
        <f t="shared" si="74"/>
        <v>0</v>
      </c>
      <c r="AC189" s="305">
        <f t="shared" si="89"/>
        <v>0</v>
      </c>
      <c r="AD189" s="100">
        <f t="shared" si="75"/>
        <v>0</v>
      </c>
      <c r="AE189" s="100">
        <f t="shared" si="76"/>
        <v>0</v>
      </c>
      <c r="AF189" s="194">
        <f t="shared" si="85"/>
        <v>0</v>
      </c>
      <c r="AG189" s="194">
        <f t="shared" si="86"/>
        <v>0</v>
      </c>
      <c r="AH189" s="194">
        <f t="shared" si="87"/>
        <v>0</v>
      </c>
      <c r="AI189" s="199">
        <f t="shared" si="88"/>
        <v>0</v>
      </c>
      <c r="AK189" s="71">
        <v>184</v>
      </c>
      <c r="AL189" s="33"/>
      <c r="AM189" s="33"/>
      <c r="AN189" s="33"/>
      <c r="AO189" s="33"/>
      <c r="AP189" s="33"/>
      <c r="AQ189" s="194"/>
      <c r="AR189" s="194"/>
      <c r="AS189" s="194"/>
      <c r="AT189" s="194"/>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79"/>
        <v>0</v>
      </c>
      <c r="K190" s="33">
        <f t="shared" si="80"/>
        <v>0</v>
      </c>
      <c r="L190" s="33">
        <f t="shared" si="81"/>
        <v>0</v>
      </c>
      <c r="M190" s="33">
        <f t="shared" si="82"/>
        <v>0</v>
      </c>
      <c r="N190" s="33">
        <f t="shared" si="68"/>
        <v>0</v>
      </c>
      <c r="O190" s="34">
        <f t="shared" si="69"/>
        <v>0</v>
      </c>
      <c r="P190" s="55">
        <v>185</v>
      </c>
      <c r="Q190" s="33">
        <f t="shared" si="77"/>
        <v>0</v>
      </c>
      <c r="R190" s="33">
        <f t="shared" si="83"/>
        <v>0</v>
      </c>
      <c r="S190" s="33">
        <f t="shared" si="84"/>
        <v>0</v>
      </c>
      <c r="T190" s="33">
        <f t="shared" si="70"/>
        <v>0</v>
      </c>
      <c r="U190" s="33">
        <f t="shared" si="78"/>
        <v>0</v>
      </c>
      <c r="V190" s="33">
        <f t="shared" si="71"/>
        <v>0</v>
      </c>
      <c r="W190" s="33">
        <v>0</v>
      </c>
      <c r="X190" s="33">
        <f t="shared" si="72"/>
        <v>0</v>
      </c>
      <c r="Y190" s="38">
        <f t="shared" si="73"/>
        <v>0</v>
      </c>
      <c r="AA190" s="71">
        <v>185</v>
      </c>
      <c r="AB190" s="33">
        <f t="shared" si="74"/>
        <v>0</v>
      </c>
      <c r="AC190" s="305">
        <f t="shared" si="89"/>
        <v>0</v>
      </c>
      <c r="AD190" s="100">
        <f t="shared" si="75"/>
        <v>0</v>
      </c>
      <c r="AE190" s="100">
        <f t="shared" si="76"/>
        <v>0</v>
      </c>
      <c r="AF190" s="194">
        <f t="shared" si="85"/>
        <v>0</v>
      </c>
      <c r="AG190" s="194">
        <f t="shared" si="86"/>
        <v>0</v>
      </c>
      <c r="AH190" s="194">
        <f t="shared" si="87"/>
        <v>0</v>
      </c>
      <c r="AI190" s="199">
        <f t="shared" si="88"/>
        <v>0</v>
      </c>
      <c r="AK190" s="71">
        <v>185</v>
      </c>
      <c r="AL190" s="33"/>
      <c r="AM190" s="33"/>
      <c r="AN190" s="33"/>
      <c r="AO190" s="33"/>
      <c r="AP190" s="33"/>
      <c r="AQ190" s="194"/>
      <c r="AR190" s="194"/>
      <c r="AS190" s="194"/>
      <c r="AT190" s="194"/>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79"/>
        <v>0</v>
      </c>
      <c r="K191" s="33">
        <f t="shared" si="80"/>
        <v>0</v>
      </c>
      <c r="L191" s="33">
        <f t="shared" si="81"/>
        <v>0</v>
      </c>
      <c r="M191" s="33">
        <f t="shared" si="82"/>
        <v>0</v>
      </c>
      <c r="N191" s="33">
        <f t="shared" si="68"/>
        <v>0</v>
      </c>
      <c r="O191" s="34">
        <f t="shared" si="69"/>
        <v>0</v>
      </c>
      <c r="P191" s="55">
        <v>186</v>
      </c>
      <c r="Q191" s="33">
        <f t="shared" si="77"/>
        <v>0</v>
      </c>
      <c r="R191" s="33">
        <f t="shared" si="83"/>
        <v>0</v>
      </c>
      <c r="S191" s="33">
        <f t="shared" si="84"/>
        <v>0</v>
      </c>
      <c r="T191" s="33">
        <f t="shared" si="70"/>
        <v>0</v>
      </c>
      <c r="U191" s="33">
        <f t="shared" si="78"/>
        <v>0</v>
      </c>
      <c r="V191" s="33">
        <f t="shared" si="71"/>
        <v>0</v>
      </c>
      <c r="W191" s="33">
        <v>0</v>
      </c>
      <c r="X191" s="33">
        <f t="shared" si="72"/>
        <v>0</v>
      </c>
      <c r="Y191" s="38">
        <f t="shared" si="73"/>
        <v>0</v>
      </c>
      <c r="AA191" s="71">
        <v>186</v>
      </c>
      <c r="AB191" s="33">
        <f t="shared" si="74"/>
        <v>0</v>
      </c>
      <c r="AC191" s="305">
        <f t="shared" si="89"/>
        <v>0</v>
      </c>
      <c r="AD191" s="100">
        <f t="shared" si="75"/>
        <v>0</v>
      </c>
      <c r="AE191" s="100">
        <f t="shared" si="76"/>
        <v>0</v>
      </c>
      <c r="AF191" s="194">
        <f t="shared" si="85"/>
        <v>0</v>
      </c>
      <c r="AG191" s="194">
        <f t="shared" si="86"/>
        <v>0</v>
      </c>
      <c r="AH191" s="194">
        <f t="shared" si="87"/>
        <v>0</v>
      </c>
      <c r="AI191" s="199">
        <f t="shared" si="88"/>
        <v>0</v>
      </c>
      <c r="AK191" s="71">
        <v>186</v>
      </c>
      <c r="AL191" s="33"/>
      <c r="AM191" s="33"/>
      <c r="AN191" s="33"/>
      <c r="AO191" s="33"/>
      <c r="AP191" s="33"/>
      <c r="AQ191" s="194"/>
      <c r="AR191" s="194"/>
      <c r="AS191" s="194"/>
      <c r="AT191" s="194"/>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79"/>
        <v>0</v>
      </c>
      <c r="K192" s="33">
        <f t="shared" si="80"/>
        <v>0</v>
      </c>
      <c r="L192" s="33">
        <f t="shared" si="81"/>
        <v>0</v>
      </c>
      <c r="M192" s="33">
        <f t="shared" si="82"/>
        <v>0</v>
      </c>
      <c r="N192" s="33">
        <f t="shared" si="68"/>
        <v>0</v>
      </c>
      <c r="O192" s="34">
        <f t="shared" si="69"/>
        <v>0</v>
      </c>
      <c r="P192" s="55">
        <v>187</v>
      </c>
      <c r="Q192" s="33">
        <f t="shared" si="77"/>
        <v>0</v>
      </c>
      <c r="R192" s="33">
        <f t="shared" si="83"/>
        <v>0</v>
      </c>
      <c r="S192" s="33">
        <f t="shared" si="84"/>
        <v>0</v>
      </c>
      <c r="T192" s="33">
        <f t="shared" si="70"/>
        <v>0</v>
      </c>
      <c r="U192" s="33">
        <f t="shared" si="78"/>
        <v>0</v>
      </c>
      <c r="V192" s="33">
        <f t="shared" si="71"/>
        <v>0</v>
      </c>
      <c r="W192" s="33">
        <v>0</v>
      </c>
      <c r="X192" s="33">
        <f t="shared" si="72"/>
        <v>0</v>
      </c>
      <c r="Y192" s="38">
        <f t="shared" si="73"/>
        <v>0</v>
      </c>
      <c r="AA192" s="71">
        <v>187</v>
      </c>
      <c r="AB192" s="33">
        <f t="shared" si="74"/>
        <v>0</v>
      </c>
      <c r="AC192" s="305">
        <f t="shared" si="89"/>
        <v>0</v>
      </c>
      <c r="AD192" s="100">
        <f t="shared" si="75"/>
        <v>0</v>
      </c>
      <c r="AE192" s="100">
        <f t="shared" si="76"/>
        <v>0</v>
      </c>
      <c r="AF192" s="194">
        <f t="shared" si="85"/>
        <v>0</v>
      </c>
      <c r="AG192" s="194">
        <f t="shared" si="86"/>
        <v>0</v>
      </c>
      <c r="AH192" s="194">
        <f t="shared" si="87"/>
        <v>0</v>
      </c>
      <c r="AI192" s="199">
        <f t="shared" si="88"/>
        <v>0</v>
      </c>
      <c r="AK192" s="71">
        <v>187</v>
      </c>
      <c r="AL192" s="33"/>
      <c r="AM192" s="33"/>
      <c r="AN192" s="33"/>
      <c r="AO192" s="33"/>
      <c r="AP192" s="33"/>
      <c r="AQ192" s="194"/>
      <c r="AR192" s="194"/>
      <c r="AS192" s="194"/>
      <c r="AT192" s="194"/>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79"/>
        <v>0</v>
      </c>
      <c r="K193" s="33">
        <f t="shared" si="80"/>
        <v>0</v>
      </c>
      <c r="L193" s="33">
        <f t="shared" si="81"/>
        <v>0</v>
      </c>
      <c r="M193" s="33">
        <f t="shared" si="82"/>
        <v>0</v>
      </c>
      <c r="N193" s="33">
        <f t="shared" si="68"/>
        <v>0</v>
      </c>
      <c r="O193" s="34">
        <f t="shared" si="69"/>
        <v>0</v>
      </c>
      <c r="P193" s="55">
        <v>188</v>
      </c>
      <c r="Q193" s="33">
        <f t="shared" si="77"/>
        <v>0</v>
      </c>
      <c r="R193" s="33">
        <f t="shared" si="83"/>
        <v>0</v>
      </c>
      <c r="S193" s="33">
        <f t="shared" si="84"/>
        <v>0</v>
      </c>
      <c r="T193" s="33">
        <f t="shared" si="70"/>
        <v>0</v>
      </c>
      <c r="U193" s="33">
        <f t="shared" si="78"/>
        <v>0</v>
      </c>
      <c r="V193" s="33">
        <f t="shared" si="71"/>
        <v>0</v>
      </c>
      <c r="W193" s="33">
        <v>0</v>
      </c>
      <c r="X193" s="33">
        <f t="shared" si="72"/>
        <v>0</v>
      </c>
      <c r="Y193" s="38">
        <f t="shared" si="73"/>
        <v>0</v>
      </c>
      <c r="AA193" s="71">
        <v>188</v>
      </c>
      <c r="AB193" s="33">
        <f t="shared" si="74"/>
        <v>0</v>
      </c>
      <c r="AC193" s="305">
        <f t="shared" si="89"/>
        <v>0</v>
      </c>
      <c r="AD193" s="100">
        <f t="shared" si="75"/>
        <v>0</v>
      </c>
      <c r="AE193" s="100">
        <f t="shared" si="76"/>
        <v>0</v>
      </c>
      <c r="AF193" s="194">
        <f t="shared" si="85"/>
        <v>0</v>
      </c>
      <c r="AG193" s="194">
        <f t="shared" si="86"/>
        <v>0</v>
      </c>
      <c r="AH193" s="194">
        <f t="shared" si="87"/>
        <v>0</v>
      </c>
      <c r="AI193" s="199">
        <f t="shared" si="88"/>
        <v>0</v>
      </c>
      <c r="AK193" s="71">
        <v>188</v>
      </c>
      <c r="AL193" s="33"/>
      <c r="AM193" s="33"/>
      <c r="AN193" s="33"/>
      <c r="AO193" s="33"/>
      <c r="AP193" s="33"/>
      <c r="AQ193" s="194"/>
      <c r="AR193" s="194"/>
      <c r="AS193" s="194"/>
      <c r="AT193" s="194"/>
      <c r="AU193" s="33"/>
      <c r="AV193" s="33"/>
      <c r="AW193" s="33"/>
      <c r="AX193" s="33"/>
      <c r="AY193" s="76"/>
    </row>
    <row r="194" spans="3:51" x14ac:dyDescent="0.3">
      <c r="C194" s="168" t="s">
        <v>69</v>
      </c>
      <c r="D194" s="3">
        <v>0.42</v>
      </c>
      <c r="E194" s="188" t="s">
        <v>229</v>
      </c>
      <c r="F194" s="343">
        <f>IF(OR(Tableau145[[#This Row],[Type]]="Feuillus",Tableau145[[#This Row],[Type]]="Peupliers"),1.56,1.3)</f>
        <v>1.3</v>
      </c>
      <c r="I194" s="55">
        <v>189</v>
      </c>
      <c r="J194" s="33">
        <f t="shared" si="79"/>
        <v>0</v>
      </c>
      <c r="K194" s="33">
        <f t="shared" si="80"/>
        <v>0</v>
      </c>
      <c r="L194" s="33">
        <f t="shared" si="81"/>
        <v>0</v>
      </c>
      <c r="M194" s="33">
        <f t="shared" si="82"/>
        <v>0</v>
      </c>
      <c r="N194" s="33">
        <f t="shared" si="68"/>
        <v>0</v>
      </c>
      <c r="O194" s="34">
        <f t="shared" si="69"/>
        <v>0</v>
      </c>
      <c r="P194" s="55">
        <v>189</v>
      </c>
      <c r="Q194" s="33">
        <f t="shared" si="77"/>
        <v>0</v>
      </c>
      <c r="R194" s="33">
        <f t="shared" si="83"/>
        <v>0</v>
      </c>
      <c r="S194" s="33">
        <f t="shared" si="84"/>
        <v>0</v>
      </c>
      <c r="T194" s="33">
        <f t="shared" si="70"/>
        <v>0</v>
      </c>
      <c r="U194" s="33">
        <f t="shared" si="78"/>
        <v>0</v>
      </c>
      <c r="V194" s="33">
        <f t="shared" si="71"/>
        <v>0</v>
      </c>
      <c r="W194" s="33">
        <v>0</v>
      </c>
      <c r="X194" s="33">
        <f t="shared" si="72"/>
        <v>0</v>
      </c>
      <c r="Y194" s="38">
        <f t="shared" si="73"/>
        <v>0</v>
      </c>
      <c r="AA194" s="71">
        <v>189</v>
      </c>
      <c r="AB194" s="33">
        <f t="shared" si="74"/>
        <v>0</v>
      </c>
      <c r="AC194" s="305">
        <f t="shared" si="89"/>
        <v>0</v>
      </c>
      <c r="AD194" s="100">
        <f t="shared" si="75"/>
        <v>0</v>
      </c>
      <c r="AE194" s="100">
        <f t="shared" si="76"/>
        <v>0</v>
      </c>
      <c r="AF194" s="194">
        <f t="shared" si="85"/>
        <v>0</v>
      </c>
      <c r="AG194" s="194">
        <f t="shared" si="86"/>
        <v>0</v>
      </c>
      <c r="AH194" s="194">
        <f t="shared" si="87"/>
        <v>0</v>
      </c>
      <c r="AI194" s="199">
        <f t="shared" si="88"/>
        <v>0</v>
      </c>
      <c r="AK194" s="71">
        <v>189</v>
      </c>
      <c r="AL194" s="33"/>
      <c r="AM194" s="33"/>
      <c r="AN194" s="33"/>
      <c r="AO194" s="33"/>
      <c r="AP194" s="33"/>
      <c r="AQ194" s="194"/>
      <c r="AR194" s="194"/>
      <c r="AS194" s="194"/>
      <c r="AT194" s="194"/>
      <c r="AU194" s="33"/>
      <c r="AV194" s="33"/>
      <c r="AW194" s="33"/>
      <c r="AX194" s="33"/>
      <c r="AY194" s="76"/>
    </row>
    <row r="195" spans="3:51" x14ac:dyDescent="0.3">
      <c r="C195" s="168" t="s">
        <v>70</v>
      </c>
      <c r="D195" s="3">
        <v>0.56999999999999995</v>
      </c>
      <c r="E195" s="188" t="s">
        <v>228</v>
      </c>
      <c r="F195" s="343">
        <f>IF(OR(Tableau145[[#This Row],[Type]]="Feuillus",Tableau145[[#This Row],[Type]]="Peupliers"),1.56,1.3)</f>
        <v>1.56</v>
      </c>
      <c r="I195" s="55">
        <v>190</v>
      </c>
      <c r="J195" s="33">
        <f t="shared" si="79"/>
        <v>0</v>
      </c>
      <c r="K195" s="33">
        <f t="shared" si="80"/>
        <v>0</v>
      </c>
      <c r="L195" s="33">
        <f t="shared" si="81"/>
        <v>0</v>
      </c>
      <c r="M195" s="33">
        <f t="shared" si="82"/>
        <v>0</v>
      </c>
      <c r="N195" s="33">
        <f t="shared" si="68"/>
        <v>0</v>
      </c>
      <c r="O195" s="34">
        <f t="shared" si="69"/>
        <v>0</v>
      </c>
      <c r="P195" s="55">
        <v>190</v>
      </c>
      <c r="Q195" s="33">
        <f t="shared" si="77"/>
        <v>0</v>
      </c>
      <c r="R195" s="33">
        <f t="shared" si="83"/>
        <v>0</v>
      </c>
      <c r="S195" s="33">
        <f t="shared" si="84"/>
        <v>0</v>
      </c>
      <c r="T195" s="33">
        <f t="shared" si="70"/>
        <v>0</v>
      </c>
      <c r="U195" s="33">
        <f t="shared" si="78"/>
        <v>0</v>
      </c>
      <c r="V195" s="33">
        <f t="shared" si="71"/>
        <v>0</v>
      </c>
      <c r="W195" s="33">
        <v>0</v>
      </c>
      <c r="X195" s="33">
        <f t="shared" si="72"/>
        <v>0</v>
      </c>
      <c r="Y195" s="38">
        <f t="shared" si="73"/>
        <v>0</v>
      </c>
      <c r="AA195" s="71">
        <v>190</v>
      </c>
      <c r="AB195" s="33">
        <f t="shared" si="74"/>
        <v>0</v>
      </c>
      <c r="AC195" s="305">
        <f t="shared" si="89"/>
        <v>0</v>
      </c>
      <c r="AD195" s="100">
        <f t="shared" si="75"/>
        <v>0</v>
      </c>
      <c r="AE195" s="100">
        <f t="shared" si="76"/>
        <v>0</v>
      </c>
      <c r="AF195" s="194">
        <f t="shared" si="85"/>
        <v>0</v>
      </c>
      <c r="AG195" s="194">
        <f t="shared" si="86"/>
        <v>0</v>
      </c>
      <c r="AH195" s="194">
        <f t="shared" si="87"/>
        <v>0</v>
      </c>
      <c r="AI195" s="199">
        <f t="shared" si="88"/>
        <v>0</v>
      </c>
      <c r="AK195" s="71">
        <v>190</v>
      </c>
      <c r="AL195" s="33"/>
      <c r="AM195" s="33"/>
      <c r="AN195" s="33"/>
      <c r="AO195" s="33"/>
      <c r="AP195" s="33"/>
      <c r="AQ195" s="194"/>
      <c r="AR195" s="194"/>
      <c r="AS195" s="194"/>
      <c r="AT195" s="194"/>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79"/>
        <v>0</v>
      </c>
      <c r="K196" s="33">
        <f t="shared" si="80"/>
        <v>0</v>
      </c>
      <c r="L196" s="33">
        <f t="shared" si="81"/>
        <v>0</v>
      </c>
      <c r="M196" s="33">
        <f t="shared" si="82"/>
        <v>0</v>
      </c>
      <c r="N196" s="33">
        <f t="shared" si="68"/>
        <v>0</v>
      </c>
      <c r="O196" s="34">
        <f t="shared" si="69"/>
        <v>0</v>
      </c>
      <c r="P196" s="55">
        <v>191</v>
      </c>
      <c r="Q196" s="33">
        <f t="shared" si="77"/>
        <v>0</v>
      </c>
      <c r="R196" s="33">
        <f t="shared" si="83"/>
        <v>0</v>
      </c>
      <c r="S196" s="33">
        <f t="shared" si="84"/>
        <v>0</v>
      </c>
      <c r="T196" s="33">
        <f t="shared" si="70"/>
        <v>0</v>
      </c>
      <c r="U196" s="33">
        <f t="shared" si="78"/>
        <v>0</v>
      </c>
      <c r="V196" s="33">
        <f t="shared" si="71"/>
        <v>0</v>
      </c>
      <c r="W196" s="33">
        <v>0</v>
      </c>
      <c r="X196" s="33">
        <f t="shared" si="72"/>
        <v>0</v>
      </c>
      <c r="Y196" s="38">
        <f t="shared" si="73"/>
        <v>0</v>
      </c>
      <c r="AA196" s="71">
        <v>191</v>
      </c>
      <c r="AB196" s="33">
        <f t="shared" si="74"/>
        <v>0</v>
      </c>
      <c r="AC196" s="305">
        <f t="shared" si="89"/>
        <v>0</v>
      </c>
      <c r="AD196" s="100">
        <f t="shared" si="75"/>
        <v>0</v>
      </c>
      <c r="AE196" s="100">
        <f t="shared" si="76"/>
        <v>0</v>
      </c>
      <c r="AF196" s="194">
        <f t="shared" si="85"/>
        <v>0</v>
      </c>
      <c r="AG196" s="194">
        <f t="shared" si="86"/>
        <v>0</v>
      </c>
      <c r="AH196" s="194">
        <f t="shared" si="87"/>
        <v>0</v>
      </c>
      <c r="AI196" s="199">
        <f t="shared" si="88"/>
        <v>0</v>
      </c>
      <c r="AK196" s="71">
        <v>191</v>
      </c>
      <c r="AL196" s="33"/>
      <c r="AM196" s="33"/>
      <c r="AN196" s="33"/>
      <c r="AO196" s="33"/>
      <c r="AP196" s="33"/>
      <c r="AQ196" s="194"/>
      <c r="AR196" s="194"/>
      <c r="AS196" s="194"/>
      <c r="AT196" s="194"/>
      <c r="AU196" s="33"/>
      <c r="AV196" s="33"/>
      <c r="AW196" s="33"/>
      <c r="AX196" s="33"/>
      <c r="AY196" s="76"/>
    </row>
    <row r="197" spans="3:51" x14ac:dyDescent="0.3">
      <c r="E197" s="24"/>
      <c r="I197" s="55">
        <v>192</v>
      </c>
      <c r="J197" s="33">
        <f t="shared" si="79"/>
        <v>0</v>
      </c>
      <c r="K197" s="33">
        <f t="shared" si="80"/>
        <v>0</v>
      </c>
      <c r="L197" s="33">
        <f t="shared" si="81"/>
        <v>0</v>
      </c>
      <c r="M197" s="33">
        <f t="shared" si="82"/>
        <v>0</v>
      </c>
      <c r="N197" s="33">
        <f t="shared" ref="N197:N204" si="90">IF(P198&lt;=$F$18,0,)</f>
        <v>0</v>
      </c>
      <c r="O197" s="34">
        <f t="shared" ref="O197:O205" si="91">((J197+K197)*0.475+L197+M197+N197)*44/12</f>
        <v>0</v>
      </c>
      <c r="P197" s="55">
        <v>192</v>
      </c>
      <c r="Q197" s="33">
        <f t="shared" si="77"/>
        <v>0</v>
      </c>
      <c r="R197" s="33">
        <f t="shared" si="83"/>
        <v>0</v>
      </c>
      <c r="S197" s="33">
        <f t="shared" si="84"/>
        <v>0</v>
      </c>
      <c r="T197" s="33">
        <f t="shared" ref="T197:T205" si="92">IF(S197=0,0,EXP(-1.0587+0.8836*LN(S197)+0.284))</f>
        <v>0</v>
      </c>
      <c r="U197" s="33">
        <f t="shared" si="78"/>
        <v>0</v>
      </c>
      <c r="V197" s="33">
        <f t="shared" ref="V197:V205" si="93">IF(P197&lt;=$F$18,IF(P197&lt;=30,P197*($F$16-$F$6)/30,$F$16-$F$6),)</f>
        <v>0</v>
      </c>
      <c r="W197" s="33">
        <v>0</v>
      </c>
      <c r="X197" s="33">
        <f t="shared" ref="X197:X205" si="94">((S197+T197)*0.475+U197+V197+W197)*44/12</f>
        <v>0</v>
      </c>
      <c r="Y197" s="38">
        <f t="shared" ref="Y197:Y205" si="95">IF(P197&lt;=$F$18,X197-O197,)</f>
        <v>0</v>
      </c>
      <c r="AA197" s="71">
        <v>192</v>
      </c>
      <c r="AB197" s="33">
        <f t="shared" ref="AB197:AB205" si="96">IF(AA197&lt;=$F$18,IFERROR(VLOOKUP($AA197,$B$82:$G$94,2,FALSE),0),)</f>
        <v>0</v>
      </c>
      <c r="AC197" s="305">
        <f t="shared" si="89"/>
        <v>0</v>
      </c>
      <c r="AD197" s="100">
        <f t="shared" ref="AD197:AD205" si="97">IF(AA197&lt;=$F$18,IFERROR(VLOOKUP($AA197,$B$82:$G$94,4,FALSE),0),)</f>
        <v>0</v>
      </c>
      <c r="AE197" s="100">
        <f t="shared" ref="AE197:AE205" si="98">IF(AA197&lt;=$F$18,IFERROR(VLOOKUP($AA197,$B$82:$G$94,5,FALSE),0),)</f>
        <v>0</v>
      </c>
      <c r="AF197" s="194">
        <f t="shared" si="85"/>
        <v>0</v>
      </c>
      <c r="AG197" s="194">
        <f t="shared" si="86"/>
        <v>0</v>
      </c>
      <c r="AH197" s="194">
        <f t="shared" si="87"/>
        <v>0</v>
      </c>
      <c r="AI197" s="199">
        <f t="shared" si="88"/>
        <v>0</v>
      </c>
      <c r="AK197" s="71">
        <v>192</v>
      </c>
      <c r="AL197" s="33"/>
      <c r="AM197" s="33"/>
      <c r="AN197" s="33"/>
      <c r="AO197" s="33"/>
      <c r="AP197" s="33"/>
      <c r="AQ197" s="194"/>
      <c r="AR197" s="194"/>
      <c r="AS197" s="194"/>
      <c r="AT197" s="194"/>
      <c r="AU197" s="33"/>
      <c r="AV197" s="33"/>
      <c r="AW197" s="33"/>
      <c r="AX197" s="33"/>
      <c r="AY197" s="76"/>
    </row>
    <row r="198" spans="3:51" x14ac:dyDescent="0.3">
      <c r="E198" s="24"/>
      <c r="I198" s="55">
        <v>193</v>
      </c>
      <c r="J198" s="33">
        <f t="shared" si="79"/>
        <v>0</v>
      </c>
      <c r="K198" s="33">
        <f t="shared" si="80"/>
        <v>0</v>
      </c>
      <c r="L198" s="33">
        <f t="shared" si="81"/>
        <v>0</v>
      </c>
      <c r="M198" s="33">
        <f t="shared" si="82"/>
        <v>0</v>
      </c>
      <c r="N198" s="33">
        <f t="shared" si="90"/>
        <v>0</v>
      </c>
      <c r="O198" s="34">
        <f t="shared" si="91"/>
        <v>0</v>
      </c>
      <c r="P198" s="55">
        <v>193</v>
      </c>
      <c r="Q198" s="33">
        <f t="shared" ref="Q198:Q205" si="99">IF(P198&lt;=$F$18,LOOKUP(P198-1,$B$25:$B$78,$G$25:$G$78),)</f>
        <v>0</v>
      </c>
      <c r="R198" s="33">
        <f t="shared" si="83"/>
        <v>0</v>
      </c>
      <c r="S198" s="33">
        <f t="shared" si="84"/>
        <v>0</v>
      </c>
      <c r="T198" s="33">
        <f t="shared" si="92"/>
        <v>0</v>
      </c>
      <c r="U198" s="33">
        <f t="shared" ref="U198:U205" si="100">IF(P198&lt;=$F$18,$F$5+($F$15-$F$5)*(1-EXP(-0.0175*P198)),)</f>
        <v>0</v>
      </c>
      <c r="V198" s="33">
        <f t="shared" si="93"/>
        <v>0</v>
      </c>
      <c r="W198" s="33">
        <v>0</v>
      </c>
      <c r="X198" s="33">
        <f t="shared" si="94"/>
        <v>0</v>
      </c>
      <c r="Y198" s="38">
        <f t="shared" si="95"/>
        <v>0</v>
      </c>
      <c r="AA198" s="71">
        <v>193</v>
      </c>
      <c r="AB198" s="33">
        <f t="shared" si="96"/>
        <v>0</v>
      </c>
      <c r="AC198" s="305">
        <f t="shared" si="89"/>
        <v>0</v>
      </c>
      <c r="AD198" s="100">
        <f t="shared" si="97"/>
        <v>0</v>
      </c>
      <c r="AE198" s="100">
        <f t="shared" si="98"/>
        <v>0</v>
      </c>
      <c r="AF198" s="194">
        <f t="shared" si="85"/>
        <v>0</v>
      </c>
      <c r="AG198" s="194">
        <f t="shared" si="86"/>
        <v>0</v>
      </c>
      <c r="AH198" s="194">
        <f t="shared" si="87"/>
        <v>0</v>
      </c>
      <c r="AI198" s="199">
        <f t="shared" si="88"/>
        <v>0</v>
      </c>
      <c r="AK198" s="71">
        <v>193</v>
      </c>
      <c r="AL198" s="33"/>
      <c r="AM198" s="33"/>
      <c r="AN198" s="33"/>
      <c r="AO198" s="33"/>
      <c r="AP198" s="33"/>
      <c r="AQ198" s="194"/>
      <c r="AR198" s="194"/>
      <c r="AS198" s="194"/>
      <c r="AT198" s="194"/>
      <c r="AU198" s="33"/>
      <c r="AV198" s="33"/>
      <c r="AW198" s="33"/>
      <c r="AX198" s="33"/>
      <c r="AY198" s="76"/>
    </row>
    <row r="199" spans="3:51" x14ac:dyDescent="0.3">
      <c r="E199" s="24"/>
      <c r="I199" s="55">
        <v>194</v>
      </c>
      <c r="J199" s="33">
        <f t="shared" ref="J199:J205" si="101">IF($I199&lt;=$F$10,$F$11*$F$13+J198,)</f>
        <v>0</v>
      </c>
      <c r="K199" s="33">
        <f t="shared" ref="K199:K205" si="102">IF(J199=0,0,EXP(-1.0587+0.8836*LN(J199)+0.284))</f>
        <v>0</v>
      </c>
      <c r="L199" s="33">
        <f t="shared" ref="L199:L205" si="103">IF(I199&lt;=$F$10,$F$5+($F$8-$F$5)*(1-EXP(-0.0175*I199)),)</f>
        <v>0</v>
      </c>
      <c r="M199" s="33">
        <f t="shared" ref="M199:M205" si="104">IF(I199&lt;=$F$10,IF(I199&lt;=30,I199*($F$9-$F$6)/30,$F$9-$F$6),)</f>
        <v>0</v>
      </c>
      <c r="N199" s="33">
        <f t="shared" si="90"/>
        <v>0</v>
      </c>
      <c r="O199" s="34">
        <f t="shared" si="91"/>
        <v>0</v>
      </c>
      <c r="P199" s="55">
        <v>194</v>
      </c>
      <c r="Q199" s="33">
        <f t="shared" si="99"/>
        <v>0</v>
      </c>
      <c r="R199" s="33">
        <f t="shared" ref="R199:R205" si="105">IF(P199&lt;=$F$18,Q199+R198,)</f>
        <v>0</v>
      </c>
      <c r="S199" s="33">
        <f t="shared" ref="S199:S205" si="106">$F$19*R199</f>
        <v>0</v>
      </c>
      <c r="T199" s="33">
        <f t="shared" si="92"/>
        <v>0</v>
      </c>
      <c r="U199" s="33">
        <f t="shared" si="100"/>
        <v>0</v>
      </c>
      <c r="V199" s="33">
        <f t="shared" si="93"/>
        <v>0</v>
      </c>
      <c r="W199" s="33">
        <v>0</v>
      </c>
      <c r="X199" s="33">
        <f t="shared" si="94"/>
        <v>0</v>
      </c>
      <c r="Y199" s="38">
        <f t="shared" si="95"/>
        <v>0</v>
      </c>
      <c r="AA199" s="71">
        <v>194</v>
      </c>
      <c r="AB199" s="33">
        <f t="shared" si="96"/>
        <v>0</v>
      </c>
      <c r="AC199" s="305">
        <f t="shared" si="89"/>
        <v>0</v>
      </c>
      <c r="AD199" s="100">
        <f t="shared" si="97"/>
        <v>0</v>
      </c>
      <c r="AE199" s="100">
        <f t="shared" si="98"/>
        <v>0</v>
      </c>
      <c r="AF199" s="194">
        <f t="shared" si="85"/>
        <v>0</v>
      </c>
      <c r="AG199" s="194">
        <f t="shared" si="86"/>
        <v>0</v>
      </c>
      <c r="AH199" s="194">
        <f t="shared" si="87"/>
        <v>0</v>
      </c>
      <c r="AI199" s="199">
        <f t="shared" si="88"/>
        <v>0</v>
      </c>
      <c r="AK199" s="71">
        <v>194</v>
      </c>
      <c r="AL199" s="33"/>
      <c r="AM199" s="33"/>
      <c r="AN199" s="33"/>
      <c r="AO199" s="33"/>
      <c r="AP199" s="33"/>
      <c r="AQ199" s="194"/>
      <c r="AR199" s="194"/>
      <c r="AS199" s="194"/>
      <c r="AT199" s="194"/>
      <c r="AU199" s="33"/>
      <c r="AV199" s="33"/>
      <c r="AW199" s="33"/>
      <c r="AX199" s="33"/>
      <c r="AY199" s="76"/>
    </row>
    <row r="200" spans="3:51" x14ac:dyDescent="0.3">
      <c r="E200" s="24"/>
      <c r="I200" s="55">
        <v>195</v>
      </c>
      <c r="J200" s="33">
        <f t="shared" si="101"/>
        <v>0</v>
      </c>
      <c r="K200" s="33">
        <f t="shared" si="102"/>
        <v>0</v>
      </c>
      <c r="L200" s="33">
        <f t="shared" si="103"/>
        <v>0</v>
      </c>
      <c r="M200" s="33">
        <f t="shared" si="104"/>
        <v>0</v>
      </c>
      <c r="N200" s="33">
        <f t="shared" si="90"/>
        <v>0</v>
      </c>
      <c r="O200" s="34">
        <f t="shared" si="91"/>
        <v>0</v>
      </c>
      <c r="P200" s="55">
        <v>195</v>
      </c>
      <c r="Q200" s="33">
        <f t="shared" si="99"/>
        <v>0</v>
      </c>
      <c r="R200" s="33">
        <f t="shared" si="105"/>
        <v>0</v>
      </c>
      <c r="S200" s="33">
        <f t="shared" si="106"/>
        <v>0</v>
      </c>
      <c r="T200" s="33">
        <f t="shared" si="92"/>
        <v>0</v>
      </c>
      <c r="U200" s="33">
        <f t="shared" si="100"/>
        <v>0</v>
      </c>
      <c r="V200" s="33">
        <f t="shared" si="93"/>
        <v>0</v>
      </c>
      <c r="W200" s="33">
        <v>0</v>
      </c>
      <c r="X200" s="33">
        <f t="shared" si="94"/>
        <v>0</v>
      </c>
      <c r="Y200" s="38">
        <f t="shared" si="95"/>
        <v>0</v>
      </c>
      <c r="AA200" s="71">
        <v>195</v>
      </c>
      <c r="AB200" s="33">
        <f t="shared" si="96"/>
        <v>0</v>
      </c>
      <c r="AC200" s="305">
        <f t="shared" si="89"/>
        <v>0</v>
      </c>
      <c r="AD200" s="100">
        <f t="shared" si="97"/>
        <v>0</v>
      </c>
      <c r="AE200" s="100">
        <f t="shared" si="98"/>
        <v>0</v>
      </c>
      <c r="AF200" s="194">
        <f t="shared" si="85"/>
        <v>0</v>
      </c>
      <c r="AG200" s="194">
        <f t="shared" si="86"/>
        <v>0</v>
      </c>
      <c r="AH200" s="194">
        <f t="shared" si="87"/>
        <v>0</v>
      </c>
      <c r="AI200" s="199">
        <f t="shared" si="88"/>
        <v>0</v>
      </c>
      <c r="AK200" s="71">
        <v>195</v>
      </c>
      <c r="AL200" s="33"/>
      <c r="AM200" s="33"/>
      <c r="AN200" s="33"/>
      <c r="AO200" s="33"/>
      <c r="AP200" s="33"/>
      <c r="AQ200" s="194"/>
      <c r="AR200" s="194"/>
      <c r="AS200" s="194"/>
      <c r="AT200" s="194"/>
      <c r="AU200" s="33"/>
      <c r="AV200" s="33"/>
      <c r="AW200" s="33"/>
      <c r="AX200" s="33"/>
      <c r="AY200" s="76"/>
    </row>
    <row r="201" spans="3:51" x14ac:dyDescent="0.3">
      <c r="E201" s="24"/>
      <c r="I201" s="55">
        <v>196</v>
      </c>
      <c r="J201" s="33">
        <f t="shared" si="101"/>
        <v>0</v>
      </c>
      <c r="K201" s="33">
        <f t="shared" si="102"/>
        <v>0</v>
      </c>
      <c r="L201" s="33">
        <f t="shared" si="103"/>
        <v>0</v>
      </c>
      <c r="M201" s="33">
        <f t="shared" si="104"/>
        <v>0</v>
      </c>
      <c r="N201" s="33">
        <f t="shared" si="90"/>
        <v>0</v>
      </c>
      <c r="O201" s="34">
        <f t="shared" si="91"/>
        <v>0</v>
      </c>
      <c r="P201" s="55">
        <v>196</v>
      </c>
      <c r="Q201" s="33">
        <f t="shared" si="99"/>
        <v>0</v>
      </c>
      <c r="R201" s="33">
        <f t="shared" si="105"/>
        <v>0</v>
      </c>
      <c r="S201" s="33">
        <f t="shared" si="106"/>
        <v>0</v>
      </c>
      <c r="T201" s="33">
        <f t="shared" si="92"/>
        <v>0</v>
      </c>
      <c r="U201" s="33">
        <f t="shared" si="100"/>
        <v>0</v>
      </c>
      <c r="V201" s="33">
        <f t="shared" si="93"/>
        <v>0</v>
      </c>
      <c r="W201" s="33">
        <v>0</v>
      </c>
      <c r="X201" s="33">
        <f t="shared" si="94"/>
        <v>0</v>
      </c>
      <c r="Y201" s="38">
        <f t="shared" si="95"/>
        <v>0</v>
      </c>
      <c r="AA201" s="71">
        <v>196</v>
      </c>
      <c r="AB201" s="33">
        <f t="shared" si="96"/>
        <v>0</v>
      </c>
      <c r="AC201" s="305">
        <f t="shared" si="89"/>
        <v>0</v>
      </c>
      <c r="AD201" s="100">
        <f t="shared" si="97"/>
        <v>0</v>
      </c>
      <c r="AE201" s="100">
        <f t="shared" si="98"/>
        <v>0</v>
      </c>
      <c r="AF201" s="194">
        <f t="shared" si="85"/>
        <v>0</v>
      </c>
      <c r="AG201" s="194">
        <f t="shared" si="86"/>
        <v>0</v>
      </c>
      <c r="AH201" s="194">
        <f t="shared" si="87"/>
        <v>0</v>
      </c>
      <c r="AI201" s="199">
        <f t="shared" si="88"/>
        <v>0</v>
      </c>
      <c r="AK201" s="71">
        <v>196</v>
      </c>
      <c r="AL201" s="33"/>
      <c r="AM201" s="33"/>
      <c r="AN201" s="33"/>
      <c r="AO201" s="33"/>
      <c r="AP201" s="33"/>
      <c r="AQ201" s="194"/>
      <c r="AR201" s="194"/>
      <c r="AS201" s="194"/>
      <c r="AT201" s="194"/>
      <c r="AU201" s="33"/>
      <c r="AV201" s="33"/>
      <c r="AW201" s="33"/>
      <c r="AX201" s="33"/>
      <c r="AY201" s="76"/>
    </row>
    <row r="202" spans="3:51" x14ac:dyDescent="0.3">
      <c r="E202" s="24"/>
      <c r="I202" s="55">
        <v>197</v>
      </c>
      <c r="J202" s="33">
        <f t="shared" si="101"/>
        <v>0</v>
      </c>
      <c r="K202" s="33">
        <f t="shared" si="102"/>
        <v>0</v>
      </c>
      <c r="L202" s="33">
        <f t="shared" si="103"/>
        <v>0</v>
      </c>
      <c r="M202" s="33">
        <f t="shared" si="104"/>
        <v>0</v>
      </c>
      <c r="N202" s="33">
        <f t="shared" si="90"/>
        <v>0</v>
      </c>
      <c r="O202" s="34">
        <f t="shared" si="91"/>
        <v>0</v>
      </c>
      <c r="P202" s="55">
        <v>197</v>
      </c>
      <c r="Q202" s="33">
        <f t="shared" si="99"/>
        <v>0</v>
      </c>
      <c r="R202" s="33">
        <f t="shared" si="105"/>
        <v>0</v>
      </c>
      <c r="S202" s="33">
        <f t="shared" si="106"/>
        <v>0</v>
      </c>
      <c r="T202" s="33">
        <f t="shared" si="92"/>
        <v>0</v>
      </c>
      <c r="U202" s="33">
        <f t="shared" si="100"/>
        <v>0</v>
      </c>
      <c r="V202" s="33">
        <f t="shared" si="93"/>
        <v>0</v>
      </c>
      <c r="W202" s="33">
        <v>0</v>
      </c>
      <c r="X202" s="33">
        <f t="shared" si="94"/>
        <v>0</v>
      </c>
      <c r="Y202" s="38">
        <f t="shared" si="95"/>
        <v>0</v>
      </c>
      <c r="AA202" s="71">
        <v>197</v>
      </c>
      <c r="AB202" s="33">
        <f t="shared" si="96"/>
        <v>0</v>
      </c>
      <c r="AC202" s="305">
        <f t="shared" si="89"/>
        <v>0</v>
      </c>
      <c r="AD202" s="100">
        <f t="shared" si="97"/>
        <v>0</v>
      </c>
      <c r="AE202" s="100">
        <f t="shared" si="98"/>
        <v>0</v>
      </c>
      <c r="AF202" s="194">
        <f t="shared" si="85"/>
        <v>0</v>
      </c>
      <c r="AG202" s="194">
        <f t="shared" si="86"/>
        <v>0</v>
      </c>
      <c r="AH202" s="194">
        <f t="shared" si="87"/>
        <v>0</v>
      </c>
      <c r="AI202" s="199">
        <f t="shared" si="88"/>
        <v>0</v>
      </c>
      <c r="AK202" s="71">
        <v>197</v>
      </c>
      <c r="AL202" s="33"/>
      <c r="AM202" s="33"/>
      <c r="AN202" s="33"/>
      <c r="AO202" s="33"/>
      <c r="AP202" s="33"/>
      <c r="AQ202" s="194"/>
      <c r="AR202" s="194"/>
      <c r="AS202" s="194"/>
      <c r="AT202" s="194"/>
      <c r="AU202" s="33"/>
      <c r="AV202" s="33"/>
      <c r="AW202" s="33"/>
      <c r="AX202" s="33"/>
      <c r="AY202" s="76"/>
    </row>
    <row r="203" spans="3:51" x14ac:dyDescent="0.3">
      <c r="E203" s="24"/>
      <c r="I203" s="55">
        <v>198</v>
      </c>
      <c r="J203" s="33">
        <f t="shared" si="101"/>
        <v>0</v>
      </c>
      <c r="K203" s="33">
        <f t="shared" si="102"/>
        <v>0</v>
      </c>
      <c r="L203" s="33">
        <f t="shared" si="103"/>
        <v>0</v>
      </c>
      <c r="M203" s="33">
        <f t="shared" si="104"/>
        <v>0</v>
      </c>
      <c r="N203" s="33">
        <f t="shared" si="90"/>
        <v>0</v>
      </c>
      <c r="O203" s="34">
        <f t="shared" si="91"/>
        <v>0</v>
      </c>
      <c r="P203" s="55">
        <v>198</v>
      </c>
      <c r="Q203" s="33">
        <f t="shared" si="99"/>
        <v>0</v>
      </c>
      <c r="R203" s="33">
        <f t="shared" si="105"/>
        <v>0</v>
      </c>
      <c r="S203" s="33">
        <f t="shared" si="106"/>
        <v>0</v>
      </c>
      <c r="T203" s="33">
        <f t="shared" si="92"/>
        <v>0</v>
      </c>
      <c r="U203" s="33">
        <f t="shared" si="100"/>
        <v>0</v>
      </c>
      <c r="V203" s="33">
        <f t="shared" si="93"/>
        <v>0</v>
      </c>
      <c r="W203" s="33">
        <v>0</v>
      </c>
      <c r="X203" s="33">
        <f t="shared" si="94"/>
        <v>0</v>
      </c>
      <c r="Y203" s="38">
        <f t="shared" si="95"/>
        <v>0</v>
      </c>
      <c r="AA203" s="71">
        <v>198</v>
      </c>
      <c r="AB203" s="33">
        <f t="shared" si="96"/>
        <v>0</v>
      </c>
      <c r="AC203" s="305">
        <f t="shared" si="89"/>
        <v>0</v>
      </c>
      <c r="AD203" s="100">
        <f t="shared" si="97"/>
        <v>0</v>
      </c>
      <c r="AE203" s="100">
        <f t="shared" si="98"/>
        <v>0</v>
      </c>
      <c r="AF203" s="194">
        <f t="shared" si="85"/>
        <v>0</v>
      </c>
      <c r="AG203" s="194">
        <f t="shared" si="86"/>
        <v>0</v>
      </c>
      <c r="AH203" s="194">
        <f t="shared" si="87"/>
        <v>0</v>
      </c>
      <c r="AI203" s="199">
        <f t="shared" si="88"/>
        <v>0</v>
      </c>
      <c r="AK203" s="71">
        <v>198</v>
      </c>
      <c r="AL203" s="33"/>
      <c r="AM203" s="33"/>
      <c r="AN203" s="33"/>
      <c r="AO203" s="33"/>
      <c r="AP203" s="33"/>
      <c r="AQ203" s="194"/>
      <c r="AR203" s="194"/>
      <c r="AS203" s="194"/>
      <c r="AT203" s="194"/>
      <c r="AU203" s="33"/>
      <c r="AV203" s="33"/>
      <c r="AW203" s="33"/>
      <c r="AX203" s="33"/>
      <c r="AY203" s="76"/>
    </row>
    <row r="204" spans="3:51" x14ac:dyDescent="0.3">
      <c r="E204" s="24"/>
      <c r="I204" s="55">
        <v>199</v>
      </c>
      <c r="J204" s="33">
        <f t="shared" si="101"/>
        <v>0</v>
      </c>
      <c r="K204" s="33">
        <f t="shared" si="102"/>
        <v>0</v>
      </c>
      <c r="L204" s="33">
        <f t="shared" si="103"/>
        <v>0</v>
      </c>
      <c r="M204" s="33">
        <f t="shared" si="104"/>
        <v>0</v>
      </c>
      <c r="N204" s="33">
        <f t="shared" si="90"/>
        <v>0</v>
      </c>
      <c r="O204" s="34">
        <f t="shared" si="91"/>
        <v>0</v>
      </c>
      <c r="P204" s="55">
        <v>199</v>
      </c>
      <c r="Q204" s="33">
        <f t="shared" si="99"/>
        <v>0</v>
      </c>
      <c r="R204" s="33">
        <f t="shared" si="105"/>
        <v>0</v>
      </c>
      <c r="S204" s="33">
        <f t="shared" si="106"/>
        <v>0</v>
      </c>
      <c r="T204" s="33">
        <f t="shared" si="92"/>
        <v>0</v>
      </c>
      <c r="U204" s="33">
        <f t="shared" si="100"/>
        <v>0</v>
      </c>
      <c r="V204" s="33">
        <f t="shared" si="93"/>
        <v>0</v>
      </c>
      <c r="W204" s="33">
        <v>0</v>
      </c>
      <c r="X204" s="33">
        <f t="shared" si="94"/>
        <v>0</v>
      </c>
      <c r="Y204" s="38">
        <f t="shared" si="95"/>
        <v>0</v>
      </c>
      <c r="AA204" s="71">
        <v>199</v>
      </c>
      <c r="AB204" s="33">
        <f t="shared" si="96"/>
        <v>0</v>
      </c>
      <c r="AC204" s="305">
        <f t="shared" si="89"/>
        <v>0</v>
      </c>
      <c r="AD204" s="100">
        <f t="shared" si="97"/>
        <v>0</v>
      </c>
      <c r="AE204" s="100">
        <f t="shared" si="98"/>
        <v>0</v>
      </c>
      <c r="AF204" s="194">
        <f t="shared" si="85"/>
        <v>0</v>
      </c>
      <c r="AG204" s="194">
        <f t="shared" si="86"/>
        <v>0</v>
      </c>
      <c r="AH204" s="194">
        <f t="shared" si="87"/>
        <v>0</v>
      </c>
      <c r="AI204" s="199">
        <f t="shared" si="88"/>
        <v>0</v>
      </c>
      <c r="AK204" s="71">
        <v>199</v>
      </c>
      <c r="AL204" s="33"/>
      <c r="AM204" s="33"/>
      <c r="AN204" s="33"/>
      <c r="AO204" s="33"/>
      <c r="AP204" s="33"/>
      <c r="AQ204" s="194"/>
      <c r="AR204" s="194"/>
      <c r="AS204" s="194"/>
      <c r="AT204" s="194"/>
      <c r="AU204" s="33"/>
      <c r="AV204" s="33"/>
      <c r="AW204" s="33"/>
      <c r="AX204" s="33"/>
      <c r="AY204" s="76"/>
    </row>
    <row r="205" spans="3:51" x14ac:dyDescent="0.3">
      <c r="E205" s="24"/>
      <c r="I205" s="56">
        <v>200</v>
      </c>
      <c r="J205" s="33">
        <f t="shared" si="101"/>
        <v>0</v>
      </c>
      <c r="K205" s="33">
        <f t="shared" si="102"/>
        <v>0</v>
      </c>
      <c r="L205" s="33">
        <f t="shared" si="103"/>
        <v>0</v>
      </c>
      <c r="M205" s="33">
        <f t="shared" si="104"/>
        <v>0</v>
      </c>
      <c r="N205" s="35">
        <f>IF(F208&lt;=$F$18,0,)</f>
        <v>0</v>
      </c>
      <c r="O205" s="34">
        <f t="shared" si="91"/>
        <v>0</v>
      </c>
      <c r="P205" s="56">
        <v>200</v>
      </c>
      <c r="Q205" s="35">
        <f t="shared" si="99"/>
        <v>0</v>
      </c>
      <c r="R205" s="35">
        <f t="shared" si="105"/>
        <v>0</v>
      </c>
      <c r="S205" s="35">
        <f t="shared" si="106"/>
        <v>0</v>
      </c>
      <c r="T205" s="35">
        <f t="shared" si="92"/>
        <v>0</v>
      </c>
      <c r="U205" s="35">
        <f t="shared" si="100"/>
        <v>0</v>
      </c>
      <c r="V205" s="35">
        <f t="shared" si="93"/>
        <v>0</v>
      </c>
      <c r="W205" s="35">
        <v>0</v>
      </c>
      <c r="X205" s="155">
        <f t="shared" si="94"/>
        <v>0</v>
      </c>
      <c r="Y205" s="39">
        <f t="shared" si="95"/>
        <v>0</v>
      </c>
      <c r="AA205" s="72">
        <v>200</v>
      </c>
      <c r="AB205" s="143">
        <f t="shared" si="96"/>
        <v>0</v>
      </c>
      <c r="AC205" s="305">
        <f t="shared" si="89"/>
        <v>0</v>
      </c>
      <c r="AD205" s="101">
        <f t="shared" si="97"/>
        <v>0</v>
      </c>
      <c r="AE205" s="101">
        <f t="shared" si="98"/>
        <v>0</v>
      </c>
      <c r="AF205" s="196">
        <f t="shared" si="85"/>
        <v>0</v>
      </c>
      <c r="AG205" s="196">
        <f t="shared" si="86"/>
        <v>0</v>
      </c>
      <c r="AH205" s="196">
        <f t="shared" si="87"/>
        <v>0</v>
      </c>
      <c r="AI205" s="203">
        <f t="shared" si="88"/>
        <v>0</v>
      </c>
      <c r="AK205" s="72">
        <v>200</v>
      </c>
      <c r="AL205" s="143"/>
      <c r="AM205" s="35"/>
      <c r="AN205" s="35"/>
      <c r="AO205" s="35"/>
      <c r="AP205" s="35"/>
      <c r="AQ205" s="196"/>
      <c r="AR205" s="196"/>
      <c r="AS205" s="196"/>
      <c r="AT205" s="196"/>
      <c r="AU205" s="35"/>
      <c r="AV205" s="35"/>
      <c r="AW205" s="35"/>
      <c r="AX205" s="35"/>
      <c r="AY205" s="77"/>
    </row>
    <row r="206" spans="3:51" x14ac:dyDescent="0.3">
      <c r="E206" s="24"/>
    </row>
    <row r="207" spans="3:51" x14ac:dyDescent="0.3">
      <c r="E207" s="24"/>
    </row>
  </sheetData>
  <mergeCells count="29">
    <mergeCell ref="P3:X3"/>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80:G80"/>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F12">
      <formula1>$C$194:$C$195</formula1>
    </dataValidation>
    <dataValidation type="list" allowBlank="1" showInputMessage="1" showErrorMessage="1" sqref="F17">
      <formula1>$C$130:$C$195</formula1>
    </dataValidation>
    <dataValidation type="list" allowBlank="1" showInputMessage="1" showErrorMessage="1" sqref="D8:E8 D5:E5 D15">
      <formula1>$B$97:$B$100</formula1>
    </dataValidation>
    <dataValidation type="list" allowBlank="1" showInputMessage="1" showErrorMessage="1" sqref="D81:G81">
      <formula1>$B$104:$B$108</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3:AY207"/>
  <sheetViews>
    <sheetView topLeftCell="A4" zoomScale="85" zoomScaleNormal="85" workbookViewId="0">
      <selection activeCell="F18" sqref="F18"/>
    </sheetView>
  </sheetViews>
  <sheetFormatPr baseColWidth="10" defaultRowHeight="14.4" x14ac:dyDescent="0.3"/>
  <cols>
    <col min="3" max="5" width="13.6640625" customWidth="1"/>
    <col min="6" max="6" width="16.5546875" style="26" customWidth="1"/>
    <col min="7" max="7" width="14.44140625" style="24" customWidth="1"/>
    <col min="8" max="8" width="11.5546875" style="24"/>
    <col min="9" max="9" width="10.5546875" style="24" customWidth="1"/>
    <col min="10" max="11" width="10.5546875" style="9" customWidth="1"/>
    <col min="12" max="23" width="10.5546875" customWidth="1"/>
    <col min="24" max="25" width="11.5546875" customWidth="1"/>
    <col min="26" max="42" width="10.5546875" customWidth="1"/>
    <col min="43" max="46" width="10.5546875" style="133" customWidth="1"/>
    <col min="47" max="51" width="10.5546875" customWidth="1"/>
    <col min="54" max="54" width="19.33203125" customWidth="1"/>
  </cols>
  <sheetData>
    <row r="3" spans="2:51" ht="15.6" x14ac:dyDescent="0.3">
      <c r="I3" s="379" t="s">
        <v>172</v>
      </c>
      <c r="J3" s="380"/>
      <c r="K3" s="380"/>
      <c r="L3" s="380"/>
      <c r="M3" s="380"/>
      <c r="N3" s="380"/>
      <c r="O3" s="381"/>
      <c r="P3" s="382" t="s">
        <v>144</v>
      </c>
      <c r="Q3" s="383"/>
      <c r="R3" s="383"/>
      <c r="S3" s="383"/>
      <c r="T3" s="383"/>
      <c r="U3" s="383"/>
      <c r="V3" s="383"/>
      <c r="W3" s="383"/>
      <c r="X3" s="384"/>
      <c r="Y3" s="90"/>
      <c r="Z3" s="90"/>
      <c r="AA3" s="370" t="s">
        <v>159</v>
      </c>
      <c r="AB3" s="371"/>
      <c r="AC3" s="371"/>
      <c r="AD3" s="371"/>
      <c r="AE3" s="371"/>
      <c r="AF3" s="371"/>
      <c r="AG3" s="371"/>
      <c r="AH3" s="371"/>
      <c r="AI3" s="372"/>
      <c r="AJ3" s="90"/>
      <c r="AK3" s="370" t="s">
        <v>171</v>
      </c>
      <c r="AL3" s="371"/>
      <c r="AM3" s="371"/>
      <c r="AN3" s="371"/>
      <c r="AO3" s="371"/>
      <c r="AP3" s="371"/>
      <c r="AQ3" s="371"/>
      <c r="AR3" s="371"/>
      <c r="AS3" s="371"/>
      <c r="AT3" s="371"/>
      <c r="AU3" s="371"/>
      <c r="AV3" s="371"/>
      <c r="AW3" s="371"/>
      <c r="AX3" s="371"/>
      <c r="AY3" s="372"/>
    </row>
    <row r="4" spans="2:51" ht="45" customHeight="1" x14ac:dyDescent="0.3">
      <c r="B4" s="374" t="s">
        <v>173</v>
      </c>
      <c r="C4" s="374"/>
      <c r="D4" s="374"/>
      <c r="E4" s="374"/>
      <c r="F4" s="374"/>
      <c r="I4" s="59" t="s">
        <v>76</v>
      </c>
      <c r="J4" s="342" t="s">
        <v>108</v>
      </c>
      <c r="K4" s="342" t="s">
        <v>109</v>
      </c>
      <c r="L4" s="342" t="s">
        <v>72</v>
      </c>
      <c r="M4" s="342" t="s">
        <v>110</v>
      </c>
      <c r="N4" s="342" t="s">
        <v>111</v>
      </c>
      <c r="O4" s="88" t="s">
        <v>113</v>
      </c>
      <c r="P4" s="59" t="s">
        <v>76</v>
      </c>
      <c r="Q4" s="61" t="s">
        <v>118</v>
      </c>
      <c r="R4" s="61" t="s">
        <v>119</v>
      </c>
      <c r="S4" s="62" t="s">
        <v>105</v>
      </c>
      <c r="T4" s="63" t="s">
        <v>104</v>
      </c>
      <c r="U4" s="342" t="s">
        <v>3</v>
      </c>
      <c r="V4" s="342" t="s">
        <v>106</v>
      </c>
      <c r="W4" s="342"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3" t="s">
        <v>187</v>
      </c>
      <c r="AR4" s="193" t="s">
        <v>188</v>
      </c>
      <c r="AS4" s="193" t="s">
        <v>189</v>
      </c>
      <c r="AT4" s="193" t="s">
        <v>190</v>
      </c>
      <c r="AU4" s="64" t="s">
        <v>162</v>
      </c>
      <c r="AV4" s="64" t="s">
        <v>163</v>
      </c>
      <c r="AW4" s="64" t="s">
        <v>164</v>
      </c>
      <c r="AX4" s="64" t="s">
        <v>165</v>
      </c>
      <c r="AY4" s="75" t="s">
        <v>153</v>
      </c>
    </row>
    <row r="5" spans="2:51" x14ac:dyDescent="0.3">
      <c r="B5" s="363" t="s">
        <v>133</v>
      </c>
      <c r="C5" s="91" t="s">
        <v>73</v>
      </c>
      <c r="D5" s="375" t="s">
        <v>1</v>
      </c>
      <c r="E5" s="375"/>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5">
        <f t="shared" ref="AC5:AC29" si="7">IF(AA5&lt;=$F$18,IFERROR(VLOOKUP($AA5,$B$82:$G$94,3,FALSE),0),)*50%</f>
        <v>0.47499999999999998</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0</v>
      </c>
      <c r="AO5" s="33">
        <f t="shared" ref="AO5:AO35" si="13">IF(AK5&lt;=$F$18,IFERROR(VLOOKUP($AA5,$B$82:$G$94,5,FALSE),0),)</f>
        <v>0</v>
      </c>
      <c r="AP5" s="33">
        <f t="shared" ref="AP5:AP35" si="14">IF(AK5&lt;=$F$18,IFERROR(VLOOKUP($AA5,$B$82:$G$94,6,FALSE),0),)</f>
        <v>5.0000000000000044E-2</v>
      </c>
      <c r="AQ5" s="194">
        <v>0</v>
      </c>
      <c r="AR5" s="194">
        <v>0</v>
      </c>
      <c r="AS5" s="194">
        <v>0</v>
      </c>
      <c r="AT5" s="194">
        <v>0</v>
      </c>
      <c r="AU5" s="33"/>
      <c r="AV5" s="33"/>
      <c r="AW5" s="33"/>
      <c r="AX5" s="33"/>
      <c r="AY5" s="164">
        <v>0</v>
      </c>
    </row>
    <row r="6" spans="2:51" x14ac:dyDescent="0.3">
      <c r="B6" s="364"/>
      <c r="C6" s="98" t="s">
        <v>74</v>
      </c>
      <c r="D6" s="366" t="s">
        <v>260</v>
      </c>
      <c r="E6" s="366"/>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5">
        <f t="shared" si="7"/>
        <v>0</v>
      </c>
      <c r="AD6" s="100">
        <f t="shared" si="8"/>
        <v>0</v>
      </c>
      <c r="AE6" s="100">
        <f t="shared" si="9"/>
        <v>0</v>
      </c>
      <c r="AF6" s="194">
        <f>IF(OR(AA6&lt;=$F$18,AA6&lt;=30),EXP(-LN(2)/$D$104)*AF5+((1-EXP(-LN(2)/$D$104))/(LN(2)/$D$104))*$AB6*AC6*0.475*$F$19*44/12,)</f>
        <v>0</v>
      </c>
      <c r="AG6" s="194">
        <f>IF(OR(AA6&lt;=$F$18,AA6&lt;=30),EXP(-LN(2)/$D$106)*AG5+((1-EXP(-LN(2)/$D$106))/(LN(2)/$D$106))*$AB6*AD6*0.475*$F$19*44/12,)</f>
        <v>0</v>
      </c>
      <c r="AH6" s="194">
        <f>IF(OR(AA6&lt;=$F$18,AA6&lt;=30),EXP(-LN(2)/$D$105)*AH5+((1-EXP(-LN(2)/$D$105))/(LN(2)/$D$105))*$AB6*AE6*0.475*$F$19*44/12,)</f>
        <v>0</v>
      </c>
      <c r="AI6" s="199">
        <f>IF(OR(AA6&lt;=$F$18,AA6&lt;=30),SUM(AF6:AH6),)</f>
        <v>0</v>
      </c>
      <c r="AK6" s="71">
        <v>1</v>
      </c>
      <c r="AL6" s="33">
        <f t="shared" si="10"/>
        <v>0</v>
      </c>
      <c r="AM6" s="33">
        <f t="shared" si="11"/>
        <v>0</v>
      </c>
      <c r="AN6" s="33">
        <f t="shared" si="12"/>
        <v>0</v>
      </c>
      <c r="AO6" s="33">
        <f t="shared" si="13"/>
        <v>0</v>
      </c>
      <c r="AP6" s="33">
        <f t="shared" si="14"/>
        <v>0</v>
      </c>
      <c r="AQ6" s="194">
        <f t="shared" ref="AQ6:AT24" si="17">IF($AK6&lt;=$F$18,$AL6*AM6,)</f>
        <v>0</v>
      </c>
      <c r="AR6" s="194">
        <f t="shared" si="17"/>
        <v>0</v>
      </c>
      <c r="AS6" s="194">
        <f t="shared" si="17"/>
        <v>0</v>
      </c>
      <c r="AT6" s="194">
        <f t="shared" si="17"/>
        <v>0</v>
      </c>
      <c r="AU6" s="33"/>
      <c r="AV6" s="33"/>
      <c r="AW6" s="33"/>
      <c r="AX6" s="33"/>
      <c r="AY6" s="164">
        <f>IF(AK6&lt;=$F$18,AL6*$G$108+AY5,)</f>
        <v>0</v>
      </c>
    </row>
    <row r="7" spans="2:51" x14ac:dyDescent="0.3">
      <c r="B7" s="363" t="s">
        <v>134</v>
      </c>
      <c r="C7" s="376"/>
      <c r="D7" s="377"/>
      <c r="E7" s="377"/>
      <c r="F7" s="378"/>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5">
        <f t="shared" si="7"/>
        <v>0</v>
      </c>
      <c r="AD7" s="100">
        <f t="shared" si="8"/>
        <v>0</v>
      </c>
      <c r="AE7" s="100">
        <f t="shared" si="9"/>
        <v>0</v>
      </c>
      <c r="AF7" s="194">
        <f>IF(OR(AA7&lt;=$F$18,AA7&lt;=30),EXP(-LN(2)/$D$104)*AF6+((1-EXP(-LN(2)/$D$104))/(LN(2)/$D$104))*$AB7*AC7*0.475*$F$19*44/12,)</f>
        <v>0</v>
      </c>
      <c r="AG7" s="194">
        <f>IF(OR(AA7&lt;=$F$18,AA7&lt;=30),EXP(-LN(2)/$D$106)*AG6+((1-EXP(-LN(2)/$D$106))/(LN(2)/$D$106))*$AB7*AD7*0.475*$F$19*44/12,)</f>
        <v>0</v>
      </c>
      <c r="AH7" s="194">
        <f>IF(OR(AA7&lt;=$F$18,AA7&lt;=30),EXP(-LN(2)/$D$105)*AH6+((1-EXP(-LN(2)/$D$105))/(LN(2)/$D$105))*$AB7*AE7*0.475*$F$19*44/12,)</f>
        <v>0</v>
      </c>
      <c r="AI7" s="199">
        <f>IF(OR(AA7&lt;=$F$18,AA7&lt;=30),SUM(AF7:AH7),)</f>
        <v>0</v>
      </c>
      <c r="AK7" s="71">
        <v>2</v>
      </c>
      <c r="AL7" s="33">
        <f t="shared" si="10"/>
        <v>0</v>
      </c>
      <c r="AM7" s="33">
        <f t="shared" si="11"/>
        <v>0</v>
      </c>
      <c r="AN7" s="33">
        <f t="shared" si="12"/>
        <v>0</v>
      </c>
      <c r="AO7" s="33">
        <f t="shared" si="13"/>
        <v>0</v>
      </c>
      <c r="AP7" s="33">
        <f t="shared" si="14"/>
        <v>0</v>
      </c>
      <c r="AQ7" s="194">
        <f t="shared" si="17"/>
        <v>0</v>
      </c>
      <c r="AR7" s="194">
        <f t="shared" si="17"/>
        <v>0</v>
      </c>
      <c r="AS7" s="194">
        <f t="shared" si="17"/>
        <v>0</v>
      </c>
      <c r="AT7" s="194">
        <f t="shared" si="17"/>
        <v>0</v>
      </c>
      <c r="AU7" s="33"/>
      <c r="AV7" s="33"/>
      <c r="AW7" s="33"/>
      <c r="AX7" s="33"/>
      <c r="AY7" s="164">
        <f t="shared" ref="AY7:AY35" si="24">IF(AK7&lt;=$F$18,AL7*$G$108+AY6,)</f>
        <v>0</v>
      </c>
    </row>
    <row r="8" spans="2:51" x14ac:dyDescent="0.3">
      <c r="B8" s="373"/>
      <c r="C8" s="93" t="s">
        <v>73</v>
      </c>
      <c r="D8" s="369" t="s">
        <v>1</v>
      </c>
      <c r="E8" s="369"/>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5">
        <f t="shared" si="7"/>
        <v>0</v>
      </c>
      <c r="AD8" s="100">
        <f t="shared" si="8"/>
        <v>0</v>
      </c>
      <c r="AE8" s="100">
        <f t="shared" si="9"/>
        <v>0</v>
      </c>
      <c r="AF8" s="194">
        <f>IF(OR(AA8&lt;=$F$18,AA8&lt;=30),EXP(-LN(2)/$D$104)*AF7+((1-EXP(-LN(2)/$D$104))/(LN(2)/$D$104))*$AB8*AC8*0.475*$F$19*44/12,)</f>
        <v>0</v>
      </c>
      <c r="AG8" s="194">
        <f>IF(OR(AA8&lt;=$F$18,AA8&lt;=30),EXP(-LN(2)/$D$106)*AG7+((1-EXP(-LN(2)/$D$106))/(LN(2)/$D$106))*$AB8*AD8*0.475*$F$19*44/12,)</f>
        <v>0</v>
      </c>
      <c r="AH8" s="194">
        <f>IF(OR(AA8&lt;=$F$18,AA8&lt;=30),EXP(-LN(2)/$D$105)*AH7+((1-EXP(-LN(2)/$D$105))/(LN(2)/$D$105))*$AB8*AE8*0.475*$F$19*44/12,)</f>
        <v>0</v>
      </c>
      <c r="AI8" s="199">
        <f>IF(OR(AA8&lt;=$F$18,AA8&lt;=30),SUM(AF8:AH8),)</f>
        <v>0</v>
      </c>
      <c r="AK8" s="71">
        <v>3</v>
      </c>
      <c r="AL8" s="33">
        <f t="shared" si="10"/>
        <v>0</v>
      </c>
      <c r="AM8" s="33">
        <f t="shared" si="11"/>
        <v>0</v>
      </c>
      <c r="AN8" s="33">
        <f t="shared" si="12"/>
        <v>0</v>
      </c>
      <c r="AO8" s="33">
        <f t="shared" si="13"/>
        <v>0</v>
      </c>
      <c r="AP8" s="33">
        <f t="shared" si="14"/>
        <v>0</v>
      </c>
      <c r="AQ8" s="194">
        <f t="shared" si="17"/>
        <v>0</v>
      </c>
      <c r="AR8" s="194">
        <f t="shared" si="17"/>
        <v>0</v>
      </c>
      <c r="AS8" s="194">
        <f t="shared" si="17"/>
        <v>0</v>
      </c>
      <c r="AT8" s="194">
        <f t="shared" si="17"/>
        <v>0</v>
      </c>
      <c r="AU8" s="33"/>
      <c r="AV8" s="33"/>
      <c r="AW8" s="33"/>
      <c r="AX8" s="33"/>
      <c r="AY8" s="164">
        <f t="shared" si="24"/>
        <v>0</v>
      </c>
    </row>
    <row r="9" spans="2:51" x14ac:dyDescent="0.3">
      <c r="B9" s="373"/>
      <c r="C9" s="93" t="s">
        <v>74</v>
      </c>
      <c r="D9" s="365" t="str">
        <f>IF(D8=$B$100,"totale","néant")</f>
        <v>néant</v>
      </c>
      <c r="E9" s="365"/>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5">
        <f t="shared" si="7"/>
        <v>0</v>
      </c>
      <c r="AD9" s="100">
        <f t="shared" si="8"/>
        <v>0</v>
      </c>
      <c r="AE9" s="100">
        <f t="shared" si="9"/>
        <v>0</v>
      </c>
      <c r="AF9" s="194">
        <f>IF(OR(AA9&lt;=$F$18,AA9&lt;=30),EXP(-LN(2)/$D$104)*AF8+((1-EXP(-LN(2)/$D$104))/(LN(2)/$D$104))*$AB9*AC9*0.475*$F$19*44/12,)</f>
        <v>0</v>
      </c>
      <c r="AG9" s="194">
        <f>IF(OR(AA9&lt;=$F$18,AA9&lt;=30),EXP(-LN(2)/$D$106)*AG8+((1-EXP(-LN(2)/$D$106))/(LN(2)/$D$106))*$AB9*AD9*0.475*$F$19*44/12,)</f>
        <v>0</v>
      </c>
      <c r="AH9" s="194">
        <f>IF(OR(AA9&lt;=$F$18,AA9&lt;=30),EXP(-LN(2)/$D$105)*AH8+((1-EXP(-LN(2)/$D$105))/(LN(2)/$D$105))*$AB9*AE9*0.475*$F$19*44/12,)</f>
        <v>0</v>
      </c>
      <c r="AI9" s="199">
        <f>IF(OR(AA9&lt;=$F$18,AA9&lt;=30),SUM(AF9:AH9),)</f>
        <v>0</v>
      </c>
      <c r="AK9" s="71">
        <v>4</v>
      </c>
      <c r="AL9" s="33">
        <f t="shared" si="10"/>
        <v>0</v>
      </c>
      <c r="AM9" s="33">
        <f t="shared" si="11"/>
        <v>0</v>
      </c>
      <c r="AN9" s="33">
        <f t="shared" si="12"/>
        <v>0</v>
      </c>
      <c r="AO9" s="33">
        <f t="shared" si="13"/>
        <v>0</v>
      </c>
      <c r="AP9" s="33">
        <f t="shared" si="14"/>
        <v>0</v>
      </c>
      <c r="AQ9" s="194">
        <f t="shared" si="17"/>
        <v>0</v>
      </c>
      <c r="AR9" s="194">
        <f t="shared" si="17"/>
        <v>0</v>
      </c>
      <c r="AS9" s="194">
        <f t="shared" si="17"/>
        <v>0</v>
      </c>
      <c r="AT9" s="194">
        <f t="shared" si="17"/>
        <v>0</v>
      </c>
      <c r="AU9" s="33"/>
      <c r="AV9" s="33"/>
      <c r="AW9" s="33"/>
      <c r="AX9" s="33"/>
      <c r="AY9" s="164">
        <f t="shared" si="24"/>
        <v>0</v>
      </c>
    </row>
    <row r="10" spans="2:51" x14ac:dyDescent="0.3">
      <c r="B10" s="373"/>
      <c r="C10" s="367" t="s">
        <v>124</v>
      </c>
      <c r="D10" s="362" t="s">
        <v>136</v>
      </c>
      <c r="E10" s="362"/>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5">
        <f t="shared" si="7"/>
        <v>0</v>
      </c>
      <c r="AD10" s="100">
        <f t="shared" si="8"/>
        <v>0</v>
      </c>
      <c r="AE10" s="100">
        <f t="shared" si="9"/>
        <v>0</v>
      </c>
      <c r="AF10" s="194">
        <f t="shared" ref="AF10:AF24" si="25">IF(OR(AA10&lt;=$F$18,AA10&lt;=30),EXP(-LN(2)/$D$104)*AF9+((1-EXP(-LN(2)/$D$104))/(LN(2)/$D$104))*$AB10*AC10*0.475*$F$19*44/12,)</f>
        <v>0</v>
      </c>
      <c r="AG10" s="194">
        <f t="shared" ref="AG10:AG24" si="26">IF(OR(AA10&lt;=$F$18,AA10&lt;=30),EXP(-LN(2)/$D$106)*AG9+((1-EXP(-LN(2)/$D$106))/(LN(2)/$D$106))*$AB10*AD10*0.475*$F$19*44/12,)</f>
        <v>0</v>
      </c>
      <c r="AH10" s="194">
        <f t="shared" ref="AH10:AH24" si="27">IF(OR(AA10&lt;=$F$18,AA10&lt;=30),EXP(-LN(2)/$D$105)*AH9+((1-EXP(-LN(2)/$D$105))/(LN(2)/$D$105))*$AB10*AE10*0.475*$F$19*44/12,)</f>
        <v>0</v>
      </c>
      <c r="AI10" s="199">
        <f t="shared" ref="AI10:AI24" si="28">IF(OR(AA10&lt;=$F$18,AA10&lt;=30),SUM(AF10:AH10),)</f>
        <v>0</v>
      </c>
      <c r="AK10" s="71">
        <v>5</v>
      </c>
      <c r="AL10" s="33">
        <f t="shared" si="10"/>
        <v>0</v>
      </c>
      <c r="AM10" s="33">
        <f t="shared" si="11"/>
        <v>0</v>
      </c>
      <c r="AN10" s="33">
        <f t="shared" si="12"/>
        <v>0</v>
      </c>
      <c r="AO10" s="33">
        <f t="shared" si="13"/>
        <v>0</v>
      </c>
      <c r="AP10" s="33">
        <f t="shared" si="14"/>
        <v>0</v>
      </c>
      <c r="AQ10" s="194">
        <f t="shared" si="17"/>
        <v>0</v>
      </c>
      <c r="AR10" s="194">
        <f t="shared" si="17"/>
        <v>0</v>
      </c>
      <c r="AS10" s="194">
        <f t="shared" si="17"/>
        <v>0</v>
      </c>
      <c r="AT10" s="194">
        <f t="shared" si="17"/>
        <v>0</v>
      </c>
      <c r="AU10" s="33"/>
      <c r="AV10" s="33"/>
      <c r="AW10" s="33"/>
      <c r="AX10" s="33"/>
      <c r="AY10" s="164">
        <f t="shared" si="24"/>
        <v>0</v>
      </c>
    </row>
    <row r="11" spans="2:51" x14ac:dyDescent="0.3">
      <c r="B11" s="373"/>
      <c r="C11" s="367"/>
      <c r="D11" s="365" t="s">
        <v>139</v>
      </c>
      <c r="E11" s="365"/>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5">
        <f t="shared" si="7"/>
        <v>0</v>
      </c>
      <c r="AD11" s="100">
        <f t="shared" si="8"/>
        <v>0</v>
      </c>
      <c r="AE11" s="100">
        <f t="shared" si="9"/>
        <v>0</v>
      </c>
      <c r="AF11" s="194">
        <f t="shared" si="25"/>
        <v>0</v>
      </c>
      <c r="AG11" s="194">
        <f t="shared" si="26"/>
        <v>0</v>
      </c>
      <c r="AH11" s="194">
        <f t="shared" si="27"/>
        <v>0</v>
      </c>
      <c r="AI11" s="199">
        <f t="shared" si="28"/>
        <v>0</v>
      </c>
      <c r="AK11" s="71">
        <v>6</v>
      </c>
      <c r="AL11" s="33">
        <f t="shared" si="10"/>
        <v>0</v>
      </c>
      <c r="AM11" s="33">
        <f t="shared" si="11"/>
        <v>0</v>
      </c>
      <c r="AN11" s="33">
        <f t="shared" si="12"/>
        <v>0</v>
      </c>
      <c r="AO11" s="33">
        <f t="shared" si="13"/>
        <v>0</v>
      </c>
      <c r="AP11" s="33">
        <f t="shared" si="14"/>
        <v>0</v>
      </c>
      <c r="AQ11" s="194">
        <f t="shared" si="17"/>
        <v>0</v>
      </c>
      <c r="AR11" s="194">
        <f t="shared" si="17"/>
        <v>0</v>
      </c>
      <c r="AS11" s="194">
        <f t="shared" si="17"/>
        <v>0</v>
      </c>
      <c r="AT11" s="194">
        <f t="shared" si="17"/>
        <v>0</v>
      </c>
      <c r="AU11" s="33"/>
      <c r="AV11" s="33"/>
      <c r="AW11" s="33"/>
      <c r="AX11" s="33"/>
      <c r="AY11" s="164">
        <f t="shared" si="24"/>
        <v>0</v>
      </c>
    </row>
    <row r="12" spans="2:51" x14ac:dyDescent="0.3">
      <c r="B12" s="373"/>
      <c r="C12" s="367"/>
      <c r="D12" s="362" t="s">
        <v>131</v>
      </c>
      <c r="E12" s="362"/>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5">
        <f t="shared" si="7"/>
        <v>0</v>
      </c>
      <c r="AD12" s="100">
        <f t="shared" si="8"/>
        <v>0</v>
      </c>
      <c r="AE12" s="100">
        <f t="shared" si="9"/>
        <v>0</v>
      </c>
      <c r="AF12" s="194">
        <f t="shared" si="25"/>
        <v>0</v>
      </c>
      <c r="AG12" s="194">
        <f t="shared" si="26"/>
        <v>0</v>
      </c>
      <c r="AH12" s="194">
        <f t="shared" si="27"/>
        <v>0</v>
      </c>
      <c r="AI12" s="199">
        <f t="shared" si="28"/>
        <v>0</v>
      </c>
      <c r="AK12" s="71">
        <v>7</v>
      </c>
      <c r="AL12" s="33">
        <f t="shared" si="10"/>
        <v>0</v>
      </c>
      <c r="AM12" s="33">
        <f t="shared" si="11"/>
        <v>0</v>
      </c>
      <c r="AN12" s="33">
        <f t="shared" si="12"/>
        <v>0</v>
      </c>
      <c r="AO12" s="33">
        <f t="shared" si="13"/>
        <v>0</v>
      </c>
      <c r="AP12" s="33">
        <f t="shared" si="14"/>
        <v>0</v>
      </c>
      <c r="AQ12" s="194">
        <f t="shared" si="17"/>
        <v>0</v>
      </c>
      <c r="AR12" s="194">
        <f t="shared" si="17"/>
        <v>0</v>
      </c>
      <c r="AS12" s="194">
        <f t="shared" si="17"/>
        <v>0</v>
      </c>
      <c r="AT12" s="194">
        <f t="shared" si="17"/>
        <v>0</v>
      </c>
      <c r="AU12" s="33"/>
      <c r="AV12" s="33"/>
      <c r="AW12" s="33"/>
      <c r="AX12" s="33"/>
      <c r="AY12" s="164">
        <f t="shared" si="24"/>
        <v>0</v>
      </c>
    </row>
    <row r="13" spans="2:51" x14ac:dyDescent="0.3">
      <c r="B13" s="364"/>
      <c r="C13" s="368"/>
      <c r="D13" s="366" t="s">
        <v>155</v>
      </c>
      <c r="E13" s="366"/>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5">
        <f t="shared" si="7"/>
        <v>0</v>
      </c>
      <c r="AD13" s="100">
        <f t="shared" si="8"/>
        <v>0</v>
      </c>
      <c r="AE13" s="100">
        <f t="shared" si="9"/>
        <v>0</v>
      </c>
      <c r="AF13" s="194">
        <f t="shared" si="25"/>
        <v>0</v>
      </c>
      <c r="AG13" s="194">
        <f t="shared" si="26"/>
        <v>0</v>
      </c>
      <c r="AH13" s="194">
        <f t="shared" si="27"/>
        <v>0</v>
      </c>
      <c r="AI13" s="199">
        <f t="shared" si="28"/>
        <v>0</v>
      </c>
      <c r="AK13" s="71">
        <v>8</v>
      </c>
      <c r="AL13" s="33">
        <f t="shared" si="10"/>
        <v>0</v>
      </c>
      <c r="AM13" s="33">
        <f t="shared" si="11"/>
        <v>0</v>
      </c>
      <c r="AN13" s="33">
        <f t="shared" si="12"/>
        <v>0</v>
      </c>
      <c r="AO13" s="33">
        <f t="shared" si="13"/>
        <v>0</v>
      </c>
      <c r="AP13" s="33">
        <f t="shared" si="14"/>
        <v>0</v>
      </c>
      <c r="AQ13" s="194">
        <f t="shared" si="17"/>
        <v>0</v>
      </c>
      <c r="AR13" s="194">
        <f t="shared" si="17"/>
        <v>0</v>
      </c>
      <c r="AS13" s="194">
        <f t="shared" si="17"/>
        <v>0</v>
      </c>
      <c r="AT13" s="194">
        <f t="shared" si="17"/>
        <v>0</v>
      </c>
      <c r="AU13" s="33"/>
      <c r="AV13" s="33"/>
      <c r="AW13" s="33"/>
      <c r="AX13" s="33"/>
      <c r="AY13" s="164">
        <f t="shared" si="24"/>
        <v>0</v>
      </c>
    </row>
    <row r="14" spans="2:51" x14ac:dyDescent="0.3">
      <c r="B14" s="363" t="s">
        <v>132</v>
      </c>
      <c r="C14" s="359"/>
      <c r="D14" s="360"/>
      <c r="E14" s="360"/>
      <c r="F14" s="361"/>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5">
        <f t="shared" si="7"/>
        <v>0</v>
      </c>
      <c r="AD14" s="100">
        <f t="shared" si="8"/>
        <v>0</v>
      </c>
      <c r="AE14" s="100">
        <f t="shared" si="9"/>
        <v>0</v>
      </c>
      <c r="AF14" s="194">
        <f t="shared" si="25"/>
        <v>0</v>
      </c>
      <c r="AG14" s="194">
        <f t="shared" si="26"/>
        <v>0</v>
      </c>
      <c r="AH14" s="194">
        <f t="shared" si="27"/>
        <v>0</v>
      </c>
      <c r="AI14" s="199">
        <f t="shared" si="28"/>
        <v>0</v>
      </c>
      <c r="AK14" s="71">
        <v>9</v>
      </c>
      <c r="AL14" s="33">
        <f t="shared" si="10"/>
        <v>0</v>
      </c>
      <c r="AM14" s="33">
        <f t="shared" si="11"/>
        <v>0</v>
      </c>
      <c r="AN14" s="33">
        <f t="shared" si="12"/>
        <v>0</v>
      </c>
      <c r="AO14" s="33">
        <f t="shared" si="13"/>
        <v>0</v>
      </c>
      <c r="AP14" s="33">
        <f t="shared" si="14"/>
        <v>0</v>
      </c>
      <c r="AQ14" s="194">
        <f t="shared" si="17"/>
        <v>0</v>
      </c>
      <c r="AR14" s="194">
        <f t="shared" si="17"/>
        <v>0</v>
      </c>
      <c r="AS14" s="194">
        <f t="shared" si="17"/>
        <v>0</v>
      </c>
      <c r="AT14" s="194">
        <f t="shared" si="17"/>
        <v>0</v>
      </c>
      <c r="AU14" s="33"/>
      <c r="AV14" s="33"/>
      <c r="AW14" s="33"/>
      <c r="AX14" s="33"/>
      <c r="AY14" s="164">
        <f t="shared" si="24"/>
        <v>0</v>
      </c>
    </row>
    <row r="15" spans="2:51" x14ac:dyDescent="0.3">
      <c r="B15" s="373"/>
      <c r="C15" s="93" t="s">
        <v>73</v>
      </c>
      <c r="D15" s="369" t="s">
        <v>135</v>
      </c>
      <c r="E15" s="369"/>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5">
        <f t="shared" si="7"/>
        <v>0</v>
      </c>
      <c r="AD15" s="100">
        <f t="shared" si="8"/>
        <v>0</v>
      </c>
      <c r="AE15" s="100">
        <f t="shared" si="9"/>
        <v>0</v>
      </c>
      <c r="AF15" s="194">
        <f t="shared" si="25"/>
        <v>0</v>
      </c>
      <c r="AG15" s="194">
        <f t="shared" si="26"/>
        <v>0</v>
      </c>
      <c r="AH15" s="194">
        <f t="shared" si="27"/>
        <v>0</v>
      </c>
      <c r="AI15" s="199">
        <f t="shared" si="28"/>
        <v>0</v>
      </c>
      <c r="AK15" s="71">
        <v>10</v>
      </c>
      <c r="AL15" s="33">
        <f t="shared" si="10"/>
        <v>0</v>
      </c>
      <c r="AM15" s="33">
        <f t="shared" si="11"/>
        <v>0</v>
      </c>
      <c r="AN15" s="33">
        <f t="shared" si="12"/>
        <v>0</v>
      </c>
      <c r="AO15" s="33">
        <f t="shared" si="13"/>
        <v>0</v>
      </c>
      <c r="AP15" s="33">
        <f t="shared" si="14"/>
        <v>0</v>
      </c>
      <c r="AQ15" s="194">
        <f t="shared" si="17"/>
        <v>0</v>
      </c>
      <c r="AR15" s="194">
        <f t="shared" si="17"/>
        <v>0</v>
      </c>
      <c r="AS15" s="194">
        <f t="shared" si="17"/>
        <v>0</v>
      </c>
      <c r="AT15" s="194">
        <f t="shared" si="17"/>
        <v>0</v>
      </c>
      <c r="AU15" s="33"/>
      <c r="AV15" s="33"/>
      <c r="AW15" s="33"/>
      <c r="AX15" s="33"/>
      <c r="AY15" s="164">
        <f t="shared" si="24"/>
        <v>0</v>
      </c>
    </row>
    <row r="16" spans="2:51" x14ac:dyDescent="0.3">
      <c r="B16" s="373"/>
      <c r="C16" s="93" t="s">
        <v>74</v>
      </c>
      <c r="D16" s="365" t="s">
        <v>138</v>
      </c>
      <c r="E16" s="365"/>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5">
        <f t="shared" si="7"/>
        <v>0</v>
      </c>
      <c r="AD16" s="100">
        <f t="shared" si="8"/>
        <v>0</v>
      </c>
      <c r="AE16" s="100">
        <f t="shared" si="9"/>
        <v>0</v>
      </c>
      <c r="AF16" s="194">
        <f t="shared" si="25"/>
        <v>0</v>
      </c>
      <c r="AG16" s="194">
        <f t="shared" si="26"/>
        <v>0</v>
      </c>
      <c r="AH16" s="194">
        <f t="shared" si="27"/>
        <v>0</v>
      </c>
      <c r="AI16" s="199">
        <f t="shared" si="28"/>
        <v>0</v>
      </c>
      <c r="AK16" s="71">
        <v>11</v>
      </c>
      <c r="AL16" s="33">
        <f t="shared" si="10"/>
        <v>0</v>
      </c>
      <c r="AM16" s="33">
        <f t="shared" si="11"/>
        <v>0</v>
      </c>
      <c r="AN16" s="33">
        <f t="shared" si="12"/>
        <v>0</v>
      </c>
      <c r="AO16" s="33">
        <f t="shared" si="13"/>
        <v>0</v>
      </c>
      <c r="AP16" s="33">
        <f t="shared" si="14"/>
        <v>0</v>
      </c>
      <c r="AQ16" s="194">
        <f t="shared" si="17"/>
        <v>0</v>
      </c>
      <c r="AR16" s="194">
        <f t="shared" si="17"/>
        <v>0</v>
      </c>
      <c r="AS16" s="194">
        <f t="shared" si="17"/>
        <v>0</v>
      </c>
      <c r="AT16" s="194">
        <f t="shared" si="17"/>
        <v>0</v>
      </c>
      <c r="AU16" s="33"/>
      <c r="AV16" s="33"/>
      <c r="AW16" s="33"/>
      <c r="AX16" s="33"/>
      <c r="AY16" s="164">
        <f t="shared" si="24"/>
        <v>0</v>
      </c>
    </row>
    <row r="17" spans="2:51" x14ac:dyDescent="0.3">
      <c r="B17" s="373"/>
      <c r="C17" s="367" t="s">
        <v>124</v>
      </c>
      <c r="D17" s="362" t="s">
        <v>131</v>
      </c>
      <c r="E17" s="362"/>
      <c r="F17" s="96"/>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5">
        <f t="shared" si="7"/>
        <v>0</v>
      </c>
      <c r="AD17" s="100">
        <f t="shared" si="8"/>
        <v>0</v>
      </c>
      <c r="AE17" s="100">
        <f t="shared" si="9"/>
        <v>0</v>
      </c>
      <c r="AF17" s="194">
        <f t="shared" si="25"/>
        <v>0</v>
      </c>
      <c r="AG17" s="194">
        <f t="shared" si="26"/>
        <v>0</v>
      </c>
      <c r="AH17" s="194">
        <f t="shared" si="27"/>
        <v>0</v>
      </c>
      <c r="AI17" s="199">
        <f t="shared" si="28"/>
        <v>0</v>
      </c>
      <c r="AK17" s="71">
        <v>12</v>
      </c>
      <c r="AL17" s="33">
        <f t="shared" si="10"/>
        <v>0</v>
      </c>
      <c r="AM17" s="33">
        <f t="shared" si="11"/>
        <v>0</v>
      </c>
      <c r="AN17" s="33">
        <f t="shared" si="12"/>
        <v>0</v>
      </c>
      <c r="AO17" s="33">
        <f t="shared" si="13"/>
        <v>0</v>
      </c>
      <c r="AP17" s="33">
        <f t="shared" si="14"/>
        <v>0</v>
      </c>
      <c r="AQ17" s="194">
        <f t="shared" si="17"/>
        <v>0</v>
      </c>
      <c r="AR17" s="194">
        <f t="shared" si="17"/>
        <v>0</v>
      </c>
      <c r="AS17" s="194">
        <f t="shared" si="17"/>
        <v>0</v>
      </c>
      <c r="AT17" s="194">
        <f t="shared" si="17"/>
        <v>0</v>
      </c>
      <c r="AU17" s="33"/>
      <c r="AV17" s="33"/>
      <c r="AW17" s="33"/>
      <c r="AX17" s="33"/>
      <c r="AY17" s="164">
        <f t="shared" si="24"/>
        <v>0</v>
      </c>
    </row>
    <row r="18" spans="2:51" x14ac:dyDescent="0.3">
      <c r="B18" s="373"/>
      <c r="C18" s="367"/>
      <c r="D18" s="362" t="s">
        <v>136</v>
      </c>
      <c r="E18" s="362"/>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5">
        <f t="shared" si="7"/>
        <v>0</v>
      </c>
      <c r="AD18" s="100">
        <f t="shared" si="8"/>
        <v>0</v>
      </c>
      <c r="AE18" s="100">
        <f t="shared" si="9"/>
        <v>0</v>
      </c>
      <c r="AF18" s="194">
        <f t="shared" si="25"/>
        <v>0</v>
      </c>
      <c r="AG18" s="194">
        <f t="shared" si="26"/>
        <v>0</v>
      </c>
      <c r="AH18" s="194">
        <f t="shared" si="27"/>
        <v>0</v>
      </c>
      <c r="AI18" s="199">
        <f t="shared" si="28"/>
        <v>0</v>
      </c>
      <c r="AK18" s="71">
        <v>13</v>
      </c>
      <c r="AL18" s="33">
        <f t="shared" si="10"/>
        <v>0</v>
      </c>
      <c r="AM18" s="33">
        <f t="shared" si="11"/>
        <v>0</v>
      </c>
      <c r="AN18" s="33">
        <f t="shared" si="12"/>
        <v>0</v>
      </c>
      <c r="AO18" s="33">
        <f t="shared" si="13"/>
        <v>0</v>
      </c>
      <c r="AP18" s="33">
        <f t="shared" si="14"/>
        <v>0</v>
      </c>
      <c r="AQ18" s="194">
        <f t="shared" si="17"/>
        <v>0</v>
      </c>
      <c r="AR18" s="194">
        <f t="shared" si="17"/>
        <v>0</v>
      </c>
      <c r="AS18" s="194">
        <f t="shared" si="17"/>
        <v>0</v>
      </c>
      <c r="AT18" s="194">
        <f t="shared" si="17"/>
        <v>0</v>
      </c>
      <c r="AU18" s="33"/>
      <c r="AV18" s="33"/>
      <c r="AW18" s="33"/>
      <c r="AX18" s="33"/>
      <c r="AY18" s="164">
        <f t="shared" si="24"/>
        <v>0</v>
      </c>
    </row>
    <row r="19" spans="2:51" x14ac:dyDescent="0.3">
      <c r="B19" s="373"/>
      <c r="C19" s="367"/>
      <c r="D19" s="365" t="s">
        <v>155</v>
      </c>
      <c r="E19" s="365"/>
      <c r="F19" s="36">
        <f>IF(ISBLANK(F$17),,VLOOKUP(F$17,C131:D195,2,FALSE))</f>
        <v>0</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5">
        <f t="shared" si="7"/>
        <v>0</v>
      </c>
      <c r="AD19" s="100">
        <f t="shared" si="8"/>
        <v>0</v>
      </c>
      <c r="AE19" s="100">
        <f t="shared" si="9"/>
        <v>0</v>
      </c>
      <c r="AF19" s="194">
        <f t="shared" si="25"/>
        <v>0</v>
      </c>
      <c r="AG19" s="194">
        <f t="shared" si="26"/>
        <v>0</v>
      </c>
      <c r="AH19" s="194">
        <f t="shared" si="27"/>
        <v>0</v>
      </c>
      <c r="AI19" s="199">
        <f t="shared" si="28"/>
        <v>0</v>
      </c>
      <c r="AK19" s="71">
        <v>14</v>
      </c>
      <c r="AL19" s="33">
        <f t="shared" si="10"/>
        <v>0</v>
      </c>
      <c r="AM19" s="33">
        <f t="shared" si="11"/>
        <v>0</v>
      </c>
      <c r="AN19" s="33">
        <f t="shared" si="12"/>
        <v>0</v>
      </c>
      <c r="AO19" s="33">
        <f t="shared" si="13"/>
        <v>0</v>
      </c>
      <c r="AP19" s="33">
        <f t="shared" si="14"/>
        <v>0</v>
      </c>
      <c r="AQ19" s="194">
        <f t="shared" si="17"/>
        <v>0</v>
      </c>
      <c r="AR19" s="194">
        <f t="shared" si="17"/>
        <v>0</v>
      </c>
      <c r="AS19" s="194">
        <f t="shared" si="17"/>
        <v>0</v>
      </c>
      <c r="AT19" s="194">
        <f t="shared" si="17"/>
        <v>0</v>
      </c>
      <c r="AU19" s="33"/>
      <c r="AV19" s="33"/>
      <c r="AW19" s="33"/>
      <c r="AX19" s="33"/>
      <c r="AY19" s="164">
        <f t="shared" si="24"/>
        <v>0</v>
      </c>
    </row>
    <row r="20" spans="2:51" x14ac:dyDescent="0.3">
      <c r="B20" s="373"/>
      <c r="C20" s="367"/>
      <c r="D20" s="365" t="s">
        <v>140</v>
      </c>
      <c r="E20" s="365"/>
      <c r="F20" s="36">
        <f>IF(ISBLANK(F$17),,VLOOKUP(F17,Tableau14593[#All],4,FALSE))</f>
        <v>0</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5">
        <f t="shared" si="7"/>
        <v>0</v>
      </c>
      <c r="AD20" s="100">
        <f t="shared" si="8"/>
        <v>0</v>
      </c>
      <c r="AE20" s="100">
        <f t="shared" si="9"/>
        <v>0</v>
      </c>
      <c r="AF20" s="194">
        <f t="shared" si="25"/>
        <v>0</v>
      </c>
      <c r="AG20" s="194">
        <f t="shared" si="26"/>
        <v>0</v>
      </c>
      <c r="AH20" s="194">
        <f t="shared" si="27"/>
        <v>0</v>
      </c>
      <c r="AI20" s="199">
        <f t="shared" si="28"/>
        <v>0</v>
      </c>
      <c r="AK20" s="71">
        <v>15</v>
      </c>
      <c r="AL20" s="33">
        <f t="shared" si="10"/>
        <v>0</v>
      </c>
      <c r="AM20" s="33">
        <f t="shared" si="11"/>
        <v>0</v>
      </c>
      <c r="AN20" s="33">
        <f t="shared" si="12"/>
        <v>0</v>
      </c>
      <c r="AO20" s="33">
        <f t="shared" si="13"/>
        <v>0</v>
      </c>
      <c r="AP20" s="33">
        <f t="shared" si="14"/>
        <v>0</v>
      </c>
      <c r="AQ20" s="194">
        <f t="shared" si="17"/>
        <v>0</v>
      </c>
      <c r="AR20" s="194">
        <f t="shared" si="17"/>
        <v>0</v>
      </c>
      <c r="AS20" s="194">
        <f t="shared" si="17"/>
        <v>0</v>
      </c>
      <c r="AT20" s="194">
        <f t="shared" si="17"/>
        <v>0</v>
      </c>
      <c r="AU20" s="33"/>
      <c r="AV20" s="33"/>
      <c r="AW20" s="33"/>
      <c r="AX20" s="33"/>
      <c r="AY20" s="164">
        <f t="shared" si="24"/>
        <v>0</v>
      </c>
    </row>
    <row r="21" spans="2:51" x14ac:dyDescent="0.3">
      <c r="B21" s="364"/>
      <c r="C21" s="368"/>
      <c r="D21" s="366" t="s">
        <v>143</v>
      </c>
      <c r="E21" s="366"/>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5">
        <f t="shared" si="7"/>
        <v>0</v>
      </c>
      <c r="AD21" s="100">
        <f t="shared" si="8"/>
        <v>0</v>
      </c>
      <c r="AE21" s="100">
        <f t="shared" si="9"/>
        <v>0</v>
      </c>
      <c r="AF21" s="194">
        <f t="shared" si="25"/>
        <v>0</v>
      </c>
      <c r="AG21" s="194">
        <f t="shared" si="26"/>
        <v>0</v>
      </c>
      <c r="AH21" s="194">
        <f t="shared" si="27"/>
        <v>0</v>
      </c>
      <c r="AI21" s="199">
        <f t="shared" si="28"/>
        <v>0</v>
      </c>
      <c r="AK21" s="71">
        <v>16</v>
      </c>
      <c r="AL21" s="33">
        <f t="shared" si="10"/>
        <v>0</v>
      </c>
      <c r="AM21" s="33">
        <f t="shared" si="11"/>
        <v>0</v>
      </c>
      <c r="AN21" s="33">
        <f t="shared" si="12"/>
        <v>0</v>
      </c>
      <c r="AO21" s="33">
        <f t="shared" si="13"/>
        <v>0</v>
      </c>
      <c r="AP21" s="33">
        <f t="shared" si="14"/>
        <v>0</v>
      </c>
      <c r="AQ21" s="194">
        <f t="shared" si="17"/>
        <v>0</v>
      </c>
      <c r="AR21" s="194">
        <f t="shared" si="17"/>
        <v>0</v>
      </c>
      <c r="AS21" s="194">
        <f t="shared" si="17"/>
        <v>0</v>
      </c>
      <c r="AT21" s="194">
        <f t="shared" si="17"/>
        <v>0</v>
      </c>
      <c r="AU21" s="33"/>
      <c r="AV21" s="33"/>
      <c r="AW21" s="33"/>
      <c r="AX21" s="33"/>
      <c r="AY21" s="164">
        <f t="shared" si="24"/>
        <v>0</v>
      </c>
    </row>
    <row r="22" spans="2:51" x14ac:dyDescent="0.3">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5">
        <f t="shared" si="7"/>
        <v>0</v>
      </c>
      <c r="AD22" s="100">
        <f t="shared" si="8"/>
        <v>0</v>
      </c>
      <c r="AE22" s="100">
        <f t="shared" si="9"/>
        <v>0</v>
      </c>
      <c r="AF22" s="194">
        <f t="shared" si="25"/>
        <v>0</v>
      </c>
      <c r="AG22" s="194">
        <f t="shared" si="26"/>
        <v>0</v>
      </c>
      <c r="AH22" s="194">
        <f t="shared" si="27"/>
        <v>0</v>
      </c>
      <c r="AI22" s="199">
        <f t="shared" si="28"/>
        <v>0</v>
      </c>
      <c r="AK22" s="71">
        <v>17</v>
      </c>
      <c r="AL22" s="33">
        <f t="shared" si="10"/>
        <v>0</v>
      </c>
      <c r="AM22" s="33">
        <f t="shared" si="11"/>
        <v>0</v>
      </c>
      <c r="AN22" s="33">
        <f t="shared" si="12"/>
        <v>0</v>
      </c>
      <c r="AO22" s="33">
        <f t="shared" si="13"/>
        <v>0</v>
      </c>
      <c r="AP22" s="33">
        <f t="shared" si="14"/>
        <v>0</v>
      </c>
      <c r="AQ22" s="194">
        <f t="shared" si="17"/>
        <v>0</v>
      </c>
      <c r="AR22" s="194">
        <f t="shared" si="17"/>
        <v>0</v>
      </c>
      <c r="AS22" s="194">
        <f t="shared" si="17"/>
        <v>0</v>
      </c>
      <c r="AT22" s="194">
        <f t="shared" si="17"/>
        <v>0</v>
      </c>
      <c r="AU22" s="33"/>
      <c r="AV22" s="33"/>
      <c r="AW22" s="33"/>
      <c r="AX22" s="33"/>
      <c r="AY22" s="164">
        <f t="shared" si="24"/>
        <v>0</v>
      </c>
    </row>
    <row r="23" spans="2:51" x14ac:dyDescent="0.3">
      <c r="B23" s="385" t="s">
        <v>142</v>
      </c>
      <c r="C23" s="386"/>
      <c r="D23" s="386"/>
      <c r="E23" s="386"/>
      <c r="F23" s="386"/>
      <c r="G23" s="387"/>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5">
        <f t="shared" si="7"/>
        <v>0</v>
      </c>
      <c r="AD23" s="100">
        <f t="shared" si="8"/>
        <v>0</v>
      </c>
      <c r="AE23" s="100">
        <f t="shared" si="9"/>
        <v>0</v>
      </c>
      <c r="AF23" s="194">
        <f t="shared" si="25"/>
        <v>0</v>
      </c>
      <c r="AG23" s="194">
        <f t="shared" si="26"/>
        <v>0</v>
      </c>
      <c r="AH23" s="194">
        <f t="shared" si="27"/>
        <v>0</v>
      </c>
      <c r="AI23" s="199">
        <f t="shared" si="28"/>
        <v>0</v>
      </c>
      <c r="AK23" s="71">
        <v>18</v>
      </c>
      <c r="AL23" s="33">
        <f t="shared" si="10"/>
        <v>0</v>
      </c>
      <c r="AM23" s="33">
        <f t="shared" si="11"/>
        <v>0</v>
      </c>
      <c r="AN23" s="33">
        <f t="shared" si="12"/>
        <v>0</v>
      </c>
      <c r="AO23" s="33">
        <f t="shared" si="13"/>
        <v>0</v>
      </c>
      <c r="AP23" s="33">
        <f t="shared" si="14"/>
        <v>0</v>
      </c>
      <c r="AQ23" s="194">
        <f t="shared" si="17"/>
        <v>0</v>
      </c>
      <c r="AR23" s="194">
        <f t="shared" si="17"/>
        <v>0</v>
      </c>
      <c r="AS23" s="194">
        <f t="shared" si="17"/>
        <v>0</v>
      </c>
      <c r="AT23" s="194">
        <f t="shared" si="17"/>
        <v>0</v>
      </c>
      <c r="AU23" s="33"/>
      <c r="AV23" s="33"/>
      <c r="AW23" s="33"/>
      <c r="AX23" s="33"/>
      <c r="AY23" s="164">
        <f t="shared" si="24"/>
        <v>0</v>
      </c>
    </row>
    <row r="24" spans="2:51" x14ac:dyDescent="0.3">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5">
        <f t="shared" si="7"/>
        <v>0</v>
      </c>
      <c r="AD24" s="100">
        <f t="shared" si="8"/>
        <v>0</v>
      </c>
      <c r="AE24" s="100">
        <f t="shared" si="9"/>
        <v>0</v>
      </c>
      <c r="AF24" s="194">
        <f t="shared" si="25"/>
        <v>0</v>
      </c>
      <c r="AG24" s="194">
        <f t="shared" si="26"/>
        <v>0</v>
      </c>
      <c r="AH24" s="194">
        <f t="shared" si="27"/>
        <v>0</v>
      </c>
      <c r="AI24" s="199">
        <f t="shared" si="28"/>
        <v>0</v>
      </c>
      <c r="AK24" s="71">
        <v>19</v>
      </c>
      <c r="AL24" s="33">
        <f t="shared" si="10"/>
        <v>0</v>
      </c>
      <c r="AM24" s="33">
        <f t="shared" si="11"/>
        <v>0</v>
      </c>
      <c r="AN24" s="33">
        <f t="shared" si="12"/>
        <v>0</v>
      </c>
      <c r="AO24" s="33">
        <f t="shared" si="13"/>
        <v>0</v>
      </c>
      <c r="AP24" s="33">
        <f t="shared" si="14"/>
        <v>0</v>
      </c>
      <c r="AQ24" s="194">
        <f t="shared" si="17"/>
        <v>0</v>
      </c>
      <c r="AR24" s="194">
        <f t="shared" si="17"/>
        <v>0</v>
      </c>
      <c r="AS24" s="194">
        <f t="shared" si="17"/>
        <v>0</v>
      </c>
      <c r="AT24" s="194">
        <f t="shared" si="17"/>
        <v>0</v>
      </c>
      <c r="AU24" s="33"/>
      <c r="AV24" s="33"/>
      <c r="AW24" s="33"/>
      <c r="AX24" s="33"/>
      <c r="AY24" s="164">
        <f t="shared" si="24"/>
        <v>0</v>
      </c>
    </row>
    <row r="25" spans="2:51" x14ac:dyDescent="0.3">
      <c r="B25" s="45">
        <v>0</v>
      </c>
      <c r="C25" s="334">
        <v>10</v>
      </c>
      <c r="D25" s="136">
        <v>29</v>
      </c>
      <c r="E25" s="140">
        <f t="shared" ref="E25:E68" si="29">$F$20</f>
        <v>0</v>
      </c>
      <c r="F25" s="46">
        <f t="shared" ref="F25:F40" si="30">D25*E25</f>
        <v>0</v>
      </c>
      <c r="G25" s="50">
        <f>F25/(C25-B25)</f>
        <v>0</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5">
        <f t="shared" si="7"/>
        <v>0</v>
      </c>
      <c r="AD25" s="100">
        <f t="shared" si="8"/>
        <v>0</v>
      </c>
      <c r="AE25" s="100">
        <f t="shared" si="9"/>
        <v>0</v>
      </c>
      <c r="AF25" s="194">
        <f>IF(OR(AA25&lt;=$F$18,AA25&lt;=30),EXP(-LN(2)/$D$104)*AF24+((1-EXP(-LN(2)/$D$104))/(LN(2)/$D$104))*$AB25*AC25*0.475*$F$19*44/12,)</f>
        <v>0</v>
      </c>
      <c r="AG25" s="194">
        <f>IF(OR(AA25&lt;=$F$18,AA25&lt;=30),EXP(-LN(2)/$D$106)*AG24+((1-EXP(-LN(2)/$D$106))/(LN(2)/$D$106))*$AB25*AD25*0.475*$F$19*44/12,)</f>
        <v>0</v>
      </c>
      <c r="AH25" s="194">
        <f>IF(OR(AA25&lt;=$F$18,AA25&lt;=30),EXP(-LN(2)/$D$105)*AH24+((1-EXP(-LN(2)/$D$105))/(LN(2)/$D$105))*$AB25*AE25*0.475*$F$19*44/12,)</f>
        <v>0</v>
      </c>
      <c r="AI25" s="199">
        <f>IF(OR(AA25&lt;=$F$18,AA25&lt;=30),SUM(AF25:AH25),)</f>
        <v>0</v>
      </c>
      <c r="AK25" s="71">
        <v>20</v>
      </c>
      <c r="AL25" s="33">
        <f t="shared" si="10"/>
        <v>0</v>
      </c>
      <c r="AM25" s="33">
        <f t="shared" si="11"/>
        <v>0</v>
      </c>
      <c r="AN25" s="33">
        <f t="shared" si="12"/>
        <v>0</v>
      </c>
      <c r="AO25" s="33">
        <f t="shared" si="13"/>
        <v>0</v>
      </c>
      <c r="AP25" s="33">
        <f t="shared" si="14"/>
        <v>0</v>
      </c>
      <c r="AQ25" s="194">
        <f>IF($AK25&lt;=$F$18,$AL25*AM25,)</f>
        <v>0</v>
      </c>
      <c r="AR25" s="194">
        <f>IF($AK25&lt;=$F$18,$AL25*AN25,)</f>
        <v>0</v>
      </c>
      <c r="AS25" s="194">
        <f>IF($AK25&lt;=$F$18,$AL25*AO25,)</f>
        <v>0</v>
      </c>
      <c r="AT25" s="194">
        <f>IF($AK25&lt;=$F$18,$AL25*AP25,)</f>
        <v>0</v>
      </c>
      <c r="AU25" s="33"/>
      <c r="AV25" s="33"/>
      <c r="AW25" s="33"/>
      <c r="AX25" s="33"/>
      <c r="AY25" s="164">
        <f t="shared" si="24"/>
        <v>0</v>
      </c>
    </row>
    <row r="26" spans="2:51" x14ac:dyDescent="0.3">
      <c r="B26" s="40">
        <f t="shared" ref="B26:B52" si="31">C25</f>
        <v>10</v>
      </c>
      <c r="C26" s="41">
        <f>B26+1</f>
        <v>11</v>
      </c>
      <c r="D26" s="137">
        <v>29</v>
      </c>
      <c r="E26" s="141">
        <f t="shared" si="29"/>
        <v>0</v>
      </c>
      <c r="F26" s="42">
        <f t="shared" si="30"/>
        <v>0</v>
      </c>
      <c r="G26" s="142">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5">
        <f t="shared" si="7"/>
        <v>0</v>
      </c>
      <c r="AD26" s="100">
        <f t="shared" si="8"/>
        <v>0</v>
      </c>
      <c r="AE26" s="100">
        <f t="shared" si="9"/>
        <v>0</v>
      </c>
      <c r="AF26" s="194">
        <f>IF(OR(AA26&lt;=$F$18,AA26&lt;=30),EXP(-LN(2)/$D$104)*AF25+((1-EXP(-LN(2)/$D$104))/(LN(2)/$D$104))*$AB26*AC26*0.475*$F$19*44/12,)</f>
        <v>0</v>
      </c>
      <c r="AG26" s="194">
        <f>IF(OR(AA26&lt;=$F$18,AA26&lt;=30),EXP(-LN(2)/$D$106)*AG25+((1-EXP(-LN(2)/$D$106))/(LN(2)/$D$106))*$AB26*AD26*0.475*$F$19*44/12,)</f>
        <v>0</v>
      </c>
      <c r="AH26" s="194">
        <f>IF(OR(AA26&lt;=$F$18,AA26&lt;=30),EXP(-LN(2)/$D$105)*AH25+((1-EXP(-LN(2)/$D$105))/(LN(2)/$D$105))*$AB26*AE26*0.475*$F$19*44/12,)</f>
        <v>0</v>
      </c>
      <c r="AI26" s="199">
        <f>IF(OR(AA26&lt;=$F$18,AA26&lt;=30),SUM(AF26:AH26),)</f>
        <v>0</v>
      </c>
      <c r="AK26" s="71">
        <v>21</v>
      </c>
      <c r="AL26" s="33">
        <f t="shared" si="10"/>
        <v>0</v>
      </c>
      <c r="AM26" s="33">
        <f t="shared" si="11"/>
        <v>0</v>
      </c>
      <c r="AN26" s="33">
        <f t="shared" si="12"/>
        <v>0</v>
      </c>
      <c r="AO26" s="33">
        <f t="shared" si="13"/>
        <v>0</v>
      </c>
      <c r="AP26" s="33">
        <f t="shared" si="14"/>
        <v>0</v>
      </c>
      <c r="AQ26" s="194">
        <f t="shared" ref="AQ26:AT35" si="32">IF($AK26&lt;=$F$18,$AL26*AM26,)</f>
        <v>0</v>
      </c>
      <c r="AR26" s="194">
        <f t="shared" si="32"/>
        <v>0</v>
      </c>
      <c r="AS26" s="194">
        <f t="shared" si="32"/>
        <v>0</v>
      </c>
      <c r="AT26" s="194">
        <f t="shared" si="32"/>
        <v>0</v>
      </c>
      <c r="AU26" s="33"/>
      <c r="AV26" s="33"/>
      <c r="AW26" s="33"/>
      <c r="AX26" s="33"/>
      <c r="AY26" s="164">
        <f t="shared" si="24"/>
        <v>0</v>
      </c>
    </row>
    <row r="27" spans="2:51" x14ac:dyDescent="0.3">
      <c r="B27" s="40">
        <f t="shared" si="31"/>
        <v>11</v>
      </c>
      <c r="C27" s="152">
        <f>C25+5</f>
        <v>15</v>
      </c>
      <c r="D27" s="137">
        <v>89</v>
      </c>
      <c r="E27" s="141">
        <f t="shared" si="29"/>
        <v>0</v>
      </c>
      <c r="F27" s="42">
        <f t="shared" si="30"/>
        <v>0</v>
      </c>
      <c r="G27" s="51">
        <f t="shared" ref="G27:G40" si="33">(F27-F26)/(C27-B27)</f>
        <v>0</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5">
        <f t="shared" si="7"/>
        <v>0</v>
      </c>
      <c r="AD27" s="100">
        <f t="shared" si="8"/>
        <v>0</v>
      </c>
      <c r="AE27" s="100">
        <f t="shared" si="9"/>
        <v>0</v>
      </c>
      <c r="AF27" s="194">
        <f t="shared" ref="AF27:AF90" si="34">IF(OR(AA27&lt;=$F$18,AA27&lt;=30),EXP(-LN(2)/$D$104)*AF26+((1-EXP(-LN(2)/$D$104))/(LN(2)/$D$104))*$AB27*AC27*0.475*$F$19*44/12,)</f>
        <v>0</v>
      </c>
      <c r="AG27" s="194">
        <f t="shared" ref="AG27:AG90" si="35">IF(OR(AA27&lt;=$F$18,AA27&lt;=30),EXP(-LN(2)/$D$106)*AG26+((1-EXP(-LN(2)/$D$106))/(LN(2)/$D$106))*$AB27*AD27*0.475*$F$19*44/12,)</f>
        <v>0</v>
      </c>
      <c r="AH27" s="194">
        <f t="shared" ref="AH27:AH90" si="36">IF(OR(AA27&lt;=$F$18,AA27&lt;=30),EXP(-LN(2)/$D$105)*AH26+((1-EXP(-LN(2)/$D$105))/(LN(2)/$D$105))*$AB27*AE27*0.475*$F$19*44/12,)</f>
        <v>0</v>
      </c>
      <c r="AI27" s="199">
        <f t="shared" ref="AI27:AI90" si="37">IF(OR(AA27&lt;=$F$18,AA27&lt;=30),SUM(AF27:AH27),)</f>
        <v>0</v>
      </c>
      <c r="AK27" s="71">
        <v>22</v>
      </c>
      <c r="AL27" s="33">
        <f t="shared" si="10"/>
        <v>0</v>
      </c>
      <c r="AM27" s="33">
        <f t="shared" si="11"/>
        <v>0</v>
      </c>
      <c r="AN27" s="33">
        <f t="shared" si="12"/>
        <v>0</v>
      </c>
      <c r="AO27" s="33">
        <f t="shared" si="13"/>
        <v>0</v>
      </c>
      <c r="AP27" s="33">
        <f t="shared" si="14"/>
        <v>0</v>
      </c>
      <c r="AQ27" s="194">
        <f t="shared" si="32"/>
        <v>0</v>
      </c>
      <c r="AR27" s="194">
        <f t="shared" si="32"/>
        <v>0</v>
      </c>
      <c r="AS27" s="194">
        <f t="shared" si="32"/>
        <v>0</v>
      </c>
      <c r="AT27" s="194">
        <f t="shared" si="32"/>
        <v>0</v>
      </c>
      <c r="AU27" s="33"/>
      <c r="AV27" s="33"/>
      <c r="AW27" s="33"/>
      <c r="AX27" s="33"/>
      <c r="AY27" s="164">
        <f t="shared" si="24"/>
        <v>0</v>
      </c>
    </row>
    <row r="28" spans="2:51" x14ac:dyDescent="0.3">
      <c r="B28" s="40">
        <f t="shared" si="31"/>
        <v>15</v>
      </c>
      <c r="C28" s="152">
        <f>C26+5</f>
        <v>16</v>
      </c>
      <c r="D28" s="137">
        <v>89</v>
      </c>
      <c r="E28" s="141">
        <f t="shared" si="29"/>
        <v>0</v>
      </c>
      <c r="F28" s="42">
        <f t="shared" si="30"/>
        <v>0</v>
      </c>
      <c r="G28" s="51">
        <f t="shared" si="33"/>
        <v>0</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5">
        <f t="shared" si="7"/>
        <v>0</v>
      </c>
      <c r="AD28" s="100">
        <f t="shared" si="8"/>
        <v>0</v>
      </c>
      <c r="AE28" s="100">
        <f t="shared" si="9"/>
        <v>0</v>
      </c>
      <c r="AF28" s="194">
        <f t="shared" si="34"/>
        <v>0</v>
      </c>
      <c r="AG28" s="194">
        <f t="shared" si="35"/>
        <v>0</v>
      </c>
      <c r="AH28" s="194">
        <f t="shared" si="36"/>
        <v>0</v>
      </c>
      <c r="AI28" s="199">
        <f t="shared" si="37"/>
        <v>0</v>
      </c>
      <c r="AK28" s="71">
        <v>23</v>
      </c>
      <c r="AL28" s="33">
        <f t="shared" si="10"/>
        <v>0</v>
      </c>
      <c r="AM28" s="33">
        <f t="shared" si="11"/>
        <v>0</v>
      </c>
      <c r="AN28" s="33">
        <f t="shared" si="12"/>
        <v>0</v>
      </c>
      <c r="AO28" s="33">
        <f t="shared" si="13"/>
        <v>0</v>
      </c>
      <c r="AP28" s="33">
        <f t="shared" si="14"/>
        <v>0</v>
      </c>
      <c r="AQ28" s="194">
        <f t="shared" si="32"/>
        <v>0</v>
      </c>
      <c r="AR28" s="194">
        <f t="shared" si="32"/>
        <v>0</v>
      </c>
      <c r="AS28" s="194">
        <f t="shared" si="32"/>
        <v>0</v>
      </c>
      <c r="AT28" s="194">
        <f t="shared" si="32"/>
        <v>0</v>
      </c>
      <c r="AU28" s="33"/>
      <c r="AV28" s="33"/>
      <c r="AW28" s="33"/>
      <c r="AX28" s="33"/>
      <c r="AY28" s="164">
        <f t="shared" si="24"/>
        <v>0</v>
      </c>
    </row>
    <row r="29" spans="2:51" x14ac:dyDescent="0.3">
      <c r="B29" s="40">
        <f t="shared" si="31"/>
        <v>16</v>
      </c>
      <c r="C29" s="152">
        <f t="shared" ref="C29:C68" si="38">C27+5</f>
        <v>20</v>
      </c>
      <c r="D29" s="137">
        <f>D30+26</f>
        <v>161</v>
      </c>
      <c r="E29" s="141">
        <f t="shared" si="29"/>
        <v>0</v>
      </c>
      <c r="F29" s="42">
        <f t="shared" si="30"/>
        <v>0</v>
      </c>
      <c r="G29" s="51">
        <f t="shared" si="33"/>
        <v>0</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5">
        <f t="shared" si="7"/>
        <v>0</v>
      </c>
      <c r="AD29" s="100">
        <f t="shared" si="8"/>
        <v>0</v>
      </c>
      <c r="AE29" s="100">
        <f t="shared" si="9"/>
        <v>0</v>
      </c>
      <c r="AF29" s="194">
        <f t="shared" si="34"/>
        <v>0</v>
      </c>
      <c r="AG29" s="194">
        <f t="shared" si="35"/>
        <v>0</v>
      </c>
      <c r="AH29" s="194">
        <f t="shared" si="36"/>
        <v>0</v>
      </c>
      <c r="AI29" s="199">
        <f t="shared" si="37"/>
        <v>0</v>
      </c>
      <c r="AK29" s="71">
        <v>24</v>
      </c>
      <c r="AL29" s="33">
        <f t="shared" si="10"/>
        <v>0</v>
      </c>
      <c r="AM29" s="33">
        <f t="shared" si="11"/>
        <v>0</v>
      </c>
      <c r="AN29" s="33">
        <f t="shared" si="12"/>
        <v>0</v>
      </c>
      <c r="AO29" s="33">
        <f t="shared" si="13"/>
        <v>0</v>
      </c>
      <c r="AP29" s="33">
        <f t="shared" si="14"/>
        <v>0</v>
      </c>
      <c r="AQ29" s="194">
        <f t="shared" si="32"/>
        <v>0</v>
      </c>
      <c r="AR29" s="194">
        <f t="shared" si="32"/>
        <v>0</v>
      </c>
      <c r="AS29" s="194">
        <f t="shared" si="32"/>
        <v>0</v>
      </c>
      <c r="AT29" s="194">
        <f t="shared" si="32"/>
        <v>0</v>
      </c>
      <c r="AU29" s="33"/>
      <c r="AV29" s="33"/>
      <c r="AW29" s="33"/>
      <c r="AX29" s="33"/>
      <c r="AY29" s="164">
        <f t="shared" si="24"/>
        <v>0</v>
      </c>
    </row>
    <row r="30" spans="2:51" x14ac:dyDescent="0.3">
      <c r="B30" s="40">
        <f t="shared" si="31"/>
        <v>20</v>
      </c>
      <c r="C30" s="152">
        <f t="shared" si="38"/>
        <v>21</v>
      </c>
      <c r="D30" s="137">
        <v>135</v>
      </c>
      <c r="E30" s="141">
        <f t="shared" si="29"/>
        <v>0</v>
      </c>
      <c r="F30" s="42">
        <f t="shared" si="30"/>
        <v>0</v>
      </c>
      <c r="G30" s="51">
        <f t="shared" si="33"/>
        <v>0</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5">
        <f>IF(AA30&lt;=$F$18,IFERROR(VLOOKUP($AA30,$B$82:$G$94,3,FALSE),0),)*50%</f>
        <v>0</v>
      </c>
      <c r="AD30" s="100">
        <f t="shared" si="8"/>
        <v>0</v>
      </c>
      <c r="AE30" s="100">
        <f t="shared" si="9"/>
        <v>0</v>
      </c>
      <c r="AF30" s="194">
        <f t="shared" si="34"/>
        <v>0</v>
      </c>
      <c r="AG30" s="194">
        <f t="shared" si="35"/>
        <v>0</v>
      </c>
      <c r="AH30" s="194">
        <f t="shared" si="36"/>
        <v>0</v>
      </c>
      <c r="AI30" s="199">
        <f t="shared" si="37"/>
        <v>0</v>
      </c>
      <c r="AK30" s="71">
        <v>25</v>
      </c>
      <c r="AL30" s="33">
        <f t="shared" si="10"/>
        <v>0</v>
      </c>
      <c r="AM30" s="33">
        <f t="shared" si="11"/>
        <v>0</v>
      </c>
      <c r="AN30" s="33">
        <f t="shared" si="12"/>
        <v>0</v>
      </c>
      <c r="AO30" s="33">
        <f t="shared" si="13"/>
        <v>0</v>
      </c>
      <c r="AP30" s="33">
        <f t="shared" si="14"/>
        <v>0</v>
      </c>
      <c r="AQ30" s="194">
        <f t="shared" si="32"/>
        <v>0</v>
      </c>
      <c r="AR30" s="194">
        <f t="shared" si="32"/>
        <v>0</v>
      </c>
      <c r="AS30" s="194">
        <f t="shared" si="32"/>
        <v>0</v>
      </c>
      <c r="AT30" s="194">
        <f t="shared" si="32"/>
        <v>0</v>
      </c>
      <c r="AU30" s="33"/>
      <c r="AV30" s="33"/>
      <c r="AW30" s="33"/>
      <c r="AX30" s="33"/>
      <c r="AY30" s="164">
        <f t="shared" si="24"/>
        <v>0</v>
      </c>
    </row>
    <row r="31" spans="2:51" x14ac:dyDescent="0.3">
      <c r="B31" s="40">
        <f t="shared" si="31"/>
        <v>21</v>
      </c>
      <c r="C31" s="152">
        <f t="shared" si="38"/>
        <v>25</v>
      </c>
      <c r="D31" s="137">
        <f>D32+23.4</f>
        <v>197.4</v>
      </c>
      <c r="E31" s="141">
        <f t="shared" si="29"/>
        <v>0</v>
      </c>
      <c r="F31" s="42">
        <f t="shared" si="30"/>
        <v>0</v>
      </c>
      <c r="G31" s="51">
        <f t="shared" si="33"/>
        <v>0</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5">
        <f t="shared" ref="AC31:AC94" si="39">IF(AA31&lt;=$F$18,IFERROR(VLOOKUP($AA31,$B$82:$G$94,3,FALSE),0),)*50%</f>
        <v>0</v>
      </c>
      <c r="AD31" s="100">
        <f t="shared" si="8"/>
        <v>0</v>
      </c>
      <c r="AE31" s="100">
        <f t="shared" si="9"/>
        <v>0</v>
      </c>
      <c r="AF31" s="194">
        <f t="shared" si="34"/>
        <v>0</v>
      </c>
      <c r="AG31" s="194">
        <f t="shared" si="35"/>
        <v>0</v>
      </c>
      <c r="AH31" s="194">
        <f t="shared" si="36"/>
        <v>0</v>
      </c>
      <c r="AI31" s="199">
        <f t="shared" si="37"/>
        <v>0</v>
      </c>
      <c r="AK31" s="71">
        <v>26</v>
      </c>
      <c r="AL31" s="33">
        <f t="shared" si="10"/>
        <v>0</v>
      </c>
      <c r="AM31" s="33">
        <f t="shared" si="11"/>
        <v>0</v>
      </c>
      <c r="AN31" s="33">
        <f t="shared" si="12"/>
        <v>0</v>
      </c>
      <c r="AO31" s="33">
        <f t="shared" si="13"/>
        <v>0</v>
      </c>
      <c r="AP31" s="33">
        <f t="shared" si="14"/>
        <v>0</v>
      </c>
      <c r="AQ31" s="194">
        <f t="shared" si="32"/>
        <v>0</v>
      </c>
      <c r="AR31" s="194">
        <f t="shared" si="32"/>
        <v>0</v>
      </c>
      <c r="AS31" s="194">
        <f t="shared" si="32"/>
        <v>0</v>
      </c>
      <c r="AT31" s="194">
        <f t="shared" si="32"/>
        <v>0</v>
      </c>
      <c r="AU31" s="33"/>
      <c r="AV31" s="33"/>
      <c r="AW31" s="33"/>
      <c r="AX31" s="33"/>
      <c r="AY31" s="164">
        <f t="shared" si="24"/>
        <v>0</v>
      </c>
    </row>
    <row r="32" spans="2:51" x14ac:dyDescent="0.3">
      <c r="B32" s="40">
        <f t="shared" si="31"/>
        <v>25</v>
      </c>
      <c r="C32" s="152">
        <f t="shared" si="38"/>
        <v>26</v>
      </c>
      <c r="D32" s="137">
        <v>174</v>
      </c>
      <c r="E32" s="141">
        <f t="shared" si="29"/>
        <v>0</v>
      </c>
      <c r="F32" s="42">
        <f t="shared" si="30"/>
        <v>0</v>
      </c>
      <c r="G32" s="51">
        <f t="shared" si="33"/>
        <v>0</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5">
        <f t="shared" si="39"/>
        <v>0</v>
      </c>
      <c r="AD32" s="100">
        <f t="shared" si="8"/>
        <v>0</v>
      </c>
      <c r="AE32" s="100">
        <f t="shared" si="9"/>
        <v>0</v>
      </c>
      <c r="AF32" s="194">
        <f t="shared" si="34"/>
        <v>0</v>
      </c>
      <c r="AG32" s="194">
        <f t="shared" si="35"/>
        <v>0</v>
      </c>
      <c r="AH32" s="194">
        <f t="shared" si="36"/>
        <v>0</v>
      </c>
      <c r="AI32" s="199">
        <f t="shared" si="37"/>
        <v>0</v>
      </c>
      <c r="AK32" s="71">
        <v>27</v>
      </c>
      <c r="AL32" s="33">
        <f t="shared" si="10"/>
        <v>0</v>
      </c>
      <c r="AM32" s="33">
        <f t="shared" si="11"/>
        <v>0</v>
      </c>
      <c r="AN32" s="33">
        <f t="shared" si="12"/>
        <v>0</v>
      </c>
      <c r="AO32" s="33">
        <f t="shared" si="13"/>
        <v>0</v>
      </c>
      <c r="AP32" s="33">
        <f t="shared" si="14"/>
        <v>0</v>
      </c>
      <c r="AQ32" s="194">
        <f t="shared" si="32"/>
        <v>0</v>
      </c>
      <c r="AR32" s="194">
        <f t="shared" si="32"/>
        <v>0</v>
      </c>
      <c r="AS32" s="194">
        <f t="shared" si="32"/>
        <v>0</v>
      </c>
      <c r="AT32" s="194">
        <f t="shared" si="32"/>
        <v>0</v>
      </c>
      <c r="AU32" s="33"/>
      <c r="AV32" s="33"/>
      <c r="AW32" s="33"/>
      <c r="AX32" s="33"/>
      <c r="AY32" s="164">
        <f t="shared" si="24"/>
        <v>0</v>
      </c>
    </row>
    <row r="33" spans="2:51" x14ac:dyDescent="0.3">
      <c r="B33" s="40">
        <f t="shared" si="31"/>
        <v>26</v>
      </c>
      <c r="C33" s="152">
        <f t="shared" si="38"/>
        <v>30</v>
      </c>
      <c r="D33" s="137">
        <f>D34+20.4</f>
        <v>226.4</v>
      </c>
      <c r="E33" s="141">
        <f t="shared" si="29"/>
        <v>0</v>
      </c>
      <c r="F33" s="42">
        <f t="shared" si="30"/>
        <v>0</v>
      </c>
      <c r="G33" s="51">
        <f t="shared" si="33"/>
        <v>0</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5">
        <f t="shared" si="39"/>
        <v>0</v>
      </c>
      <c r="AD33" s="100">
        <f t="shared" si="8"/>
        <v>0</v>
      </c>
      <c r="AE33" s="100">
        <f t="shared" si="9"/>
        <v>0</v>
      </c>
      <c r="AF33" s="194">
        <f t="shared" si="34"/>
        <v>0</v>
      </c>
      <c r="AG33" s="194">
        <f t="shared" si="35"/>
        <v>0</v>
      </c>
      <c r="AH33" s="194">
        <f t="shared" si="36"/>
        <v>0</v>
      </c>
      <c r="AI33" s="199">
        <f t="shared" si="37"/>
        <v>0</v>
      </c>
      <c r="AK33" s="71">
        <v>28</v>
      </c>
      <c r="AL33" s="33">
        <f t="shared" si="10"/>
        <v>0</v>
      </c>
      <c r="AM33" s="33">
        <f t="shared" si="11"/>
        <v>0</v>
      </c>
      <c r="AN33" s="33">
        <f t="shared" si="12"/>
        <v>0</v>
      </c>
      <c r="AO33" s="33">
        <f t="shared" si="13"/>
        <v>0</v>
      </c>
      <c r="AP33" s="33">
        <f t="shared" si="14"/>
        <v>0</v>
      </c>
      <c r="AQ33" s="194">
        <f t="shared" si="32"/>
        <v>0</v>
      </c>
      <c r="AR33" s="194">
        <f t="shared" si="32"/>
        <v>0</v>
      </c>
      <c r="AS33" s="194">
        <f t="shared" si="32"/>
        <v>0</v>
      </c>
      <c r="AT33" s="194">
        <f t="shared" si="32"/>
        <v>0</v>
      </c>
      <c r="AU33" s="33"/>
      <c r="AV33" s="33"/>
      <c r="AW33" s="33"/>
      <c r="AX33" s="33"/>
      <c r="AY33" s="164">
        <f t="shared" si="24"/>
        <v>0</v>
      </c>
    </row>
    <row r="34" spans="2:51" ht="15" thickBot="1" x14ac:dyDescent="0.35">
      <c r="B34" s="40">
        <f t="shared" si="31"/>
        <v>30</v>
      </c>
      <c r="C34" s="152">
        <f t="shared" si="38"/>
        <v>31</v>
      </c>
      <c r="D34" s="137">
        <v>206</v>
      </c>
      <c r="E34" s="141">
        <f t="shared" si="29"/>
        <v>0</v>
      </c>
      <c r="F34" s="42">
        <f t="shared" si="30"/>
        <v>0</v>
      </c>
      <c r="G34" s="51">
        <f t="shared" si="33"/>
        <v>0</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3">
        <f t="shared" si="6"/>
        <v>0</v>
      </c>
      <c r="AC34" s="305">
        <f t="shared" si="39"/>
        <v>0</v>
      </c>
      <c r="AD34" s="101">
        <f t="shared" si="8"/>
        <v>0</v>
      </c>
      <c r="AE34" s="101">
        <f t="shared" si="9"/>
        <v>0</v>
      </c>
      <c r="AF34" s="196">
        <f t="shared" si="34"/>
        <v>0</v>
      </c>
      <c r="AG34" s="196">
        <f t="shared" si="35"/>
        <v>0</v>
      </c>
      <c r="AH34" s="194">
        <f t="shared" si="36"/>
        <v>0</v>
      </c>
      <c r="AI34" s="199">
        <f t="shared" si="37"/>
        <v>0</v>
      </c>
      <c r="AK34" s="71">
        <v>29</v>
      </c>
      <c r="AL34" s="143">
        <f t="shared" si="10"/>
        <v>0</v>
      </c>
      <c r="AM34" s="35">
        <f t="shared" si="11"/>
        <v>0</v>
      </c>
      <c r="AN34" s="35">
        <f t="shared" si="12"/>
        <v>0</v>
      </c>
      <c r="AO34" s="35">
        <f t="shared" si="13"/>
        <v>0</v>
      </c>
      <c r="AP34" s="35">
        <f t="shared" si="14"/>
        <v>0</v>
      </c>
      <c r="AQ34" s="194">
        <f t="shared" si="32"/>
        <v>0</v>
      </c>
      <c r="AR34" s="194">
        <f t="shared" si="32"/>
        <v>0</v>
      </c>
      <c r="AS34" s="194">
        <f t="shared" si="32"/>
        <v>0</v>
      </c>
      <c r="AT34" s="194">
        <f t="shared" si="32"/>
        <v>0</v>
      </c>
      <c r="AU34" s="33"/>
      <c r="AV34" s="33"/>
      <c r="AW34" s="33"/>
      <c r="AX34" s="33"/>
      <c r="AY34" s="164">
        <f t="shared" si="24"/>
        <v>0</v>
      </c>
    </row>
    <row r="35" spans="2:51" ht="15" thickBot="1" x14ac:dyDescent="0.35">
      <c r="B35" s="40">
        <f t="shared" si="31"/>
        <v>31</v>
      </c>
      <c r="C35" s="152">
        <f t="shared" si="38"/>
        <v>35</v>
      </c>
      <c r="D35" s="137">
        <f>D36+18.2</f>
        <v>252.2</v>
      </c>
      <c r="E35" s="141">
        <f t="shared" si="29"/>
        <v>0</v>
      </c>
      <c r="F35" s="42">
        <f t="shared" si="30"/>
        <v>0</v>
      </c>
      <c r="G35" s="51">
        <f t="shared" si="33"/>
        <v>0</v>
      </c>
      <c r="I35" s="87">
        <v>30</v>
      </c>
      <c r="J35" s="159">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3">
        <f t="shared" si="6"/>
        <v>0</v>
      </c>
      <c r="AC35" s="305">
        <f t="shared" si="39"/>
        <v>0</v>
      </c>
      <c r="AD35" s="101">
        <f t="shared" si="8"/>
        <v>0</v>
      </c>
      <c r="AE35" s="101">
        <f t="shared" si="9"/>
        <v>0</v>
      </c>
      <c r="AF35" s="200">
        <f t="shared" si="34"/>
        <v>0</v>
      </c>
      <c r="AG35" s="195">
        <f t="shared" si="35"/>
        <v>0</v>
      </c>
      <c r="AH35" s="201">
        <f t="shared" si="36"/>
        <v>0</v>
      </c>
      <c r="AI35" s="202">
        <f t="shared" si="37"/>
        <v>0</v>
      </c>
      <c r="AK35" s="73">
        <v>30</v>
      </c>
      <c r="AL35" s="143">
        <f t="shared" si="10"/>
        <v>0</v>
      </c>
      <c r="AM35" s="35">
        <f t="shared" si="11"/>
        <v>0</v>
      </c>
      <c r="AN35" s="35">
        <f t="shared" si="12"/>
        <v>0</v>
      </c>
      <c r="AO35" s="35">
        <f t="shared" si="13"/>
        <v>0</v>
      </c>
      <c r="AP35" s="35">
        <f t="shared" si="14"/>
        <v>0</v>
      </c>
      <c r="AQ35" s="195">
        <f t="shared" si="32"/>
        <v>0</v>
      </c>
      <c r="AR35" s="195">
        <f t="shared" si="32"/>
        <v>0</v>
      </c>
      <c r="AS35" s="195">
        <f t="shared" si="32"/>
        <v>0</v>
      </c>
      <c r="AT35" s="195">
        <f t="shared" si="32"/>
        <v>0</v>
      </c>
      <c r="AU35" s="53"/>
      <c r="AV35" s="53"/>
      <c r="AW35" s="53"/>
      <c r="AX35" s="53"/>
      <c r="AY35" s="165">
        <f t="shared" si="24"/>
        <v>0</v>
      </c>
    </row>
    <row r="36" spans="2:51" x14ac:dyDescent="0.3">
      <c r="B36" s="40">
        <f t="shared" si="31"/>
        <v>35</v>
      </c>
      <c r="C36" s="152">
        <f t="shared" si="38"/>
        <v>36</v>
      </c>
      <c r="D36" s="137">
        <v>234</v>
      </c>
      <c r="E36" s="141">
        <f t="shared" si="29"/>
        <v>0</v>
      </c>
      <c r="F36" s="42">
        <f t="shared" si="30"/>
        <v>0</v>
      </c>
      <c r="G36" s="51">
        <f t="shared" si="33"/>
        <v>0</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5">
        <f t="shared" si="39"/>
        <v>0</v>
      </c>
      <c r="AD36" s="100">
        <f t="shared" si="8"/>
        <v>0</v>
      </c>
      <c r="AE36" s="100">
        <f t="shared" si="9"/>
        <v>0</v>
      </c>
      <c r="AF36" s="194">
        <f t="shared" si="34"/>
        <v>0</v>
      </c>
      <c r="AG36" s="194">
        <f t="shared" si="35"/>
        <v>0</v>
      </c>
      <c r="AH36" s="194">
        <f t="shared" si="36"/>
        <v>0</v>
      </c>
      <c r="AI36" s="199">
        <f t="shared" si="37"/>
        <v>0</v>
      </c>
      <c r="AK36" s="71">
        <v>31</v>
      </c>
      <c r="AL36" s="33"/>
      <c r="AM36" s="33"/>
      <c r="AN36" s="33"/>
      <c r="AO36" s="33"/>
      <c r="AP36" s="33"/>
      <c r="AQ36" s="194"/>
      <c r="AR36" s="194"/>
      <c r="AS36" s="194"/>
      <c r="AT36" s="194"/>
      <c r="AU36" s="33"/>
      <c r="AV36" s="33"/>
      <c r="AW36" s="33"/>
      <c r="AX36" s="33"/>
      <c r="AY36" s="76"/>
    </row>
    <row r="37" spans="2:51" x14ac:dyDescent="0.3">
      <c r="B37" s="40">
        <f t="shared" si="31"/>
        <v>36</v>
      </c>
      <c r="C37" s="152">
        <f t="shared" si="38"/>
        <v>40</v>
      </c>
      <c r="D37" s="137">
        <f>D38+16.1</f>
        <v>274.10000000000002</v>
      </c>
      <c r="E37" s="141">
        <f t="shared" si="29"/>
        <v>0</v>
      </c>
      <c r="F37" s="42">
        <f t="shared" si="30"/>
        <v>0</v>
      </c>
      <c r="G37" s="51">
        <f t="shared" si="33"/>
        <v>0</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5">
        <f t="shared" si="39"/>
        <v>0</v>
      </c>
      <c r="AD37" s="100">
        <f t="shared" si="8"/>
        <v>0</v>
      </c>
      <c r="AE37" s="100">
        <f t="shared" si="9"/>
        <v>0</v>
      </c>
      <c r="AF37" s="194">
        <f t="shared" si="34"/>
        <v>0</v>
      </c>
      <c r="AG37" s="194">
        <f t="shared" si="35"/>
        <v>0</v>
      </c>
      <c r="AH37" s="194">
        <f t="shared" si="36"/>
        <v>0</v>
      </c>
      <c r="AI37" s="199">
        <f t="shared" si="37"/>
        <v>0</v>
      </c>
      <c r="AK37" s="71">
        <v>32</v>
      </c>
      <c r="AL37" s="33"/>
      <c r="AM37" s="33"/>
      <c r="AN37" s="33"/>
      <c r="AO37" s="33"/>
      <c r="AP37" s="33"/>
      <c r="AQ37" s="194"/>
      <c r="AR37" s="194"/>
      <c r="AS37" s="194"/>
      <c r="AT37" s="194"/>
      <c r="AU37" s="33"/>
      <c r="AV37" s="33"/>
      <c r="AW37" s="33"/>
      <c r="AX37" s="33"/>
      <c r="AY37" s="76"/>
    </row>
    <row r="38" spans="2:51" x14ac:dyDescent="0.3">
      <c r="B38" s="40">
        <f t="shared" si="31"/>
        <v>40</v>
      </c>
      <c r="C38" s="152">
        <f t="shared" si="38"/>
        <v>41</v>
      </c>
      <c r="D38" s="137">
        <v>258</v>
      </c>
      <c r="E38" s="141">
        <f t="shared" si="29"/>
        <v>0</v>
      </c>
      <c r="F38" s="42">
        <f t="shared" si="30"/>
        <v>0</v>
      </c>
      <c r="G38" s="51">
        <f t="shared" si="33"/>
        <v>0</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5">
        <f t="shared" si="39"/>
        <v>0</v>
      </c>
      <c r="AD38" s="100">
        <f t="shared" si="8"/>
        <v>0</v>
      </c>
      <c r="AE38" s="100">
        <f t="shared" si="9"/>
        <v>0</v>
      </c>
      <c r="AF38" s="194">
        <f t="shared" si="34"/>
        <v>0</v>
      </c>
      <c r="AG38" s="194">
        <f t="shared" si="35"/>
        <v>0</v>
      </c>
      <c r="AH38" s="194">
        <f t="shared" si="36"/>
        <v>0</v>
      </c>
      <c r="AI38" s="199">
        <f t="shared" si="37"/>
        <v>0</v>
      </c>
      <c r="AK38" s="71">
        <v>33</v>
      </c>
      <c r="AL38" s="33"/>
      <c r="AM38" s="33"/>
      <c r="AN38" s="33"/>
      <c r="AO38" s="33"/>
      <c r="AP38" s="33"/>
      <c r="AQ38" s="194"/>
      <c r="AR38" s="194"/>
      <c r="AS38" s="194"/>
      <c r="AT38" s="194"/>
      <c r="AU38" s="33"/>
      <c r="AV38" s="33"/>
      <c r="AW38" s="33"/>
      <c r="AX38" s="33"/>
      <c r="AY38" s="76"/>
    </row>
    <row r="39" spans="2:51" x14ac:dyDescent="0.3">
      <c r="B39" s="40">
        <f t="shared" si="31"/>
        <v>41</v>
      </c>
      <c r="C39" s="152">
        <f t="shared" si="38"/>
        <v>45</v>
      </c>
      <c r="D39" s="137">
        <f>D40+14.4</f>
        <v>293.39999999999998</v>
      </c>
      <c r="E39" s="141">
        <f t="shared" si="29"/>
        <v>0</v>
      </c>
      <c r="F39" s="42">
        <f t="shared" si="30"/>
        <v>0</v>
      </c>
      <c r="G39" s="51">
        <f t="shared" si="33"/>
        <v>0</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5">
        <f t="shared" si="39"/>
        <v>0</v>
      </c>
      <c r="AD39" s="100">
        <f t="shared" si="8"/>
        <v>0</v>
      </c>
      <c r="AE39" s="100">
        <f t="shared" si="9"/>
        <v>0</v>
      </c>
      <c r="AF39" s="194">
        <f t="shared" si="34"/>
        <v>0</v>
      </c>
      <c r="AG39" s="194">
        <f t="shared" si="35"/>
        <v>0</v>
      </c>
      <c r="AH39" s="194">
        <f t="shared" si="36"/>
        <v>0</v>
      </c>
      <c r="AI39" s="199">
        <f t="shared" si="37"/>
        <v>0</v>
      </c>
      <c r="AK39" s="71">
        <v>34</v>
      </c>
      <c r="AL39" s="33"/>
      <c r="AM39" s="33"/>
      <c r="AN39" s="33"/>
      <c r="AO39" s="33"/>
      <c r="AP39" s="33"/>
      <c r="AQ39" s="194"/>
      <c r="AR39" s="194"/>
      <c r="AS39" s="194"/>
      <c r="AT39" s="194"/>
      <c r="AU39" s="33"/>
      <c r="AV39" s="33"/>
      <c r="AW39" s="33"/>
      <c r="AX39" s="33"/>
      <c r="AY39" s="76"/>
    </row>
    <row r="40" spans="2:51" x14ac:dyDescent="0.3">
      <c r="B40" s="40">
        <f t="shared" si="31"/>
        <v>45</v>
      </c>
      <c r="C40" s="152">
        <f t="shared" si="38"/>
        <v>46</v>
      </c>
      <c r="D40" s="137">
        <v>279</v>
      </c>
      <c r="E40" s="141">
        <f t="shared" si="29"/>
        <v>0</v>
      </c>
      <c r="F40" s="42">
        <f t="shared" si="30"/>
        <v>0</v>
      </c>
      <c r="G40" s="51">
        <f t="shared" si="33"/>
        <v>0</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5">
        <f t="shared" si="39"/>
        <v>0</v>
      </c>
      <c r="AD40" s="100">
        <f t="shared" si="8"/>
        <v>0</v>
      </c>
      <c r="AE40" s="100">
        <f t="shared" si="9"/>
        <v>0</v>
      </c>
      <c r="AF40" s="194">
        <f t="shared" si="34"/>
        <v>0</v>
      </c>
      <c r="AG40" s="194">
        <f t="shared" si="35"/>
        <v>0</v>
      </c>
      <c r="AH40" s="194">
        <f t="shared" si="36"/>
        <v>0</v>
      </c>
      <c r="AI40" s="199">
        <f t="shared" si="37"/>
        <v>0</v>
      </c>
      <c r="AK40" s="71">
        <v>35</v>
      </c>
      <c r="AL40" s="33"/>
      <c r="AM40" s="33"/>
      <c r="AN40" s="33"/>
      <c r="AO40" s="33"/>
      <c r="AP40" s="33"/>
      <c r="AQ40" s="194"/>
      <c r="AR40" s="194"/>
      <c r="AS40" s="194"/>
      <c r="AT40" s="194"/>
      <c r="AU40" s="33"/>
      <c r="AV40" s="33"/>
      <c r="AW40" s="33"/>
      <c r="AX40" s="33"/>
      <c r="AY40" s="76"/>
    </row>
    <row r="41" spans="2:51" x14ac:dyDescent="0.3">
      <c r="B41" s="40">
        <f t="shared" si="31"/>
        <v>46</v>
      </c>
      <c r="C41" s="152">
        <f t="shared" si="38"/>
        <v>50</v>
      </c>
      <c r="D41" s="137">
        <f>D42+12.9</f>
        <v>310.89999999999998</v>
      </c>
      <c r="E41" s="141">
        <f t="shared" si="29"/>
        <v>0</v>
      </c>
      <c r="F41" s="42">
        <f t="shared" ref="F41:F52" si="40">D41*E41</f>
        <v>0</v>
      </c>
      <c r="G41" s="51">
        <f t="shared" ref="G41:G52" si="41">(F41-F40)/(C41-B41)</f>
        <v>0</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5">
        <f t="shared" si="39"/>
        <v>0</v>
      </c>
      <c r="AD41" s="100">
        <f t="shared" si="8"/>
        <v>0</v>
      </c>
      <c r="AE41" s="100">
        <f t="shared" si="9"/>
        <v>0</v>
      </c>
      <c r="AF41" s="194">
        <f t="shared" si="34"/>
        <v>0</v>
      </c>
      <c r="AG41" s="194">
        <f t="shared" si="35"/>
        <v>0</v>
      </c>
      <c r="AH41" s="194">
        <f t="shared" si="36"/>
        <v>0</v>
      </c>
      <c r="AI41" s="199">
        <f t="shared" si="37"/>
        <v>0</v>
      </c>
      <c r="AK41" s="71">
        <v>36</v>
      </c>
      <c r="AL41" s="33"/>
      <c r="AM41" s="33"/>
      <c r="AN41" s="33"/>
      <c r="AO41" s="33"/>
      <c r="AP41" s="33"/>
      <c r="AQ41" s="194"/>
      <c r="AR41" s="194"/>
      <c r="AS41" s="194"/>
      <c r="AT41" s="194"/>
      <c r="AU41" s="33"/>
      <c r="AV41" s="33"/>
      <c r="AW41" s="33"/>
      <c r="AX41" s="33"/>
      <c r="AY41" s="76"/>
    </row>
    <row r="42" spans="2:51" x14ac:dyDescent="0.3">
      <c r="B42" s="40">
        <f t="shared" si="31"/>
        <v>50</v>
      </c>
      <c r="C42" s="152">
        <f t="shared" si="38"/>
        <v>51</v>
      </c>
      <c r="D42" s="137">
        <v>298</v>
      </c>
      <c r="E42" s="141">
        <f t="shared" si="29"/>
        <v>0</v>
      </c>
      <c r="F42" s="42">
        <f t="shared" si="40"/>
        <v>0</v>
      </c>
      <c r="G42" s="51">
        <f t="shared" si="41"/>
        <v>0</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5">
        <f t="shared" si="39"/>
        <v>0</v>
      </c>
      <c r="AD42" s="100">
        <f t="shared" si="8"/>
        <v>0</v>
      </c>
      <c r="AE42" s="100">
        <f t="shared" si="9"/>
        <v>0</v>
      </c>
      <c r="AF42" s="194">
        <f t="shared" si="34"/>
        <v>0</v>
      </c>
      <c r="AG42" s="194">
        <f t="shared" si="35"/>
        <v>0</v>
      </c>
      <c r="AH42" s="194">
        <f t="shared" si="36"/>
        <v>0</v>
      </c>
      <c r="AI42" s="199">
        <f t="shared" si="37"/>
        <v>0</v>
      </c>
      <c r="AK42" s="71">
        <v>37</v>
      </c>
      <c r="AL42" s="33"/>
      <c r="AM42" s="33"/>
      <c r="AN42" s="33"/>
      <c r="AO42" s="33"/>
      <c r="AP42" s="33"/>
      <c r="AQ42" s="194"/>
      <c r="AR42" s="194"/>
      <c r="AS42" s="194"/>
      <c r="AT42" s="194"/>
      <c r="AU42" s="33"/>
      <c r="AV42" s="33"/>
      <c r="AW42" s="33"/>
      <c r="AX42" s="33"/>
      <c r="AY42" s="76"/>
    </row>
    <row r="43" spans="2:51" x14ac:dyDescent="0.3">
      <c r="B43" s="40">
        <f t="shared" si="31"/>
        <v>51</v>
      </c>
      <c r="C43" s="152">
        <f t="shared" si="38"/>
        <v>55</v>
      </c>
      <c r="D43" s="137">
        <f>D44+11.5</f>
        <v>325.5</v>
      </c>
      <c r="E43" s="141">
        <f t="shared" si="29"/>
        <v>0</v>
      </c>
      <c r="F43" s="42">
        <f t="shared" si="40"/>
        <v>0</v>
      </c>
      <c r="G43" s="51">
        <f t="shared" si="41"/>
        <v>0</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5">
        <f t="shared" si="39"/>
        <v>0</v>
      </c>
      <c r="AD43" s="100">
        <f t="shared" si="8"/>
        <v>0</v>
      </c>
      <c r="AE43" s="100">
        <f t="shared" si="9"/>
        <v>0</v>
      </c>
      <c r="AF43" s="194">
        <f t="shared" si="34"/>
        <v>0</v>
      </c>
      <c r="AG43" s="194">
        <f t="shared" si="35"/>
        <v>0</v>
      </c>
      <c r="AH43" s="194">
        <f t="shared" si="36"/>
        <v>0</v>
      </c>
      <c r="AI43" s="199">
        <f t="shared" si="37"/>
        <v>0</v>
      </c>
      <c r="AK43" s="71">
        <v>38</v>
      </c>
      <c r="AL43" s="33"/>
      <c r="AM43" s="33"/>
      <c r="AN43" s="33"/>
      <c r="AO43" s="33"/>
      <c r="AP43" s="33"/>
      <c r="AQ43" s="194"/>
      <c r="AR43" s="194"/>
      <c r="AS43" s="194"/>
      <c r="AT43" s="194"/>
      <c r="AU43" s="33"/>
      <c r="AV43" s="33"/>
      <c r="AW43" s="33"/>
      <c r="AX43" s="33"/>
      <c r="AY43" s="76"/>
    </row>
    <row r="44" spans="2:51" x14ac:dyDescent="0.3">
      <c r="B44" s="40">
        <f t="shared" si="31"/>
        <v>55</v>
      </c>
      <c r="C44" s="152">
        <f t="shared" si="38"/>
        <v>56</v>
      </c>
      <c r="D44" s="137">
        <v>314</v>
      </c>
      <c r="E44" s="141">
        <f t="shared" si="29"/>
        <v>0</v>
      </c>
      <c r="F44" s="42">
        <f t="shared" si="40"/>
        <v>0</v>
      </c>
      <c r="G44" s="51">
        <f t="shared" si="41"/>
        <v>0</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5">
        <f t="shared" si="39"/>
        <v>0</v>
      </c>
      <c r="AD44" s="100">
        <f t="shared" si="8"/>
        <v>0</v>
      </c>
      <c r="AE44" s="100">
        <f t="shared" si="9"/>
        <v>0</v>
      </c>
      <c r="AF44" s="194">
        <f t="shared" si="34"/>
        <v>0</v>
      </c>
      <c r="AG44" s="194">
        <f t="shared" si="35"/>
        <v>0</v>
      </c>
      <c r="AH44" s="194">
        <f t="shared" si="36"/>
        <v>0</v>
      </c>
      <c r="AI44" s="199">
        <f t="shared" si="37"/>
        <v>0</v>
      </c>
      <c r="AK44" s="71">
        <v>39</v>
      </c>
      <c r="AL44" s="33"/>
      <c r="AM44" s="33"/>
      <c r="AN44" s="33"/>
      <c r="AO44" s="33"/>
      <c r="AP44" s="33"/>
      <c r="AQ44" s="194"/>
      <c r="AR44" s="194"/>
      <c r="AS44" s="194"/>
      <c r="AT44" s="194"/>
      <c r="AU44" s="33"/>
      <c r="AV44" s="33"/>
      <c r="AW44" s="33"/>
      <c r="AX44" s="33"/>
      <c r="AY44" s="76"/>
    </row>
    <row r="45" spans="2:51" x14ac:dyDescent="0.3">
      <c r="B45" s="40">
        <f t="shared" si="31"/>
        <v>56</v>
      </c>
      <c r="C45" s="152">
        <f t="shared" si="38"/>
        <v>60</v>
      </c>
      <c r="D45" s="137">
        <f>D46+10.5</f>
        <v>339.5</v>
      </c>
      <c r="E45" s="141">
        <f t="shared" si="29"/>
        <v>0</v>
      </c>
      <c r="F45" s="42">
        <f t="shared" si="40"/>
        <v>0</v>
      </c>
      <c r="G45" s="51">
        <f t="shared" si="41"/>
        <v>0</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5">
        <f t="shared" si="39"/>
        <v>0</v>
      </c>
      <c r="AD45" s="100">
        <f t="shared" si="8"/>
        <v>0</v>
      </c>
      <c r="AE45" s="100">
        <f t="shared" si="9"/>
        <v>0</v>
      </c>
      <c r="AF45" s="194">
        <f t="shared" si="34"/>
        <v>0</v>
      </c>
      <c r="AG45" s="194">
        <f t="shared" si="35"/>
        <v>0</v>
      </c>
      <c r="AH45" s="194">
        <f t="shared" si="36"/>
        <v>0</v>
      </c>
      <c r="AI45" s="199">
        <f t="shared" si="37"/>
        <v>0</v>
      </c>
      <c r="AK45" s="71">
        <v>40</v>
      </c>
      <c r="AL45" s="33"/>
      <c r="AM45" s="33"/>
      <c r="AN45" s="33"/>
      <c r="AO45" s="33"/>
      <c r="AP45" s="33"/>
      <c r="AQ45" s="194"/>
      <c r="AR45" s="194"/>
      <c r="AS45" s="194"/>
      <c r="AT45" s="194"/>
      <c r="AU45" s="33"/>
      <c r="AV45" s="33"/>
      <c r="AW45" s="33"/>
      <c r="AX45" s="33"/>
      <c r="AY45" s="76"/>
    </row>
    <row r="46" spans="2:51" x14ac:dyDescent="0.3">
      <c r="B46" s="40">
        <f t="shared" si="31"/>
        <v>60</v>
      </c>
      <c r="C46" s="152">
        <f t="shared" si="38"/>
        <v>61</v>
      </c>
      <c r="D46" s="137">
        <v>329</v>
      </c>
      <c r="E46" s="141">
        <f t="shared" si="29"/>
        <v>0</v>
      </c>
      <c r="F46" s="42">
        <f t="shared" si="40"/>
        <v>0</v>
      </c>
      <c r="G46" s="51">
        <f t="shared" si="41"/>
        <v>0</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5">
        <f t="shared" si="39"/>
        <v>0</v>
      </c>
      <c r="AD46" s="100">
        <f t="shared" si="8"/>
        <v>0</v>
      </c>
      <c r="AE46" s="100">
        <f t="shared" si="9"/>
        <v>0</v>
      </c>
      <c r="AF46" s="194">
        <f t="shared" si="34"/>
        <v>0</v>
      </c>
      <c r="AG46" s="194">
        <f t="shared" si="35"/>
        <v>0</v>
      </c>
      <c r="AH46" s="194">
        <f t="shared" si="36"/>
        <v>0</v>
      </c>
      <c r="AI46" s="199">
        <f t="shared" si="37"/>
        <v>0</v>
      </c>
      <c r="AK46" s="71">
        <v>41</v>
      </c>
      <c r="AL46" s="33"/>
      <c r="AM46" s="33"/>
      <c r="AN46" s="33"/>
      <c r="AO46" s="33"/>
      <c r="AP46" s="33"/>
      <c r="AQ46" s="194"/>
      <c r="AR46" s="194"/>
      <c r="AS46" s="194"/>
      <c r="AT46" s="194"/>
      <c r="AU46" s="33"/>
      <c r="AV46" s="33"/>
      <c r="AW46" s="33"/>
      <c r="AX46" s="33"/>
      <c r="AY46" s="76"/>
    </row>
    <row r="47" spans="2:51" x14ac:dyDescent="0.3">
      <c r="B47" s="40">
        <f t="shared" si="31"/>
        <v>61</v>
      </c>
      <c r="C47" s="152">
        <f t="shared" si="38"/>
        <v>65</v>
      </c>
      <c r="D47" s="137">
        <f>D48+9.4</f>
        <v>352.4</v>
      </c>
      <c r="E47" s="141">
        <f t="shared" si="29"/>
        <v>0</v>
      </c>
      <c r="F47" s="42">
        <f t="shared" si="40"/>
        <v>0</v>
      </c>
      <c r="G47" s="51">
        <f t="shared" si="41"/>
        <v>0</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5">
        <f t="shared" si="39"/>
        <v>0</v>
      </c>
      <c r="AD47" s="100">
        <f t="shared" si="8"/>
        <v>0</v>
      </c>
      <c r="AE47" s="100">
        <f t="shared" si="9"/>
        <v>0</v>
      </c>
      <c r="AF47" s="194">
        <f t="shared" si="34"/>
        <v>0</v>
      </c>
      <c r="AG47" s="194">
        <f t="shared" si="35"/>
        <v>0</v>
      </c>
      <c r="AH47" s="194">
        <f t="shared" si="36"/>
        <v>0</v>
      </c>
      <c r="AI47" s="199">
        <f t="shared" si="37"/>
        <v>0</v>
      </c>
      <c r="AK47" s="71">
        <v>42</v>
      </c>
      <c r="AL47" s="33"/>
      <c r="AM47" s="33"/>
      <c r="AN47" s="33"/>
      <c r="AO47" s="33"/>
      <c r="AP47" s="33"/>
      <c r="AQ47" s="194"/>
      <c r="AR47" s="194"/>
      <c r="AS47" s="194"/>
      <c r="AT47" s="194"/>
      <c r="AU47" s="33"/>
      <c r="AV47" s="33"/>
      <c r="AW47" s="33"/>
      <c r="AX47" s="33"/>
      <c r="AY47" s="76"/>
    </row>
    <row r="48" spans="2:51" x14ac:dyDescent="0.3">
      <c r="B48" s="40">
        <f t="shared" si="31"/>
        <v>65</v>
      </c>
      <c r="C48" s="152">
        <f t="shared" si="38"/>
        <v>66</v>
      </c>
      <c r="D48" s="137">
        <v>343</v>
      </c>
      <c r="E48" s="141">
        <f t="shared" si="29"/>
        <v>0</v>
      </c>
      <c r="F48" s="42">
        <f t="shared" si="40"/>
        <v>0</v>
      </c>
      <c r="G48" s="51">
        <f t="shared" si="41"/>
        <v>0</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5">
        <f t="shared" si="39"/>
        <v>0</v>
      </c>
      <c r="AD48" s="100">
        <f t="shared" si="8"/>
        <v>0</v>
      </c>
      <c r="AE48" s="100">
        <f t="shared" si="9"/>
        <v>0</v>
      </c>
      <c r="AF48" s="194">
        <f t="shared" si="34"/>
        <v>0</v>
      </c>
      <c r="AG48" s="194">
        <f t="shared" si="35"/>
        <v>0</v>
      </c>
      <c r="AH48" s="194">
        <f t="shared" si="36"/>
        <v>0</v>
      </c>
      <c r="AI48" s="199">
        <f t="shared" si="37"/>
        <v>0</v>
      </c>
      <c r="AK48" s="71">
        <v>43</v>
      </c>
      <c r="AL48" s="33"/>
      <c r="AM48" s="33"/>
      <c r="AN48" s="33"/>
      <c r="AO48" s="33"/>
      <c r="AP48" s="33"/>
      <c r="AQ48" s="194"/>
      <c r="AR48" s="194"/>
      <c r="AS48" s="194"/>
      <c r="AT48" s="194"/>
      <c r="AU48" s="33"/>
      <c r="AV48" s="33"/>
      <c r="AW48" s="33"/>
      <c r="AX48" s="33"/>
      <c r="AY48" s="76"/>
    </row>
    <row r="49" spans="2:51" x14ac:dyDescent="0.3">
      <c r="B49" s="40">
        <f t="shared" si="31"/>
        <v>66</v>
      </c>
      <c r="C49" s="152">
        <f t="shared" si="38"/>
        <v>70</v>
      </c>
      <c r="D49" s="137">
        <f>D50+8.6</f>
        <v>363.6</v>
      </c>
      <c r="E49" s="141">
        <f t="shared" si="29"/>
        <v>0</v>
      </c>
      <c r="F49" s="42">
        <f t="shared" si="40"/>
        <v>0</v>
      </c>
      <c r="G49" s="51">
        <f t="shared" si="41"/>
        <v>0</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5">
        <f t="shared" si="39"/>
        <v>0</v>
      </c>
      <c r="AD49" s="100">
        <f t="shared" si="8"/>
        <v>0</v>
      </c>
      <c r="AE49" s="100">
        <f t="shared" si="9"/>
        <v>0</v>
      </c>
      <c r="AF49" s="194">
        <f t="shared" si="34"/>
        <v>0</v>
      </c>
      <c r="AG49" s="194">
        <f t="shared" si="35"/>
        <v>0</v>
      </c>
      <c r="AH49" s="194">
        <f t="shared" si="36"/>
        <v>0</v>
      </c>
      <c r="AI49" s="199">
        <f t="shared" si="37"/>
        <v>0</v>
      </c>
      <c r="AK49" s="71">
        <v>44</v>
      </c>
      <c r="AL49" s="33"/>
      <c r="AM49" s="33"/>
      <c r="AN49" s="33"/>
      <c r="AO49" s="33"/>
      <c r="AP49" s="33"/>
      <c r="AQ49" s="194"/>
      <c r="AR49" s="194"/>
      <c r="AS49" s="194"/>
      <c r="AT49" s="194"/>
      <c r="AU49" s="33"/>
      <c r="AV49" s="33"/>
      <c r="AW49" s="33"/>
      <c r="AX49" s="33"/>
      <c r="AY49" s="76"/>
    </row>
    <row r="50" spans="2:51" x14ac:dyDescent="0.3">
      <c r="B50" s="40">
        <f t="shared" si="31"/>
        <v>70</v>
      </c>
      <c r="C50" s="152">
        <f t="shared" si="38"/>
        <v>71</v>
      </c>
      <c r="D50" s="137">
        <v>355</v>
      </c>
      <c r="E50" s="141">
        <f t="shared" si="29"/>
        <v>0</v>
      </c>
      <c r="F50" s="42">
        <f t="shared" si="40"/>
        <v>0</v>
      </c>
      <c r="G50" s="51">
        <f t="shared" si="41"/>
        <v>0</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5">
        <f t="shared" si="39"/>
        <v>0</v>
      </c>
      <c r="AD50" s="100">
        <f t="shared" si="8"/>
        <v>0</v>
      </c>
      <c r="AE50" s="100">
        <f t="shared" si="9"/>
        <v>0</v>
      </c>
      <c r="AF50" s="194">
        <f t="shared" si="34"/>
        <v>0</v>
      </c>
      <c r="AG50" s="194">
        <f t="shared" si="35"/>
        <v>0</v>
      </c>
      <c r="AH50" s="194">
        <f t="shared" si="36"/>
        <v>0</v>
      </c>
      <c r="AI50" s="199">
        <f t="shared" si="37"/>
        <v>0</v>
      </c>
      <c r="AK50" s="71">
        <v>45</v>
      </c>
      <c r="AL50" s="33"/>
      <c r="AM50" s="33"/>
      <c r="AN50" s="33"/>
      <c r="AO50" s="33"/>
      <c r="AP50" s="33"/>
      <c r="AQ50" s="194"/>
      <c r="AR50" s="194"/>
      <c r="AS50" s="194"/>
      <c r="AT50" s="194"/>
      <c r="AU50" s="33"/>
      <c r="AV50" s="33"/>
      <c r="AW50" s="33"/>
      <c r="AX50" s="33"/>
      <c r="AY50" s="76"/>
    </row>
    <row r="51" spans="2:51" x14ac:dyDescent="0.3">
      <c r="B51" s="40">
        <f t="shared" si="31"/>
        <v>71</v>
      </c>
      <c r="C51" s="152">
        <f t="shared" si="38"/>
        <v>75</v>
      </c>
      <c r="D51" s="137">
        <f>D52+7.8</f>
        <v>373.8</v>
      </c>
      <c r="E51" s="141">
        <f t="shared" si="29"/>
        <v>0</v>
      </c>
      <c r="F51" s="42">
        <f t="shared" si="40"/>
        <v>0</v>
      </c>
      <c r="G51" s="51">
        <f t="shared" si="41"/>
        <v>0</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5">
        <f t="shared" si="39"/>
        <v>0</v>
      </c>
      <c r="AD51" s="100">
        <f t="shared" si="8"/>
        <v>0</v>
      </c>
      <c r="AE51" s="100">
        <f t="shared" si="9"/>
        <v>0</v>
      </c>
      <c r="AF51" s="194">
        <f t="shared" si="34"/>
        <v>0</v>
      </c>
      <c r="AG51" s="194">
        <f t="shared" si="35"/>
        <v>0</v>
      </c>
      <c r="AH51" s="194">
        <f t="shared" si="36"/>
        <v>0</v>
      </c>
      <c r="AI51" s="199">
        <f t="shared" si="37"/>
        <v>0</v>
      </c>
      <c r="AK51" s="71">
        <v>46</v>
      </c>
      <c r="AL51" s="33"/>
      <c r="AM51" s="33"/>
      <c r="AN51" s="33"/>
      <c r="AO51" s="33"/>
      <c r="AP51" s="33"/>
      <c r="AQ51" s="194"/>
      <c r="AR51" s="194"/>
      <c r="AS51" s="194"/>
      <c r="AT51" s="194"/>
      <c r="AU51" s="33"/>
      <c r="AV51" s="33"/>
      <c r="AW51" s="33"/>
      <c r="AX51" s="33"/>
      <c r="AY51" s="76"/>
    </row>
    <row r="52" spans="2:51" x14ac:dyDescent="0.3">
      <c r="B52" s="40">
        <f t="shared" si="31"/>
        <v>75</v>
      </c>
      <c r="C52" s="152">
        <f t="shared" si="38"/>
        <v>76</v>
      </c>
      <c r="D52" s="137">
        <v>366</v>
      </c>
      <c r="E52" s="141">
        <f t="shared" si="29"/>
        <v>0</v>
      </c>
      <c r="F52" s="42">
        <f t="shared" si="40"/>
        <v>0</v>
      </c>
      <c r="G52" s="51">
        <f t="shared" si="41"/>
        <v>0</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5">
        <f t="shared" si="39"/>
        <v>0</v>
      </c>
      <c r="AD52" s="100">
        <f t="shared" si="8"/>
        <v>0</v>
      </c>
      <c r="AE52" s="100">
        <f t="shared" si="9"/>
        <v>0</v>
      </c>
      <c r="AF52" s="194">
        <f t="shared" si="34"/>
        <v>0</v>
      </c>
      <c r="AG52" s="194">
        <f t="shared" si="35"/>
        <v>0</v>
      </c>
      <c r="AH52" s="194">
        <f t="shared" si="36"/>
        <v>0</v>
      </c>
      <c r="AI52" s="199">
        <f t="shared" si="37"/>
        <v>0</v>
      </c>
      <c r="AK52" s="71">
        <v>47</v>
      </c>
      <c r="AL52" s="33"/>
      <c r="AM52" s="33"/>
      <c r="AN52" s="33"/>
      <c r="AO52" s="33"/>
      <c r="AP52" s="33"/>
      <c r="AQ52" s="194"/>
      <c r="AR52" s="194"/>
      <c r="AS52" s="194"/>
      <c r="AT52" s="194"/>
      <c r="AU52" s="33"/>
      <c r="AV52" s="33"/>
      <c r="AW52" s="33"/>
      <c r="AX52" s="33"/>
      <c r="AY52" s="76"/>
    </row>
    <row r="53" spans="2:51" x14ac:dyDescent="0.3">
      <c r="B53" s="40">
        <f t="shared" ref="B53:B68" si="42">C52</f>
        <v>76</v>
      </c>
      <c r="C53" s="152">
        <f t="shared" si="38"/>
        <v>80</v>
      </c>
      <c r="D53" s="137">
        <f>D54+7.3</f>
        <v>383.3</v>
      </c>
      <c r="E53" s="141">
        <f t="shared" si="29"/>
        <v>0</v>
      </c>
      <c r="F53" s="42">
        <f>D53*E53</f>
        <v>0</v>
      </c>
      <c r="G53" s="51">
        <f>(F53-F52)/(C53-B53)</f>
        <v>0</v>
      </c>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5">
        <f t="shared" si="39"/>
        <v>0</v>
      </c>
      <c r="AD53" s="100">
        <f t="shared" si="8"/>
        <v>0</v>
      </c>
      <c r="AE53" s="100">
        <f t="shared" si="9"/>
        <v>0</v>
      </c>
      <c r="AF53" s="194">
        <f t="shared" si="34"/>
        <v>0</v>
      </c>
      <c r="AG53" s="194">
        <f t="shared" si="35"/>
        <v>0</v>
      </c>
      <c r="AH53" s="194">
        <f t="shared" si="36"/>
        <v>0</v>
      </c>
      <c r="AI53" s="199">
        <f t="shared" si="37"/>
        <v>0</v>
      </c>
      <c r="AK53" s="71">
        <v>48</v>
      </c>
      <c r="AL53" s="33"/>
      <c r="AM53" s="33"/>
      <c r="AN53" s="33"/>
      <c r="AO53" s="33"/>
      <c r="AP53" s="33"/>
      <c r="AQ53" s="194"/>
      <c r="AR53" s="194"/>
      <c r="AS53" s="194"/>
      <c r="AT53" s="194"/>
      <c r="AU53" s="33"/>
      <c r="AV53" s="33"/>
      <c r="AW53" s="33"/>
      <c r="AX53" s="33"/>
      <c r="AY53" s="76"/>
    </row>
    <row r="54" spans="2:51" x14ac:dyDescent="0.3">
      <c r="B54" s="40">
        <f t="shared" si="42"/>
        <v>80</v>
      </c>
      <c r="C54" s="152">
        <f t="shared" si="38"/>
        <v>81</v>
      </c>
      <c r="D54" s="137">
        <v>376</v>
      </c>
      <c r="E54" s="141">
        <f t="shared" si="29"/>
        <v>0</v>
      </c>
      <c r="F54" s="42">
        <f>D54*E54</f>
        <v>0</v>
      </c>
      <c r="G54" s="51">
        <f>(F54-F53)/(C54-B54)</f>
        <v>0</v>
      </c>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5">
        <f t="shared" si="39"/>
        <v>0</v>
      </c>
      <c r="AD54" s="100">
        <f t="shared" si="8"/>
        <v>0</v>
      </c>
      <c r="AE54" s="100">
        <f t="shared" si="9"/>
        <v>0</v>
      </c>
      <c r="AF54" s="194">
        <f t="shared" si="34"/>
        <v>0</v>
      </c>
      <c r="AG54" s="194">
        <f t="shared" si="35"/>
        <v>0</v>
      </c>
      <c r="AH54" s="194">
        <f t="shared" si="36"/>
        <v>0</v>
      </c>
      <c r="AI54" s="199">
        <f t="shared" si="37"/>
        <v>0</v>
      </c>
      <c r="AK54" s="71">
        <v>49</v>
      </c>
      <c r="AL54" s="33"/>
      <c r="AM54" s="33"/>
      <c r="AN54" s="33"/>
      <c r="AO54" s="33"/>
      <c r="AP54" s="33"/>
      <c r="AQ54" s="194"/>
      <c r="AR54" s="194"/>
      <c r="AS54" s="194"/>
      <c r="AT54" s="194"/>
      <c r="AU54" s="33"/>
      <c r="AV54" s="33"/>
      <c r="AW54" s="33"/>
      <c r="AX54" s="33"/>
      <c r="AY54" s="76"/>
    </row>
    <row r="55" spans="2:51" x14ac:dyDescent="0.3">
      <c r="B55" s="40">
        <f t="shared" si="42"/>
        <v>81</v>
      </c>
      <c r="C55" s="152">
        <f t="shared" si="38"/>
        <v>85</v>
      </c>
      <c r="D55" s="137">
        <f>D56+6.6</f>
        <v>392.6</v>
      </c>
      <c r="E55" s="141">
        <f t="shared" si="29"/>
        <v>0</v>
      </c>
      <c r="F55" s="42">
        <f>D55*E55</f>
        <v>0</v>
      </c>
      <c r="G55" s="51">
        <f>(F55-F54)/(C55-B55)</f>
        <v>0</v>
      </c>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5">
        <f t="shared" si="39"/>
        <v>0</v>
      </c>
      <c r="AD55" s="100">
        <f t="shared" si="8"/>
        <v>0</v>
      </c>
      <c r="AE55" s="100">
        <f t="shared" si="9"/>
        <v>0</v>
      </c>
      <c r="AF55" s="194">
        <f t="shared" si="34"/>
        <v>0</v>
      </c>
      <c r="AG55" s="194">
        <f t="shared" si="35"/>
        <v>0</v>
      </c>
      <c r="AH55" s="194">
        <f t="shared" si="36"/>
        <v>0</v>
      </c>
      <c r="AI55" s="199">
        <f t="shared" si="37"/>
        <v>0</v>
      </c>
      <c r="AK55" s="71">
        <v>50</v>
      </c>
      <c r="AL55" s="33"/>
      <c r="AM55" s="33"/>
      <c r="AN55" s="33"/>
      <c r="AO55" s="33"/>
      <c r="AP55" s="33"/>
      <c r="AQ55" s="194"/>
      <c r="AR55" s="194"/>
      <c r="AS55" s="194"/>
      <c r="AT55" s="194"/>
      <c r="AU55" s="33"/>
      <c r="AV55" s="33"/>
      <c r="AW55" s="33"/>
      <c r="AX55" s="33"/>
      <c r="AY55" s="76"/>
    </row>
    <row r="56" spans="2:51" x14ac:dyDescent="0.3">
      <c r="B56" s="40">
        <f t="shared" si="42"/>
        <v>85</v>
      </c>
      <c r="C56" s="152">
        <f t="shared" si="38"/>
        <v>86</v>
      </c>
      <c r="D56" s="137">
        <v>386</v>
      </c>
      <c r="E56" s="141">
        <f t="shared" si="29"/>
        <v>0</v>
      </c>
      <c r="F56" s="42">
        <f>D56*E56</f>
        <v>0</v>
      </c>
      <c r="G56" s="51">
        <f>(F56-F55)/(C56-B56)</f>
        <v>0</v>
      </c>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5">
        <f t="shared" si="39"/>
        <v>0</v>
      </c>
      <c r="AD56" s="100">
        <f t="shared" si="8"/>
        <v>0</v>
      </c>
      <c r="AE56" s="100">
        <f t="shared" si="9"/>
        <v>0</v>
      </c>
      <c r="AF56" s="194">
        <f t="shared" si="34"/>
        <v>0</v>
      </c>
      <c r="AG56" s="194">
        <f t="shared" si="35"/>
        <v>0</v>
      </c>
      <c r="AH56" s="194">
        <f t="shared" si="36"/>
        <v>0</v>
      </c>
      <c r="AI56" s="199">
        <f t="shared" si="37"/>
        <v>0</v>
      </c>
      <c r="AK56" s="71">
        <v>51</v>
      </c>
      <c r="AL56" s="33"/>
      <c r="AM56" s="33"/>
      <c r="AN56" s="33"/>
      <c r="AO56" s="33"/>
      <c r="AP56" s="33"/>
      <c r="AQ56" s="194"/>
      <c r="AR56" s="194"/>
      <c r="AS56" s="194"/>
      <c r="AT56" s="194"/>
      <c r="AU56" s="33"/>
      <c r="AV56" s="33"/>
      <c r="AW56" s="33"/>
      <c r="AX56" s="33"/>
      <c r="AY56" s="76"/>
    </row>
    <row r="57" spans="2:51" x14ac:dyDescent="0.3">
      <c r="B57" s="40">
        <f t="shared" si="42"/>
        <v>86</v>
      </c>
      <c r="C57" s="152">
        <f t="shared" si="38"/>
        <v>90</v>
      </c>
      <c r="D57" s="137">
        <f>D58+6</f>
        <v>400</v>
      </c>
      <c r="E57" s="141">
        <f t="shared" si="29"/>
        <v>0</v>
      </c>
      <c r="F57" s="42">
        <f t="shared" ref="F57:F68" si="43">D57*E57</f>
        <v>0</v>
      </c>
      <c r="G57" s="51">
        <f t="shared" ref="G57:G68" si="44">(F57-F56)/(C57-B57)</f>
        <v>0</v>
      </c>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5">
        <f t="shared" si="39"/>
        <v>0</v>
      </c>
      <c r="AD57" s="100">
        <f t="shared" si="8"/>
        <v>0</v>
      </c>
      <c r="AE57" s="100">
        <f t="shared" si="9"/>
        <v>0</v>
      </c>
      <c r="AF57" s="194">
        <f t="shared" si="34"/>
        <v>0</v>
      </c>
      <c r="AG57" s="194">
        <f t="shared" si="35"/>
        <v>0</v>
      </c>
      <c r="AH57" s="194">
        <f t="shared" si="36"/>
        <v>0</v>
      </c>
      <c r="AI57" s="199">
        <f t="shared" si="37"/>
        <v>0</v>
      </c>
      <c r="AK57" s="71">
        <v>52</v>
      </c>
      <c r="AL57" s="33"/>
      <c r="AM57" s="33"/>
      <c r="AN57" s="33"/>
      <c r="AO57" s="33"/>
      <c r="AP57" s="33"/>
      <c r="AQ57" s="194"/>
      <c r="AR57" s="194"/>
      <c r="AS57" s="194"/>
      <c r="AT57" s="194"/>
      <c r="AU57" s="33"/>
      <c r="AV57" s="33"/>
      <c r="AW57" s="33"/>
      <c r="AX57" s="33"/>
      <c r="AY57" s="76"/>
    </row>
    <row r="58" spans="2:51" x14ac:dyDescent="0.3">
      <c r="B58" s="40">
        <f t="shared" si="42"/>
        <v>90</v>
      </c>
      <c r="C58" s="152">
        <f t="shared" si="38"/>
        <v>91</v>
      </c>
      <c r="D58" s="137">
        <v>394</v>
      </c>
      <c r="E58" s="141">
        <f t="shared" si="29"/>
        <v>0</v>
      </c>
      <c r="F58" s="42">
        <f t="shared" si="43"/>
        <v>0</v>
      </c>
      <c r="G58" s="51">
        <f t="shared" si="44"/>
        <v>0</v>
      </c>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5">
        <f t="shared" si="39"/>
        <v>0</v>
      </c>
      <c r="AD58" s="100">
        <f t="shared" si="8"/>
        <v>0</v>
      </c>
      <c r="AE58" s="100">
        <f t="shared" si="9"/>
        <v>0</v>
      </c>
      <c r="AF58" s="194">
        <f t="shared" si="34"/>
        <v>0</v>
      </c>
      <c r="AG58" s="194">
        <f t="shared" si="35"/>
        <v>0</v>
      </c>
      <c r="AH58" s="194">
        <f t="shared" si="36"/>
        <v>0</v>
      </c>
      <c r="AI58" s="199">
        <f t="shared" si="37"/>
        <v>0</v>
      </c>
      <c r="AK58" s="71">
        <v>53</v>
      </c>
      <c r="AL58" s="33"/>
      <c r="AM58" s="33"/>
      <c r="AN58" s="33"/>
      <c r="AO58" s="33"/>
      <c r="AP58" s="33"/>
      <c r="AQ58" s="194"/>
      <c r="AR58" s="194"/>
      <c r="AS58" s="194"/>
      <c r="AT58" s="194"/>
      <c r="AU58" s="33"/>
      <c r="AV58" s="33"/>
      <c r="AW58" s="33"/>
      <c r="AX58" s="33"/>
      <c r="AY58" s="76"/>
    </row>
    <row r="59" spans="2:51" x14ac:dyDescent="0.3">
      <c r="B59" s="40">
        <f t="shared" si="42"/>
        <v>91</v>
      </c>
      <c r="C59" s="152">
        <f t="shared" si="38"/>
        <v>95</v>
      </c>
      <c r="D59" s="137">
        <f>D60+5.6</f>
        <v>406.6</v>
      </c>
      <c r="E59" s="141">
        <f t="shared" si="29"/>
        <v>0</v>
      </c>
      <c r="F59" s="42">
        <f t="shared" si="43"/>
        <v>0</v>
      </c>
      <c r="G59" s="51">
        <f t="shared" si="44"/>
        <v>0</v>
      </c>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5">
        <f t="shared" si="39"/>
        <v>0</v>
      </c>
      <c r="AD59" s="100">
        <f t="shared" si="8"/>
        <v>0</v>
      </c>
      <c r="AE59" s="100">
        <f t="shared" si="9"/>
        <v>0</v>
      </c>
      <c r="AF59" s="194">
        <f t="shared" si="34"/>
        <v>0</v>
      </c>
      <c r="AG59" s="194">
        <f t="shared" si="35"/>
        <v>0</v>
      </c>
      <c r="AH59" s="194">
        <f t="shared" si="36"/>
        <v>0</v>
      </c>
      <c r="AI59" s="199">
        <f t="shared" si="37"/>
        <v>0</v>
      </c>
      <c r="AK59" s="71">
        <v>54</v>
      </c>
      <c r="AL59" s="33"/>
      <c r="AM59" s="33"/>
      <c r="AN59" s="33"/>
      <c r="AO59" s="33"/>
      <c r="AP59" s="33"/>
      <c r="AQ59" s="194"/>
      <c r="AR59" s="194"/>
      <c r="AS59" s="194"/>
      <c r="AT59" s="194"/>
      <c r="AU59" s="33"/>
      <c r="AV59" s="33"/>
      <c r="AW59" s="33"/>
      <c r="AX59" s="33"/>
      <c r="AY59" s="76"/>
    </row>
    <row r="60" spans="2:51" x14ac:dyDescent="0.3">
      <c r="B60" s="40">
        <f t="shared" si="42"/>
        <v>95</v>
      </c>
      <c r="C60" s="152">
        <f t="shared" si="38"/>
        <v>96</v>
      </c>
      <c r="D60" s="137">
        <v>401</v>
      </c>
      <c r="E60" s="141">
        <f t="shared" si="29"/>
        <v>0</v>
      </c>
      <c r="F60" s="42">
        <f t="shared" si="43"/>
        <v>0</v>
      </c>
      <c r="G60" s="51">
        <f t="shared" si="44"/>
        <v>0</v>
      </c>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5">
        <f t="shared" si="39"/>
        <v>0</v>
      </c>
      <c r="AD60" s="100">
        <f t="shared" si="8"/>
        <v>0</v>
      </c>
      <c r="AE60" s="100">
        <f t="shared" si="9"/>
        <v>0</v>
      </c>
      <c r="AF60" s="194">
        <f t="shared" si="34"/>
        <v>0</v>
      </c>
      <c r="AG60" s="194">
        <f t="shared" si="35"/>
        <v>0</v>
      </c>
      <c r="AH60" s="194">
        <f t="shared" si="36"/>
        <v>0</v>
      </c>
      <c r="AI60" s="199">
        <f t="shared" si="37"/>
        <v>0</v>
      </c>
      <c r="AK60" s="71">
        <v>55</v>
      </c>
      <c r="AL60" s="33"/>
      <c r="AM60" s="33"/>
      <c r="AN60" s="33"/>
      <c r="AO60" s="33"/>
      <c r="AP60" s="33"/>
      <c r="AQ60" s="194"/>
      <c r="AR60" s="194"/>
      <c r="AS60" s="194"/>
      <c r="AT60" s="194"/>
      <c r="AU60" s="33"/>
      <c r="AV60" s="33"/>
      <c r="AW60" s="33"/>
      <c r="AX60" s="33"/>
      <c r="AY60" s="76"/>
    </row>
    <row r="61" spans="2:51" x14ac:dyDescent="0.3">
      <c r="B61" s="40">
        <f t="shared" si="42"/>
        <v>96</v>
      </c>
      <c r="C61" s="152">
        <f t="shared" si="38"/>
        <v>100</v>
      </c>
      <c r="D61" s="137">
        <f>D62+5.1</f>
        <v>413.1</v>
      </c>
      <c r="E61" s="141">
        <f t="shared" si="29"/>
        <v>0</v>
      </c>
      <c r="F61" s="42">
        <f t="shared" si="43"/>
        <v>0</v>
      </c>
      <c r="G61" s="51">
        <f t="shared" si="44"/>
        <v>0</v>
      </c>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5">
        <f t="shared" si="39"/>
        <v>0</v>
      </c>
      <c r="AD61" s="100">
        <f t="shared" si="8"/>
        <v>0</v>
      </c>
      <c r="AE61" s="100">
        <f t="shared" si="9"/>
        <v>0</v>
      </c>
      <c r="AF61" s="194">
        <f t="shared" si="34"/>
        <v>0</v>
      </c>
      <c r="AG61" s="194">
        <f t="shared" si="35"/>
        <v>0</v>
      </c>
      <c r="AH61" s="194">
        <f t="shared" si="36"/>
        <v>0</v>
      </c>
      <c r="AI61" s="199">
        <f t="shared" si="37"/>
        <v>0</v>
      </c>
      <c r="AK61" s="71">
        <v>56</v>
      </c>
      <c r="AL61" s="33"/>
      <c r="AM61" s="33"/>
      <c r="AN61" s="33"/>
      <c r="AO61" s="33"/>
      <c r="AP61" s="33"/>
      <c r="AQ61" s="194"/>
      <c r="AR61" s="194"/>
      <c r="AS61" s="194"/>
      <c r="AT61" s="194"/>
      <c r="AU61" s="33"/>
      <c r="AV61" s="33"/>
      <c r="AW61" s="33"/>
      <c r="AX61" s="33"/>
      <c r="AY61" s="76"/>
    </row>
    <row r="62" spans="2:51" x14ac:dyDescent="0.3">
      <c r="B62" s="40">
        <f t="shared" si="42"/>
        <v>100</v>
      </c>
      <c r="C62" s="152">
        <f t="shared" si="38"/>
        <v>101</v>
      </c>
      <c r="D62" s="137">
        <v>408</v>
      </c>
      <c r="E62" s="141">
        <f t="shared" si="29"/>
        <v>0</v>
      </c>
      <c r="F62" s="42">
        <f t="shared" si="43"/>
        <v>0</v>
      </c>
      <c r="G62" s="51">
        <f t="shared" si="44"/>
        <v>0</v>
      </c>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5">
        <f t="shared" si="39"/>
        <v>0</v>
      </c>
      <c r="AD62" s="100">
        <f t="shared" si="8"/>
        <v>0</v>
      </c>
      <c r="AE62" s="100">
        <f t="shared" si="9"/>
        <v>0</v>
      </c>
      <c r="AF62" s="194">
        <f t="shared" si="34"/>
        <v>0</v>
      </c>
      <c r="AG62" s="194">
        <f t="shared" si="35"/>
        <v>0</v>
      </c>
      <c r="AH62" s="194">
        <f t="shared" si="36"/>
        <v>0</v>
      </c>
      <c r="AI62" s="199">
        <f t="shared" si="37"/>
        <v>0</v>
      </c>
      <c r="AK62" s="71">
        <v>57</v>
      </c>
      <c r="AL62" s="33"/>
      <c r="AM62" s="33"/>
      <c r="AN62" s="33"/>
      <c r="AO62" s="33"/>
      <c r="AP62" s="33"/>
      <c r="AQ62" s="194"/>
      <c r="AR62" s="194"/>
      <c r="AS62" s="194"/>
      <c r="AT62" s="194"/>
      <c r="AU62" s="33"/>
      <c r="AV62" s="33"/>
      <c r="AW62" s="33"/>
      <c r="AX62" s="33"/>
      <c r="AY62" s="76"/>
    </row>
    <row r="63" spans="2:51" x14ac:dyDescent="0.3">
      <c r="B63" s="40">
        <f t="shared" si="42"/>
        <v>101</v>
      </c>
      <c r="C63" s="152">
        <f t="shared" si="38"/>
        <v>105</v>
      </c>
      <c r="D63" s="137">
        <f>D64+4.7</f>
        <v>419.7</v>
      </c>
      <c r="E63" s="141">
        <f t="shared" si="29"/>
        <v>0</v>
      </c>
      <c r="F63" s="42">
        <f t="shared" si="43"/>
        <v>0</v>
      </c>
      <c r="G63" s="51">
        <f t="shared" si="44"/>
        <v>0</v>
      </c>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5">
        <f t="shared" si="39"/>
        <v>0</v>
      </c>
      <c r="AD63" s="100">
        <f t="shared" si="8"/>
        <v>0</v>
      </c>
      <c r="AE63" s="100">
        <f t="shared" si="9"/>
        <v>0</v>
      </c>
      <c r="AF63" s="194">
        <f t="shared" si="34"/>
        <v>0</v>
      </c>
      <c r="AG63" s="194">
        <f t="shared" si="35"/>
        <v>0</v>
      </c>
      <c r="AH63" s="194">
        <f t="shared" si="36"/>
        <v>0</v>
      </c>
      <c r="AI63" s="199">
        <f t="shared" si="37"/>
        <v>0</v>
      </c>
      <c r="AK63" s="71">
        <v>58</v>
      </c>
      <c r="AL63" s="33"/>
      <c r="AM63" s="33"/>
      <c r="AN63" s="33"/>
      <c r="AO63" s="33"/>
      <c r="AP63" s="33"/>
      <c r="AQ63" s="194"/>
      <c r="AR63" s="194"/>
      <c r="AS63" s="194"/>
      <c r="AT63" s="194"/>
      <c r="AU63" s="33"/>
      <c r="AV63" s="33"/>
      <c r="AW63" s="33"/>
      <c r="AX63" s="33"/>
      <c r="AY63" s="76"/>
    </row>
    <row r="64" spans="2:51" x14ac:dyDescent="0.3">
      <c r="B64" s="40">
        <f t="shared" si="42"/>
        <v>105</v>
      </c>
      <c r="C64" s="152">
        <f t="shared" si="38"/>
        <v>106</v>
      </c>
      <c r="D64" s="137">
        <v>415</v>
      </c>
      <c r="E64" s="141">
        <f t="shared" si="29"/>
        <v>0</v>
      </c>
      <c r="F64" s="42">
        <f t="shared" si="43"/>
        <v>0</v>
      </c>
      <c r="G64" s="51">
        <f t="shared" si="44"/>
        <v>0</v>
      </c>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5">
        <f t="shared" si="39"/>
        <v>0</v>
      </c>
      <c r="AD64" s="100">
        <f t="shared" si="8"/>
        <v>0</v>
      </c>
      <c r="AE64" s="100">
        <f t="shared" si="9"/>
        <v>0</v>
      </c>
      <c r="AF64" s="194">
        <f t="shared" si="34"/>
        <v>0</v>
      </c>
      <c r="AG64" s="194">
        <f t="shared" si="35"/>
        <v>0</v>
      </c>
      <c r="AH64" s="194">
        <f t="shared" si="36"/>
        <v>0</v>
      </c>
      <c r="AI64" s="199">
        <f t="shared" si="37"/>
        <v>0</v>
      </c>
      <c r="AK64" s="71">
        <v>59</v>
      </c>
      <c r="AL64" s="33"/>
      <c r="AM64" s="33"/>
      <c r="AN64" s="33"/>
      <c r="AO64" s="33"/>
      <c r="AP64" s="33"/>
      <c r="AQ64" s="194"/>
      <c r="AR64" s="194"/>
      <c r="AS64" s="194"/>
      <c r="AT64" s="194"/>
      <c r="AU64" s="33"/>
      <c r="AV64" s="33"/>
      <c r="AW64" s="33"/>
      <c r="AX64" s="33"/>
      <c r="AY64" s="76"/>
    </row>
    <row r="65" spans="2:51" x14ac:dyDescent="0.3">
      <c r="B65" s="40">
        <f t="shared" si="42"/>
        <v>106</v>
      </c>
      <c r="C65" s="152">
        <f t="shared" si="38"/>
        <v>110</v>
      </c>
      <c r="D65" s="137">
        <f>D66+4.2</f>
        <v>425.2</v>
      </c>
      <c r="E65" s="141">
        <f t="shared" si="29"/>
        <v>0</v>
      </c>
      <c r="F65" s="42">
        <f t="shared" si="43"/>
        <v>0</v>
      </c>
      <c r="G65" s="51">
        <f t="shared" si="44"/>
        <v>0</v>
      </c>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5">
        <f t="shared" si="39"/>
        <v>0</v>
      </c>
      <c r="AD65" s="100">
        <f t="shared" si="8"/>
        <v>0</v>
      </c>
      <c r="AE65" s="100">
        <f t="shared" si="9"/>
        <v>0</v>
      </c>
      <c r="AF65" s="194">
        <f t="shared" si="34"/>
        <v>0</v>
      </c>
      <c r="AG65" s="194">
        <f t="shared" si="35"/>
        <v>0</v>
      </c>
      <c r="AH65" s="194">
        <f t="shared" si="36"/>
        <v>0</v>
      </c>
      <c r="AI65" s="199">
        <f t="shared" si="37"/>
        <v>0</v>
      </c>
      <c r="AK65" s="71">
        <v>60</v>
      </c>
      <c r="AL65" s="33"/>
      <c r="AM65" s="33"/>
      <c r="AN65" s="33"/>
      <c r="AO65" s="33"/>
      <c r="AP65" s="33"/>
      <c r="AQ65" s="194"/>
      <c r="AR65" s="194"/>
      <c r="AS65" s="194"/>
      <c r="AT65" s="194"/>
      <c r="AU65" s="33"/>
      <c r="AV65" s="33"/>
      <c r="AW65" s="33"/>
      <c r="AX65" s="33"/>
      <c r="AY65" s="76"/>
    </row>
    <row r="66" spans="2:51" x14ac:dyDescent="0.3">
      <c r="B66" s="40">
        <f t="shared" si="42"/>
        <v>110</v>
      </c>
      <c r="C66" s="152">
        <f t="shared" si="38"/>
        <v>111</v>
      </c>
      <c r="D66" s="137">
        <v>421</v>
      </c>
      <c r="E66" s="141">
        <f t="shared" si="29"/>
        <v>0</v>
      </c>
      <c r="F66" s="42">
        <f t="shared" si="43"/>
        <v>0</v>
      </c>
      <c r="G66" s="51">
        <f t="shared" si="44"/>
        <v>0</v>
      </c>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5">
        <f t="shared" si="39"/>
        <v>0</v>
      </c>
      <c r="AD66" s="100">
        <f t="shared" si="8"/>
        <v>0</v>
      </c>
      <c r="AE66" s="100">
        <f t="shared" si="9"/>
        <v>0</v>
      </c>
      <c r="AF66" s="194">
        <f t="shared" si="34"/>
        <v>0</v>
      </c>
      <c r="AG66" s="194">
        <f t="shared" si="35"/>
        <v>0</v>
      </c>
      <c r="AH66" s="194">
        <f t="shared" si="36"/>
        <v>0</v>
      </c>
      <c r="AI66" s="199">
        <f t="shared" si="37"/>
        <v>0</v>
      </c>
      <c r="AK66" s="71">
        <v>61</v>
      </c>
      <c r="AL66" s="33"/>
      <c r="AM66" s="33"/>
      <c r="AN66" s="33"/>
      <c r="AO66" s="33"/>
      <c r="AP66" s="33"/>
      <c r="AQ66" s="194"/>
      <c r="AR66" s="194"/>
      <c r="AS66" s="194"/>
      <c r="AT66" s="194"/>
      <c r="AU66" s="33"/>
      <c r="AV66" s="33"/>
      <c r="AW66" s="33"/>
      <c r="AX66" s="33"/>
      <c r="AY66" s="76"/>
    </row>
    <row r="67" spans="2:51" x14ac:dyDescent="0.3">
      <c r="B67" s="40">
        <f t="shared" si="42"/>
        <v>111</v>
      </c>
      <c r="C67" s="152">
        <f t="shared" si="38"/>
        <v>115</v>
      </c>
      <c r="D67" s="137">
        <f>D68+4.1</f>
        <v>430.1</v>
      </c>
      <c r="E67" s="141">
        <f t="shared" si="29"/>
        <v>0</v>
      </c>
      <c r="F67" s="42">
        <f t="shared" si="43"/>
        <v>0</v>
      </c>
      <c r="G67" s="51">
        <f t="shared" si="44"/>
        <v>0</v>
      </c>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5">
        <f t="shared" si="39"/>
        <v>0</v>
      </c>
      <c r="AD67" s="100">
        <f t="shared" si="8"/>
        <v>0</v>
      </c>
      <c r="AE67" s="100">
        <f t="shared" si="9"/>
        <v>0</v>
      </c>
      <c r="AF67" s="194">
        <f t="shared" si="34"/>
        <v>0</v>
      </c>
      <c r="AG67" s="194">
        <f t="shared" si="35"/>
        <v>0</v>
      </c>
      <c r="AH67" s="194">
        <f t="shared" si="36"/>
        <v>0</v>
      </c>
      <c r="AI67" s="199">
        <f t="shared" si="37"/>
        <v>0</v>
      </c>
      <c r="AK67" s="71">
        <v>62</v>
      </c>
      <c r="AL67" s="33"/>
      <c r="AM67" s="33"/>
      <c r="AN67" s="33"/>
      <c r="AO67" s="33"/>
      <c r="AP67" s="33"/>
      <c r="AQ67" s="194"/>
      <c r="AR67" s="194"/>
      <c r="AS67" s="194"/>
      <c r="AT67" s="194"/>
      <c r="AU67" s="33"/>
      <c r="AV67" s="33"/>
      <c r="AW67" s="33"/>
      <c r="AX67" s="33"/>
      <c r="AY67" s="76"/>
    </row>
    <row r="68" spans="2:51" x14ac:dyDescent="0.3">
      <c r="B68" s="40">
        <f t="shared" si="42"/>
        <v>115</v>
      </c>
      <c r="C68" s="152">
        <f t="shared" si="38"/>
        <v>116</v>
      </c>
      <c r="D68" s="137">
        <v>426</v>
      </c>
      <c r="E68" s="141">
        <f t="shared" si="29"/>
        <v>0</v>
      </c>
      <c r="F68" s="42">
        <f t="shared" si="43"/>
        <v>0</v>
      </c>
      <c r="G68" s="51">
        <f t="shared" si="44"/>
        <v>0</v>
      </c>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5">
        <f t="shared" si="39"/>
        <v>0</v>
      </c>
      <c r="AD68" s="100">
        <f t="shared" si="8"/>
        <v>0</v>
      </c>
      <c r="AE68" s="100">
        <f t="shared" si="9"/>
        <v>0</v>
      </c>
      <c r="AF68" s="194">
        <f t="shared" si="34"/>
        <v>0</v>
      </c>
      <c r="AG68" s="194">
        <f t="shared" si="35"/>
        <v>0</v>
      </c>
      <c r="AH68" s="194">
        <f t="shared" si="36"/>
        <v>0</v>
      </c>
      <c r="AI68" s="199">
        <f t="shared" si="37"/>
        <v>0</v>
      </c>
      <c r="AK68" s="71">
        <v>63</v>
      </c>
      <c r="AL68" s="33"/>
      <c r="AM68" s="33"/>
      <c r="AN68" s="33"/>
      <c r="AO68" s="33"/>
      <c r="AP68" s="33"/>
      <c r="AQ68" s="194"/>
      <c r="AR68" s="194"/>
      <c r="AS68" s="194"/>
      <c r="AT68" s="194"/>
      <c r="AU68" s="33"/>
      <c r="AV68" s="33"/>
      <c r="AW68" s="33"/>
      <c r="AX68" s="33"/>
      <c r="AY68" s="76"/>
    </row>
    <row r="69" spans="2:51" x14ac:dyDescent="0.3">
      <c r="B69" s="40"/>
      <c r="C69" s="152"/>
      <c r="D69" s="137"/>
      <c r="E69" s="141"/>
      <c r="F69" s="42"/>
      <c r="G69" s="51"/>
      <c r="I69" s="55">
        <v>64</v>
      </c>
      <c r="J69" s="33">
        <f t="shared" si="18"/>
        <v>0</v>
      </c>
      <c r="K69" s="33">
        <f t="shared" si="19"/>
        <v>0</v>
      </c>
      <c r="L69" s="33">
        <f t="shared" si="20"/>
        <v>0</v>
      </c>
      <c r="M69" s="33">
        <f t="shared" si="21"/>
        <v>0</v>
      </c>
      <c r="N69" s="33">
        <f t="shared" ref="N69:N132" si="45">IF(P70&lt;=$F$18,0,)</f>
        <v>0</v>
      </c>
      <c r="O69" s="34">
        <f t="shared" ref="O69:O132" si="46">((J69+K69)*0.475+L69+M69+N69)*44/12</f>
        <v>0</v>
      </c>
      <c r="P69" s="55">
        <v>64</v>
      </c>
      <c r="Q69" s="33">
        <f t="shared" si="15"/>
        <v>0</v>
      </c>
      <c r="R69" s="33">
        <f t="shared" si="22"/>
        <v>0</v>
      </c>
      <c r="S69" s="33">
        <f t="shared" si="23"/>
        <v>0</v>
      </c>
      <c r="T69" s="33">
        <f t="shared" ref="T69:T132" si="47">IF(S69=0,0,EXP(-1.0587+0.8836*LN(S69)+0.284))</f>
        <v>0</v>
      </c>
      <c r="U69" s="33">
        <f t="shared" si="16"/>
        <v>0</v>
      </c>
      <c r="V69" s="33">
        <f t="shared" ref="V69:V132" si="48">IF(P69&lt;=$F$18,IF(P69&lt;=30,P69*($F$16-$F$6)/30,$F$16-$F$6),)</f>
        <v>0</v>
      </c>
      <c r="W69" s="33">
        <v>0</v>
      </c>
      <c r="X69" s="33">
        <f t="shared" ref="X69:X132" si="49">((S69+T69)*0.475+U69+V69+W69)*44/12</f>
        <v>0</v>
      </c>
      <c r="Y69" s="38">
        <f t="shared" ref="Y69:Y132" si="50">IF(P69&lt;=$F$18,X69-O69,)</f>
        <v>0</v>
      </c>
      <c r="AA69" s="71">
        <v>64</v>
      </c>
      <c r="AB69" s="33">
        <f t="shared" ref="AB69:AB132" si="51">IF(AA69&lt;=$F$18,IFERROR(VLOOKUP($AA69,$B$82:$G$94,2,FALSE),0),)</f>
        <v>0</v>
      </c>
      <c r="AC69" s="305">
        <f t="shared" si="39"/>
        <v>0</v>
      </c>
      <c r="AD69" s="100">
        <f t="shared" ref="AD69:AD132" si="52">IF(AA69&lt;=$F$18,IFERROR(VLOOKUP($AA69,$B$82:$G$94,4,FALSE),0),)</f>
        <v>0</v>
      </c>
      <c r="AE69" s="100">
        <f t="shared" ref="AE69:AE132" si="53">IF(AA69&lt;=$F$18,IFERROR(VLOOKUP($AA69,$B$82:$G$94,5,FALSE),0),)</f>
        <v>0</v>
      </c>
      <c r="AF69" s="194">
        <f t="shared" si="34"/>
        <v>0</v>
      </c>
      <c r="AG69" s="194">
        <f t="shared" si="35"/>
        <v>0</v>
      </c>
      <c r="AH69" s="194">
        <f t="shared" si="36"/>
        <v>0</v>
      </c>
      <c r="AI69" s="199">
        <f t="shared" si="37"/>
        <v>0</v>
      </c>
      <c r="AK69" s="71">
        <v>64</v>
      </c>
      <c r="AL69" s="33"/>
      <c r="AM69" s="33"/>
      <c r="AN69" s="33"/>
      <c r="AO69" s="33"/>
      <c r="AP69" s="33"/>
      <c r="AQ69" s="194"/>
      <c r="AR69" s="194"/>
      <c r="AS69" s="194"/>
      <c r="AT69" s="194"/>
      <c r="AU69" s="33"/>
      <c r="AV69" s="33"/>
      <c r="AW69" s="33"/>
      <c r="AX69" s="33"/>
      <c r="AY69" s="76"/>
    </row>
    <row r="70" spans="2:51" x14ac:dyDescent="0.3">
      <c r="B70" s="40"/>
      <c r="C70" s="152"/>
      <c r="D70" s="137"/>
      <c r="E70" s="141"/>
      <c r="F70" s="42"/>
      <c r="G70" s="51"/>
      <c r="I70" s="55">
        <v>65</v>
      </c>
      <c r="J70" s="33">
        <f t="shared" si="18"/>
        <v>0</v>
      </c>
      <c r="K70" s="33">
        <f t="shared" si="19"/>
        <v>0</v>
      </c>
      <c r="L70" s="33">
        <f t="shared" si="20"/>
        <v>0</v>
      </c>
      <c r="M70" s="33">
        <f t="shared" si="21"/>
        <v>0</v>
      </c>
      <c r="N70" s="33">
        <f t="shared" si="45"/>
        <v>0</v>
      </c>
      <c r="O70" s="34">
        <f t="shared" si="46"/>
        <v>0</v>
      </c>
      <c r="P70" s="55">
        <v>65</v>
      </c>
      <c r="Q70" s="33">
        <f t="shared" ref="Q70:Q133" si="54">IF(P70&lt;=$F$18,LOOKUP(P70-1,$B$25:$B$78,$G$25:$G$78),)</f>
        <v>0</v>
      </c>
      <c r="R70" s="33">
        <f t="shared" si="22"/>
        <v>0</v>
      </c>
      <c r="S70" s="33">
        <f t="shared" si="23"/>
        <v>0</v>
      </c>
      <c r="T70" s="33">
        <f t="shared" si="47"/>
        <v>0</v>
      </c>
      <c r="U70" s="33">
        <f t="shared" ref="U70:U133" si="55">IF(P70&lt;=$F$18,$F$5+($F$15-$F$5)*(1-EXP(-0.0175*P70)),)</f>
        <v>0</v>
      </c>
      <c r="V70" s="33">
        <f t="shared" si="48"/>
        <v>0</v>
      </c>
      <c r="W70" s="33">
        <v>0</v>
      </c>
      <c r="X70" s="33">
        <f t="shared" si="49"/>
        <v>0</v>
      </c>
      <c r="Y70" s="38">
        <f t="shared" si="50"/>
        <v>0</v>
      </c>
      <c r="AA70" s="71">
        <v>65</v>
      </c>
      <c r="AB70" s="33">
        <f t="shared" si="51"/>
        <v>0</v>
      </c>
      <c r="AC70" s="305">
        <f t="shared" si="39"/>
        <v>0</v>
      </c>
      <c r="AD70" s="100">
        <f t="shared" si="52"/>
        <v>0</v>
      </c>
      <c r="AE70" s="100">
        <f t="shared" si="53"/>
        <v>0</v>
      </c>
      <c r="AF70" s="194">
        <f t="shared" si="34"/>
        <v>0</v>
      </c>
      <c r="AG70" s="194">
        <f t="shared" si="35"/>
        <v>0</v>
      </c>
      <c r="AH70" s="194">
        <f t="shared" si="36"/>
        <v>0</v>
      </c>
      <c r="AI70" s="199">
        <f t="shared" si="37"/>
        <v>0</v>
      </c>
      <c r="AK70" s="71">
        <v>65</v>
      </c>
      <c r="AL70" s="33"/>
      <c r="AM70" s="33"/>
      <c r="AN70" s="33"/>
      <c r="AO70" s="33"/>
      <c r="AP70" s="33"/>
      <c r="AQ70" s="194"/>
      <c r="AR70" s="194"/>
      <c r="AS70" s="194"/>
      <c r="AT70" s="194"/>
      <c r="AU70" s="33"/>
      <c r="AV70" s="33"/>
      <c r="AW70" s="33"/>
      <c r="AX70" s="33"/>
      <c r="AY70" s="76"/>
    </row>
    <row r="71" spans="2:51" x14ac:dyDescent="0.3">
      <c r="B71" s="40"/>
      <c r="C71" s="152"/>
      <c r="D71" s="137"/>
      <c r="E71" s="141"/>
      <c r="F71" s="42"/>
      <c r="G71" s="51"/>
      <c r="I71" s="55">
        <v>66</v>
      </c>
      <c r="J71" s="33">
        <f t="shared" ref="J71:J134" si="56">IF($I71&lt;=$F$10,$F$11*$F$13+J70,)</f>
        <v>0</v>
      </c>
      <c r="K71" s="33">
        <f t="shared" ref="K71:K134" si="57">IF(J71=0,0,EXP(-1.0587+0.8836*LN(J71)+0.284))</f>
        <v>0</v>
      </c>
      <c r="L71" s="33">
        <f t="shared" ref="L71:L134" si="58">IF(I71&lt;=$F$10,$F$5+($F$8-$F$5)*(1-EXP(-0.0175*I71)),)</f>
        <v>0</v>
      </c>
      <c r="M71" s="33">
        <f t="shared" ref="M71:M134" si="59">IF(I71&lt;=$F$10,IF(I71&lt;=30,I71*($F$9-$F$6)/30,$F$9-$F$6),)</f>
        <v>0</v>
      </c>
      <c r="N71" s="33">
        <f t="shared" si="45"/>
        <v>0</v>
      </c>
      <c r="O71" s="34">
        <f t="shared" si="46"/>
        <v>0</v>
      </c>
      <c r="P71" s="55">
        <v>66</v>
      </c>
      <c r="Q71" s="33">
        <f t="shared" si="54"/>
        <v>0</v>
      </c>
      <c r="R71" s="33">
        <f t="shared" ref="R71:R134" si="60">IF(P71&lt;=$F$18,Q71+R70,)</f>
        <v>0</v>
      </c>
      <c r="S71" s="33">
        <f t="shared" ref="S71:S134" si="61">$F$19*R71</f>
        <v>0</v>
      </c>
      <c r="T71" s="33">
        <f t="shared" si="47"/>
        <v>0</v>
      </c>
      <c r="U71" s="33">
        <f t="shared" si="55"/>
        <v>0</v>
      </c>
      <c r="V71" s="33">
        <f t="shared" si="48"/>
        <v>0</v>
      </c>
      <c r="W71" s="33">
        <v>0</v>
      </c>
      <c r="X71" s="33">
        <f t="shared" si="49"/>
        <v>0</v>
      </c>
      <c r="Y71" s="38">
        <f t="shared" si="50"/>
        <v>0</v>
      </c>
      <c r="AA71" s="71">
        <v>66</v>
      </c>
      <c r="AB71" s="33">
        <f t="shared" si="51"/>
        <v>0</v>
      </c>
      <c r="AC71" s="305">
        <f t="shared" si="39"/>
        <v>0</v>
      </c>
      <c r="AD71" s="100">
        <f t="shared" si="52"/>
        <v>0</v>
      </c>
      <c r="AE71" s="100">
        <f t="shared" si="53"/>
        <v>0</v>
      </c>
      <c r="AF71" s="194">
        <f t="shared" si="34"/>
        <v>0</v>
      </c>
      <c r="AG71" s="194">
        <f t="shared" si="35"/>
        <v>0</v>
      </c>
      <c r="AH71" s="194">
        <f t="shared" si="36"/>
        <v>0</v>
      </c>
      <c r="AI71" s="199">
        <f t="shared" si="37"/>
        <v>0</v>
      </c>
      <c r="AK71" s="71">
        <v>66</v>
      </c>
      <c r="AL71" s="33"/>
      <c r="AM71" s="33"/>
      <c r="AN71" s="33"/>
      <c r="AO71" s="33"/>
      <c r="AP71" s="33"/>
      <c r="AQ71" s="194"/>
      <c r="AR71" s="194"/>
      <c r="AS71" s="194"/>
      <c r="AT71" s="194"/>
      <c r="AU71" s="33"/>
      <c r="AV71" s="33"/>
      <c r="AW71" s="33"/>
      <c r="AX71" s="33"/>
      <c r="AY71" s="76"/>
    </row>
    <row r="72" spans="2:51" x14ac:dyDescent="0.3">
      <c r="B72" s="40"/>
      <c r="C72" s="152"/>
      <c r="D72" s="137"/>
      <c r="E72" s="141"/>
      <c r="F72" s="42"/>
      <c r="G72" s="51"/>
      <c r="I72" s="55">
        <v>67</v>
      </c>
      <c r="J72" s="33">
        <f t="shared" si="56"/>
        <v>0</v>
      </c>
      <c r="K72" s="33">
        <f t="shared" si="57"/>
        <v>0</v>
      </c>
      <c r="L72" s="33">
        <f t="shared" si="58"/>
        <v>0</v>
      </c>
      <c r="M72" s="33">
        <f t="shared" si="59"/>
        <v>0</v>
      </c>
      <c r="N72" s="33">
        <f t="shared" si="45"/>
        <v>0</v>
      </c>
      <c r="O72" s="34">
        <f t="shared" si="46"/>
        <v>0</v>
      </c>
      <c r="P72" s="55">
        <v>67</v>
      </c>
      <c r="Q72" s="33">
        <f t="shared" si="54"/>
        <v>0</v>
      </c>
      <c r="R72" s="33">
        <f t="shared" si="60"/>
        <v>0</v>
      </c>
      <c r="S72" s="33">
        <f t="shared" si="61"/>
        <v>0</v>
      </c>
      <c r="T72" s="33">
        <f t="shared" si="47"/>
        <v>0</v>
      </c>
      <c r="U72" s="33">
        <f t="shared" si="55"/>
        <v>0</v>
      </c>
      <c r="V72" s="33">
        <f t="shared" si="48"/>
        <v>0</v>
      </c>
      <c r="W72" s="33">
        <v>0</v>
      </c>
      <c r="X72" s="33">
        <f t="shared" si="49"/>
        <v>0</v>
      </c>
      <c r="Y72" s="38">
        <f t="shared" si="50"/>
        <v>0</v>
      </c>
      <c r="AA72" s="71">
        <v>67</v>
      </c>
      <c r="AB72" s="33">
        <f t="shared" si="51"/>
        <v>0</v>
      </c>
      <c r="AC72" s="305">
        <f t="shared" si="39"/>
        <v>0</v>
      </c>
      <c r="AD72" s="100">
        <f t="shared" si="52"/>
        <v>0</v>
      </c>
      <c r="AE72" s="100">
        <f t="shared" si="53"/>
        <v>0</v>
      </c>
      <c r="AF72" s="194">
        <f t="shared" si="34"/>
        <v>0</v>
      </c>
      <c r="AG72" s="194">
        <f t="shared" si="35"/>
        <v>0</v>
      </c>
      <c r="AH72" s="194">
        <f t="shared" si="36"/>
        <v>0</v>
      </c>
      <c r="AI72" s="199">
        <f t="shared" si="37"/>
        <v>0</v>
      </c>
      <c r="AK72" s="71">
        <v>67</v>
      </c>
      <c r="AL72" s="33"/>
      <c r="AM72" s="33"/>
      <c r="AN72" s="33"/>
      <c r="AO72" s="33"/>
      <c r="AP72" s="33"/>
      <c r="AQ72" s="194"/>
      <c r="AR72" s="194"/>
      <c r="AS72" s="194"/>
      <c r="AT72" s="194"/>
      <c r="AU72" s="33"/>
      <c r="AV72" s="33"/>
      <c r="AW72" s="33"/>
      <c r="AX72" s="33"/>
      <c r="AY72" s="76"/>
    </row>
    <row r="73" spans="2:51" x14ac:dyDescent="0.3">
      <c r="B73" s="40"/>
      <c r="C73" s="152"/>
      <c r="D73" s="137"/>
      <c r="E73" s="141"/>
      <c r="F73" s="42"/>
      <c r="G73" s="51"/>
      <c r="I73" s="55">
        <v>68</v>
      </c>
      <c r="J73" s="33">
        <f t="shared" si="56"/>
        <v>0</v>
      </c>
      <c r="K73" s="33">
        <f t="shared" si="57"/>
        <v>0</v>
      </c>
      <c r="L73" s="33">
        <f t="shared" si="58"/>
        <v>0</v>
      </c>
      <c r="M73" s="33">
        <f t="shared" si="59"/>
        <v>0</v>
      </c>
      <c r="N73" s="33">
        <f t="shared" si="45"/>
        <v>0</v>
      </c>
      <c r="O73" s="34">
        <f t="shared" si="46"/>
        <v>0</v>
      </c>
      <c r="P73" s="55">
        <v>68</v>
      </c>
      <c r="Q73" s="33">
        <f t="shared" si="54"/>
        <v>0</v>
      </c>
      <c r="R73" s="33">
        <f t="shared" si="60"/>
        <v>0</v>
      </c>
      <c r="S73" s="33">
        <f t="shared" si="61"/>
        <v>0</v>
      </c>
      <c r="T73" s="33">
        <f t="shared" si="47"/>
        <v>0</v>
      </c>
      <c r="U73" s="33">
        <f t="shared" si="55"/>
        <v>0</v>
      </c>
      <c r="V73" s="33">
        <f t="shared" si="48"/>
        <v>0</v>
      </c>
      <c r="W73" s="33">
        <v>0</v>
      </c>
      <c r="X73" s="33">
        <f t="shared" si="49"/>
        <v>0</v>
      </c>
      <c r="Y73" s="38">
        <f t="shared" si="50"/>
        <v>0</v>
      </c>
      <c r="AA73" s="71">
        <v>68</v>
      </c>
      <c r="AB73" s="33">
        <f t="shared" si="51"/>
        <v>0</v>
      </c>
      <c r="AC73" s="305">
        <f t="shared" si="39"/>
        <v>0</v>
      </c>
      <c r="AD73" s="100">
        <f t="shared" si="52"/>
        <v>0</v>
      </c>
      <c r="AE73" s="100">
        <f t="shared" si="53"/>
        <v>0</v>
      </c>
      <c r="AF73" s="194">
        <f t="shared" si="34"/>
        <v>0</v>
      </c>
      <c r="AG73" s="194">
        <f t="shared" si="35"/>
        <v>0</v>
      </c>
      <c r="AH73" s="194">
        <f t="shared" si="36"/>
        <v>0</v>
      </c>
      <c r="AI73" s="199">
        <f t="shared" si="37"/>
        <v>0</v>
      </c>
      <c r="AK73" s="71">
        <v>68</v>
      </c>
      <c r="AL73" s="33"/>
      <c r="AM73" s="33"/>
      <c r="AN73" s="33"/>
      <c r="AO73" s="33"/>
      <c r="AP73" s="33"/>
      <c r="AQ73" s="194"/>
      <c r="AR73" s="194"/>
      <c r="AS73" s="194"/>
      <c r="AT73" s="194"/>
      <c r="AU73" s="33"/>
      <c r="AV73" s="33"/>
      <c r="AW73" s="33"/>
      <c r="AX73" s="33"/>
      <c r="AY73" s="76"/>
    </row>
    <row r="74" spans="2:51" x14ac:dyDescent="0.3">
      <c r="B74" s="40"/>
      <c r="C74" s="152"/>
      <c r="D74" s="137"/>
      <c r="E74" s="141"/>
      <c r="F74" s="42"/>
      <c r="G74" s="51"/>
      <c r="I74" s="55">
        <v>69</v>
      </c>
      <c r="J74" s="33">
        <f t="shared" si="56"/>
        <v>0</v>
      </c>
      <c r="K74" s="33">
        <f t="shared" si="57"/>
        <v>0</v>
      </c>
      <c r="L74" s="33">
        <f t="shared" si="58"/>
        <v>0</v>
      </c>
      <c r="M74" s="33">
        <f t="shared" si="59"/>
        <v>0</v>
      </c>
      <c r="N74" s="33">
        <f t="shared" si="45"/>
        <v>0</v>
      </c>
      <c r="O74" s="34">
        <f t="shared" si="46"/>
        <v>0</v>
      </c>
      <c r="P74" s="55">
        <v>69</v>
      </c>
      <c r="Q74" s="33">
        <f t="shared" si="54"/>
        <v>0</v>
      </c>
      <c r="R74" s="33">
        <f t="shared" si="60"/>
        <v>0</v>
      </c>
      <c r="S74" s="33">
        <f t="shared" si="61"/>
        <v>0</v>
      </c>
      <c r="T74" s="33">
        <f t="shared" si="47"/>
        <v>0</v>
      </c>
      <c r="U74" s="33">
        <f t="shared" si="55"/>
        <v>0</v>
      </c>
      <c r="V74" s="33">
        <f t="shared" si="48"/>
        <v>0</v>
      </c>
      <c r="W74" s="33">
        <v>0</v>
      </c>
      <c r="X74" s="33">
        <f t="shared" si="49"/>
        <v>0</v>
      </c>
      <c r="Y74" s="38">
        <f t="shared" si="50"/>
        <v>0</v>
      </c>
      <c r="AA74" s="71">
        <v>69</v>
      </c>
      <c r="AB74" s="33">
        <f t="shared" si="51"/>
        <v>0</v>
      </c>
      <c r="AC74" s="305">
        <f t="shared" si="39"/>
        <v>0</v>
      </c>
      <c r="AD74" s="100">
        <f t="shared" si="52"/>
        <v>0</v>
      </c>
      <c r="AE74" s="100">
        <f t="shared" si="53"/>
        <v>0</v>
      </c>
      <c r="AF74" s="194">
        <f t="shared" si="34"/>
        <v>0</v>
      </c>
      <c r="AG74" s="194">
        <f t="shared" si="35"/>
        <v>0</v>
      </c>
      <c r="AH74" s="194">
        <f t="shared" si="36"/>
        <v>0</v>
      </c>
      <c r="AI74" s="199">
        <f t="shared" si="37"/>
        <v>0</v>
      </c>
      <c r="AK74" s="71">
        <v>69</v>
      </c>
      <c r="AL74" s="33"/>
      <c r="AM74" s="33"/>
      <c r="AN74" s="33"/>
      <c r="AO74" s="33"/>
      <c r="AP74" s="33"/>
      <c r="AQ74" s="194"/>
      <c r="AR74" s="194"/>
      <c r="AS74" s="194"/>
      <c r="AT74" s="194"/>
      <c r="AU74" s="33"/>
      <c r="AV74" s="33"/>
      <c r="AW74" s="33"/>
      <c r="AX74" s="33"/>
      <c r="AY74" s="76"/>
    </row>
    <row r="75" spans="2:51" x14ac:dyDescent="0.3">
      <c r="B75" s="40"/>
      <c r="C75" s="152"/>
      <c r="D75" s="137"/>
      <c r="E75" s="141"/>
      <c r="F75" s="42"/>
      <c r="G75" s="51"/>
      <c r="I75" s="55">
        <v>70</v>
      </c>
      <c r="J75" s="33">
        <f t="shared" si="56"/>
        <v>0</v>
      </c>
      <c r="K75" s="33">
        <f t="shared" si="57"/>
        <v>0</v>
      </c>
      <c r="L75" s="33">
        <f t="shared" si="58"/>
        <v>0</v>
      </c>
      <c r="M75" s="33">
        <f t="shared" si="59"/>
        <v>0</v>
      </c>
      <c r="N75" s="33">
        <f t="shared" si="45"/>
        <v>0</v>
      </c>
      <c r="O75" s="34">
        <f t="shared" si="46"/>
        <v>0</v>
      </c>
      <c r="P75" s="55">
        <v>70</v>
      </c>
      <c r="Q75" s="33">
        <f t="shared" si="54"/>
        <v>0</v>
      </c>
      <c r="R75" s="33">
        <f t="shared" si="60"/>
        <v>0</v>
      </c>
      <c r="S75" s="33">
        <f t="shared" si="61"/>
        <v>0</v>
      </c>
      <c r="T75" s="33">
        <f t="shared" si="47"/>
        <v>0</v>
      </c>
      <c r="U75" s="33">
        <f t="shared" si="55"/>
        <v>0</v>
      </c>
      <c r="V75" s="33">
        <f t="shared" si="48"/>
        <v>0</v>
      </c>
      <c r="W75" s="33">
        <v>0</v>
      </c>
      <c r="X75" s="33">
        <f t="shared" si="49"/>
        <v>0</v>
      </c>
      <c r="Y75" s="38">
        <f t="shared" si="50"/>
        <v>0</v>
      </c>
      <c r="AA75" s="71">
        <v>70</v>
      </c>
      <c r="AB75" s="33">
        <f t="shared" si="51"/>
        <v>0</v>
      </c>
      <c r="AC75" s="305">
        <f t="shared" si="39"/>
        <v>0</v>
      </c>
      <c r="AD75" s="100">
        <f t="shared" si="52"/>
        <v>0</v>
      </c>
      <c r="AE75" s="100">
        <f t="shared" si="53"/>
        <v>0</v>
      </c>
      <c r="AF75" s="194">
        <f t="shared" si="34"/>
        <v>0</v>
      </c>
      <c r="AG75" s="194">
        <f t="shared" si="35"/>
        <v>0</v>
      </c>
      <c r="AH75" s="194">
        <f t="shared" si="36"/>
        <v>0</v>
      </c>
      <c r="AI75" s="199">
        <f t="shared" si="37"/>
        <v>0</v>
      </c>
      <c r="AK75" s="71">
        <v>70</v>
      </c>
      <c r="AL75" s="33"/>
      <c r="AM75" s="33"/>
      <c r="AN75" s="33"/>
      <c r="AO75" s="33"/>
      <c r="AP75" s="33"/>
      <c r="AQ75" s="194"/>
      <c r="AR75" s="194"/>
      <c r="AS75" s="194"/>
      <c r="AT75" s="194"/>
      <c r="AU75" s="33"/>
      <c r="AV75" s="33"/>
      <c r="AW75" s="33"/>
      <c r="AX75" s="33"/>
      <c r="AY75" s="76"/>
    </row>
    <row r="76" spans="2:51" x14ac:dyDescent="0.3">
      <c r="B76" s="40"/>
      <c r="C76" s="152"/>
      <c r="D76" s="137"/>
      <c r="E76" s="141"/>
      <c r="F76" s="42"/>
      <c r="G76" s="51"/>
      <c r="I76" s="55">
        <v>71</v>
      </c>
      <c r="J76" s="33">
        <f t="shared" si="56"/>
        <v>0</v>
      </c>
      <c r="K76" s="33">
        <f t="shared" si="57"/>
        <v>0</v>
      </c>
      <c r="L76" s="33">
        <f t="shared" si="58"/>
        <v>0</v>
      </c>
      <c r="M76" s="33">
        <f t="shared" si="59"/>
        <v>0</v>
      </c>
      <c r="N76" s="33">
        <f t="shared" si="45"/>
        <v>0</v>
      </c>
      <c r="O76" s="34">
        <f t="shared" si="46"/>
        <v>0</v>
      </c>
      <c r="P76" s="55">
        <v>71</v>
      </c>
      <c r="Q76" s="33">
        <f t="shared" si="54"/>
        <v>0</v>
      </c>
      <c r="R76" s="33">
        <f t="shared" si="60"/>
        <v>0</v>
      </c>
      <c r="S76" s="33">
        <f t="shared" si="61"/>
        <v>0</v>
      </c>
      <c r="T76" s="33">
        <f t="shared" si="47"/>
        <v>0</v>
      </c>
      <c r="U76" s="33">
        <f t="shared" si="55"/>
        <v>0</v>
      </c>
      <c r="V76" s="33">
        <f t="shared" si="48"/>
        <v>0</v>
      </c>
      <c r="W76" s="33">
        <v>0</v>
      </c>
      <c r="X76" s="33">
        <f t="shared" si="49"/>
        <v>0</v>
      </c>
      <c r="Y76" s="38">
        <f t="shared" si="50"/>
        <v>0</v>
      </c>
      <c r="AA76" s="71">
        <v>71</v>
      </c>
      <c r="AB76" s="33">
        <f t="shared" si="51"/>
        <v>0</v>
      </c>
      <c r="AC76" s="305">
        <f t="shared" si="39"/>
        <v>0</v>
      </c>
      <c r="AD76" s="100">
        <f t="shared" si="52"/>
        <v>0</v>
      </c>
      <c r="AE76" s="100">
        <f t="shared" si="53"/>
        <v>0</v>
      </c>
      <c r="AF76" s="194">
        <f t="shared" si="34"/>
        <v>0</v>
      </c>
      <c r="AG76" s="194">
        <f t="shared" si="35"/>
        <v>0</v>
      </c>
      <c r="AH76" s="194">
        <f t="shared" si="36"/>
        <v>0</v>
      </c>
      <c r="AI76" s="199">
        <f t="shared" si="37"/>
        <v>0</v>
      </c>
      <c r="AK76" s="71">
        <v>71</v>
      </c>
      <c r="AL76" s="33"/>
      <c r="AM76" s="33"/>
      <c r="AN76" s="33"/>
      <c r="AO76" s="33"/>
      <c r="AP76" s="33"/>
      <c r="AQ76" s="194"/>
      <c r="AR76" s="194"/>
      <c r="AS76" s="194"/>
      <c r="AT76" s="194"/>
      <c r="AU76" s="33"/>
      <c r="AV76" s="33"/>
      <c r="AW76" s="33"/>
      <c r="AX76" s="33"/>
      <c r="AY76" s="76"/>
    </row>
    <row r="77" spans="2:51" x14ac:dyDescent="0.3">
      <c r="B77" s="40"/>
      <c r="C77" s="152"/>
      <c r="D77" s="137"/>
      <c r="E77" s="141"/>
      <c r="F77" s="42"/>
      <c r="G77" s="51"/>
      <c r="I77" s="55">
        <v>72</v>
      </c>
      <c r="J77" s="33">
        <f t="shared" si="56"/>
        <v>0</v>
      </c>
      <c r="K77" s="33">
        <f t="shared" si="57"/>
        <v>0</v>
      </c>
      <c r="L77" s="33">
        <f t="shared" si="58"/>
        <v>0</v>
      </c>
      <c r="M77" s="33">
        <f t="shared" si="59"/>
        <v>0</v>
      </c>
      <c r="N77" s="33">
        <f t="shared" si="45"/>
        <v>0</v>
      </c>
      <c r="O77" s="34">
        <f t="shared" si="46"/>
        <v>0</v>
      </c>
      <c r="P77" s="55">
        <v>72</v>
      </c>
      <c r="Q77" s="33">
        <f t="shared" si="54"/>
        <v>0</v>
      </c>
      <c r="R77" s="33">
        <f t="shared" si="60"/>
        <v>0</v>
      </c>
      <c r="S77" s="33">
        <f t="shared" si="61"/>
        <v>0</v>
      </c>
      <c r="T77" s="33">
        <f t="shared" si="47"/>
        <v>0</v>
      </c>
      <c r="U77" s="33">
        <f t="shared" si="55"/>
        <v>0</v>
      </c>
      <c r="V77" s="33">
        <f t="shared" si="48"/>
        <v>0</v>
      </c>
      <c r="W77" s="33">
        <v>0</v>
      </c>
      <c r="X77" s="33">
        <f t="shared" si="49"/>
        <v>0</v>
      </c>
      <c r="Y77" s="38">
        <f t="shared" si="50"/>
        <v>0</v>
      </c>
      <c r="AA77" s="71">
        <v>72</v>
      </c>
      <c r="AB77" s="33">
        <f t="shared" si="51"/>
        <v>0</v>
      </c>
      <c r="AC77" s="305">
        <f t="shared" si="39"/>
        <v>0</v>
      </c>
      <c r="AD77" s="100">
        <f t="shared" si="52"/>
        <v>0</v>
      </c>
      <c r="AE77" s="100">
        <f t="shared" si="53"/>
        <v>0</v>
      </c>
      <c r="AF77" s="194">
        <f t="shared" si="34"/>
        <v>0</v>
      </c>
      <c r="AG77" s="194">
        <f t="shared" si="35"/>
        <v>0</v>
      </c>
      <c r="AH77" s="194">
        <f t="shared" si="36"/>
        <v>0</v>
      </c>
      <c r="AI77" s="199">
        <f t="shared" si="37"/>
        <v>0</v>
      </c>
      <c r="AK77" s="71">
        <v>72</v>
      </c>
      <c r="AL77" s="33"/>
      <c r="AM77" s="33"/>
      <c r="AN77" s="33"/>
      <c r="AO77" s="33"/>
      <c r="AP77" s="33"/>
      <c r="AQ77" s="194"/>
      <c r="AR77" s="194"/>
      <c r="AS77" s="194"/>
      <c r="AT77" s="194"/>
      <c r="AU77" s="33"/>
      <c r="AV77" s="33"/>
      <c r="AW77" s="33"/>
      <c r="AX77" s="33"/>
      <c r="AY77" s="76"/>
    </row>
    <row r="78" spans="2:51" x14ac:dyDescent="0.3">
      <c r="B78" s="43"/>
      <c r="C78" s="153"/>
      <c r="D78" s="154"/>
      <c r="E78" s="144"/>
      <c r="F78" s="44"/>
      <c r="G78" s="52"/>
      <c r="I78" s="55">
        <v>73</v>
      </c>
      <c r="J78" s="33">
        <f t="shared" si="56"/>
        <v>0</v>
      </c>
      <c r="K78" s="33">
        <f t="shared" si="57"/>
        <v>0</v>
      </c>
      <c r="L78" s="33">
        <f t="shared" si="58"/>
        <v>0</v>
      </c>
      <c r="M78" s="33">
        <f t="shared" si="59"/>
        <v>0</v>
      </c>
      <c r="N78" s="33">
        <f t="shared" si="45"/>
        <v>0</v>
      </c>
      <c r="O78" s="34">
        <f t="shared" si="46"/>
        <v>0</v>
      </c>
      <c r="P78" s="55">
        <v>73</v>
      </c>
      <c r="Q78" s="33">
        <f t="shared" si="54"/>
        <v>0</v>
      </c>
      <c r="R78" s="33">
        <f t="shared" si="60"/>
        <v>0</v>
      </c>
      <c r="S78" s="33">
        <f t="shared" si="61"/>
        <v>0</v>
      </c>
      <c r="T78" s="33">
        <f t="shared" si="47"/>
        <v>0</v>
      </c>
      <c r="U78" s="33">
        <f t="shared" si="55"/>
        <v>0</v>
      </c>
      <c r="V78" s="33">
        <f t="shared" si="48"/>
        <v>0</v>
      </c>
      <c r="W78" s="33">
        <v>0</v>
      </c>
      <c r="X78" s="33">
        <f t="shared" si="49"/>
        <v>0</v>
      </c>
      <c r="Y78" s="38">
        <f t="shared" si="50"/>
        <v>0</v>
      </c>
      <c r="AA78" s="71">
        <v>73</v>
      </c>
      <c r="AB78" s="33">
        <f t="shared" si="51"/>
        <v>0</v>
      </c>
      <c r="AC78" s="305">
        <f t="shared" si="39"/>
        <v>0</v>
      </c>
      <c r="AD78" s="100">
        <f t="shared" si="52"/>
        <v>0</v>
      </c>
      <c r="AE78" s="100">
        <f t="shared" si="53"/>
        <v>0</v>
      </c>
      <c r="AF78" s="194">
        <f t="shared" si="34"/>
        <v>0</v>
      </c>
      <c r="AG78" s="194">
        <f t="shared" si="35"/>
        <v>0</v>
      </c>
      <c r="AH78" s="194">
        <f t="shared" si="36"/>
        <v>0</v>
      </c>
      <c r="AI78" s="199">
        <f t="shared" si="37"/>
        <v>0</v>
      </c>
      <c r="AK78" s="71">
        <v>73</v>
      </c>
      <c r="AL78" s="33"/>
      <c r="AM78" s="33"/>
      <c r="AN78" s="33"/>
      <c r="AO78" s="33"/>
      <c r="AP78" s="33"/>
      <c r="AQ78" s="194"/>
      <c r="AR78" s="194"/>
      <c r="AS78" s="194"/>
      <c r="AT78" s="194"/>
      <c r="AU78" s="33"/>
      <c r="AV78" s="33"/>
      <c r="AW78" s="33"/>
      <c r="AX78" s="33"/>
      <c r="AY78" s="76"/>
    </row>
    <row r="79" spans="2:51" x14ac:dyDescent="0.3">
      <c r="I79" s="55">
        <v>74</v>
      </c>
      <c r="J79" s="33">
        <f t="shared" si="56"/>
        <v>0</v>
      </c>
      <c r="K79" s="33">
        <f t="shared" si="57"/>
        <v>0</v>
      </c>
      <c r="L79" s="33">
        <f t="shared" si="58"/>
        <v>0</v>
      </c>
      <c r="M79" s="33">
        <f t="shared" si="59"/>
        <v>0</v>
      </c>
      <c r="N79" s="33">
        <f t="shared" si="45"/>
        <v>0</v>
      </c>
      <c r="O79" s="34">
        <f t="shared" si="46"/>
        <v>0</v>
      </c>
      <c r="P79" s="55">
        <v>74</v>
      </c>
      <c r="Q79" s="33">
        <f t="shared" si="54"/>
        <v>0</v>
      </c>
      <c r="R79" s="33">
        <f t="shared" si="60"/>
        <v>0</v>
      </c>
      <c r="S79" s="33">
        <f t="shared" si="61"/>
        <v>0</v>
      </c>
      <c r="T79" s="33">
        <f t="shared" si="47"/>
        <v>0</v>
      </c>
      <c r="U79" s="33">
        <f t="shared" si="55"/>
        <v>0</v>
      </c>
      <c r="V79" s="33">
        <f t="shared" si="48"/>
        <v>0</v>
      </c>
      <c r="W79" s="33">
        <v>0</v>
      </c>
      <c r="X79" s="33">
        <f t="shared" si="49"/>
        <v>0</v>
      </c>
      <c r="Y79" s="38">
        <f t="shared" si="50"/>
        <v>0</v>
      </c>
      <c r="AA79" s="71">
        <v>74</v>
      </c>
      <c r="AB79" s="33">
        <f t="shared" si="51"/>
        <v>0</v>
      </c>
      <c r="AC79" s="305">
        <f t="shared" si="39"/>
        <v>0</v>
      </c>
      <c r="AD79" s="100">
        <f t="shared" si="52"/>
        <v>0</v>
      </c>
      <c r="AE79" s="100">
        <f t="shared" si="53"/>
        <v>0</v>
      </c>
      <c r="AF79" s="194">
        <f t="shared" si="34"/>
        <v>0</v>
      </c>
      <c r="AG79" s="194">
        <f t="shared" si="35"/>
        <v>0</v>
      </c>
      <c r="AH79" s="194">
        <f t="shared" si="36"/>
        <v>0</v>
      </c>
      <c r="AI79" s="199">
        <f t="shared" si="37"/>
        <v>0</v>
      </c>
      <c r="AK79" s="71">
        <v>74</v>
      </c>
      <c r="AL79" s="33"/>
      <c r="AM79" s="33"/>
      <c r="AN79" s="33"/>
      <c r="AO79" s="33"/>
      <c r="AP79" s="33"/>
      <c r="AQ79" s="194"/>
      <c r="AR79" s="194"/>
      <c r="AS79" s="194"/>
      <c r="AT79" s="194"/>
      <c r="AU79" s="33"/>
      <c r="AV79" s="33"/>
      <c r="AW79" s="33"/>
      <c r="AX79" s="33"/>
      <c r="AY79" s="76"/>
    </row>
    <row r="80" spans="2:51" x14ac:dyDescent="0.3">
      <c r="B80" s="356" t="s">
        <v>259</v>
      </c>
      <c r="C80" s="357"/>
      <c r="D80" s="357"/>
      <c r="E80" s="357"/>
      <c r="F80" s="357"/>
      <c r="G80" s="358"/>
      <c r="H80" s="23"/>
      <c r="I80" s="55">
        <v>75</v>
      </c>
      <c r="J80" s="33">
        <f t="shared" si="56"/>
        <v>0</v>
      </c>
      <c r="K80" s="33">
        <f t="shared" si="57"/>
        <v>0</v>
      </c>
      <c r="L80" s="33">
        <f t="shared" si="58"/>
        <v>0</v>
      </c>
      <c r="M80" s="33">
        <f t="shared" si="59"/>
        <v>0</v>
      </c>
      <c r="N80" s="33">
        <f t="shared" si="45"/>
        <v>0</v>
      </c>
      <c r="O80" s="34">
        <f t="shared" si="46"/>
        <v>0</v>
      </c>
      <c r="P80" s="55">
        <v>75</v>
      </c>
      <c r="Q80" s="33">
        <f t="shared" si="54"/>
        <v>0</v>
      </c>
      <c r="R80" s="33">
        <f t="shared" si="60"/>
        <v>0</v>
      </c>
      <c r="S80" s="33">
        <f t="shared" si="61"/>
        <v>0</v>
      </c>
      <c r="T80" s="33">
        <f t="shared" si="47"/>
        <v>0</v>
      </c>
      <c r="U80" s="33">
        <f t="shared" si="55"/>
        <v>0</v>
      </c>
      <c r="V80" s="33">
        <f t="shared" si="48"/>
        <v>0</v>
      </c>
      <c r="W80" s="33">
        <v>0</v>
      </c>
      <c r="X80" s="33">
        <f t="shared" si="49"/>
        <v>0</v>
      </c>
      <c r="Y80" s="38">
        <f t="shared" si="50"/>
        <v>0</v>
      </c>
      <c r="AA80" s="71">
        <v>75</v>
      </c>
      <c r="AB80" s="33">
        <f t="shared" si="51"/>
        <v>0</v>
      </c>
      <c r="AC80" s="305">
        <f t="shared" si="39"/>
        <v>0</v>
      </c>
      <c r="AD80" s="100">
        <f t="shared" si="52"/>
        <v>0</v>
      </c>
      <c r="AE80" s="100">
        <f t="shared" si="53"/>
        <v>0</v>
      </c>
      <c r="AF80" s="194">
        <f t="shared" si="34"/>
        <v>0</v>
      </c>
      <c r="AG80" s="194">
        <f t="shared" si="35"/>
        <v>0</v>
      </c>
      <c r="AH80" s="194">
        <f t="shared" si="36"/>
        <v>0</v>
      </c>
      <c r="AI80" s="199">
        <f t="shared" si="37"/>
        <v>0</v>
      </c>
      <c r="AK80" s="71">
        <v>75</v>
      </c>
      <c r="AL80" s="33"/>
      <c r="AM80" s="33"/>
      <c r="AN80" s="33"/>
      <c r="AO80" s="33"/>
      <c r="AP80" s="33"/>
      <c r="AQ80" s="194"/>
      <c r="AR80" s="194"/>
      <c r="AS80" s="194"/>
      <c r="AT80" s="194"/>
      <c r="AU80" s="33"/>
      <c r="AV80" s="33"/>
      <c r="AW80" s="33"/>
      <c r="AX80" s="33"/>
      <c r="AY80" s="76"/>
    </row>
    <row r="81" spans="2:51" x14ac:dyDescent="0.3">
      <c r="B81" s="156" t="s">
        <v>76</v>
      </c>
      <c r="C81" s="132" t="s">
        <v>156</v>
      </c>
      <c r="D81" s="130" t="s">
        <v>78</v>
      </c>
      <c r="E81" s="130" t="s">
        <v>81</v>
      </c>
      <c r="F81" s="130" t="s">
        <v>80</v>
      </c>
      <c r="G81" s="131" t="s">
        <v>79</v>
      </c>
      <c r="H81" s="57"/>
      <c r="I81" s="55">
        <v>76</v>
      </c>
      <c r="J81" s="33">
        <f t="shared" si="56"/>
        <v>0</v>
      </c>
      <c r="K81" s="33">
        <f t="shared" si="57"/>
        <v>0</v>
      </c>
      <c r="L81" s="33">
        <f t="shared" si="58"/>
        <v>0</v>
      </c>
      <c r="M81" s="33">
        <f t="shared" si="59"/>
        <v>0</v>
      </c>
      <c r="N81" s="33">
        <f t="shared" si="45"/>
        <v>0</v>
      </c>
      <c r="O81" s="34">
        <f t="shared" si="46"/>
        <v>0</v>
      </c>
      <c r="P81" s="55">
        <v>76</v>
      </c>
      <c r="Q81" s="33">
        <f t="shared" si="54"/>
        <v>0</v>
      </c>
      <c r="R81" s="33">
        <f t="shared" si="60"/>
        <v>0</v>
      </c>
      <c r="S81" s="33">
        <f t="shared" si="61"/>
        <v>0</v>
      </c>
      <c r="T81" s="33">
        <f t="shared" si="47"/>
        <v>0</v>
      </c>
      <c r="U81" s="33">
        <f t="shared" si="55"/>
        <v>0</v>
      </c>
      <c r="V81" s="33">
        <f t="shared" si="48"/>
        <v>0</v>
      </c>
      <c r="W81" s="33">
        <v>0</v>
      </c>
      <c r="X81" s="33">
        <f t="shared" si="49"/>
        <v>0</v>
      </c>
      <c r="Y81" s="38">
        <f t="shared" si="50"/>
        <v>0</v>
      </c>
      <c r="AA81" s="71">
        <v>76</v>
      </c>
      <c r="AB81" s="33">
        <f t="shared" si="51"/>
        <v>0</v>
      </c>
      <c r="AC81" s="305">
        <f t="shared" si="39"/>
        <v>0</v>
      </c>
      <c r="AD81" s="100">
        <f t="shared" si="52"/>
        <v>0</v>
      </c>
      <c r="AE81" s="100">
        <f t="shared" si="53"/>
        <v>0</v>
      </c>
      <c r="AF81" s="194">
        <f t="shared" si="34"/>
        <v>0</v>
      </c>
      <c r="AG81" s="194">
        <f t="shared" si="35"/>
        <v>0</v>
      </c>
      <c r="AH81" s="194">
        <f t="shared" si="36"/>
        <v>0</v>
      </c>
      <c r="AI81" s="199">
        <f t="shared" si="37"/>
        <v>0</v>
      </c>
      <c r="AK81" s="71">
        <v>76</v>
      </c>
      <c r="AL81" s="33"/>
      <c r="AM81" s="33"/>
      <c r="AN81" s="33"/>
      <c r="AO81" s="33"/>
      <c r="AP81" s="33"/>
      <c r="AQ81" s="194"/>
      <c r="AR81" s="194"/>
      <c r="AS81" s="194"/>
      <c r="AT81" s="194"/>
      <c r="AU81" s="33"/>
      <c r="AV81" s="33"/>
      <c r="AW81" s="33"/>
      <c r="AX81" s="33"/>
      <c r="AY81" s="76"/>
    </row>
    <row r="82" spans="2:51" x14ac:dyDescent="0.3">
      <c r="B82" s="170" t="str">
        <f>IF(C25&lt;=$F$18,C25+1,"-")</f>
        <v>-</v>
      </c>
      <c r="C82" s="145">
        <f>D25-D26</f>
        <v>0</v>
      </c>
      <c r="D82" s="146"/>
      <c r="E82" s="171">
        <f>IF(G82+D82&lt;&gt;1,(1-(G82+D82))*56%,0)</f>
        <v>0</v>
      </c>
      <c r="F82" s="171">
        <f>IF(G82+D82&lt;&gt;1,(1-(G82+D82))*44%,0)</f>
        <v>0</v>
      </c>
      <c r="G82" s="147">
        <f>1-D82</f>
        <v>1</v>
      </c>
      <c r="H82" s="58">
        <f t="shared" ref="H82:H94" si="62">IF(C82=0,0,IF(SUM(D82:G82)&lt;&gt;1,"erreur",))</f>
        <v>0</v>
      </c>
      <c r="I82" s="55">
        <v>77</v>
      </c>
      <c r="J82" s="33">
        <f t="shared" si="56"/>
        <v>0</v>
      </c>
      <c r="K82" s="33">
        <f t="shared" si="57"/>
        <v>0</v>
      </c>
      <c r="L82" s="33">
        <f t="shared" si="58"/>
        <v>0</v>
      </c>
      <c r="M82" s="33">
        <f t="shared" si="59"/>
        <v>0</v>
      </c>
      <c r="N82" s="33">
        <f t="shared" si="45"/>
        <v>0</v>
      </c>
      <c r="O82" s="34">
        <f t="shared" si="46"/>
        <v>0</v>
      </c>
      <c r="P82" s="55">
        <v>77</v>
      </c>
      <c r="Q82" s="33">
        <f t="shared" si="54"/>
        <v>0</v>
      </c>
      <c r="R82" s="33">
        <f t="shared" si="60"/>
        <v>0</v>
      </c>
      <c r="S82" s="33">
        <f t="shared" si="61"/>
        <v>0</v>
      </c>
      <c r="T82" s="33">
        <f t="shared" si="47"/>
        <v>0</v>
      </c>
      <c r="U82" s="33">
        <f t="shared" si="55"/>
        <v>0</v>
      </c>
      <c r="V82" s="33">
        <f t="shared" si="48"/>
        <v>0</v>
      </c>
      <c r="W82" s="33">
        <v>0</v>
      </c>
      <c r="X82" s="33">
        <f t="shared" si="49"/>
        <v>0</v>
      </c>
      <c r="Y82" s="38">
        <f t="shared" si="50"/>
        <v>0</v>
      </c>
      <c r="AA82" s="71">
        <v>77</v>
      </c>
      <c r="AB82" s="33">
        <f t="shared" si="51"/>
        <v>0</v>
      </c>
      <c r="AC82" s="305">
        <f t="shared" si="39"/>
        <v>0</v>
      </c>
      <c r="AD82" s="100">
        <f t="shared" si="52"/>
        <v>0</v>
      </c>
      <c r="AE82" s="100">
        <f t="shared" si="53"/>
        <v>0</v>
      </c>
      <c r="AF82" s="194">
        <f t="shared" si="34"/>
        <v>0</v>
      </c>
      <c r="AG82" s="194">
        <f t="shared" si="35"/>
        <v>0</v>
      </c>
      <c r="AH82" s="194">
        <f t="shared" si="36"/>
        <v>0</v>
      </c>
      <c r="AI82" s="199">
        <f t="shared" si="37"/>
        <v>0</v>
      </c>
      <c r="AK82" s="71">
        <v>77</v>
      </c>
      <c r="AL82" s="33"/>
      <c r="AM82" s="33"/>
      <c r="AN82" s="33"/>
      <c r="AO82" s="33"/>
      <c r="AP82" s="33"/>
      <c r="AQ82" s="194"/>
      <c r="AR82" s="194"/>
      <c r="AS82" s="194"/>
      <c r="AT82" s="194"/>
      <c r="AU82" s="33"/>
      <c r="AV82" s="33"/>
      <c r="AW82" s="33"/>
      <c r="AX82" s="33"/>
      <c r="AY82" s="76"/>
    </row>
    <row r="83" spans="2:51" x14ac:dyDescent="0.3">
      <c r="B83" s="172" t="str">
        <f>IF(C27&lt;=$F$18,C27+1,"-")</f>
        <v>-</v>
      </c>
      <c r="C83" s="148">
        <f>D27-D28</f>
        <v>0</v>
      </c>
      <c r="D83" s="149"/>
      <c r="E83" s="129">
        <f t="shared" ref="E83:E94" si="63">IF(G83+D83&lt;&gt;1,(1-(G83+D83))*56%,0)</f>
        <v>0</v>
      </c>
      <c r="F83" s="129">
        <f t="shared" ref="F83:F94" si="64">IF(G83+D83&lt;&gt;1,(1-(G83+D83))*44%,0)</f>
        <v>0</v>
      </c>
      <c r="G83" s="150">
        <f t="shared" ref="G83:G94" si="65">1-D83</f>
        <v>1</v>
      </c>
      <c r="H83" s="58">
        <f t="shared" si="62"/>
        <v>0</v>
      </c>
      <c r="I83" s="55">
        <v>78</v>
      </c>
      <c r="J83" s="33">
        <f t="shared" si="56"/>
        <v>0</v>
      </c>
      <c r="K83" s="33">
        <f t="shared" si="57"/>
        <v>0</v>
      </c>
      <c r="L83" s="33">
        <f t="shared" si="58"/>
        <v>0</v>
      </c>
      <c r="M83" s="33">
        <f t="shared" si="59"/>
        <v>0</v>
      </c>
      <c r="N83" s="33">
        <f t="shared" si="45"/>
        <v>0</v>
      </c>
      <c r="O83" s="34">
        <f t="shared" si="46"/>
        <v>0</v>
      </c>
      <c r="P83" s="55">
        <v>78</v>
      </c>
      <c r="Q83" s="33">
        <f t="shared" si="54"/>
        <v>0</v>
      </c>
      <c r="R83" s="33">
        <f t="shared" si="60"/>
        <v>0</v>
      </c>
      <c r="S83" s="33">
        <f t="shared" si="61"/>
        <v>0</v>
      </c>
      <c r="T83" s="33">
        <f t="shared" si="47"/>
        <v>0</v>
      </c>
      <c r="U83" s="33">
        <f t="shared" si="55"/>
        <v>0</v>
      </c>
      <c r="V83" s="33">
        <f t="shared" si="48"/>
        <v>0</v>
      </c>
      <c r="W83" s="33">
        <v>0</v>
      </c>
      <c r="X83" s="33">
        <f t="shared" si="49"/>
        <v>0</v>
      </c>
      <c r="Y83" s="38">
        <f t="shared" si="50"/>
        <v>0</v>
      </c>
      <c r="AA83" s="71">
        <v>78</v>
      </c>
      <c r="AB83" s="33">
        <f t="shared" si="51"/>
        <v>0</v>
      </c>
      <c r="AC83" s="305">
        <f t="shared" si="39"/>
        <v>0</v>
      </c>
      <c r="AD83" s="100">
        <f t="shared" si="52"/>
        <v>0</v>
      </c>
      <c r="AE83" s="100">
        <f t="shared" si="53"/>
        <v>0</v>
      </c>
      <c r="AF83" s="194">
        <f t="shared" si="34"/>
        <v>0</v>
      </c>
      <c r="AG83" s="194">
        <f t="shared" si="35"/>
        <v>0</v>
      </c>
      <c r="AH83" s="194">
        <f t="shared" si="36"/>
        <v>0</v>
      </c>
      <c r="AI83" s="199">
        <f t="shared" si="37"/>
        <v>0</v>
      </c>
      <c r="AK83" s="71">
        <v>78</v>
      </c>
      <c r="AL83" s="33"/>
      <c r="AM83" s="33"/>
      <c r="AN83" s="33"/>
      <c r="AO83" s="33"/>
      <c r="AP83" s="33"/>
      <c r="AQ83" s="194"/>
      <c r="AR83" s="194"/>
      <c r="AS83" s="194"/>
      <c r="AT83" s="194"/>
      <c r="AU83" s="33"/>
      <c r="AV83" s="33"/>
      <c r="AW83" s="33"/>
      <c r="AX83" s="33"/>
      <c r="AY83" s="76"/>
    </row>
    <row r="84" spans="2:51" x14ac:dyDescent="0.3">
      <c r="B84" s="187" t="str">
        <f>IF(C29&lt;=$F$18,C29+1,"-")</f>
        <v>-</v>
      </c>
      <c r="C84" s="148">
        <f>D29-D30</f>
        <v>26</v>
      </c>
      <c r="D84" s="149"/>
      <c r="E84" s="129">
        <f t="shared" si="63"/>
        <v>0</v>
      </c>
      <c r="F84" s="129">
        <f t="shared" si="64"/>
        <v>0</v>
      </c>
      <c r="G84" s="150">
        <f t="shared" si="65"/>
        <v>1</v>
      </c>
      <c r="H84" s="58">
        <f t="shared" si="62"/>
        <v>0</v>
      </c>
      <c r="I84" s="55">
        <v>79</v>
      </c>
      <c r="J84" s="33">
        <f t="shared" si="56"/>
        <v>0</v>
      </c>
      <c r="K84" s="33">
        <f t="shared" si="57"/>
        <v>0</v>
      </c>
      <c r="L84" s="33">
        <f t="shared" si="58"/>
        <v>0</v>
      </c>
      <c r="M84" s="33">
        <f t="shared" si="59"/>
        <v>0</v>
      </c>
      <c r="N84" s="33">
        <f t="shared" si="45"/>
        <v>0</v>
      </c>
      <c r="O84" s="34">
        <f t="shared" si="46"/>
        <v>0</v>
      </c>
      <c r="P84" s="55">
        <v>79</v>
      </c>
      <c r="Q84" s="33">
        <f t="shared" si="54"/>
        <v>0</v>
      </c>
      <c r="R84" s="33">
        <f t="shared" si="60"/>
        <v>0</v>
      </c>
      <c r="S84" s="33">
        <f t="shared" si="61"/>
        <v>0</v>
      </c>
      <c r="T84" s="33">
        <f t="shared" si="47"/>
        <v>0</v>
      </c>
      <c r="U84" s="33">
        <f t="shared" si="55"/>
        <v>0</v>
      </c>
      <c r="V84" s="33">
        <f t="shared" si="48"/>
        <v>0</v>
      </c>
      <c r="W84" s="33">
        <v>0</v>
      </c>
      <c r="X84" s="33">
        <f t="shared" si="49"/>
        <v>0</v>
      </c>
      <c r="Y84" s="38">
        <f t="shared" si="50"/>
        <v>0</v>
      </c>
      <c r="AA84" s="71">
        <v>79</v>
      </c>
      <c r="AB84" s="33">
        <f t="shared" si="51"/>
        <v>0</v>
      </c>
      <c r="AC84" s="305">
        <f t="shared" si="39"/>
        <v>0</v>
      </c>
      <c r="AD84" s="100">
        <f t="shared" si="52"/>
        <v>0</v>
      </c>
      <c r="AE84" s="100">
        <f t="shared" si="53"/>
        <v>0</v>
      </c>
      <c r="AF84" s="194">
        <f t="shared" si="34"/>
        <v>0</v>
      </c>
      <c r="AG84" s="194">
        <f t="shared" si="35"/>
        <v>0</v>
      </c>
      <c r="AH84" s="194">
        <f t="shared" si="36"/>
        <v>0</v>
      </c>
      <c r="AI84" s="199">
        <f t="shared" si="37"/>
        <v>0</v>
      </c>
      <c r="AK84" s="71">
        <v>79</v>
      </c>
      <c r="AL84" s="33"/>
      <c r="AM84" s="33"/>
      <c r="AN84" s="33"/>
      <c r="AO84" s="33"/>
      <c r="AP84" s="33"/>
      <c r="AQ84" s="194"/>
      <c r="AR84" s="194"/>
      <c r="AS84" s="194"/>
      <c r="AT84" s="194"/>
      <c r="AU84" s="33"/>
      <c r="AV84" s="33"/>
      <c r="AW84" s="33"/>
      <c r="AX84" s="33"/>
      <c r="AY84" s="76"/>
    </row>
    <row r="85" spans="2:51" x14ac:dyDescent="0.3">
      <c r="B85" s="172" t="str">
        <f>IF(C31&lt;=$F$18,C31+1,"-")</f>
        <v>-</v>
      </c>
      <c r="C85" s="148">
        <f>D31-D32</f>
        <v>23.400000000000006</v>
      </c>
      <c r="D85" s="149"/>
      <c r="E85" s="129">
        <f t="shared" si="63"/>
        <v>0</v>
      </c>
      <c r="F85" s="129">
        <f t="shared" si="64"/>
        <v>0</v>
      </c>
      <c r="G85" s="150">
        <f t="shared" si="65"/>
        <v>1</v>
      </c>
      <c r="H85" s="58">
        <f t="shared" si="62"/>
        <v>0</v>
      </c>
      <c r="I85" s="55">
        <v>80</v>
      </c>
      <c r="J85" s="33">
        <f t="shared" si="56"/>
        <v>0</v>
      </c>
      <c r="K85" s="33">
        <f t="shared" si="57"/>
        <v>0</v>
      </c>
      <c r="L85" s="33">
        <f t="shared" si="58"/>
        <v>0</v>
      </c>
      <c r="M85" s="33">
        <f t="shared" si="59"/>
        <v>0</v>
      </c>
      <c r="N85" s="33">
        <f t="shared" si="45"/>
        <v>0</v>
      </c>
      <c r="O85" s="34">
        <f t="shared" si="46"/>
        <v>0</v>
      </c>
      <c r="P85" s="55">
        <v>80</v>
      </c>
      <c r="Q85" s="33">
        <f t="shared" si="54"/>
        <v>0</v>
      </c>
      <c r="R85" s="33">
        <f t="shared" si="60"/>
        <v>0</v>
      </c>
      <c r="S85" s="33">
        <f t="shared" si="61"/>
        <v>0</v>
      </c>
      <c r="T85" s="33">
        <f t="shared" si="47"/>
        <v>0</v>
      </c>
      <c r="U85" s="33">
        <f t="shared" si="55"/>
        <v>0</v>
      </c>
      <c r="V85" s="33">
        <f t="shared" si="48"/>
        <v>0</v>
      </c>
      <c r="W85" s="33">
        <v>0</v>
      </c>
      <c r="X85" s="33">
        <f t="shared" si="49"/>
        <v>0</v>
      </c>
      <c r="Y85" s="38">
        <f t="shared" si="50"/>
        <v>0</v>
      </c>
      <c r="AA85" s="71">
        <v>80</v>
      </c>
      <c r="AB85" s="33">
        <f t="shared" si="51"/>
        <v>0</v>
      </c>
      <c r="AC85" s="305">
        <f t="shared" si="39"/>
        <v>0</v>
      </c>
      <c r="AD85" s="100">
        <f t="shared" si="52"/>
        <v>0</v>
      </c>
      <c r="AE85" s="100">
        <f t="shared" si="53"/>
        <v>0</v>
      </c>
      <c r="AF85" s="194">
        <f t="shared" si="34"/>
        <v>0</v>
      </c>
      <c r="AG85" s="194">
        <f t="shared" si="35"/>
        <v>0</v>
      </c>
      <c r="AH85" s="194">
        <f t="shared" si="36"/>
        <v>0</v>
      </c>
      <c r="AI85" s="199">
        <f t="shared" si="37"/>
        <v>0</v>
      </c>
      <c r="AK85" s="71">
        <v>80</v>
      </c>
      <c r="AL85" s="33"/>
      <c r="AM85" s="33"/>
      <c r="AN85" s="33"/>
      <c r="AO85" s="33"/>
      <c r="AP85" s="33"/>
      <c r="AQ85" s="194"/>
      <c r="AR85" s="194"/>
      <c r="AS85" s="194"/>
      <c r="AT85" s="194"/>
      <c r="AU85" s="33"/>
      <c r="AV85" s="33"/>
      <c r="AW85" s="33"/>
      <c r="AX85" s="33"/>
      <c r="AY85" s="76"/>
    </row>
    <row r="86" spans="2:51" x14ac:dyDescent="0.3">
      <c r="B86" s="172" t="str">
        <f>IF(C33&lt;=$F$18,C33+1,"-")</f>
        <v>-</v>
      </c>
      <c r="C86" s="148">
        <f>D33-D34</f>
        <v>20.400000000000006</v>
      </c>
      <c r="D86" s="149">
        <v>0</v>
      </c>
      <c r="E86" s="129">
        <f t="shared" si="63"/>
        <v>0</v>
      </c>
      <c r="F86" s="129">
        <f t="shared" si="64"/>
        <v>0</v>
      </c>
      <c r="G86" s="150">
        <f t="shared" si="65"/>
        <v>1</v>
      </c>
      <c r="H86" s="58">
        <f t="shared" si="62"/>
        <v>0</v>
      </c>
      <c r="I86" s="55">
        <v>81</v>
      </c>
      <c r="J86" s="33">
        <f t="shared" si="56"/>
        <v>0</v>
      </c>
      <c r="K86" s="33">
        <f t="shared" si="57"/>
        <v>0</v>
      </c>
      <c r="L86" s="33">
        <f t="shared" si="58"/>
        <v>0</v>
      </c>
      <c r="M86" s="33">
        <f t="shared" si="59"/>
        <v>0</v>
      </c>
      <c r="N86" s="33">
        <f t="shared" si="45"/>
        <v>0</v>
      </c>
      <c r="O86" s="34">
        <f t="shared" si="46"/>
        <v>0</v>
      </c>
      <c r="P86" s="55">
        <v>81</v>
      </c>
      <c r="Q86" s="33">
        <f t="shared" si="54"/>
        <v>0</v>
      </c>
      <c r="R86" s="33">
        <f t="shared" si="60"/>
        <v>0</v>
      </c>
      <c r="S86" s="33">
        <f t="shared" si="61"/>
        <v>0</v>
      </c>
      <c r="T86" s="33">
        <f t="shared" si="47"/>
        <v>0</v>
      </c>
      <c r="U86" s="33">
        <f t="shared" si="55"/>
        <v>0</v>
      </c>
      <c r="V86" s="33">
        <f t="shared" si="48"/>
        <v>0</v>
      </c>
      <c r="W86" s="33">
        <v>0</v>
      </c>
      <c r="X86" s="33">
        <f t="shared" si="49"/>
        <v>0</v>
      </c>
      <c r="Y86" s="38">
        <f t="shared" si="50"/>
        <v>0</v>
      </c>
      <c r="AA86" s="71">
        <v>81</v>
      </c>
      <c r="AB86" s="33">
        <f t="shared" si="51"/>
        <v>0</v>
      </c>
      <c r="AC86" s="305">
        <f t="shared" si="39"/>
        <v>0</v>
      </c>
      <c r="AD86" s="100">
        <f t="shared" si="52"/>
        <v>0</v>
      </c>
      <c r="AE86" s="100">
        <f t="shared" si="53"/>
        <v>0</v>
      </c>
      <c r="AF86" s="194">
        <f t="shared" si="34"/>
        <v>0</v>
      </c>
      <c r="AG86" s="194">
        <f t="shared" si="35"/>
        <v>0</v>
      </c>
      <c r="AH86" s="194">
        <f t="shared" si="36"/>
        <v>0</v>
      </c>
      <c r="AI86" s="199">
        <f t="shared" si="37"/>
        <v>0</v>
      </c>
      <c r="AK86" s="71">
        <v>81</v>
      </c>
      <c r="AL86" s="33"/>
      <c r="AM86" s="33"/>
      <c r="AN86" s="33"/>
      <c r="AO86" s="33"/>
      <c r="AP86" s="33"/>
      <c r="AQ86" s="194"/>
      <c r="AR86" s="194"/>
      <c r="AS86" s="194"/>
      <c r="AT86" s="194"/>
      <c r="AU86" s="33"/>
      <c r="AV86" s="33"/>
      <c r="AW86" s="33"/>
      <c r="AX86" s="33"/>
      <c r="AY86" s="76"/>
    </row>
    <row r="87" spans="2:51" x14ac:dyDescent="0.3">
      <c r="B87" s="172" t="str">
        <f>IF(C35&lt;=$F$18,C35+1,"-")</f>
        <v>-</v>
      </c>
      <c r="C87" s="148">
        <f>D35-D36</f>
        <v>18.199999999999989</v>
      </c>
      <c r="D87" s="149">
        <v>0.2</v>
      </c>
      <c r="E87" s="129">
        <f t="shared" si="63"/>
        <v>0</v>
      </c>
      <c r="F87" s="129">
        <f t="shared" si="64"/>
        <v>0</v>
      </c>
      <c r="G87" s="150">
        <f t="shared" si="65"/>
        <v>0.8</v>
      </c>
      <c r="H87" s="58">
        <f t="shared" si="62"/>
        <v>0</v>
      </c>
      <c r="I87" s="55">
        <v>82</v>
      </c>
      <c r="J87" s="33">
        <f t="shared" si="56"/>
        <v>0</v>
      </c>
      <c r="K87" s="33">
        <f t="shared" si="57"/>
        <v>0</v>
      </c>
      <c r="L87" s="33">
        <f t="shared" si="58"/>
        <v>0</v>
      </c>
      <c r="M87" s="33">
        <f t="shared" si="59"/>
        <v>0</v>
      </c>
      <c r="N87" s="33">
        <f t="shared" si="45"/>
        <v>0</v>
      </c>
      <c r="O87" s="34">
        <f t="shared" si="46"/>
        <v>0</v>
      </c>
      <c r="P87" s="55">
        <v>82</v>
      </c>
      <c r="Q87" s="33">
        <f t="shared" si="54"/>
        <v>0</v>
      </c>
      <c r="R87" s="33">
        <f t="shared" si="60"/>
        <v>0</v>
      </c>
      <c r="S87" s="33">
        <f t="shared" si="61"/>
        <v>0</v>
      </c>
      <c r="T87" s="33">
        <f t="shared" si="47"/>
        <v>0</v>
      </c>
      <c r="U87" s="33">
        <f t="shared" si="55"/>
        <v>0</v>
      </c>
      <c r="V87" s="33">
        <f t="shared" si="48"/>
        <v>0</v>
      </c>
      <c r="W87" s="33">
        <v>0</v>
      </c>
      <c r="X87" s="33">
        <f t="shared" si="49"/>
        <v>0</v>
      </c>
      <c r="Y87" s="38">
        <f t="shared" si="50"/>
        <v>0</v>
      </c>
      <c r="AA87" s="71">
        <v>82</v>
      </c>
      <c r="AB87" s="33">
        <f t="shared" si="51"/>
        <v>0</v>
      </c>
      <c r="AC87" s="305">
        <f t="shared" si="39"/>
        <v>0</v>
      </c>
      <c r="AD87" s="100">
        <f t="shared" si="52"/>
        <v>0</v>
      </c>
      <c r="AE87" s="100">
        <f t="shared" si="53"/>
        <v>0</v>
      </c>
      <c r="AF87" s="194">
        <f t="shared" si="34"/>
        <v>0</v>
      </c>
      <c r="AG87" s="194">
        <f t="shared" si="35"/>
        <v>0</v>
      </c>
      <c r="AH87" s="194">
        <f t="shared" si="36"/>
        <v>0</v>
      </c>
      <c r="AI87" s="199">
        <f t="shared" si="37"/>
        <v>0</v>
      </c>
      <c r="AK87" s="71">
        <v>82</v>
      </c>
      <c r="AL87" s="33"/>
      <c r="AM87" s="33"/>
      <c r="AN87" s="33"/>
      <c r="AO87" s="33"/>
      <c r="AP87" s="33"/>
      <c r="AQ87" s="194"/>
      <c r="AR87" s="194"/>
      <c r="AS87" s="194"/>
      <c r="AT87" s="194"/>
      <c r="AU87" s="33"/>
      <c r="AV87" s="33"/>
      <c r="AW87" s="33"/>
      <c r="AX87" s="33"/>
      <c r="AY87" s="76"/>
    </row>
    <row r="88" spans="2:51" x14ac:dyDescent="0.3">
      <c r="B88" s="172" t="str">
        <f>IF(C37&lt;=$F$18,C37+1,"-")</f>
        <v>-</v>
      </c>
      <c r="C88" s="148">
        <f>D37-D38</f>
        <v>16.100000000000023</v>
      </c>
      <c r="D88" s="149">
        <v>0.3</v>
      </c>
      <c r="E88" s="129">
        <f t="shared" si="63"/>
        <v>0</v>
      </c>
      <c r="F88" s="129">
        <f t="shared" si="64"/>
        <v>0</v>
      </c>
      <c r="G88" s="150">
        <f t="shared" si="65"/>
        <v>0.7</v>
      </c>
      <c r="H88" s="58">
        <f t="shared" si="62"/>
        <v>0</v>
      </c>
      <c r="I88" s="55">
        <v>83</v>
      </c>
      <c r="J88" s="33">
        <f t="shared" si="56"/>
        <v>0</v>
      </c>
      <c r="K88" s="33">
        <f t="shared" si="57"/>
        <v>0</v>
      </c>
      <c r="L88" s="33">
        <f t="shared" si="58"/>
        <v>0</v>
      </c>
      <c r="M88" s="33">
        <f t="shared" si="59"/>
        <v>0</v>
      </c>
      <c r="N88" s="33">
        <f t="shared" si="45"/>
        <v>0</v>
      </c>
      <c r="O88" s="34">
        <f t="shared" si="46"/>
        <v>0</v>
      </c>
      <c r="P88" s="55">
        <v>83</v>
      </c>
      <c r="Q88" s="33">
        <f t="shared" si="54"/>
        <v>0</v>
      </c>
      <c r="R88" s="33">
        <f t="shared" si="60"/>
        <v>0</v>
      </c>
      <c r="S88" s="33">
        <f t="shared" si="61"/>
        <v>0</v>
      </c>
      <c r="T88" s="33">
        <f t="shared" si="47"/>
        <v>0</v>
      </c>
      <c r="U88" s="33">
        <f t="shared" si="55"/>
        <v>0</v>
      </c>
      <c r="V88" s="33">
        <f t="shared" si="48"/>
        <v>0</v>
      </c>
      <c r="W88" s="33">
        <v>0</v>
      </c>
      <c r="X88" s="33">
        <f t="shared" si="49"/>
        <v>0</v>
      </c>
      <c r="Y88" s="38">
        <f t="shared" si="50"/>
        <v>0</v>
      </c>
      <c r="AA88" s="71">
        <v>83</v>
      </c>
      <c r="AB88" s="33">
        <f t="shared" si="51"/>
        <v>0</v>
      </c>
      <c r="AC88" s="305">
        <f t="shared" si="39"/>
        <v>0</v>
      </c>
      <c r="AD88" s="100">
        <f t="shared" si="52"/>
        <v>0</v>
      </c>
      <c r="AE88" s="100">
        <f t="shared" si="53"/>
        <v>0</v>
      </c>
      <c r="AF88" s="194">
        <f t="shared" si="34"/>
        <v>0</v>
      </c>
      <c r="AG88" s="194">
        <f t="shared" si="35"/>
        <v>0</v>
      </c>
      <c r="AH88" s="194">
        <f t="shared" si="36"/>
        <v>0</v>
      </c>
      <c r="AI88" s="199">
        <f t="shared" si="37"/>
        <v>0</v>
      </c>
      <c r="AK88" s="71">
        <v>83</v>
      </c>
      <c r="AL88" s="33"/>
      <c r="AM88" s="33"/>
      <c r="AN88" s="33"/>
      <c r="AO88" s="33"/>
      <c r="AP88" s="33"/>
      <c r="AQ88" s="194"/>
      <c r="AR88" s="194"/>
      <c r="AS88" s="194"/>
      <c r="AT88" s="194"/>
      <c r="AU88" s="33"/>
      <c r="AV88" s="33"/>
      <c r="AW88" s="33"/>
      <c r="AX88" s="33"/>
      <c r="AY88" s="76"/>
    </row>
    <row r="89" spans="2:51" x14ac:dyDescent="0.3">
      <c r="B89" s="172" t="str">
        <f>IF(C39&lt;=$F$18,C39+1,"-")</f>
        <v>-</v>
      </c>
      <c r="C89" s="148">
        <f>D39-D40</f>
        <v>14.399999999999977</v>
      </c>
      <c r="D89" s="149">
        <v>0.4</v>
      </c>
      <c r="E89" s="129">
        <f t="shared" si="63"/>
        <v>0</v>
      </c>
      <c r="F89" s="129">
        <f t="shared" si="64"/>
        <v>0</v>
      </c>
      <c r="G89" s="150">
        <f t="shared" si="65"/>
        <v>0.6</v>
      </c>
      <c r="H89" s="58">
        <f t="shared" si="62"/>
        <v>0</v>
      </c>
      <c r="I89" s="55">
        <v>84</v>
      </c>
      <c r="J89" s="33">
        <f t="shared" si="56"/>
        <v>0</v>
      </c>
      <c r="K89" s="33">
        <f t="shared" si="57"/>
        <v>0</v>
      </c>
      <c r="L89" s="33">
        <f t="shared" si="58"/>
        <v>0</v>
      </c>
      <c r="M89" s="33">
        <f t="shared" si="59"/>
        <v>0</v>
      </c>
      <c r="N89" s="33">
        <f t="shared" si="45"/>
        <v>0</v>
      </c>
      <c r="O89" s="34">
        <f t="shared" si="46"/>
        <v>0</v>
      </c>
      <c r="P89" s="55">
        <v>84</v>
      </c>
      <c r="Q89" s="33">
        <f t="shared" si="54"/>
        <v>0</v>
      </c>
      <c r="R89" s="33">
        <f t="shared" si="60"/>
        <v>0</v>
      </c>
      <c r="S89" s="33">
        <f t="shared" si="61"/>
        <v>0</v>
      </c>
      <c r="T89" s="33">
        <f t="shared" si="47"/>
        <v>0</v>
      </c>
      <c r="U89" s="33">
        <f t="shared" si="55"/>
        <v>0</v>
      </c>
      <c r="V89" s="33">
        <f t="shared" si="48"/>
        <v>0</v>
      </c>
      <c r="W89" s="33">
        <v>0</v>
      </c>
      <c r="X89" s="33">
        <f t="shared" si="49"/>
        <v>0</v>
      </c>
      <c r="Y89" s="38">
        <f t="shared" si="50"/>
        <v>0</v>
      </c>
      <c r="AA89" s="71">
        <v>84</v>
      </c>
      <c r="AB89" s="33">
        <f t="shared" si="51"/>
        <v>0</v>
      </c>
      <c r="AC89" s="305">
        <f t="shared" si="39"/>
        <v>0</v>
      </c>
      <c r="AD89" s="100">
        <f t="shared" si="52"/>
        <v>0</v>
      </c>
      <c r="AE89" s="100">
        <f t="shared" si="53"/>
        <v>0</v>
      </c>
      <c r="AF89" s="194">
        <f t="shared" si="34"/>
        <v>0</v>
      </c>
      <c r="AG89" s="194">
        <f t="shared" si="35"/>
        <v>0</v>
      </c>
      <c r="AH89" s="194">
        <f t="shared" si="36"/>
        <v>0</v>
      </c>
      <c r="AI89" s="199">
        <f t="shared" si="37"/>
        <v>0</v>
      </c>
      <c r="AK89" s="71">
        <v>84</v>
      </c>
      <c r="AL89" s="33"/>
      <c r="AM89" s="33"/>
      <c r="AN89" s="33"/>
      <c r="AO89" s="33"/>
      <c r="AP89" s="33"/>
      <c r="AQ89" s="194"/>
      <c r="AR89" s="194"/>
      <c r="AS89" s="194"/>
      <c r="AT89" s="194"/>
      <c r="AU89" s="33"/>
      <c r="AV89" s="33"/>
      <c r="AW89" s="33"/>
      <c r="AX89" s="33"/>
      <c r="AY89" s="76"/>
    </row>
    <row r="90" spans="2:51" x14ac:dyDescent="0.3">
      <c r="B90" s="172" t="str">
        <f>IF(C41&lt;=$F$18,C41+1,"-")</f>
        <v>-</v>
      </c>
      <c r="C90" s="148">
        <f>D41-D42</f>
        <v>12.899999999999977</v>
      </c>
      <c r="D90" s="149">
        <v>0.5</v>
      </c>
      <c r="E90" s="129">
        <f t="shared" si="63"/>
        <v>0</v>
      </c>
      <c r="F90" s="129">
        <f t="shared" si="64"/>
        <v>0</v>
      </c>
      <c r="G90" s="150">
        <f t="shared" si="65"/>
        <v>0.5</v>
      </c>
      <c r="H90" s="58">
        <f t="shared" si="62"/>
        <v>0</v>
      </c>
      <c r="I90" s="55">
        <v>85</v>
      </c>
      <c r="J90" s="33">
        <f t="shared" si="56"/>
        <v>0</v>
      </c>
      <c r="K90" s="33">
        <f t="shared" si="57"/>
        <v>0</v>
      </c>
      <c r="L90" s="33">
        <f t="shared" si="58"/>
        <v>0</v>
      </c>
      <c r="M90" s="33">
        <f t="shared" si="59"/>
        <v>0</v>
      </c>
      <c r="N90" s="33">
        <f t="shared" si="45"/>
        <v>0</v>
      </c>
      <c r="O90" s="34">
        <f t="shared" si="46"/>
        <v>0</v>
      </c>
      <c r="P90" s="55">
        <v>85</v>
      </c>
      <c r="Q90" s="33">
        <f t="shared" si="54"/>
        <v>0</v>
      </c>
      <c r="R90" s="33">
        <f t="shared" si="60"/>
        <v>0</v>
      </c>
      <c r="S90" s="33">
        <f t="shared" si="61"/>
        <v>0</v>
      </c>
      <c r="T90" s="33">
        <f t="shared" si="47"/>
        <v>0</v>
      </c>
      <c r="U90" s="33">
        <f t="shared" si="55"/>
        <v>0</v>
      </c>
      <c r="V90" s="33">
        <f t="shared" si="48"/>
        <v>0</v>
      </c>
      <c r="W90" s="33">
        <v>0</v>
      </c>
      <c r="X90" s="33">
        <f t="shared" si="49"/>
        <v>0</v>
      </c>
      <c r="Y90" s="38">
        <f t="shared" si="50"/>
        <v>0</v>
      </c>
      <c r="AA90" s="71">
        <v>85</v>
      </c>
      <c r="AB90" s="33">
        <f t="shared" si="51"/>
        <v>0</v>
      </c>
      <c r="AC90" s="305">
        <f t="shared" si="39"/>
        <v>0</v>
      </c>
      <c r="AD90" s="100">
        <f t="shared" si="52"/>
        <v>0</v>
      </c>
      <c r="AE90" s="100">
        <f t="shared" si="53"/>
        <v>0</v>
      </c>
      <c r="AF90" s="194">
        <f t="shared" si="34"/>
        <v>0</v>
      </c>
      <c r="AG90" s="194">
        <f t="shared" si="35"/>
        <v>0</v>
      </c>
      <c r="AH90" s="194">
        <f t="shared" si="36"/>
        <v>0</v>
      </c>
      <c r="AI90" s="199">
        <f t="shared" si="37"/>
        <v>0</v>
      </c>
      <c r="AK90" s="71">
        <v>85</v>
      </c>
      <c r="AL90" s="33"/>
      <c r="AM90" s="33"/>
      <c r="AN90" s="33"/>
      <c r="AO90" s="33"/>
      <c r="AP90" s="33"/>
      <c r="AQ90" s="194"/>
      <c r="AR90" s="194"/>
      <c r="AS90" s="194"/>
      <c r="AT90" s="194"/>
      <c r="AU90" s="33"/>
      <c r="AV90" s="33"/>
      <c r="AW90" s="33"/>
      <c r="AX90" s="33"/>
      <c r="AY90" s="76"/>
    </row>
    <row r="91" spans="2:51" x14ac:dyDescent="0.3">
      <c r="B91" s="172" t="str">
        <f>IF(C43&lt;=$F$18,C43+1,"-")</f>
        <v>-</v>
      </c>
      <c r="C91" s="148">
        <f>D43-D44</f>
        <v>11.5</v>
      </c>
      <c r="D91" s="149">
        <v>0.6</v>
      </c>
      <c r="E91" s="129">
        <f t="shared" si="63"/>
        <v>0</v>
      </c>
      <c r="F91" s="129">
        <f t="shared" si="64"/>
        <v>0</v>
      </c>
      <c r="G91" s="150">
        <f t="shared" si="65"/>
        <v>0.4</v>
      </c>
      <c r="H91" s="58">
        <f t="shared" si="62"/>
        <v>0</v>
      </c>
      <c r="I91" s="55">
        <v>86</v>
      </c>
      <c r="J91" s="33">
        <f t="shared" si="56"/>
        <v>0</v>
      </c>
      <c r="K91" s="33">
        <f t="shared" si="57"/>
        <v>0</v>
      </c>
      <c r="L91" s="33">
        <f t="shared" si="58"/>
        <v>0</v>
      </c>
      <c r="M91" s="33">
        <f t="shared" si="59"/>
        <v>0</v>
      </c>
      <c r="N91" s="33">
        <f t="shared" si="45"/>
        <v>0</v>
      </c>
      <c r="O91" s="34">
        <f t="shared" si="46"/>
        <v>0</v>
      </c>
      <c r="P91" s="55">
        <v>86</v>
      </c>
      <c r="Q91" s="33">
        <f t="shared" si="54"/>
        <v>0</v>
      </c>
      <c r="R91" s="33">
        <f t="shared" si="60"/>
        <v>0</v>
      </c>
      <c r="S91" s="33">
        <f t="shared" si="61"/>
        <v>0</v>
      </c>
      <c r="T91" s="33">
        <f t="shared" si="47"/>
        <v>0</v>
      </c>
      <c r="U91" s="33">
        <f t="shared" si="55"/>
        <v>0</v>
      </c>
      <c r="V91" s="33">
        <f t="shared" si="48"/>
        <v>0</v>
      </c>
      <c r="W91" s="33">
        <v>0</v>
      </c>
      <c r="X91" s="33">
        <f t="shared" si="49"/>
        <v>0</v>
      </c>
      <c r="Y91" s="38">
        <f t="shared" si="50"/>
        <v>0</v>
      </c>
      <c r="AA91" s="71">
        <v>86</v>
      </c>
      <c r="AB91" s="33">
        <f t="shared" si="51"/>
        <v>0</v>
      </c>
      <c r="AC91" s="305">
        <f t="shared" si="39"/>
        <v>0</v>
      </c>
      <c r="AD91" s="100">
        <f t="shared" si="52"/>
        <v>0</v>
      </c>
      <c r="AE91" s="100">
        <f t="shared" si="53"/>
        <v>0</v>
      </c>
      <c r="AF91" s="194">
        <f t="shared" ref="AF91:AF154" si="66">IF(OR(AA91&lt;=$F$18,AA91&lt;=30),EXP(-LN(2)/$D$104)*AF90+((1-EXP(-LN(2)/$D$104))/(LN(2)/$D$104))*$AB91*AC91*0.475*$F$19*44/12,)</f>
        <v>0</v>
      </c>
      <c r="AG91" s="194">
        <f t="shared" ref="AG91:AG154" si="67">IF(OR(AA91&lt;=$F$18,AA91&lt;=30),EXP(-LN(2)/$D$106)*AG90+((1-EXP(-LN(2)/$D$106))/(LN(2)/$D$106))*$AB91*AD91*0.475*$F$19*44/12,)</f>
        <v>0</v>
      </c>
      <c r="AH91" s="194">
        <f t="shared" ref="AH91:AH154" si="68">IF(OR(AA91&lt;=$F$18,AA91&lt;=30),EXP(-LN(2)/$D$105)*AH90+((1-EXP(-LN(2)/$D$105))/(LN(2)/$D$105))*$AB91*AE91*0.475*$F$19*44/12,)</f>
        <v>0</v>
      </c>
      <c r="AI91" s="199">
        <f t="shared" ref="AI91:AI154" si="69">IF(OR(AA91&lt;=$F$18,AA91&lt;=30),SUM(AF91:AH91),)</f>
        <v>0</v>
      </c>
      <c r="AK91" s="71">
        <v>86</v>
      </c>
      <c r="AL91" s="33"/>
      <c r="AM91" s="33"/>
      <c r="AN91" s="33"/>
      <c r="AO91" s="33"/>
      <c r="AP91" s="33"/>
      <c r="AQ91" s="194"/>
      <c r="AR91" s="194"/>
      <c r="AS91" s="194"/>
      <c r="AT91" s="194"/>
      <c r="AU91" s="33"/>
      <c r="AV91" s="33"/>
      <c r="AW91" s="33"/>
      <c r="AX91" s="33"/>
      <c r="AY91" s="76"/>
    </row>
    <row r="92" spans="2:51" x14ac:dyDescent="0.3">
      <c r="B92" s="172" t="str">
        <f>IF(C45&lt;=$F$18,C45+1,"-")</f>
        <v>-</v>
      </c>
      <c r="C92" s="148">
        <f>D45-D46</f>
        <v>10.5</v>
      </c>
      <c r="D92" s="149">
        <v>0.7</v>
      </c>
      <c r="E92" s="129">
        <f t="shared" si="63"/>
        <v>0</v>
      </c>
      <c r="F92" s="129">
        <f t="shared" si="64"/>
        <v>0</v>
      </c>
      <c r="G92" s="150">
        <f t="shared" si="65"/>
        <v>0.30000000000000004</v>
      </c>
      <c r="H92" s="58">
        <f t="shared" si="62"/>
        <v>0</v>
      </c>
      <c r="I92" s="55">
        <v>87</v>
      </c>
      <c r="J92" s="33">
        <f t="shared" si="56"/>
        <v>0</v>
      </c>
      <c r="K92" s="33">
        <f t="shared" si="57"/>
        <v>0</v>
      </c>
      <c r="L92" s="33">
        <f t="shared" si="58"/>
        <v>0</v>
      </c>
      <c r="M92" s="33">
        <f t="shared" si="59"/>
        <v>0</v>
      </c>
      <c r="N92" s="33">
        <f t="shared" si="45"/>
        <v>0</v>
      </c>
      <c r="O92" s="34">
        <f t="shared" si="46"/>
        <v>0</v>
      </c>
      <c r="P92" s="55">
        <v>87</v>
      </c>
      <c r="Q92" s="33">
        <f t="shared" si="54"/>
        <v>0</v>
      </c>
      <c r="R92" s="33">
        <f t="shared" si="60"/>
        <v>0</v>
      </c>
      <c r="S92" s="33">
        <f t="shared" si="61"/>
        <v>0</v>
      </c>
      <c r="T92" s="33">
        <f t="shared" si="47"/>
        <v>0</v>
      </c>
      <c r="U92" s="33">
        <f t="shared" si="55"/>
        <v>0</v>
      </c>
      <c r="V92" s="33">
        <f t="shared" si="48"/>
        <v>0</v>
      </c>
      <c r="W92" s="33">
        <v>0</v>
      </c>
      <c r="X92" s="33">
        <f t="shared" si="49"/>
        <v>0</v>
      </c>
      <c r="Y92" s="38">
        <f t="shared" si="50"/>
        <v>0</v>
      </c>
      <c r="AA92" s="71">
        <v>87</v>
      </c>
      <c r="AB92" s="33">
        <f t="shared" si="51"/>
        <v>0</v>
      </c>
      <c r="AC92" s="305">
        <f t="shared" si="39"/>
        <v>0</v>
      </c>
      <c r="AD92" s="100">
        <f t="shared" si="52"/>
        <v>0</v>
      </c>
      <c r="AE92" s="100">
        <f t="shared" si="53"/>
        <v>0</v>
      </c>
      <c r="AF92" s="194">
        <f t="shared" si="66"/>
        <v>0</v>
      </c>
      <c r="AG92" s="194">
        <f t="shared" si="67"/>
        <v>0</v>
      </c>
      <c r="AH92" s="194">
        <f t="shared" si="68"/>
        <v>0</v>
      </c>
      <c r="AI92" s="199">
        <f t="shared" si="69"/>
        <v>0</v>
      </c>
      <c r="AK92" s="71">
        <v>87</v>
      </c>
      <c r="AL92" s="33"/>
      <c r="AM92" s="33"/>
      <c r="AN92" s="33"/>
      <c r="AO92" s="33"/>
      <c r="AP92" s="33"/>
      <c r="AQ92" s="194"/>
      <c r="AR92" s="194"/>
      <c r="AS92" s="194"/>
      <c r="AT92" s="194"/>
      <c r="AU92" s="33"/>
      <c r="AV92" s="33"/>
      <c r="AW92" s="33"/>
      <c r="AX92" s="33"/>
      <c r="AY92" s="76"/>
    </row>
    <row r="93" spans="2:51" x14ac:dyDescent="0.3">
      <c r="B93" s="172" t="str">
        <f>IF(C47&lt;=$F$18,C47+1,"-")</f>
        <v>-</v>
      </c>
      <c r="C93" s="148">
        <f>D47-D48</f>
        <v>9.3999999999999773</v>
      </c>
      <c r="D93" s="149">
        <v>0.8</v>
      </c>
      <c r="E93" s="129">
        <f t="shared" si="63"/>
        <v>0</v>
      </c>
      <c r="F93" s="129">
        <f t="shared" si="64"/>
        <v>0</v>
      </c>
      <c r="G93" s="150">
        <f t="shared" si="65"/>
        <v>0.19999999999999996</v>
      </c>
      <c r="H93" s="58">
        <f t="shared" si="62"/>
        <v>0</v>
      </c>
      <c r="I93" s="55">
        <v>88</v>
      </c>
      <c r="J93" s="33">
        <f t="shared" si="56"/>
        <v>0</v>
      </c>
      <c r="K93" s="33">
        <f t="shared" si="57"/>
        <v>0</v>
      </c>
      <c r="L93" s="33">
        <f t="shared" si="58"/>
        <v>0</v>
      </c>
      <c r="M93" s="33">
        <f t="shared" si="59"/>
        <v>0</v>
      </c>
      <c r="N93" s="33">
        <f t="shared" si="45"/>
        <v>0</v>
      </c>
      <c r="O93" s="34">
        <f t="shared" si="46"/>
        <v>0</v>
      </c>
      <c r="P93" s="55">
        <v>88</v>
      </c>
      <c r="Q93" s="33">
        <f t="shared" si="54"/>
        <v>0</v>
      </c>
      <c r="R93" s="33">
        <f t="shared" si="60"/>
        <v>0</v>
      </c>
      <c r="S93" s="33">
        <f t="shared" si="61"/>
        <v>0</v>
      </c>
      <c r="T93" s="33">
        <f t="shared" si="47"/>
        <v>0</v>
      </c>
      <c r="U93" s="33">
        <f t="shared" si="55"/>
        <v>0</v>
      </c>
      <c r="V93" s="33">
        <f t="shared" si="48"/>
        <v>0</v>
      </c>
      <c r="W93" s="33">
        <v>0</v>
      </c>
      <c r="X93" s="33">
        <f t="shared" si="49"/>
        <v>0</v>
      </c>
      <c r="Y93" s="38">
        <f t="shared" si="50"/>
        <v>0</v>
      </c>
      <c r="AA93" s="71">
        <v>88</v>
      </c>
      <c r="AB93" s="33">
        <f t="shared" si="51"/>
        <v>0</v>
      </c>
      <c r="AC93" s="305">
        <f t="shared" si="39"/>
        <v>0</v>
      </c>
      <c r="AD93" s="100">
        <f t="shared" si="52"/>
        <v>0</v>
      </c>
      <c r="AE93" s="100">
        <f t="shared" si="53"/>
        <v>0</v>
      </c>
      <c r="AF93" s="194">
        <f t="shared" si="66"/>
        <v>0</v>
      </c>
      <c r="AG93" s="194">
        <f t="shared" si="67"/>
        <v>0</v>
      </c>
      <c r="AH93" s="194">
        <f t="shared" si="68"/>
        <v>0</v>
      </c>
      <c r="AI93" s="199">
        <f t="shared" si="69"/>
        <v>0</v>
      </c>
      <c r="AK93" s="71">
        <v>88</v>
      </c>
      <c r="AL93" s="33"/>
      <c r="AM93" s="33"/>
      <c r="AN93" s="33"/>
      <c r="AO93" s="33"/>
      <c r="AP93" s="33"/>
      <c r="AQ93" s="194"/>
      <c r="AR93" s="194"/>
      <c r="AS93" s="194"/>
      <c r="AT93" s="194"/>
      <c r="AU93" s="33"/>
      <c r="AV93" s="33"/>
      <c r="AW93" s="33"/>
      <c r="AX93" s="33"/>
      <c r="AY93" s="76"/>
    </row>
    <row r="94" spans="2:51" x14ac:dyDescent="0.3">
      <c r="B94" s="184">
        <f>F18</f>
        <v>0</v>
      </c>
      <c r="C94" s="181">
        <f>IFERROR(VLOOKUP(B94,C25:D78,2),)</f>
        <v>0</v>
      </c>
      <c r="D94" s="182">
        <v>0.95</v>
      </c>
      <c r="E94" s="183">
        <f t="shared" si="63"/>
        <v>0</v>
      </c>
      <c r="F94" s="183">
        <f t="shared" si="64"/>
        <v>0</v>
      </c>
      <c r="G94" s="151">
        <f t="shared" si="65"/>
        <v>5.0000000000000044E-2</v>
      </c>
      <c r="H94" s="58">
        <f t="shared" si="62"/>
        <v>0</v>
      </c>
      <c r="I94" s="55">
        <v>89</v>
      </c>
      <c r="J94" s="33">
        <f t="shared" si="56"/>
        <v>0</v>
      </c>
      <c r="K94" s="33">
        <f t="shared" si="57"/>
        <v>0</v>
      </c>
      <c r="L94" s="33">
        <f t="shared" si="58"/>
        <v>0</v>
      </c>
      <c r="M94" s="33">
        <f t="shared" si="59"/>
        <v>0</v>
      </c>
      <c r="N94" s="33">
        <f t="shared" si="45"/>
        <v>0</v>
      </c>
      <c r="O94" s="34">
        <f t="shared" si="46"/>
        <v>0</v>
      </c>
      <c r="P94" s="55">
        <v>89</v>
      </c>
      <c r="Q94" s="33">
        <f t="shared" si="54"/>
        <v>0</v>
      </c>
      <c r="R94" s="33">
        <f t="shared" si="60"/>
        <v>0</v>
      </c>
      <c r="S94" s="33">
        <f t="shared" si="61"/>
        <v>0</v>
      </c>
      <c r="T94" s="33">
        <f t="shared" si="47"/>
        <v>0</v>
      </c>
      <c r="U94" s="33">
        <f t="shared" si="55"/>
        <v>0</v>
      </c>
      <c r="V94" s="33">
        <f t="shared" si="48"/>
        <v>0</v>
      </c>
      <c r="W94" s="33">
        <v>0</v>
      </c>
      <c r="X94" s="33">
        <f t="shared" si="49"/>
        <v>0</v>
      </c>
      <c r="Y94" s="38">
        <f t="shared" si="50"/>
        <v>0</v>
      </c>
      <c r="AA94" s="71">
        <v>89</v>
      </c>
      <c r="AB94" s="33">
        <f t="shared" si="51"/>
        <v>0</v>
      </c>
      <c r="AC94" s="305">
        <f t="shared" si="39"/>
        <v>0</v>
      </c>
      <c r="AD94" s="100">
        <f t="shared" si="52"/>
        <v>0</v>
      </c>
      <c r="AE94" s="100">
        <f t="shared" si="53"/>
        <v>0</v>
      </c>
      <c r="AF94" s="194">
        <f t="shared" si="66"/>
        <v>0</v>
      </c>
      <c r="AG94" s="194">
        <f t="shared" si="67"/>
        <v>0</v>
      </c>
      <c r="AH94" s="194">
        <f t="shared" si="68"/>
        <v>0</v>
      </c>
      <c r="AI94" s="199">
        <f t="shared" si="69"/>
        <v>0</v>
      </c>
      <c r="AK94" s="71">
        <v>89</v>
      </c>
      <c r="AL94" s="33"/>
      <c r="AM94" s="33"/>
      <c r="AN94" s="33"/>
      <c r="AO94" s="33"/>
      <c r="AP94" s="33"/>
      <c r="AQ94" s="194"/>
      <c r="AR94" s="194"/>
      <c r="AS94" s="194"/>
      <c r="AT94" s="194"/>
      <c r="AU94" s="33"/>
      <c r="AV94" s="33"/>
      <c r="AW94" s="33"/>
      <c r="AX94" s="33"/>
      <c r="AY94" s="76"/>
    </row>
    <row r="95" spans="2:51" x14ac:dyDescent="0.3">
      <c r="I95" s="55">
        <v>90</v>
      </c>
      <c r="J95" s="33">
        <f t="shared" si="56"/>
        <v>0</v>
      </c>
      <c r="K95" s="33">
        <f t="shared" si="57"/>
        <v>0</v>
      </c>
      <c r="L95" s="33">
        <f t="shared" si="58"/>
        <v>0</v>
      </c>
      <c r="M95" s="33">
        <f t="shared" si="59"/>
        <v>0</v>
      </c>
      <c r="N95" s="33">
        <f t="shared" si="45"/>
        <v>0</v>
      </c>
      <c r="O95" s="34">
        <f t="shared" si="46"/>
        <v>0</v>
      </c>
      <c r="P95" s="55">
        <v>90</v>
      </c>
      <c r="Q95" s="33">
        <f t="shared" si="54"/>
        <v>0</v>
      </c>
      <c r="R95" s="33">
        <f t="shared" si="60"/>
        <v>0</v>
      </c>
      <c r="S95" s="33">
        <f t="shared" si="61"/>
        <v>0</v>
      </c>
      <c r="T95" s="33">
        <f t="shared" si="47"/>
        <v>0</v>
      </c>
      <c r="U95" s="33">
        <f t="shared" si="55"/>
        <v>0</v>
      </c>
      <c r="V95" s="33">
        <f t="shared" si="48"/>
        <v>0</v>
      </c>
      <c r="W95" s="33">
        <v>0</v>
      </c>
      <c r="X95" s="33">
        <f t="shared" si="49"/>
        <v>0</v>
      </c>
      <c r="Y95" s="38">
        <f t="shared" si="50"/>
        <v>0</v>
      </c>
      <c r="AA95" s="71">
        <v>90</v>
      </c>
      <c r="AB95" s="33">
        <f t="shared" si="51"/>
        <v>0</v>
      </c>
      <c r="AC95" s="305">
        <f t="shared" ref="AC95:AC158" si="70">IF(AA95&lt;=$F$18,IFERROR(VLOOKUP($AA95,$B$82:$G$94,3,FALSE),0),)*50%</f>
        <v>0</v>
      </c>
      <c r="AD95" s="100">
        <f t="shared" si="52"/>
        <v>0</v>
      </c>
      <c r="AE95" s="100">
        <f t="shared" si="53"/>
        <v>0</v>
      </c>
      <c r="AF95" s="194">
        <f t="shared" si="66"/>
        <v>0</v>
      </c>
      <c r="AG95" s="194">
        <f t="shared" si="67"/>
        <v>0</v>
      </c>
      <c r="AH95" s="194">
        <f t="shared" si="68"/>
        <v>0</v>
      </c>
      <c r="AI95" s="199">
        <f t="shared" si="69"/>
        <v>0</v>
      </c>
      <c r="AK95" s="71">
        <v>90</v>
      </c>
      <c r="AL95" s="33"/>
      <c r="AM95" s="33"/>
      <c r="AN95" s="33"/>
      <c r="AO95" s="33"/>
      <c r="AP95" s="33"/>
      <c r="AQ95" s="194"/>
      <c r="AR95" s="194"/>
      <c r="AS95" s="194"/>
      <c r="AT95" s="194"/>
      <c r="AU95" s="33"/>
      <c r="AV95" s="33"/>
      <c r="AW95" s="33"/>
      <c r="AX95" s="33"/>
      <c r="AY95" s="76"/>
    </row>
    <row r="96" spans="2:51" x14ac:dyDescent="0.3">
      <c r="C96" s="67" t="s">
        <v>154</v>
      </c>
      <c r="D96" t="s">
        <v>137</v>
      </c>
      <c r="E96" s="6"/>
      <c r="I96" s="55">
        <v>91</v>
      </c>
      <c r="J96" s="33">
        <f t="shared" si="56"/>
        <v>0</v>
      </c>
      <c r="K96" s="33">
        <f t="shared" si="57"/>
        <v>0</v>
      </c>
      <c r="L96" s="33">
        <f t="shared" si="58"/>
        <v>0</v>
      </c>
      <c r="M96" s="33">
        <f t="shared" si="59"/>
        <v>0</v>
      </c>
      <c r="N96" s="33">
        <f t="shared" si="45"/>
        <v>0</v>
      </c>
      <c r="O96" s="34">
        <f t="shared" si="46"/>
        <v>0</v>
      </c>
      <c r="P96" s="55">
        <v>91</v>
      </c>
      <c r="Q96" s="33">
        <f t="shared" si="54"/>
        <v>0</v>
      </c>
      <c r="R96" s="33">
        <f t="shared" si="60"/>
        <v>0</v>
      </c>
      <c r="S96" s="33">
        <f t="shared" si="61"/>
        <v>0</v>
      </c>
      <c r="T96" s="33">
        <f t="shared" si="47"/>
        <v>0</v>
      </c>
      <c r="U96" s="33">
        <f t="shared" si="55"/>
        <v>0</v>
      </c>
      <c r="V96" s="33">
        <f t="shared" si="48"/>
        <v>0</v>
      </c>
      <c r="W96" s="33">
        <v>0</v>
      </c>
      <c r="X96" s="33">
        <f t="shared" si="49"/>
        <v>0</v>
      </c>
      <c r="Y96" s="38">
        <f t="shared" si="50"/>
        <v>0</v>
      </c>
      <c r="AA96" s="71">
        <v>91</v>
      </c>
      <c r="AB96" s="33">
        <f t="shared" si="51"/>
        <v>0</v>
      </c>
      <c r="AC96" s="305">
        <f t="shared" si="70"/>
        <v>0</v>
      </c>
      <c r="AD96" s="100">
        <f t="shared" si="52"/>
        <v>0</v>
      </c>
      <c r="AE96" s="100">
        <f t="shared" si="53"/>
        <v>0</v>
      </c>
      <c r="AF96" s="194">
        <f t="shared" si="66"/>
        <v>0</v>
      </c>
      <c r="AG96" s="194">
        <f t="shared" si="67"/>
        <v>0</v>
      </c>
      <c r="AH96" s="194">
        <f t="shared" si="68"/>
        <v>0</v>
      </c>
      <c r="AI96" s="199">
        <f t="shared" si="69"/>
        <v>0</v>
      </c>
      <c r="AK96" s="71">
        <v>91</v>
      </c>
      <c r="AL96" s="33"/>
      <c r="AM96" s="33"/>
      <c r="AN96" s="33"/>
      <c r="AO96" s="33"/>
      <c r="AP96" s="33"/>
      <c r="AQ96" s="194"/>
      <c r="AR96" s="194"/>
      <c r="AS96" s="194"/>
      <c r="AT96" s="194"/>
      <c r="AU96" s="33"/>
      <c r="AV96" s="33"/>
      <c r="AW96" s="33"/>
      <c r="AX96" s="33"/>
      <c r="AY96" s="76"/>
    </row>
    <row r="97" spans="2:51" x14ac:dyDescent="0.3">
      <c r="B97" s="2" t="s">
        <v>0</v>
      </c>
      <c r="C97">
        <v>32</v>
      </c>
      <c r="D97">
        <v>0</v>
      </c>
      <c r="E97" s="6"/>
      <c r="I97" s="55">
        <v>92</v>
      </c>
      <c r="J97" s="33">
        <f t="shared" si="56"/>
        <v>0</v>
      </c>
      <c r="K97" s="33">
        <f t="shared" si="57"/>
        <v>0</v>
      </c>
      <c r="L97" s="33">
        <f t="shared" si="58"/>
        <v>0</v>
      </c>
      <c r="M97" s="33">
        <f t="shared" si="59"/>
        <v>0</v>
      </c>
      <c r="N97" s="33">
        <f t="shared" si="45"/>
        <v>0</v>
      </c>
      <c r="O97" s="34">
        <f t="shared" si="46"/>
        <v>0</v>
      </c>
      <c r="P97" s="55">
        <v>92</v>
      </c>
      <c r="Q97" s="33">
        <f t="shared" si="54"/>
        <v>0</v>
      </c>
      <c r="R97" s="33">
        <f t="shared" si="60"/>
        <v>0</v>
      </c>
      <c r="S97" s="33">
        <f t="shared" si="61"/>
        <v>0</v>
      </c>
      <c r="T97" s="33">
        <f t="shared" si="47"/>
        <v>0</v>
      </c>
      <c r="U97" s="33">
        <f t="shared" si="55"/>
        <v>0</v>
      </c>
      <c r="V97" s="33">
        <f t="shared" si="48"/>
        <v>0</v>
      </c>
      <c r="W97" s="33">
        <v>0</v>
      </c>
      <c r="X97" s="33">
        <f t="shared" si="49"/>
        <v>0</v>
      </c>
      <c r="Y97" s="38">
        <f t="shared" si="50"/>
        <v>0</v>
      </c>
      <c r="AA97" s="71">
        <v>92</v>
      </c>
      <c r="AB97" s="33">
        <f t="shared" si="51"/>
        <v>0</v>
      </c>
      <c r="AC97" s="305">
        <f t="shared" si="70"/>
        <v>0</v>
      </c>
      <c r="AD97" s="100">
        <f t="shared" si="52"/>
        <v>0</v>
      </c>
      <c r="AE97" s="100">
        <f t="shared" si="53"/>
        <v>0</v>
      </c>
      <c r="AF97" s="194">
        <f t="shared" si="66"/>
        <v>0</v>
      </c>
      <c r="AG97" s="194">
        <f t="shared" si="67"/>
        <v>0</v>
      </c>
      <c r="AH97" s="194">
        <f t="shared" si="68"/>
        <v>0</v>
      </c>
      <c r="AI97" s="199">
        <f t="shared" si="69"/>
        <v>0</v>
      </c>
      <c r="AK97" s="71">
        <v>92</v>
      </c>
      <c r="AL97" s="33"/>
      <c r="AM97" s="33"/>
      <c r="AN97" s="33"/>
      <c r="AO97" s="33"/>
      <c r="AP97" s="33"/>
      <c r="AQ97" s="194"/>
      <c r="AR97" s="194"/>
      <c r="AS97" s="194"/>
      <c r="AT97" s="194"/>
      <c r="AU97" s="33"/>
      <c r="AV97" s="33"/>
      <c r="AW97" s="33"/>
      <c r="AX97" s="33"/>
      <c r="AY97" s="76"/>
    </row>
    <row r="98" spans="2:51" x14ac:dyDescent="0.3">
      <c r="B98" s="2" t="s">
        <v>1</v>
      </c>
      <c r="C98">
        <v>45</v>
      </c>
      <c r="D98">
        <v>0</v>
      </c>
      <c r="E98" s="6"/>
      <c r="I98" s="55">
        <v>93</v>
      </c>
      <c r="J98" s="33">
        <f t="shared" si="56"/>
        <v>0</v>
      </c>
      <c r="K98" s="33">
        <f t="shared" si="57"/>
        <v>0</v>
      </c>
      <c r="L98" s="33">
        <f t="shared" si="58"/>
        <v>0</v>
      </c>
      <c r="M98" s="33">
        <f t="shared" si="59"/>
        <v>0</v>
      </c>
      <c r="N98" s="33">
        <f t="shared" si="45"/>
        <v>0</v>
      </c>
      <c r="O98" s="34">
        <f t="shared" si="46"/>
        <v>0</v>
      </c>
      <c r="P98" s="55">
        <v>93</v>
      </c>
      <c r="Q98" s="33">
        <f t="shared" si="54"/>
        <v>0</v>
      </c>
      <c r="R98" s="33">
        <f t="shared" si="60"/>
        <v>0</v>
      </c>
      <c r="S98" s="33">
        <f t="shared" si="61"/>
        <v>0</v>
      </c>
      <c r="T98" s="33">
        <f t="shared" si="47"/>
        <v>0</v>
      </c>
      <c r="U98" s="33">
        <f t="shared" si="55"/>
        <v>0</v>
      </c>
      <c r="V98" s="33">
        <f t="shared" si="48"/>
        <v>0</v>
      </c>
      <c r="W98" s="33">
        <v>0</v>
      </c>
      <c r="X98" s="33">
        <f t="shared" si="49"/>
        <v>0</v>
      </c>
      <c r="Y98" s="38">
        <f t="shared" si="50"/>
        <v>0</v>
      </c>
      <c r="AA98" s="71">
        <v>93</v>
      </c>
      <c r="AB98" s="33">
        <f t="shared" si="51"/>
        <v>0</v>
      </c>
      <c r="AC98" s="305">
        <f t="shared" si="70"/>
        <v>0</v>
      </c>
      <c r="AD98" s="100">
        <f t="shared" si="52"/>
        <v>0</v>
      </c>
      <c r="AE98" s="100">
        <f t="shared" si="53"/>
        <v>0</v>
      </c>
      <c r="AF98" s="194">
        <f t="shared" si="66"/>
        <v>0</v>
      </c>
      <c r="AG98" s="194">
        <f t="shared" si="67"/>
        <v>0</v>
      </c>
      <c r="AH98" s="194">
        <f t="shared" si="68"/>
        <v>0</v>
      </c>
      <c r="AI98" s="199">
        <f t="shared" si="69"/>
        <v>0</v>
      </c>
      <c r="AK98" s="71">
        <v>93</v>
      </c>
      <c r="AL98" s="33"/>
      <c r="AM98" s="33"/>
      <c r="AN98" s="33"/>
      <c r="AO98" s="33"/>
      <c r="AP98" s="33"/>
      <c r="AQ98" s="194"/>
      <c r="AR98" s="194"/>
      <c r="AS98" s="194"/>
      <c r="AT98" s="194"/>
      <c r="AU98" s="33"/>
      <c r="AV98" s="33"/>
      <c r="AW98" s="33"/>
      <c r="AX98" s="33"/>
      <c r="AY98" s="76"/>
    </row>
    <row r="99" spans="2:51" x14ac:dyDescent="0.3">
      <c r="B99" s="2" t="s">
        <v>2</v>
      </c>
      <c r="C99">
        <v>70</v>
      </c>
      <c r="D99">
        <v>0</v>
      </c>
      <c r="E99" s="6"/>
      <c r="I99" s="55">
        <v>94</v>
      </c>
      <c r="J99" s="33">
        <f t="shared" si="56"/>
        <v>0</v>
      </c>
      <c r="K99" s="33">
        <f t="shared" si="57"/>
        <v>0</v>
      </c>
      <c r="L99" s="33">
        <f t="shared" si="58"/>
        <v>0</v>
      </c>
      <c r="M99" s="33">
        <f t="shared" si="59"/>
        <v>0</v>
      </c>
      <c r="N99" s="33">
        <f t="shared" si="45"/>
        <v>0</v>
      </c>
      <c r="O99" s="34">
        <f t="shared" si="46"/>
        <v>0</v>
      </c>
      <c r="P99" s="55">
        <v>94</v>
      </c>
      <c r="Q99" s="33">
        <f t="shared" si="54"/>
        <v>0</v>
      </c>
      <c r="R99" s="33">
        <f t="shared" si="60"/>
        <v>0</v>
      </c>
      <c r="S99" s="33">
        <f t="shared" si="61"/>
        <v>0</v>
      </c>
      <c r="T99" s="33">
        <f t="shared" si="47"/>
        <v>0</v>
      </c>
      <c r="U99" s="33">
        <f t="shared" si="55"/>
        <v>0</v>
      </c>
      <c r="V99" s="33">
        <f t="shared" si="48"/>
        <v>0</v>
      </c>
      <c r="W99" s="33">
        <v>0</v>
      </c>
      <c r="X99" s="33">
        <f t="shared" si="49"/>
        <v>0</v>
      </c>
      <c r="Y99" s="38">
        <f t="shared" si="50"/>
        <v>0</v>
      </c>
      <c r="AA99" s="71">
        <v>94</v>
      </c>
      <c r="AB99" s="33">
        <f t="shared" si="51"/>
        <v>0</v>
      </c>
      <c r="AC99" s="305">
        <f t="shared" si="70"/>
        <v>0</v>
      </c>
      <c r="AD99" s="100">
        <f t="shared" si="52"/>
        <v>0</v>
      </c>
      <c r="AE99" s="100">
        <f t="shared" si="53"/>
        <v>0</v>
      </c>
      <c r="AF99" s="194">
        <f t="shared" si="66"/>
        <v>0</v>
      </c>
      <c r="AG99" s="194">
        <f t="shared" si="67"/>
        <v>0</v>
      </c>
      <c r="AH99" s="194">
        <f t="shared" si="68"/>
        <v>0</v>
      </c>
      <c r="AI99" s="199">
        <f t="shared" si="69"/>
        <v>0</v>
      </c>
      <c r="AK99" s="71">
        <v>94</v>
      </c>
      <c r="AL99" s="33"/>
      <c r="AM99" s="33"/>
      <c r="AN99" s="33"/>
      <c r="AO99" s="33"/>
      <c r="AP99" s="33"/>
      <c r="AQ99" s="194"/>
      <c r="AR99" s="194"/>
      <c r="AS99" s="194"/>
      <c r="AT99" s="194"/>
      <c r="AU99" s="33"/>
      <c r="AV99" s="33"/>
      <c r="AW99" s="33"/>
      <c r="AX99" s="33"/>
      <c r="AY99" s="76"/>
    </row>
    <row r="100" spans="2:51" x14ac:dyDescent="0.3">
      <c r="B100" s="2" t="s">
        <v>135</v>
      </c>
      <c r="C100">
        <v>70</v>
      </c>
      <c r="D100">
        <v>0</v>
      </c>
      <c r="E100" s="6"/>
      <c r="I100" s="55">
        <v>95</v>
      </c>
      <c r="J100" s="33">
        <f t="shared" si="56"/>
        <v>0</v>
      </c>
      <c r="K100" s="33">
        <f t="shared" si="57"/>
        <v>0</v>
      </c>
      <c r="L100" s="33">
        <f t="shared" si="58"/>
        <v>0</v>
      </c>
      <c r="M100" s="33">
        <f t="shared" si="59"/>
        <v>0</v>
      </c>
      <c r="N100" s="33">
        <f t="shared" si="45"/>
        <v>0</v>
      </c>
      <c r="O100" s="34">
        <f t="shared" si="46"/>
        <v>0</v>
      </c>
      <c r="P100" s="55">
        <v>95</v>
      </c>
      <c r="Q100" s="33">
        <f t="shared" si="54"/>
        <v>0</v>
      </c>
      <c r="R100" s="33">
        <f t="shared" si="60"/>
        <v>0</v>
      </c>
      <c r="S100" s="33">
        <f t="shared" si="61"/>
        <v>0</v>
      </c>
      <c r="T100" s="33">
        <f t="shared" si="47"/>
        <v>0</v>
      </c>
      <c r="U100" s="33">
        <f t="shared" si="55"/>
        <v>0</v>
      </c>
      <c r="V100" s="33">
        <f t="shared" si="48"/>
        <v>0</v>
      </c>
      <c r="W100" s="33">
        <v>0</v>
      </c>
      <c r="X100" s="33">
        <f t="shared" si="49"/>
        <v>0</v>
      </c>
      <c r="Y100" s="38">
        <f t="shared" si="50"/>
        <v>0</v>
      </c>
      <c r="AA100" s="71">
        <v>95</v>
      </c>
      <c r="AB100" s="33">
        <f t="shared" si="51"/>
        <v>0</v>
      </c>
      <c r="AC100" s="305">
        <f t="shared" si="70"/>
        <v>0</v>
      </c>
      <c r="AD100" s="100">
        <f t="shared" si="52"/>
        <v>0</v>
      </c>
      <c r="AE100" s="100">
        <f t="shared" si="53"/>
        <v>0</v>
      </c>
      <c r="AF100" s="194">
        <f t="shared" si="66"/>
        <v>0</v>
      </c>
      <c r="AG100" s="194">
        <f t="shared" si="67"/>
        <v>0</v>
      </c>
      <c r="AH100" s="194">
        <f t="shared" si="68"/>
        <v>0</v>
      </c>
      <c r="AI100" s="199">
        <f t="shared" si="69"/>
        <v>0</v>
      </c>
      <c r="AK100" s="71">
        <v>95</v>
      </c>
      <c r="AL100" s="33"/>
      <c r="AM100" s="33"/>
      <c r="AN100" s="33"/>
      <c r="AO100" s="33"/>
      <c r="AP100" s="33"/>
      <c r="AQ100" s="194"/>
      <c r="AR100" s="194"/>
      <c r="AS100" s="194"/>
      <c r="AT100" s="194"/>
      <c r="AU100" s="33"/>
      <c r="AV100" s="33"/>
      <c r="AW100" s="33"/>
      <c r="AX100" s="33"/>
      <c r="AY100" s="76"/>
    </row>
    <row r="101" spans="2:51" x14ac:dyDescent="0.3">
      <c r="C101" s="27"/>
      <c r="E101" s="6"/>
      <c r="I101" s="55">
        <v>96</v>
      </c>
      <c r="J101" s="33">
        <f t="shared" si="56"/>
        <v>0</v>
      </c>
      <c r="K101" s="33">
        <f t="shared" si="57"/>
        <v>0</v>
      </c>
      <c r="L101" s="33">
        <f t="shared" si="58"/>
        <v>0</v>
      </c>
      <c r="M101" s="33">
        <f t="shared" si="59"/>
        <v>0</v>
      </c>
      <c r="N101" s="33">
        <f t="shared" si="45"/>
        <v>0</v>
      </c>
      <c r="O101" s="34">
        <f t="shared" si="46"/>
        <v>0</v>
      </c>
      <c r="P101" s="55">
        <v>96</v>
      </c>
      <c r="Q101" s="33">
        <f t="shared" si="54"/>
        <v>0</v>
      </c>
      <c r="R101" s="33">
        <f t="shared" si="60"/>
        <v>0</v>
      </c>
      <c r="S101" s="33">
        <f t="shared" si="61"/>
        <v>0</v>
      </c>
      <c r="T101" s="33">
        <f t="shared" si="47"/>
        <v>0</v>
      </c>
      <c r="U101" s="33">
        <f t="shared" si="55"/>
        <v>0</v>
      </c>
      <c r="V101" s="33">
        <f t="shared" si="48"/>
        <v>0</v>
      </c>
      <c r="W101" s="33">
        <v>0</v>
      </c>
      <c r="X101" s="33">
        <f t="shared" si="49"/>
        <v>0</v>
      </c>
      <c r="Y101" s="38">
        <f t="shared" si="50"/>
        <v>0</v>
      </c>
      <c r="AA101" s="71">
        <v>96</v>
      </c>
      <c r="AB101" s="33">
        <f t="shared" si="51"/>
        <v>0</v>
      </c>
      <c r="AC101" s="305">
        <f t="shared" si="70"/>
        <v>0</v>
      </c>
      <c r="AD101" s="100">
        <f t="shared" si="52"/>
        <v>0</v>
      </c>
      <c r="AE101" s="100">
        <f t="shared" si="53"/>
        <v>0</v>
      </c>
      <c r="AF101" s="194">
        <f t="shared" si="66"/>
        <v>0</v>
      </c>
      <c r="AG101" s="194">
        <f t="shared" si="67"/>
        <v>0</v>
      </c>
      <c r="AH101" s="194">
        <f t="shared" si="68"/>
        <v>0</v>
      </c>
      <c r="AI101" s="199">
        <f t="shared" si="69"/>
        <v>0</v>
      </c>
      <c r="AK101" s="71">
        <v>96</v>
      </c>
      <c r="AL101" s="33"/>
      <c r="AM101" s="33"/>
      <c r="AN101" s="33"/>
      <c r="AO101" s="33"/>
      <c r="AP101" s="33"/>
      <c r="AQ101" s="194"/>
      <c r="AR101" s="194"/>
      <c r="AS101" s="194"/>
      <c r="AT101" s="194"/>
      <c r="AU101" s="33"/>
      <c r="AV101" s="33"/>
      <c r="AW101" s="33"/>
      <c r="AX101" s="33"/>
      <c r="AY101" s="76"/>
    </row>
    <row r="102" spans="2:51" x14ac:dyDescent="0.3">
      <c r="C102" s="27"/>
      <c r="E102" s="6"/>
      <c r="I102" s="55">
        <v>97</v>
      </c>
      <c r="J102" s="33">
        <f t="shared" si="56"/>
        <v>0</v>
      </c>
      <c r="K102" s="33">
        <f t="shared" si="57"/>
        <v>0</v>
      </c>
      <c r="L102" s="33">
        <f t="shared" si="58"/>
        <v>0</v>
      </c>
      <c r="M102" s="33">
        <f t="shared" si="59"/>
        <v>0</v>
      </c>
      <c r="N102" s="33">
        <f t="shared" si="45"/>
        <v>0</v>
      </c>
      <c r="O102" s="34">
        <f t="shared" si="46"/>
        <v>0</v>
      </c>
      <c r="P102" s="55">
        <v>97</v>
      </c>
      <c r="Q102" s="33">
        <f t="shared" si="54"/>
        <v>0</v>
      </c>
      <c r="R102" s="33">
        <f t="shared" si="60"/>
        <v>0</v>
      </c>
      <c r="S102" s="33">
        <f t="shared" si="61"/>
        <v>0</v>
      </c>
      <c r="T102" s="33">
        <f t="shared" si="47"/>
        <v>0</v>
      </c>
      <c r="U102" s="33">
        <f t="shared" si="55"/>
        <v>0</v>
      </c>
      <c r="V102" s="33">
        <f t="shared" si="48"/>
        <v>0</v>
      </c>
      <c r="W102" s="33">
        <v>0</v>
      </c>
      <c r="X102" s="33">
        <f t="shared" si="49"/>
        <v>0</v>
      </c>
      <c r="Y102" s="38">
        <f t="shared" si="50"/>
        <v>0</v>
      </c>
      <c r="AA102" s="71">
        <v>97</v>
      </c>
      <c r="AB102" s="33">
        <f t="shared" si="51"/>
        <v>0</v>
      </c>
      <c r="AC102" s="305">
        <f t="shared" si="70"/>
        <v>0</v>
      </c>
      <c r="AD102" s="100">
        <f t="shared" si="52"/>
        <v>0</v>
      </c>
      <c r="AE102" s="100">
        <f t="shared" si="53"/>
        <v>0</v>
      </c>
      <c r="AF102" s="194">
        <f t="shared" si="66"/>
        <v>0</v>
      </c>
      <c r="AG102" s="194">
        <f t="shared" si="67"/>
        <v>0</v>
      </c>
      <c r="AH102" s="194">
        <f t="shared" si="68"/>
        <v>0</v>
      </c>
      <c r="AI102" s="199">
        <f t="shared" si="69"/>
        <v>0</v>
      </c>
      <c r="AK102" s="71">
        <v>97</v>
      </c>
      <c r="AL102" s="33"/>
      <c r="AM102" s="33"/>
      <c r="AN102" s="33"/>
      <c r="AO102" s="33"/>
      <c r="AP102" s="33"/>
      <c r="AQ102" s="194"/>
      <c r="AR102" s="194"/>
      <c r="AS102" s="194"/>
      <c r="AT102" s="194"/>
      <c r="AU102" s="33"/>
      <c r="AV102" s="33"/>
      <c r="AW102" s="33"/>
      <c r="AX102" s="33"/>
      <c r="AY102" s="76"/>
    </row>
    <row r="103" spans="2:51" x14ac:dyDescent="0.3">
      <c r="C103" s="25" t="s">
        <v>157</v>
      </c>
      <c r="D103" s="157" t="s">
        <v>158</v>
      </c>
      <c r="F103" s="190" t="s">
        <v>232</v>
      </c>
      <c r="I103" s="55">
        <v>98</v>
      </c>
      <c r="J103" s="33">
        <f t="shared" si="56"/>
        <v>0</v>
      </c>
      <c r="K103" s="33">
        <f t="shared" si="57"/>
        <v>0</v>
      </c>
      <c r="L103" s="33">
        <f t="shared" si="58"/>
        <v>0</v>
      </c>
      <c r="M103" s="33">
        <f t="shared" si="59"/>
        <v>0</v>
      </c>
      <c r="N103" s="33">
        <f t="shared" si="45"/>
        <v>0</v>
      </c>
      <c r="O103" s="34">
        <f t="shared" si="46"/>
        <v>0</v>
      </c>
      <c r="P103" s="55">
        <v>98</v>
      </c>
      <c r="Q103" s="33">
        <f t="shared" si="54"/>
        <v>0</v>
      </c>
      <c r="R103" s="33">
        <f t="shared" si="60"/>
        <v>0</v>
      </c>
      <c r="S103" s="33">
        <f t="shared" si="61"/>
        <v>0</v>
      </c>
      <c r="T103" s="33">
        <f t="shared" si="47"/>
        <v>0</v>
      </c>
      <c r="U103" s="33">
        <f t="shared" si="55"/>
        <v>0</v>
      </c>
      <c r="V103" s="33">
        <f t="shared" si="48"/>
        <v>0</v>
      </c>
      <c r="W103" s="33">
        <v>0</v>
      </c>
      <c r="X103" s="33">
        <f t="shared" si="49"/>
        <v>0</v>
      </c>
      <c r="Y103" s="38">
        <f t="shared" si="50"/>
        <v>0</v>
      </c>
      <c r="AA103" s="71">
        <v>98</v>
      </c>
      <c r="AB103" s="33">
        <f t="shared" si="51"/>
        <v>0</v>
      </c>
      <c r="AC103" s="305">
        <f t="shared" si="70"/>
        <v>0</v>
      </c>
      <c r="AD103" s="100">
        <f t="shared" si="52"/>
        <v>0</v>
      </c>
      <c r="AE103" s="100">
        <f t="shared" si="53"/>
        <v>0</v>
      </c>
      <c r="AF103" s="194">
        <f t="shared" si="66"/>
        <v>0</v>
      </c>
      <c r="AG103" s="194">
        <f t="shared" si="67"/>
        <v>0</v>
      </c>
      <c r="AH103" s="194">
        <f t="shared" si="68"/>
        <v>0</v>
      </c>
      <c r="AI103" s="199">
        <f t="shared" si="69"/>
        <v>0</v>
      </c>
      <c r="AK103" s="71">
        <v>98</v>
      </c>
      <c r="AL103" s="33"/>
      <c r="AM103" s="33"/>
      <c r="AN103" s="33"/>
      <c r="AO103" s="33"/>
      <c r="AP103" s="33"/>
      <c r="AQ103" s="194"/>
      <c r="AR103" s="194"/>
      <c r="AS103" s="194"/>
      <c r="AT103" s="194"/>
      <c r="AU103" s="33"/>
      <c r="AV103" s="33"/>
      <c r="AW103" s="33"/>
      <c r="AX103" s="33"/>
      <c r="AY103" s="76"/>
    </row>
    <row r="104" spans="2:51" x14ac:dyDescent="0.3">
      <c r="B104" t="s">
        <v>78</v>
      </c>
      <c r="C104">
        <v>1.52</v>
      </c>
      <c r="D104">
        <v>35</v>
      </c>
      <c r="F104" s="189" t="s">
        <v>228</v>
      </c>
      <c r="G104" s="24">
        <v>0.25</v>
      </c>
      <c r="I104" s="55">
        <v>99</v>
      </c>
      <c r="J104" s="33">
        <f t="shared" si="56"/>
        <v>0</v>
      </c>
      <c r="K104" s="33">
        <f t="shared" si="57"/>
        <v>0</v>
      </c>
      <c r="L104" s="33">
        <f t="shared" si="58"/>
        <v>0</v>
      </c>
      <c r="M104" s="33">
        <f t="shared" si="59"/>
        <v>0</v>
      </c>
      <c r="N104" s="33">
        <f t="shared" si="45"/>
        <v>0</v>
      </c>
      <c r="O104" s="34">
        <f t="shared" si="46"/>
        <v>0</v>
      </c>
      <c r="P104" s="55">
        <v>99</v>
      </c>
      <c r="Q104" s="33">
        <f t="shared" si="54"/>
        <v>0</v>
      </c>
      <c r="R104" s="33">
        <f t="shared" si="60"/>
        <v>0</v>
      </c>
      <c r="S104" s="33">
        <f t="shared" si="61"/>
        <v>0</v>
      </c>
      <c r="T104" s="33">
        <f t="shared" si="47"/>
        <v>0</v>
      </c>
      <c r="U104" s="33">
        <f t="shared" si="55"/>
        <v>0</v>
      </c>
      <c r="V104" s="33">
        <f t="shared" si="48"/>
        <v>0</v>
      </c>
      <c r="W104" s="33">
        <v>0</v>
      </c>
      <c r="X104" s="33">
        <f t="shared" si="49"/>
        <v>0</v>
      </c>
      <c r="Y104" s="38">
        <f t="shared" si="50"/>
        <v>0</v>
      </c>
      <c r="AA104" s="71">
        <v>99</v>
      </c>
      <c r="AB104" s="33">
        <f t="shared" si="51"/>
        <v>0</v>
      </c>
      <c r="AC104" s="305">
        <f t="shared" si="70"/>
        <v>0</v>
      </c>
      <c r="AD104" s="100">
        <f t="shared" si="52"/>
        <v>0</v>
      </c>
      <c r="AE104" s="100">
        <f t="shared" si="53"/>
        <v>0</v>
      </c>
      <c r="AF104" s="194">
        <f t="shared" si="66"/>
        <v>0</v>
      </c>
      <c r="AG104" s="194">
        <f t="shared" si="67"/>
        <v>0</v>
      </c>
      <c r="AH104" s="194">
        <f t="shared" si="68"/>
        <v>0</v>
      </c>
      <c r="AI104" s="199">
        <f t="shared" si="69"/>
        <v>0</v>
      </c>
      <c r="AK104" s="71">
        <v>99</v>
      </c>
      <c r="AL104" s="33"/>
      <c r="AM104" s="33"/>
      <c r="AN104" s="33"/>
      <c r="AO104" s="33"/>
      <c r="AP104" s="33"/>
      <c r="AQ104" s="194"/>
      <c r="AR104" s="194"/>
      <c r="AS104" s="194"/>
      <c r="AT104" s="194"/>
      <c r="AU104" s="33"/>
      <c r="AV104" s="33"/>
      <c r="AW104" s="33"/>
      <c r="AX104" s="33"/>
      <c r="AY104" s="76"/>
    </row>
    <row r="105" spans="2:51" x14ac:dyDescent="0.3">
      <c r="B105" t="s">
        <v>80</v>
      </c>
      <c r="C105">
        <v>0</v>
      </c>
      <c r="D105">
        <v>2</v>
      </c>
      <c r="F105" s="189" t="s">
        <v>230</v>
      </c>
      <c r="G105" s="24">
        <v>1.03</v>
      </c>
      <c r="I105" s="55">
        <v>100</v>
      </c>
      <c r="J105" s="33">
        <f t="shared" si="56"/>
        <v>0</v>
      </c>
      <c r="K105" s="33">
        <f t="shared" si="57"/>
        <v>0</v>
      </c>
      <c r="L105" s="33">
        <f t="shared" si="58"/>
        <v>0</v>
      </c>
      <c r="M105" s="33">
        <f t="shared" si="59"/>
        <v>0</v>
      </c>
      <c r="N105" s="33">
        <f t="shared" si="45"/>
        <v>0</v>
      </c>
      <c r="O105" s="34">
        <f t="shared" si="46"/>
        <v>0</v>
      </c>
      <c r="P105" s="55">
        <v>100</v>
      </c>
      <c r="Q105" s="33">
        <f t="shared" si="54"/>
        <v>0</v>
      </c>
      <c r="R105" s="33">
        <f t="shared" si="60"/>
        <v>0</v>
      </c>
      <c r="S105" s="33">
        <f t="shared" si="61"/>
        <v>0</v>
      </c>
      <c r="T105" s="33">
        <f t="shared" si="47"/>
        <v>0</v>
      </c>
      <c r="U105" s="33">
        <f t="shared" si="55"/>
        <v>0</v>
      </c>
      <c r="V105" s="33">
        <f t="shared" si="48"/>
        <v>0</v>
      </c>
      <c r="W105" s="33">
        <v>0</v>
      </c>
      <c r="X105" s="33">
        <f t="shared" si="49"/>
        <v>0</v>
      </c>
      <c r="Y105" s="38">
        <f t="shared" si="50"/>
        <v>0</v>
      </c>
      <c r="AA105" s="71">
        <v>100</v>
      </c>
      <c r="AB105" s="33">
        <f t="shared" si="51"/>
        <v>0</v>
      </c>
      <c r="AC105" s="305">
        <f t="shared" si="70"/>
        <v>0</v>
      </c>
      <c r="AD105" s="100">
        <f t="shared" si="52"/>
        <v>0</v>
      </c>
      <c r="AE105" s="100">
        <f t="shared" si="53"/>
        <v>0</v>
      </c>
      <c r="AF105" s="194">
        <f t="shared" si="66"/>
        <v>0</v>
      </c>
      <c r="AG105" s="194">
        <f t="shared" si="67"/>
        <v>0</v>
      </c>
      <c r="AH105" s="194">
        <f t="shared" si="68"/>
        <v>0</v>
      </c>
      <c r="AI105" s="199">
        <f t="shared" si="69"/>
        <v>0</v>
      </c>
      <c r="AK105" s="71">
        <v>100</v>
      </c>
      <c r="AL105" s="33"/>
      <c r="AM105" s="33"/>
      <c r="AN105" s="33"/>
      <c r="AO105" s="33"/>
      <c r="AP105" s="33"/>
      <c r="AQ105" s="194"/>
      <c r="AR105" s="194"/>
      <c r="AS105" s="194"/>
      <c r="AT105" s="194"/>
      <c r="AU105" s="33"/>
      <c r="AV105" s="33"/>
      <c r="AW105" s="33"/>
      <c r="AX105" s="33"/>
      <c r="AY105" s="76"/>
    </row>
    <row r="106" spans="2:51" ht="27.6" x14ac:dyDescent="0.3">
      <c r="B106" t="s">
        <v>81</v>
      </c>
      <c r="C106">
        <v>0.77</v>
      </c>
      <c r="D106">
        <v>25</v>
      </c>
      <c r="F106" s="189" t="s">
        <v>231</v>
      </c>
      <c r="G106" s="24">
        <v>0.59</v>
      </c>
      <c r="I106" s="55">
        <v>101</v>
      </c>
      <c r="J106" s="33">
        <f t="shared" si="56"/>
        <v>0</v>
      </c>
      <c r="K106" s="33">
        <f t="shared" si="57"/>
        <v>0</v>
      </c>
      <c r="L106" s="33">
        <f t="shared" si="58"/>
        <v>0</v>
      </c>
      <c r="M106" s="33">
        <f t="shared" si="59"/>
        <v>0</v>
      </c>
      <c r="N106" s="33">
        <f t="shared" si="45"/>
        <v>0</v>
      </c>
      <c r="O106" s="34">
        <f t="shared" si="46"/>
        <v>0</v>
      </c>
      <c r="P106" s="55">
        <v>101</v>
      </c>
      <c r="Q106" s="33">
        <f t="shared" si="54"/>
        <v>0</v>
      </c>
      <c r="R106" s="33">
        <f t="shared" si="60"/>
        <v>0</v>
      </c>
      <c r="S106" s="33">
        <f t="shared" si="61"/>
        <v>0</v>
      </c>
      <c r="T106" s="33">
        <f t="shared" si="47"/>
        <v>0</v>
      </c>
      <c r="U106" s="33">
        <f t="shared" si="55"/>
        <v>0</v>
      </c>
      <c r="V106" s="33">
        <f t="shared" si="48"/>
        <v>0</v>
      </c>
      <c r="W106" s="33">
        <v>0</v>
      </c>
      <c r="X106" s="33">
        <f t="shared" si="49"/>
        <v>0</v>
      </c>
      <c r="Y106" s="38">
        <f t="shared" si="50"/>
        <v>0</v>
      </c>
      <c r="AA106" s="71">
        <v>101</v>
      </c>
      <c r="AB106" s="33">
        <f t="shared" si="51"/>
        <v>0</v>
      </c>
      <c r="AC106" s="305">
        <f t="shared" si="70"/>
        <v>0</v>
      </c>
      <c r="AD106" s="100">
        <f t="shared" si="52"/>
        <v>0</v>
      </c>
      <c r="AE106" s="100">
        <f t="shared" si="53"/>
        <v>0</v>
      </c>
      <c r="AF106" s="194">
        <f t="shared" si="66"/>
        <v>0</v>
      </c>
      <c r="AG106" s="194">
        <f t="shared" si="67"/>
        <v>0</v>
      </c>
      <c r="AH106" s="194">
        <f t="shared" si="68"/>
        <v>0</v>
      </c>
      <c r="AI106" s="199">
        <f t="shared" si="69"/>
        <v>0</v>
      </c>
      <c r="AK106" s="71">
        <v>101</v>
      </c>
      <c r="AL106" s="33"/>
      <c r="AM106" s="33"/>
      <c r="AN106" s="33"/>
      <c r="AO106" s="33"/>
      <c r="AP106" s="33"/>
      <c r="AQ106" s="194"/>
      <c r="AR106" s="194"/>
      <c r="AS106" s="194"/>
      <c r="AT106" s="194"/>
      <c r="AU106" s="33"/>
      <c r="AV106" s="33"/>
      <c r="AW106" s="33"/>
      <c r="AX106" s="33"/>
      <c r="AY106" s="76"/>
    </row>
    <row r="107" spans="2:51" x14ac:dyDescent="0.3">
      <c r="B107" t="s">
        <v>82</v>
      </c>
      <c r="C107">
        <f>44%*C105+56%*C106</f>
        <v>0.43120000000000003</v>
      </c>
      <c r="D107">
        <f>44%*D105+56%*D106</f>
        <v>14.880000000000003</v>
      </c>
      <c r="F107" s="189" t="s">
        <v>229</v>
      </c>
      <c r="G107" s="24">
        <v>0.43</v>
      </c>
      <c r="I107" s="55">
        <v>102</v>
      </c>
      <c r="J107" s="33">
        <f t="shared" si="56"/>
        <v>0</v>
      </c>
      <c r="K107" s="33">
        <f t="shared" si="57"/>
        <v>0</v>
      </c>
      <c r="L107" s="33">
        <f t="shared" si="58"/>
        <v>0</v>
      </c>
      <c r="M107" s="33">
        <f t="shared" si="59"/>
        <v>0</v>
      </c>
      <c r="N107" s="33">
        <f t="shared" si="45"/>
        <v>0</v>
      </c>
      <c r="O107" s="34">
        <f t="shared" si="46"/>
        <v>0</v>
      </c>
      <c r="P107" s="55">
        <v>102</v>
      </c>
      <c r="Q107" s="33">
        <f t="shared" si="54"/>
        <v>0</v>
      </c>
      <c r="R107" s="33">
        <f t="shared" si="60"/>
        <v>0</v>
      </c>
      <c r="S107" s="33">
        <f t="shared" si="61"/>
        <v>0</v>
      </c>
      <c r="T107" s="33">
        <f t="shared" si="47"/>
        <v>0</v>
      </c>
      <c r="U107" s="33">
        <f t="shared" si="55"/>
        <v>0</v>
      </c>
      <c r="V107" s="33">
        <f t="shared" si="48"/>
        <v>0</v>
      </c>
      <c r="W107" s="33">
        <v>0</v>
      </c>
      <c r="X107" s="33">
        <f t="shared" si="49"/>
        <v>0</v>
      </c>
      <c r="Y107" s="38">
        <f t="shared" si="50"/>
        <v>0</v>
      </c>
      <c r="AA107" s="71">
        <v>102</v>
      </c>
      <c r="AB107" s="33">
        <f t="shared" si="51"/>
        <v>0</v>
      </c>
      <c r="AC107" s="305">
        <f t="shared" si="70"/>
        <v>0</v>
      </c>
      <c r="AD107" s="100">
        <f t="shared" si="52"/>
        <v>0</v>
      </c>
      <c r="AE107" s="100">
        <f t="shared" si="53"/>
        <v>0</v>
      </c>
      <c r="AF107" s="194">
        <f t="shared" si="66"/>
        <v>0</v>
      </c>
      <c r="AG107" s="194">
        <f t="shared" si="67"/>
        <v>0</v>
      </c>
      <c r="AH107" s="194">
        <f t="shared" si="68"/>
        <v>0</v>
      </c>
      <c r="AI107" s="199">
        <f t="shared" si="69"/>
        <v>0</v>
      </c>
      <c r="AK107" s="71">
        <v>102</v>
      </c>
      <c r="AL107" s="33"/>
      <c r="AM107" s="33"/>
      <c r="AN107" s="33"/>
      <c r="AO107" s="33"/>
      <c r="AP107" s="33"/>
      <c r="AQ107" s="194"/>
      <c r="AR107" s="194"/>
      <c r="AS107" s="194"/>
      <c r="AT107" s="194"/>
      <c r="AU107" s="33"/>
      <c r="AV107" s="33"/>
      <c r="AW107" s="33"/>
      <c r="AX107" s="33"/>
      <c r="AY107" s="76"/>
    </row>
    <row r="108" spans="2:51" x14ac:dyDescent="0.3">
      <c r="B108" t="s">
        <v>79</v>
      </c>
      <c r="C108">
        <v>0.25</v>
      </c>
      <c r="D108">
        <v>0</v>
      </c>
      <c r="F108" s="191" t="s">
        <v>233</v>
      </c>
      <c r="G108" s="192" t="e">
        <f>VLOOKUP(VLOOKUP(F17,C131:E195,3,FALSE),F104:G107,2,FALSE)</f>
        <v>#N/A</v>
      </c>
      <c r="I108" s="55">
        <v>103</v>
      </c>
      <c r="J108" s="33">
        <f t="shared" si="56"/>
        <v>0</v>
      </c>
      <c r="K108" s="33">
        <f t="shared" si="57"/>
        <v>0</v>
      </c>
      <c r="L108" s="33">
        <f t="shared" si="58"/>
        <v>0</v>
      </c>
      <c r="M108" s="33">
        <f t="shared" si="59"/>
        <v>0</v>
      </c>
      <c r="N108" s="33">
        <f t="shared" si="45"/>
        <v>0</v>
      </c>
      <c r="O108" s="34">
        <f t="shared" si="46"/>
        <v>0</v>
      </c>
      <c r="P108" s="55">
        <v>103</v>
      </c>
      <c r="Q108" s="33">
        <f t="shared" si="54"/>
        <v>0</v>
      </c>
      <c r="R108" s="33">
        <f t="shared" si="60"/>
        <v>0</v>
      </c>
      <c r="S108" s="33">
        <f t="shared" si="61"/>
        <v>0</v>
      </c>
      <c r="T108" s="33">
        <f t="shared" si="47"/>
        <v>0</v>
      </c>
      <c r="U108" s="33">
        <f t="shared" si="55"/>
        <v>0</v>
      </c>
      <c r="V108" s="33">
        <f t="shared" si="48"/>
        <v>0</v>
      </c>
      <c r="W108" s="33">
        <v>0</v>
      </c>
      <c r="X108" s="33">
        <f t="shared" si="49"/>
        <v>0</v>
      </c>
      <c r="Y108" s="38">
        <f t="shared" si="50"/>
        <v>0</v>
      </c>
      <c r="AA108" s="71">
        <v>103</v>
      </c>
      <c r="AB108" s="33">
        <f t="shared" si="51"/>
        <v>0</v>
      </c>
      <c r="AC108" s="305">
        <f t="shared" si="70"/>
        <v>0</v>
      </c>
      <c r="AD108" s="100">
        <f t="shared" si="52"/>
        <v>0</v>
      </c>
      <c r="AE108" s="100">
        <f t="shared" si="53"/>
        <v>0</v>
      </c>
      <c r="AF108" s="194">
        <f t="shared" si="66"/>
        <v>0</v>
      </c>
      <c r="AG108" s="194">
        <f t="shared" si="67"/>
        <v>0</v>
      </c>
      <c r="AH108" s="194">
        <f t="shared" si="68"/>
        <v>0</v>
      </c>
      <c r="AI108" s="199">
        <f t="shared" si="69"/>
        <v>0</v>
      </c>
      <c r="AK108" s="71">
        <v>103</v>
      </c>
      <c r="AL108" s="33"/>
      <c r="AM108" s="33"/>
      <c r="AN108" s="33"/>
      <c r="AO108" s="33"/>
      <c r="AP108" s="33"/>
      <c r="AQ108" s="194"/>
      <c r="AR108" s="194"/>
      <c r="AS108" s="194"/>
      <c r="AT108" s="194"/>
      <c r="AU108" s="33"/>
      <c r="AV108" s="33"/>
      <c r="AW108" s="33"/>
      <c r="AX108" s="33"/>
      <c r="AY108" s="76"/>
    </row>
    <row r="109" spans="2:51" x14ac:dyDescent="0.3">
      <c r="I109" s="55">
        <v>104</v>
      </c>
      <c r="J109" s="33">
        <f t="shared" si="56"/>
        <v>0</v>
      </c>
      <c r="K109" s="33">
        <f t="shared" si="57"/>
        <v>0</v>
      </c>
      <c r="L109" s="33">
        <f t="shared" si="58"/>
        <v>0</v>
      </c>
      <c r="M109" s="33">
        <f t="shared" si="59"/>
        <v>0</v>
      </c>
      <c r="N109" s="33">
        <f t="shared" si="45"/>
        <v>0</v>
      </c>
      <c r="O109" s="34">
        <f t="shared" si="46"/>
        <v>0</v>
      </c>
      <c r="P109" s="55">
        <v>104</v>
      </c>
      <c r="Q109" s="33">
        <f t="shared" si="54"/>
        <v>0</v>
      </c>
      <c r="R109" s="33">
        <f t="shared" si="60"/>
        <v>0</v>
      </c>
      <c r="S109" s="33">
        <f t="shared" si="61"/>
        <v>0</v>
      </c>
      <c r="T109" s="33">
        <f t="shared" si="47"/>
        <v>0</v>
      </c>
      <c r="U109" s="33">
        <f t="shared" si="55"/>
        <v>0</v>
      </c>
      <c r="V109" s="33">
        <f t="shared" si="48"/>
        <v>0</v>
      </c>
      <c r="W109" s="33">
        <v>0</v>
      </c>
      <c r="X109" s="33">
        <f t="shared" si="49"/>
        <v>0</v>
      </c>
      <c r="Y109" s="38">
        <f t="shared" si="50"/>
        <v>0</v>
      </c>
      <c r="AA109" s="71">
        <v>104</v>
      </c>
      <c r="AB109" s="33">
        <f t="shared" si="51"/>
        <v>0</v>
      </c>
      <c r="AC109" s="305">
        <f t="shared" si="70"/>
        <v>0</v>
      </c>
      <c r="AD109" s="100">
        <f t="shared" si="52"/>
        <v>0</v>
      </c>
      <c r="AE109" s="100">
        <f t="shared" si="53"/>
        <v>0</v>
      </c>
      <c r="AF109" s="194">
        <f t="shared" si="66"/>
        <v>0</v>
      </c>
      <c r="AG109" s="194">
        <f t="shared" si="67"/>
        <v>0</v>
      </c>
      <c r="AH109" s="194">
        <f t="shared" si="68"/>
        <v>0</v>
      </c>
      <c r="AI109" s="199">
        <f t="shared" si="69"/>
        <v>0</v>
      </c>
      <c r="AK109" s="71">
        <v>104</v>
      </c>
      <c r="AL109" s="33"/>
      <c r="AM109" s="33"/>
      <c r="AN109" s="33"/>
      <c r="AO109" s="33"/>
      <c r="AP109" s="33"/>
      <c r="AQ109" s="194"/>
      <c r="AR109" s="194"/>
      <c r="AS109" s="194"/>
      <c r="AT109" s="194"/>
      <c r="AU109" s="33"/>
      <c r="AV109" s="33"/>
      <c r="AW109" s="33"/>
      <c r="AX109" s="33"/>
      <c r="AY109" s="76"/>
    </row>
    <row r="110" spans="2:51" x14ac:dyDescent="0.3">
      <c r="I110" s="55">
        <v>105</v>
      </c>
      <c r="J110" s="33">
        <f t="shared" si="56"/>
        <v>0</v>
      </c>
      <c r="K110" s="33">
        <f t="shared" si="57"/>
        <v>0</v>
      </c>
      <c r="L110" s="33">
        <f t="shared" si="58"/>
        <v>0</v>
      </c>
      <c r="M110" s="33">
        <f t="shared" si="59"/>
        <v>0</v>
      </c>
      <c r="N110" s="33">
        <f t="shared" si="45"/>
        <v>0</v>
      </c>
      <c r="O110" s="34">
        <f t="shared" si="46"/>
        <v>0</v>
      </c>
      <c r="P110" s="55">
        <v>105</v>
      </c>
      <c r="Q110" s="33">
        <f t="shared" si="54"/>
        <v>0</v>
      </c>
      <c r="R110" s="33">
        <f t="shared" si="60"/>
        <v>0</v>
      </c>
      <c r="S110" s="33">
        <f t="shared" si="61"/>
        <v>0</v>
      </c>
      <c r="T110" s="33">
        <f t="shared" si="47"/>
        <v>0</v>
      </c>
      <c r="U110" s="33">
        <f t="shared" si="55"/>
        <v>0</v>
      </c>
      <c r="V110" s="33">
        <f t="shared" si="48"/>
        <v>0</v>
      </c>
      <c r="W110" s="33">
        <v>0</v>
      </c>
      <c r="X110" s="33">
        <f t="shared" si="49"/>
        <v>0</v>
      </c>
      <c r="Y110" s="38">
        <f t="shared" si="50"/>
        <v>0</v>
      </c>
      <c r="AA110" s="71">
        <v>105</v>
      </c>
      <c r="AB110" s="33">
        <f t="shared" si="51"/>
        <v>0</v>
      </c>
      <c r="AC110" s="305">
        <f t="shared" si="70"/>
        <v>0</v>
      </c>
      <c r="AD110" s="100">
        <f t="shared" si="52"/>
        <v>0</v>
      </c>
      <c r="AE110" s="100">
        <f t="shared" si="53"/>
        <v>0</v>
      </c>
      <c r="AF110" s="194">
        <f t="shared" si="66"/>
        <v>0</v>
      </c>
      <c r="AG110" s="194">
        <f t="shared" si="67"/>
        <v>0</v>
      </c>
      <c r="AH110" s="194">
        <f t="shared" si="68"/>
        <v>0</v>
      </c>
      <c r="AI110" s="199">
        <f t="shared" si="69"/>
        <v>0</v>
      </c>
      <c r="AK110" s="71">
        <v>105</v>
      </c>
      <c r="AL110" s="33"/>
      <c r="AM110" s="33"/>
      <c r="AN110" s="33"/>
      <c r="AO110" s="33"/>
      <c r="AP110" s="33"/>
      <c r="AQ110" s="194"/>
      <c r="AR110" s="194"/>
      <c r="AS110" s="194"/>
      <c r="AT110" s="194"/>
      <c r="AU110" s="33"/>
      <c r="AV110" s="33"/>
      <c r="AW110" s="33"/>
      <c r="AX110" s="33"/>
      <c r="AY110" s="76"/>
    </row>
    <row r="111" spans="2:51" x14ac:dyDescent="0.3">
      <c r="C111" s="157" t="s">
        <v>169</v>
      </c>
      <c r="D111" s="157"/>
      <c r="E111" s="157"/>
      <c r="I111" s="55">
        <v>106</v>
      </c>
      <c r="J111" s="33">
        <f t="shared" si="56"/>
        <v>0</v>
      </c>
      <c r="K111" s="33">
        <f t="shared" si="57"/>
        <v>0</v>
      </c>
      <c r="L111" s="33">
        <f t="shared" si="58"/>
        <v>0</v>
      </c>
      <c r="M111" s="33">
        <f t="shared" si="59"/>
        <v>0</v>
      </c>
      <c r="N111" s="33">
        <f t="shared" si="45"/>
        <v>0</v>
      </c>
      <c r="O111" s="34">
        <f t="shared" si="46"/>
        <v>0</v>
      </c>
      <c r="P111" s="55">
        <v>106</v>
      </c>
      <c r="Q111" s="33">
        <f t="shared" si="54"/>
        <v>0</v>
      </c>
      <c r="R111" s="33">
        <f t="shared" si="60"/>
        <v>0</v>
      </c>
      <c r="S111" s="33">
        <f t="shared" si="61"/>
        <v>0</v>
      </c>
      <c r="T111" s="33">
        <f t="shared" si="47"/>
        <v>0</v>
      </c>
      <c r="U111" s="33">
        <f t="shared" si="55"/>
        <v>0</v>
      </c>
      <c r="V111" s="33">
        <f t="shared" si="48"/>
        <v>0</v>
      </c>
      <c r="W111" s="33">
        <v>0</v>
      </c>
      <c r="X111" s="33">
        <f t="shared" si="49"/>
        <v>0</v>
      </c>
      <c r="Y111" s="38">
        <f t="shared" si="50"/>
        <v>0</v>
      </c>
      <c r="AA111" s="71">
        <v>106</v>
      </c>
      <c r="AB111" s="33">
        <f t="shared" si="51"/>
        <v>0</v>
      </c>
      <c r="AC111" s="305">
        <f t="shared" si="70"/>
        <v>0</v>
      </c>
      <c r="AD111" s="100">
        <f t="shared" si="52"/>
        <v>0</v>
      </c>
      <c r="AE111" s="100">
        <f t="shared" si="53"/>
        <v>0</v>
      </c>
      <c r="AF111" s="194">
        <f t="shared" si="66"/>
        <v>0</v>
      </c>
      <c r="AG111" s="194">
        <f t="shared" si="67"/>
        <v>0</v>
      </c>
      <c r="AH111" s="194">
        <f t="shared" si="68"/>
        <v>0</v>
      </c>
      <c r="AI111" s="199">
        <f t="shared" si="69"/>
        <v>0</v>
      </c>
      <c r="AK111" s="71">
        <v>106</v>
      </c>
      <c r="AL111" s="33"/>
      <c r="AM111" s="33"/>
      <c r="AN111" s="33"/>
      <c r="AO111" s="33"/>
      <c r="AP111" s="33"/>
      <c r="AQ111" s="194"/>
      <c r="AR111" s="194"/>
      <c r="AS111" s="194"/>
      <c r="AT111" s="194"/>
      <c r="AU111" s="33"/>
      <c r="AV111" s="33"/>
      <c r="AW111" s="33"/>
      <c r="AX111" s="33"/>
      <c r="AY111" s="76"/>
    </row>
    <row r="112" spans="2:51" x14ac:dyDescent="0.3">
      <c r="C112" s="74" t="s">
        <v>145</v>
      </c>
      <c r="D112" s="74" t="s">
        <v>72</v>
      </c>
      <c r="E112" s="74" t="s">
        <v>166</v>
      </c>
      <c r="I112" s="55">
        <v>107</v>
      </c>
      <c r="J112" s="33">
        <f t="shared" si="56"/>
        <v>0</v>
      </c>
      <c r="K112" s="33">
        <f t="shared" si="57"/>
        <v>0</v>
      </c>
      <c r="L112" s="33">
        <f t="shared" si="58"/>
        <v>0</v>
      </c>
      <c r="M112" s="33">
        <f t="shared" si="59"/>
        <v>0</v>
      </c>
      <c r="N112" s="33">
        <f t="shared" si="45"/>
        <v>0</v>
      </c>
      <c r="O112" s="34">
        <f t="shared" si="46"/>
        <v>0</v>
      </c>
      <c r="P112" s="55">
        <v>107</v>
      </c>
      <c r="Q112" s="33">
        <f t="shared" si="54"/>
        <v>0</v>
      </c>
      <c r="R112" s="33">
        <f t="shared" si="60"/>
        <v>0</v>
      </c>
      <c r="S112" s="33">
        <f t="shared" si="61"/>
        <v>0</v>
      </c>
      <c r="T112" s="33">
        <f t="shared" si="47"/>
        <v>0</v>
      </c>
      <c r="U112" s="33">
        <f t="shared" si="55"/>
        <v>0</v>
      </c>
      <c r="V112" s="33">
        <f t="shared" si="48"/>
        <v>0</v>
      </c>
      <c r="W112" s="33">
        <v>0</v>
      </c>
      <c r="X112" s="33">
        <f t="shared" si="49"/>
        <v>0</v>
      </c>
      <c r="Y112" s="38">
        <f t="shared" si="50"/>
        <v>0</v>
      </c>
      <c r="AA112" s="71">
        <v>107</v>
      </c>
      <c r="AB112" s="33">
        <f t="shared" si="51"/>
        <v>0</v>
      </c>
      <c r="AC112" s="305">
        <f t="shared" si="70"/>
        <v>0</v>
      </c>
      <c r="AD112" s="100">
        <f t="shared" si="52"/>
        <v>0</v>
      </c>
      <c r="AE112" s="100">
        <f t="shared" si="53"/>
        <v>0</v>
      </c>
      <c r="AF112" s="194">
        <f t="shared" si="66"/>
        <v>0</v>
      </c>
      <c r="AG112" s="194">
        <f t="shared" si="67"/>
        <v>0</v>
      </c>
      <c r="AH112" s="194">
        <f t="shared" si="68"/>
        <v>0</v>
      </c>
      <c r="AI112" s="199">
        <f t="shared" si="69"/>
        <v>0</v>
      </c>
      <c r="AK112" s="71">
        <v>107</v>
      </c>
      <c r="AL112" s="33"/>
      <c r="AM112" s="33"/>
      <c r="AN112" s="33"/>
      <c r="AO112" s="33"/>
      <c r="AP112" s="33"/>
      <c r="AQ112" s="194"/>
      <c r="AR112" s="194"/>
      <c r="AS112" s="194"/>
      <c r="AT112" s="194"/>
      <c r="AU112" s="33"/>
      <c r="AV112" s="33"/>
      <c r="AW112" s="33"/>
      <c r="AX112" s="33"/>
      <c r="AY112" s="76"/>
    </row>
    <row r="113" spans="2:51" x14ac:dyDescent="0.3">
      <c r="B113" s="67" t="s">
        <v>167</v>
      </c>
      <c r="C113" s="79" t="e">
        <f>1/$F$18*SUM(X6:X205)</f>
        <v>#DIV/0!</v>
      </c>
      <c r="D113" s="79" t="e">
        <f>1/$F$10*SUM(O6:O205)</f>
        <v>#DIV/0!</v>
      </c>
      <c r="E113" s="78" t="e">
        <f>C113-D113</f>
        <v>#DIV/0!</v>
      </c>
      <c r="I113" s="55">
        <v>108</v>
      </c>
      <c r="J113" s="33">
        <f t="shared" si="56"/>
        <v>0</v>
      </c>
      <c r="K113" s="33">
        <f t="shared" si="57"/>
        <v>0</v>
      </c>
      <c r="L113" s="33">
        <f t="shared" si="58"/>
        <v>0</v>
      </c>
      <c r="M113" s="33">
        <f t="shared" si="59"/>
        <v>0</v>
      </c>
      <c r="N113" s="33">
        <f t="shared" si="45"/>
        <v>0</v>
      </c>
      <c r="O113" s="34">
        <f t="shared" si="46"/>
        <v>0</v>
      </c>
      <c r="P113" s="55">
        <v>108</v>
      </c>
      <c r="Q113" s="33">
        <f t="shared" si="54"/>
        <v>0</v>
      </c>
      <c r="R113" s="33">
        <f t="shared" si="60"/>
        <v>0</v>
      </c>
      <c r="S113" s="33">
        <f t="shared" si="61"/>
        <v>0</v>
      </c>
      <c r="T113" s="33">
        <f t="shared" si="47"/>
        <v>0</v>
      </c>
      <c r="U113" s="33">
        <f t="shared" si="55"/>
        <v>0</v>
      </c>
      <c r="V113" s="33">
        <f t="shared" si="48"/>
        <v>0</v>
      </c>
      <c r="W113" s="33">
        <v>0</v>
      </c>
      <c r="X113" s="33">
        <f t="shared" si="49"/>
        <v>0</v>
      </c>
      <c r="Y113" s="38">
        <f t="shared" si="50"/>
        <v>0</v>
      </c>
      <c r="AA113" s="71">
        <v>108</v>
      </c>
      <c r="AB113" s="33">
        <f t="shared" si="51"/>
        <v>0</v>
      </c>
      <c r="AC113" s="305">
        <f t="shared" si="70"/>
        <v>0</v>
      </c>
      <c r="AD113" s="100">
        <f t="shared" si="52"/>
        <v>0</v>
      </c>
      <c r="AE113" s="100">
        <f t="shared" si="53"/>
        <v>0</v>
      </c>
      <c r="AF113" s="194">
        <f t="shared" si="66"/>
        <v>0</v>
      </c>
      <c r="AG113" s="194">
        <f t="shared" si="67"/>
        <v>0</v>
      </c>
      <c r="AH113" s="194">
        <f t="shared" si="68"/>
        <v>0</v>
      </c>
      <c r="AI113" s="199">
        <f t="shared" si="69"/>
        <v>0</v>
      </c>
      <c r="AK113" s="71">
        <v>108</v>
      </c>
      <c r="AL113" s="33"/>
      <c r="AM113" s="33"/>
      <c r="AN113" s="33"/>
      <c r="AO113" s="33"/>
      <c r="AP113" s="33"/>
      <c r="AQ113" s="194"/>
      <c r="AR113" s="194"/>
      <c r="AS113" s="194"/>
      <c r="AT113" s="194"/>
      <c r="AU113" s="33"/>
      <c r="AV113" s="33"/>
      <c r="AW113" s="33"/>
      <c r="AX113" s="33"/>
      <c r="AY113" s="76"/>
    </row>
    <row r="114" spans="2:51" x14ac:dyDescent="0.3">
      <c r="B114" s="67" t="s">
        <v>168</v>
      </c>
      <c r="C114" s="79">
        <f>X35</f>
        <v>0</v>
      </c>
      <c r="D114" s="79">
        <f>O35</f>
        <v>0</v>
      </c>
      <c r="E114" s="78">
        <f>VLOOKUP(30,I5:Y205,17,FALSE)</f>
        <v>0</v>
      </c>
      <c r="I114" s="55">
        <v>109</v>
      </c>
      <c r="J114" s="33">
        <f t="shared" si="56"/>
        <v>0</v>
      </c>
      <c r="K114" s="33">
        <f t="shared" si="57"/>
        <v>0</v>
      </c>
      <c r="L114" s="33">
        <f t="shared" si="58"/>
        <v>0</v>
      </c>
      <c r="M114" s="33">
        <f t="shared" si="59"/>
        <v>0</v>
      </c>
      <c r="N114" s="33">
        <f t="shared" si="45"/>
        <v>0</v>
      </c>
      <c r="O114" s="34">
        <f t="shared" si="46"/>
        <v>0</v>
      </c>
      <c r="P114" s="55">
        <v>109</v>
      </c>
      <c r="Q114" s="33">
        <f t="shared" si="54"/>
        <v>0</v>
      </c>
      <c r="R114" s="33">
        <f t="shared" si="60"/>
        <v>0</v>
      </c>
      <c r="S114" s="33">
        <f t="shared" si="61"/>
        <v>0</v>
      </c>
      <c r="T114" s="33">
        <f t="shared" si="47"/>
        <v>0</v>
      </c>
      <c r="U114" s="33">
        <f t="shared" si="55"/>
        <v>0</v>
      </c>
      <c r="V114" s="33">
        <f t="shared" si="48"/>
        <v>0</v>
      </c>
      <c r="W114" s="33">
        <v>0</v>
      </c>
      <c r="X114" s="33">
        <f t="shared" si="49"/>
        <v>0</v>
      </c>
      <c r="Y114" s="38">
        <f t="shared" si="50"/>
        <v>0</v>
      </c>
      <c r="AA114" s="71">
        <v>109</v>
      </c>
      <c r="AB114" s="33">
        <f t="shared" si="51"/>
        <v>0</v>
      </c>
      <c r="AC114" s="305">
        <f t="shared" si="70"/>
        <v>0</v>
      </c>
      <c r="AD114" s="100">
        <f t="shared" si="52"/>
        <v>0</v>
      </c>
      <c r="AE114" s="100">
        <f t="shared" si="53"/>
        <v>0</v>
      </c>
      <c r="AF114" s="194">
        <f t="shared" si="66"/>
        <v>0</v>
      </c>
      <c r="AG114" s="194">
        <f t="shared" si="67"/>
        <v>0</v>
      </c>
      <c r="AH114" s="194">
        <f t="shared" si="68"/>
        <v>0</v>
      </c>
      <c r="AI114" s="199">
        <f t="shared" si="69"/>
        <v>0</v>
      </c>
      <c r="AK114" s="71">
        <v>109</v>
      </c>
      <c r="AL114" s="33"/>
      <c r="AM114" s="33"/>
      <c r="AN114" s="33"/>
      <c r="AO114" s="33"/>
      <c r="AP114" s="33"/>
      <c r="AQ114" s="194"/>
      <c r="AR114" s="194"/>
      <c r="AS114" s="194"/>
      <c r="AT114" s="194"/>
      <c r="AU114" s="33"/>
      <c r="AV114" s="33"/>
      <c r="AW114" s="33"/>
      <c r="AX114" s="33"/>
      <c r="AY114" s="76"/>
    </row>
    <row r="115" spans="2:51" x14ac:dyDescent="0.3">
      <c r="C115" s="80"/>
      <c r="D115" s="80"/>
      <c r="E115" s="80"/>
      <c r="I115" s="55">
        <v>110</v>
      </c>
      <c r="J115" s="33">
        <f t="shared" si="56"/>
        <v>0</v>
      </c>
      <c r="K115" s="33">
        <f t="shared" si="57"/>
        <v>0</v>
      </c>
      <c r="L115" s="33">
        <f t="shared" si="58"/>
        <v>0</v>
      </c>
      <c r="M115" s="33">
        <f t="shared" si="59"/>
        <v>0</v>
      </c>
      <c r="N115" s="33">
        <f t="shared" si="45"/>
        <v>0</v>
      </c>
      <c r="O115" s="34">
        <f t="shared" si="46"/>
        <v>0</v>
      </c>
      <c r="P115" s="55">
        <v>110</v>
      </c>
      <c r="Q115" s="33">
        <f t="shared" si="54"/>
        <v>0</v>
      </c>
      <c r="R115" s="33">
        <f t="shared" si="60"/>
        <v>0</v>
      </c>
      <c r="S115" s="33">
        <f t="shared" si="61"/>
        <v>0</v>
      </c>
      <c r="T115" s="33">
        <f t="shared" si="47"/>
        <v>0</v>
      </c>
      <c r="U115" s="33">
        <f t="shared" si="55"/>
        <v>0</v>
      </c>
      <c r="V115" s="33">
        <f t="shared" si="48"/>
        <v>0</v>
      </c>
      <c r="W115" s="33">
        <v>0</v>
      </c>
      <c r="X115" s="33">
        <f t="shared" si="49"/>
        <v>0</v>
      </c>
      <c r="Y115" s="38">
        <f t="shared" si="50"/>
        <v>0</v>
      </c>
      <c r="AA115" s="71">
        <v>110</v>
      </c>
      <c r="AB115" s="33">
        <f t="shared" si="51"/>
        <v>0</v>
      </c>
      <c r="AC115" s="305">
        <f t="shared" si="70"/>
        <v>0</v>
      </c>
      <c r="AD115" s="100">
        <f t="shared" si="52"/>
        <v>0</v>
      </c>
      <c r="AE115" s="100">
        <f t="shared" si="53"/>
        <v>0</v>
      </c>
      <c r="AF115" s="194">
        <f t="shared" si="66"/>
        <v>0</v>
      </c>
      <c r="AG115" s="194">
        <f t="shared" si="67"/>
        <v>0</v>
      </c>
      <c r="AH115" s="194">
        <f t="shared" si="68"/>
        <v>0</v>
      </c>
      <c r="AI115" s="199">
        <f t="shared" si="69"/>
        <v>0</v>
      </c>
      <c r="AK115" s="71">
        <v>110</v>
      </c>
      <c r="AL115" s="33"/>
      <c r="AM115" s="33"/>
      <c r="AN115" s="33"/>
      <c r="AO115" s="33"/>
      <c r="AP115" s="33"/>
      <c r="AQ115" s="194"/>
      <c r="AR115" s="194"/>
      <c r="AS115" s="194"/>
      <c r="AT115" s="194"/>
      <c r="AU115" s="33"/>
      <c r="AV115" s="33"/>
      <c r="AW115" s="33"/>
      <c r="AX115" s="33"/>
      <c r="AY115" s="76"/>
    </row>
    <row r="116" spans="2:51" x14ac:dyDescent="0.3">
      <c r="C116" s="135" t="s">
        <v>125</v>
      </c>
      <c r="D116" s="135"/>
      <c r="E116" s="135"/>
      <c r="I116" s="55">
        <v>111</v>
      </c>
      <c r="J116" s="33">
        <f t="shared" si="56"/>
        <v>0</v>
      </c>
      <c r="K116" s="33">
        <f t="shared" si="57"/>
        <v>0</v>
      </c>
      <c r="L116" s="33">
        <f t="shared" si="58"/>
        <v>0</v>
      </c>
      <c r="M116" s="33">
        <f t="shared" si="59"/>
        <v>0</v>
      </c>
      <c r="N116" s="33">
        <f t="shared" si="45"/>
        <v>0</v>
      </c>
      <c r="O116" s="34">
        <f t="shared" si="46"/>
        <v>0</v>
      </c>
      <c r="P116" s="55">
        <v>111</v>
      </c>
      <c r="Q116" s="33">
        <f t="shared" si="54"/>
        <v>0</v>
      </c>
      <c r="R116" s="33">
        <f t="shared" si="60"/>
        <v>0</v>
      </c>
      <c r="S116" s="33">
        <f t="shared" si="61"/>
        <v>0</v>
      </c>
      <c r="T116" s="33">
        <f t="shared" si="47"/>
        <v>0</v>
      </c>
      <c r="U116" s="33">
        <f t="shared" si="55"/>
        <v>0</v>
      </c>
      <c r="V116" s="33">
        <f t="shared" si="48"/>
        <v>0</v>
      </c>
      <c r="W116" s="33">
        <v>0</v>
      </c>
      <c r="X116" s="33">
        <f t="shared" si="49"/>
        <v>0</v>
      </c>
      <c r="Y116" s="38">
        <f t="shared" si="50"/>
        <v>0</v>
      </c>
      <c r="AA116" s="71">
        <v>111</v>
      </c>
      <c r="AB116" s="33">
        <f t="shared" si="51"/>
        <v>0</v>
      </c>
      <c r="AC116" s="305">
        <f t="shared" si="70"/>
        <v>0</v>
      </c>
      <c r="AD116" s="100">
        <f t="shared" si="52"/>
        <v>0</v>
      </c>
      <c r="AE116" s="100">
        <f t="shared" si="53"/>
        <v>0</v>
      </c>
      <c r="AF116" s="194">
        <f t="shared" si="66"/>
        <v>0</v>
      </c>
      <c r="AG116" s="194">
        <f t="shared" si="67"/>
        <v>0</v>
      </c>
      <c r="AH116" s="194">
        <f t="shared" si="68"/>
        <v>0</v>
      </c>
      <c r="AI116" s="199">
        <f t="shared" si="69"/>
        <v>0</v>
      </c>
      <c r="AK116" s="71">
        <v>111</v>
      </c>
      <c r="AL116" s="33"/>
      <c r="AM116" s="33"/>
      <c r="AN116" s="33"/>
      <c r="AO116" s="33"/>
      <c r="AP116" s="33"/>
      <c r="AQ116" s="194"/>
      <c r="AR116" s="194"/>
      <c r="AS116" s="194"/>
      <c r="AT116" s="194"/>
      <c r="AU116" s="33"/>
      <c r="AV116" s="33"/>
      <c r="AW116" s="33"/>
      <c r="AX116" s="33"/>
      <c r="AY116" s="76"/>
    </row>
    <row r="117" spans="2:51" x14ac:dyDescent="0.3">
      <c r="C117" s="135" t="s">
        <v>145</v>
      </c>
      <c r="D117" s="135" t="s">
        <v>72</v>
      </c>
      <c r="E117" s="81" t="s">
        <v>166</v>
      </c>
      <c r="I117" s="55">
        <v>112</v>
      </c>
      <c r="J117" s="33">
        <f t="shared" si="56"/>
        <v>0</v>
      </c>
      <c r="K117" s="33">
        <f t="shared" si="57"/>
        <v>0</v>
      </c>
      <c r="L117" s="33">
        <f t="shared" si="58"/>
        <v>0</v>
      </c>
      <c r="M117" s="33">
        <f t="shared" si="59"/>
        <v>0</v>
      </c>
      <c r="N117" s="33">
        <f t="shared" si="45"/>
        <v>0</v>
      </c>
      <c r="O117" s="34">
        <f t="shared" si="46"/>
        <v>0</v>
      </c>
      <c r="P117" s="55">
        <v>112</v>
      </c>
      <c r="Q117" s="33">
        <f t="shared" si="54"/>
        <v>0</v>
      </c>
      <c r="R117" s="33">
        <f t="shared" si="60"/>
        <v>0</v>
      </c>
      <c r="S117" s="33">
        <f t="shared" si="61"/>
        <v>0</v>
      </c>
      <c r="T117" s="33">
        <f t="shared" si="47"/>
        <v>0</v>
      </c>
      <c r="U117" s="33">
        <f t="shared" si="55"/>
        <v>0</v>
      </c>
      <c r="V117" s="33">
        <f t="shared" si="48"/>
        <v>0</v>
      </c>
      <c r="W117" s="33">
        <v>0</v>
      </c>
      <c r="X117" s="33">
        <f t="shared" si="49"/>
        <v>0</v>
      </c>
      <c r="Y117" s="38">
        <f t="shared" si="50"/>
        <v>0</v>
      </c>
      <c r="AA117" s="71">
        <v>112</v>
      </c>
      <c r="AB117" s="33">
        <f t="shared" si="51"/>
        <v>0</v>
      </c>
      <c r="AC117" s="305">
        <f t="shared" si="70"/>
        <v>0</v>
      </c>
      <c r="AD117" s="100">
        <f t="shared" si="52"/>
        <v>0</v>
      </c>
      <c r="AE117" s="100">
        <f t="shared" si="53"/>
        <v>0</v>
      </c>
      <c r="AF117" s="194">
        <f t="shared" si="66"/>
        <v>0</v>
      </c>
      <c r="AG117" s="194">
        <f t="shared" si="67"/>
        <v>0</v>
      </c>
      <c r="AH117" s="194">
        <f t="shared" si="68"/>
        <v>0</v>
      </c>
      <c r="AI117" s="199">
        <f t="shared" si="69"/>
        <v>0</v>
      </c>
      <c r="AK117" s="71">
        <v>112</v>
      </c>
      <c r="AL117" s="33"/>
      <c r="AM117" s="33"/>
      <c r="AN117" s="33"/>
      <c r="AO117" s="33"/>
      <c r="AP117" s="33"/>
      <c r="AQ117" s="194"/>
      <c r="AR117" s="194"/>
      <c r="AS117" s="194"/>
      <c r="AT117" s="194"/>
      <c r="AU117" s="33"/>
      <c r="AV117" s="33"/>
      <c r="AW117" s="33"/>
      <c r="AX117" s="33"/>
      <c r="AY117" s="76"/>
    </row>
    <row r="118" spans="2:51" x14ac:dyDescent="0.3">
      <c r="B118" s="67" t="s">
        <v>261</v>
      </c>
      <c r="C118" s="303">
        <f>1/30*SUM(AI6:AI35)</f>
        <v>0</v>
      </c>
      <c r="D118" s="79">
        <v>0</v>
      </c>
      <c r="E118" s="78">
        <f>C118-D118</f>
        <v>0</v>
      </c>
      <c r="I118" s="55">
        <v>113</v>
      </c>
      <c r="J118" s="33">
        <f t="shared" si="56"/>
        <v>0</v>
      </c>
      <c r="K118" s="33">
        <f t="shared" si="57"/>
        <v>0</v>
      </c>
      <c r="L118" s="33">
        <f t="shared" si="58"/>
        <v>0</v>
      </c>
      <c r="M118" s="33">
        <f t="shared" si="59"/>
        <v>0</v>
      </c>
      <c r="N118" s="33">
        <f t="shared" si="45"/>
        <v>0</v>
      </c>
      <c r="O118" s="34">
        <f t="shared" si="46"/>
        <v>0</v>
      </c>
      <c r="P118" s="55">
        <v>113</v>
      </c>
      <c r="Q118" s="33">
        <f t="shared" si="54"/>
        <v>0</v>
      </c>
      <c r="R118" s="33">
        <f t="shared" si="60"/>
        <v>0</v>
      </c>
      <c r="S118" s="33">
        <f t="shared" si="61"/>
        <v>0</v>
      </c>
      <c r="T118" s="33">
        <f t="shared" si="47"/>
        <v>0</v>
      </c>
      <c r="U118" s="33">
        <f t="shared" si="55"/>
        <v>0</v>
      </c>
      <c r="V118" s="33">
        <f t="shared" si="48"/>
        <v>0</v>
      </c>
      <c r="W118" s="33">
        <v>0</v>
      </c>
      <c r="X118" s="33">
        <f t="shared" si="49"/>
        <v>0</v>
      </c>
      <c r="Y118" s="38">
        <f t="shared" si="50"/>
        <v>0</v>
      </c>
      <c r="AA118" s="71">
        <v>113</v>
      </c>
      <c r="AB118" s="33">
        <f t="shared" si="51"/>
        <v>0</v>
      </c>
      <c r="AC118" s="305">
        <f t="shared" si="70"/>
        <v>0</v>
      </c>
      <c r="AD118" s="100">
        <f t="shared" si="52"/>
        <v>0</v>
      </c>
      <c r="AE118" s="100">
        <f t="shared" si="53"/>
        <v>0</v>
      </c>
      <c r="AF118" s="194">
        <f t="shared" si="66"/>
        <v>0</v>
      </c>
      <c r="AG118" s="194">
        <f t="shared" si="67"/>
        <v>0</v>
      </c>
      <c r="AH118" s="194">
        <f t="shared" si="68"/>
        <v>0</v>
      </c>
      <c r="AI118" s="199">
        <f t="shared" si="69"/>
        <v>0</v>
      </c>
      <c r="AK118" s="71">
        <v>113</v>
      </c>
      <c r="AL118" s="33"/>
      <c r="AM118" s="33"/>
      <c r="AN118" s="33"/>
      <c r="AO118" s="33"/>
      <c r="AP118" s="33"/>
      <c r="AQ118" s="194"/>
      <c r="AR118" s="194"/>
      <c r="AS118" s="194"/>
      <c r="AT118" s="194"/>
      <c r="AU118" s="33"/>
      <c r="AV118" s="33"/>
      <c r="AW118" s="33"/>
      <c r="AX118" s="33"/>
      <c r="AY118" s="76"/>
    </row>
    <row r="119" spans="2:51" x14ac:dyDescent="0.3">
      <c r="B119" s="67"/>
      <c r="C119" s="82"/>
      <c r="D119" s="79"/>
      <c r="E119" s="78"/>
      <c r="I119" s="55">
        <v>114</v>
      </c>
      <c r="J119" s="33">
        <f t="shared" si="56"/>
        <v>0</v>
      </c>
      <c r="K119" s="33">
        <f t="shared" si="57"/>
        <v>0</v>
      </c>
      <c r="L119" s="33">
        <f t="shared" si="58"/>
        <v>0</v>
      </c>
      <c r="M119" s="33">
        <f t="shared" si="59"/>
        <v>0</v>
      </c>
      <c r="N119" s="33">
        <f t="shared" si="45"/>
        <v>0</v>
      </c>
      <c r="O119" s="34">
        <f t="shared" si="46"/>
        <v>0</v>
      </c>
      <c r="P119" s="55">
        <v>114</v>
      </c>
      <c r="Q119" s="33">
        <f t="shared" si="54"/>
        <v>0</v>
      </c>
      <c r="R119" s="33">
        <f t="shared" si="60"/>
        <v>0</v>
      </c>
      <c r="S119" s="33">
        <f t="shared" si="61"/>
        <v>0</v>
      </c>
      <c r="T119" s="33">
        <f t="shared" si="47"/>
        <v>0</v>
      </c>
      <c r="U119" s="33">
        <f t="shared" si="55"/>
        <v>0</v>
      </c>
      <c r="V119" s="33">
        <f t="shared" si="48"/>
        <v>0</v>
      </c>
      <c r="W119" s="33">
        <v>0</v>
      </c>
      <c r="X119" s="33">
        <f t="shared" si="49"/>
        <v>0</v>
      </c>
      <c r="Y119" s="38">
        <f t="shared" si="50"/>
        <v>0</v>
      </c>
      <c r="AA119" s="71">
        <v>114</v>
      </c>
      <c r="AB119" s="33">
        <f t="shared" si="51"/>
        <v>0</v>
      </c>
      <c r="AC119" s="305">
        <f t="shared" si="70"/>
        <v>0</v>
      </c>
      <c r="AD119" s="100">
        <f t="shared" si="52"/>
        <v>0</v>
      </c>
      <c r="AE119" s="100">
        <f t="shared" si="53"/>
        <v>0</v>
      </c>
      <c r="AF119" s="194">
        <f t="shared" si="66"/>
        <v>0</v>
      </c>
      <c r="AG119" s="194">
        <f t="shared" si="67"/>
        <v>0</v>
      </c>
      <c r="AH119" s="194">
        <f t="shared" si="68"/>
        <v>0</v>
      </c>
      <c r="AI119" s="199">
        <f t="shared" si="69"/>
        <v>0</v>
      </c>
      <c r="AK119" s="71">
        <v>114</v>
      </c>
      <c r="AL119" s="33"/>
      <c r="AM119" s="33"/>
      <c r="AN119" s="33"/>
      <c r="AO119" s="33"/>
      <c r="AP119" s="33"/>
      <c r="AQ119" s="194"/>
      <c r="AR119" s="194"/>
      <c r="AS119" s="194"/>
      <c r="AT119" s="194"/>
      <c r="AU119" s="33"/>
      <c r="AV119" s="33"/>
      <c r="AW119" s="33"/>
      <c r="AX119" s="33"/>
      <c r="AY119" s="76"/>
    </row>
    <row r="120" spans="2:51" x14ac:dyDescent="0.3">
      <c r="C120" s="80"/>
      <c r="D120" s="80"/>
      <c r="E120" s="83"/>
      <c r="I120" s="55">
        <v>115</v>
      </c>
      <c r="J120" s="33">
        <f t="shared" si="56"/>
        <v>0</v>
      </c>
      <c r="K120" s="33">
        <f t="shared" si="57"/>
        <v>0</v>
      </c>
      <c r="L120" s="33">
        <f t="shared" si="58"/>
        <v>0</v>
      </c>
      <c r="M120" s="33">
        <f t="shared" si="59"/>
        <v>0</v>
      </c>
      <c r="N120" s="33">
        <f t="shared" si="45"/>
        <v>0</v>
      </c>
      <c r="O120" s="34">
        <f t="shared" si="46"/>
        <v>0</v>
      </c>
      <c r="P120" s="55">
        <v>115</v>
      </c>
      <c r="Q120" s="33">
        <f t="shared" si="54"/>
        <v>0</v>
      </c>
      <c r="R120" s="33">
        <f t="shared" si="60"/>
        <v>0</v>
      </c>
      <c r="S120" s="33">
        <f t="shared" si="61"/>
        <v>0</v>
      </c>
      <c r="T120" s="33">
        <f t="shared" si="47"/>
        <v>0</v>
      </c>
      <c r="U120" s="33">
        <f t="shared" si="55"/>
        <v>0</v>
      </c>
      <c r="V120" s="33">
        <f t="shared" si="48"/>
        <v>0</v>
      </c>
      <c r="W120" s="33">
        <v>0</v>
      </c>
      <c r="X120" s="33">
        <f t="shared" si="49"/>
        <v>0</v>
      </c>
      <c r="Y120" s="38">
        <f t="shared" si="50"/>
        <v>0</v>
      </c>
      <c r="AA120" s="71">
        <v>115</v>
      </c>
      <c r="AB120" s="33">
        <f t="shared" si="51"/>
        <v>0</v>
      </c>
      <c r="AC120" s="305">
        <f t="shared" si="70"/>
        <v>0</v>
      </c>
      <c r="AD120" s="100">
        <f t="shared" si="52"/>
        <v>0</v>
      </c>
      <c r="AE120" s="100">
        <f t="shared" si="53"/>
        <v>0</v>
      </c>
      <c r="AF120" s="194">
        <f t="shared" si="66"/>
        <v>0</v>
      </c>
      <c r="AG120" s="194">
        <f t="shared" si="67"/>
        <v>0</v>
      </c>
      <c r="AH120" s="194">
        <f t="shared" si="68"/>
        <v>0</v>
      </c>
      <c r="AI120" s="199">
        <f t="shared" si="69"/>
        <v>0</v>
      </c>
      <c r="AK120" s="71">
        <v>115</v>
      </c>
      <c r="AL120" s="33"/>
      <c r="AM120" s="33"/>
      <c r="AN120" s="33"/>
      <c r="AO120" s="33"/>
      <c r="AP120" s="33"/>
      <c r="AQ120" s="194"/>
      <c r="AR120" s="194"/>
      <c r="AS120" s="194"/>
      <c r="AT120" s="194"/>
      <c r="AU120" s="33"/>
      <c r="AV120" s="33"/>
      <c r="AW120" s="33"/>
      <c r="AX120" s="33"/>
      <c r="AY120" s="76"/>
    </row>
    <row r="121" spans="2:51" x14ac:dyDescent="0.3">
      <c r="C121" s="135" t="s">
        <v>160</v>
      </c>
      <c r="D121" s="135"/>
      <c r="E121" s="135"/>
      <c r="I121" s="55">
        <v>116</v>
      </c>
      <c r="J121" s="33">
        <f t="shared" si="56"/>
        <v>0</v>
      </c>
      <c r="K121" s="33">
        <f t="shared" si="57"/>
        <v>0</v>
      </c>
      <c r="L121" s="33">
        <f t="shared" si="58"/>
        <v>0</v>
      </c>
      <c r="M121" s="33">
        <f t="shared" si="59"/>
        <v>0</v>
      </c>
      <c r="N121" s="33">
        <f t="shared" si="45"/>
        <v>0</v>
      </c>
      <c r="O121" s="34">
        <f t="shared" si="46"/>
        <v>0</v>
      </c>
      <c r="P121" s="55">
        <v>116</v>
      </c>
      <c r="Q121" s="33">
        <f t="shared" si="54"/>
        <v>0</v>
      </c>
      <c r="R121" s="33">
        <f t="shared" si="60"/>
        <v>0</v>
      </c>
      <c r="S121" s="33">
        <f t="shared" si="61"/>
        <v>0</v>
      </c>
      <c r="T121" s="33">
        <f t="shared" si="47"/>
        <v>0</v>
      </c>
      <c r="U121" s="33">
        <f t="shared" si="55"/>
        <v>0</v>
      </c>
      <c r="V121" s="33">
        <f t="shared" si="48"/>
        <v>0</v>
      </c>
      <c r="W121" s="33">
        <v>0</v>
      </c>
      <c r="X121" s="33">
        <f t="shared" si="49"/>
        <v>0</v>
      </c>
      <c r="Y121" s="38">
        <f t="shared" si="50"/>
        <v>0</v>
      </c>
      <c r="AA121" s="71">
        <v>116</v>
      </c>
      <c r="AB121" s="33">
        <f t="shared" si="51"/>
        <v>0</v>
      </c>
      <c r="AC121" s="305">
        <f t="shared" si="70"/>
        <v>0</v>
      </c>
      <c r="AD121" s="100">
        <f t="shared" si="52"/>
        <v>0</v>
      </c>
      <c r="AE121" s="100">
        <f t="shared" si="53"/>
        <v>0</v>
      </c>
      <c r="AF121" s="194">
        <f t="shared" si="66"/>
        <v>0</v>
      </c>
      <c r="AG121" s="194">
        <f t="shared" si="67"/>
        <v>0</v>
      </c>
      <c r="AH121" s="194">
        <f t="shared" si="68"/>
        <v>0</v>
      </c>
      <c r="AI121" s="199">
        <f t="shared" si="69"/>
        <v>0</v>
      </c>
      <c r="AK121" s="71">
        <v>116</v>
      </c>
      <c r="AL121" s="33"/>
      <c r="AM121" s="33"/>
      <c r="AN121" s="33"/>
      <c r="AO121" s="33"/>
      <c r="AP121" s="33"/>
      <c r="AQ121" s="194"/>
      <c r="AR121" s="194"/>
      <c r="AS121" s="194"/>
      <c r="AT121" s="194"/>
      <c r="AU121" s="33"/>
      <c r="AV121" s="33"/>
      <c r="AW121" s="33"/>
      <c r="AX121" s="33"/>
      <c r="AY121" s="76"/>
    </row>
    <row r="122" spans="2:51" x14ac:dyDescent="0.3">
      <c r="C122" s="135" t="s">
        <v>145</v>
      </c>
      <c r="D122" s="135" t="s">
        <v>72</v>
      </c>
      <c r="E122" s="81" t="s">
        <v>166</v>
      </c>
      <c r="I122" s="55">
        <v>117</v>
      </c>
      <c r="J122" s="33">
        <f t="shared" si="56"/>
        <v>0</v>
      </c>
      <c r="K122" s="33">
        <f t="shared" si="57"/>
        <v>0</v>
      </c>
      <c r="L122" s="33">
        <f t="shared" si="58"/>
        <v>0</v>
      </c>
      <c r="M122" s="33">
        <f t="shared" si="59"/>
        <v>0</v>
      </c>
      <c r="N122" s="33">
        <f t="shared" si="45"/>
        <v>0</v>
      </c>
      <c r="O122" s="34">
        <f t="shared" si="46"/>
        <v>0</v>
      </c>
      <c r="P122" s="55">
        <v>117</v>
      </c>
      <c r="Q122" s="33">
        <f t="shared" si="54"/>
        <v>0</v>
      </c>
      <c r="R122" s="33">
        <f t="shared" si="60"/>
        <v>0</v>
      </c>
      <c r="S122" s="33">
        <f t="shared" si="61"/>
        <v>0</v>
      </c>
      <c r="T122" s="33">
        <f t="shared" si="47"/>
        <v>0</v>
      </c>
      <c r="U122" s="33">
        <f t="shared" si="55"/>
        <v>0</v>
      </c>
      <c r="V122" s="33">
        <f t="shared" si="48"/>
        <v>0</v>
      </c>
      <c r="W122" s="33">
        <v>0</v>
      </c>
      <c r="X122" s="33">
        <f t="shared" si="49"/>
        <v>0</v>
      </c>
      <c r="Y122" s="38">
        <f t="shared" si="50"/>
        <v>0</v>
      </c>
      <c r="AA122" s="71">
        <v>117</v>
      </c>
      <c r="AB122" s="33">
        <f t="shared" si="51"/>
        <v>0</v>
      </c>
      <c r="AC122" s="305">
        <f t="shared" si="70"/>
        <v>0</v>
      </c>
      <c r="AD122" s="100">
        <f t="shared" si="52"/>
        <v>0</v>
      </c>
      <c r="AE122" s="100">
        <f t="shared" si="53"/>
        <v>0</v>
      </c>
      <c r="AF122" s="194">
        <f t="shared" si="66"/>
        <v>0</v>
      </c>
      <c r="AG122" s="194">
        <f t="shared" si="67"/>
        <v>0</v>
      </c>
      <c r="AH122" s="194">
        <f t="shared" si="68"/>
        <v>0</v>
      </c>
      <c r="AI122" s="199">
        <f t="shared" si="69"/>
        <v>0</v>
      </c>
      <c r="AK122" s="71">
        <v>117</v>
      </c>
      <c r="AL122" s="33"/>
      <c r="AM122" s="33"/>
      <c r="AN122" s="33"/>
      <c r="AO122" s="33"/>
      <c r="AP122" s="33"/>
      <c r="AQ122" s="194"/>
      <c r="AR122" s="194"/>
      <c r="AS122" s="194"/>
      <c r="AT122" s="194"/>
      <c r="AU122" s="33"/>
      <c r="AV122" s="33"/>
      <c r="AW122" s="33"/>
      <c r="AX122" s="33"/>
      <c r="AY122" s="76"/>
    </row>
    <row r="123" spans="2:51" x14ac:dyDescent="0.3">
      <c r="B123" s="67" t="s">
        <v>168</v>
      </c>
      <c r="C123" s="82">
        <f>AY35</f>
        <v>0</v>
      </c>
      <c r="D123" s="304">
        <f>IF(AND(D8=B100,F12=C194),J34*50%*G107,0)</f>
        <v>0</v>
      </c>
      <c r="E123" s="78">
        <f>C123-D123</f>
        <v>0</v>
      </c>
      <c r="I123" s="55">
        <v>118</v>
      </c>
      <c r="J123" s="33">
        <f t="shared" si="56"/>
        <v>0</v>
      </c>
      <c r="K123" s="33">
        <f t="shared" si="57"/>
        <v>0</v>
      </c>
      <c r="L123" s="33">
        <f t="shared" si="58"/>
        <v>0</v>
      </c>
      <c r="M123" s="33">
        <f t="shared" si="59"/>
        <v>0</v>
      </c>
      <c r="N123" s="33">
        <f t="shared" si="45"/>
        <v>0</v>
      </c>
      <c r="O123" s="34">
        <f t="shared" si="46"/>
        <v>0</v>
      </c>
      <c r="P123" s="55">
        <v>118</v>
      </c>
      <c r="Q123" s="33">
        <f t="shared" si="54"/>
        <v>0</v>
      </c>
      <c r="R123" s="33">
        <f t="shared" si="60"/>
        <v>0</v>
      </c>
      <c r="S123" s="33">
        <f t="shared" si="61"/>
        <v>0</v>
      </c>
      <c r="T123" s="33">
        <f t="shared" si="47"/>
        <v>0</v>
      </c>
      <c r="U123" s="33">
        <f t="shared" si="55"/>
        <v>0</v>
      </c>
      <c r="V123" s="33">
        <f t="shared" si="48"/>
        <v>0</v>
      </c>
      <c r="W123" s="33">
        <v>0</v>
      </c>
      <c r="X123" s="33">
        <f t="shared" si="49"/>
        <v>0</v>
      </c>
      <c r="Y123" s="38">
        <f t="shared" si="50"/>
        <v>0</v>
      </c>
      <c r="AA123" s="71">
        <v>118</v>
      </c>
      <c r="AB123" s="33">
        <f t="shared" si="51"/>
        <v>0</v>
      </c>
      <c r="AC123" s="305">
        <f t="shared" si="70"/>
        <v>0</v>
      </c>
      <c r="AD123" s="100">
        <f t="shared" si="52"/>
        <v>0</v>
      </c>
      <c r="AE123" s="100">
        <f t="shared" si="53"/>
        <v>0</v>
      </c>
      <c r="AF123" s="194">
        <f t="shared" si="66"/>
        <v>0</v>
      </c>
      <c r="AG123" s="194">
        <f t="shared" si="67"/>
        <v>0</v>
      </c>
      <c r="AH123" s="194">
        <f t="shared" si="68"/>
        <v>0</v>
      </c>
      <c r="AI123" s="199">
        <f t="shared" si="69"/>
        <v>0</v>
      </c>
      <c r="AK123" s="71">
        <v>118</v>
      </c>
      <c r="AL123" s="33"/>
      <c r="AM123" s="33"/>
      <c r="AN123" s="33"/>
      <c r="AO123" s="33"/>
      <c r="AP123" s="33"/>
      <c r="AQ123" s="194"/>
      <c r="AR123" s="194"/>
      <c r="AS123" s="194"/>
      <c r="AT123" s="194"/>
      <c r="AU123" s="33"/>
      <c r="AV123" s="33"/>
      <c r="AW123" s="33"/>
      <c r="AX123" s="33"/>
      <c r="AY123" s="76"/>
    </row>
    <row r="124" spans="2:51" x14ac:dyDescent="0.3">
      <c r="I124" s="55">
        <v>119</v>
      </c>
      <c r="J124" s="33">
        <f t="shared" si="56"/>
        <v>0</v>
      </c>
      <c r="K124" s="33">
        <f t="shared" si="57"/>
        <v>0</v>
      </c>
      <c r="L124" s="33">
        <f t="shared" si="58"/>
        <v>0</v>
      </c>
      <c r="M124" s="33">
        <f t="shared" si="59"/>
        <v>0</v>
      </c>
      <c r="N124" s="33">
        <f t="shared" si="45"/>
        <v>0</v>
      </c>
      <c r="O124" s="34">
        <f t="shared" si="46"/>
        <v>0</v>
      </c>
      <c r="P124" s="55">
        <v>119</v>
      </c>
      <c r="Q124" s="33">
        <f t="shared" si="54"/>
        <v>0</v>
      </c>
      <c r="R124" s="33">
        <f t="shared" si="60"/>
        <v>0</v>
      </c>
      <c r="S124" s="33">
        <f t="shared" si="61"/>
        <v>0</v>
      </c>
      <c r="T124" s="33">
        <f t="shared" si="47"/>
        <v>0</v>
      </c>
      <c r="U124" s="33">
        <f t="shared" si="55"/>
        <v>0</v>
      </c>
      <c r="V124" s="33">
        <f t="shared" si="48"/>
        <v>0</v>
      </c>
      <c r="W124" s="33">
        <v>0</v>
      </c>
      <c r="X124" s="33">
        <f t="shared" si="49"/>
        <v>0</v>
      </c>
      <c r="Y124" s="38">
        <f t="shared" si="50"/>
        <v>0</v>
      </c>
      <c r="AA124" s="71">
        <v>119</v>
      </c>
      <c r="AB124" s="33">
        <f t="shared" si="51"/>
        <v>0</v>
      </c>
      <c r="AC124" s="305">
        <f t="shared" si="70"/>
        <v>0</v>
      </c>
      <c r="AD124" s="100">
        <f t="shared" si="52"/>
        <v>0</v>
      </c>
      <c r="AE124" s="100">
        <f t="shared" si="53"/>
        <v>0</v>
      </c>
      <c r="AF124" s="194">
        <f t="shared" si="66"/>
        <v>0</v>
      </c>
      <c r="AG124" s="194">
        <f t="shared" si="67"/>
        <v>0</v>
      </c>
      <c r="AH124" s="194">
        <f t="shared" si="68"/>
        <v>0</v>
      </c>
      <c r="AI124" s="199">
        <f t="shared" si="69"/>
        <v>0</v>
      </c>
      <c r="AK124" s="71">
        <v>119</v>
      </c>
      <c r="AL124" s="33"/>
      <c r="AM124" s="33"/>
      <c r="AN124" s="33"/>
      <c r="AO124" s="33"/>
      <c r="AP124" s="33"/>
      <c r="AQ124" s="194"/>
      <c r="AR124" s="194"/>
      <c r="AS124" s="194"/>
      <c r="AT124" s="194"/>
      <c r="AU124" s="33"/>
      <c r="AV124" s="33"/>
      <c r="AW124" s="33"/>
      <c r="AX124" s="33"/>
      <c r="AY124" s="76"/>
    </row>
    <row r="125" spans="2:51" x14ac:dyDescent="0.3">
      <c r="C125" s="80"/>
      <c r="D125" s="80"/>
      <c r="E125" s="83"/>
      <c r="I125" s="55">
        <v>120</v>
      </c>
      <c r="J125" s="33">
        <f t="shared" si="56"/>
        <v>0</v>
      </c>
      <c r="K125" s="33">
        <f t="shared" si="57"/>
        <v>0</v>
      </c>
      <c r="L125" s="33">
        <f t="shared" si="58"/>
        <v>0</v>
      </c>
      <c r="M125" s="33">
        <f t="shared" si="59"/>
        <v>0</v>
      </c>
      <c r="N125" s="33">
        <f t="shared" si="45"/>
        <v>0</v>
      </c>
      <c r="O125" s="34">
        <f t="shared" si="46"/>
        <v>0</v>
      </c>
      <c r="P125" s="55">
        <v>120</v>
      </c>
      <c r="Q125" s="33">
        <f t="shared" si="54"/>
        <v>0</v>
      </c>
      <c r="R125" s="33">
        <f t="shared" si="60"/>
        <v>0</v>
      </c>
      <c r="S125" s="33">
        <f t="shared" si="61"/>
        <v>0</v>
      </c>
      <c r="T125" s="33">
        <f t="shared" si="47"/>
        <v>0</v>
      </c>
      <c r="U125" s="33">
        <f t="shared" si="55"/>
        <v>0</v>
      </c>
      <c r="V125" s="33">
        <f t="shared" si="48"/>
        <v>0</v>
      </c>
      <c r="W125" s="33">
        <v>0</v>
      </c>
      <c r="X125" s="33">
        <f t="shared" si="49"/>
        <v>0</v>
      </c>
      <c r="Y125" s="38">
        <f t="shared" si="50"/>
        <v>0</v>
      </c>
      <c r="AA125" s="71">
        <v>120</v>
      </c>
      <c r="AB125" s="33">
        <f t="shared" si="51"/>
        <v>0</v>
      </c>
      <c r="AC125" s="305">
        <f t="shared" si="70"/>
        <v>0</v>
      </c>
      <c r="AD125" s="100">
        <f t="shared" si="52"/>
        <v>0</v>
      </c>
      <c r="AE125" s="100">
        <f t="shared" si="53"/>
        <v>0</v>
      </c>
      <c r="AF125" s="194">
        <f t="shared" si="66"/>
        <v>0</v>
      </c>
      <c r="AG125" s="194">
        <f t="shared" si="67"/>
        <v>0</v>
      </c>
      <c r="AH125" s="194">
        <f t="shared" si="68"/>
        <v>0</v>
      </c>
      <c r="AI125" s="199">
        <f t="shared" si="69"/>
        <v>0</v>
      </c>
      <c r="AK125" s="71">
        <v>120</v>
      </c>
      <c r="AL125" s="33"/>
      <c r="AM125" s="33"/>
      <c r="AN125" s="33"/>
      <c r="AO125" s="33"/>
      <c r="AP125" s="33"/>
      <c r="AQ125" s="194"/>
      <c r="AR125" s="194"/>
      <c r="AS125" s="194"/>
      <c r="AT125" s="194"/>
      <c r="AU125" s="33"/>
      <c r="AV125" s="33"/>
      <c r="AW125" s="33"/>
      <c r="AX125" s="33"/>
      <c r="AY125" s="76"/>
    </row>
    <row r="126" spans="2:51" x14ac:dyDescent="0.3">
      <c r="C126" s="84" t="s">
        <v>129</v>
      </c>
      <c r="D126" s="84" t="s">
        <v>130</v>
      </c>
      <c r="E126" s="84" t="s">
        <v>160</v>
      </c>
      <c r="F126" s="157" t="s">
        <v>170</v>
      </c>
      <c r="I126" s="55">
        <v>121</v>
      </c>
      <c r="J126" s="33">
        <f t="shared" si="56"/>
        <v>0</v>
      </c>
      <c r="K126" s="33">
        <f t="shared" si="57"/>
        <v>0</v>
      </c>
      <c r="L126" s="33">
        <f t="shared" si="58"/>
        <v>0</v>
      </c>
      <c r="M126" s="33">
        <f t="shared" si="59"/>
        <v>0</v>
      </c>
      <c r="N126" s="33">
        <f t="shared" si="45"/>
        <v>0</v>
      </c>
      <c r="O126" s="34">
        <f t="shared" si="46"/>
        <v>0</v>
      </c>
      <c r="P126" s="55">
        <v>121</v>
      </c>
      <c r="Q126" s="33">
        <f t="shared" si="54"/>
        <v>0</v>
      </c>
      <c r="R126" s="33">
        <f t="shared" si="60"/>
        <v>0</v>
      </c>
      <c r="S126" s="33">
        <f t="shared" si="61"/>
        <v>0</v>
      </c>
      <c r="T126" s="33">
        <f t="shared" si="47"/>
        <v>0</v>
      </c>
      <c r="U126" s="33">
        <f t="shared" si="55"/>
        <v>0</v>
      </c>
      <c r="V126" s="33">
        <f t="shared" si="48"/>
        <v>0</v>
      </c>
      <c r="W126" s="33">
        <v>0</v>
      </c>
      <c r="X126" s="33">
        <f t="shared" si="49"/>
        <v>0</v>
      </c>
      <c r="Y126" s="38">
        <f t="shared" si="50"/>
        <v>0</v>
      </c>
      <c r="AA126" s="71">
        <v>121</v>
      </c>
      <c r="AB126" s="33">
        <f t="shared" si="51"/>
        <v>0</v>
      </c>
      <c r="AC126" s="305">
        <f t="shared" si="70"/>
        <v>0</v>
      </c>
      <c r="AD126" s="100">
        <f t="shared" si="52"/>
        <v>0</v>
      </c>
      <c r="AE126" s="100">
        <f t="shared" si="53"/>
        <v>0</v>
      </c>
      <c r="AF126" s="194">
        <f t="shared" si="66"/>
        <v>0</v>
      </c>
      <c r="AG126" s="194">
        <f t="shared" si="67"/>
        <v>0</v>
      </c>
      <c r="AH126" s="194">
        <f t="shared" si="68"/>
        <v>0</v>
      </c>
      <c r="AI126" s="199">
        <f t="shared" si="69"/>
        <v>0</v>
      </c>
      <c r="AK126" s="71">
        <v>121</v>
      </c>
      <c r="AL126" s="33"/>
      <c r="AM126" s="33"/>
      <c r="AN126" s="33"/>
      <c r="AO126" s="33"/>
      <c r="AP126" s="33"/>
      <c r="AQ126" s="194"/>
      <c r="AR126" s="194"/>
      <c r="AS126" s="194"/>
      <c r="AT126" s="194"/>
      <c r="AU126" s="33"/>
      <c r="AV126" s="33"/>
      <c r="AW126" s="33"/>
      <c r="AX126" s="33"/>
      <c r="AY126" s="76"/>
    </row>
    <row r="127" spans="2:51" x14ac:dyDescent="0.3">
      <c r="C127" s="82" t="e">
        <f>IF(F18&gt;30,MIN(E113:E114),E113)</f>
        <v>#DIV/0!</v>
      </c>
      <c r="D127" s="82">
        <f>MIN(E118:E119)</f>
        <v>0</v>
      </c>
      <c r="E127" s="85">
        <f>E123</f>
        <v>0</v>
      </c>
      <c r="F127" s="86" t="e">
        <f>SUM(C127:E127)</f>
        <v>#DIV/0!</v>
      </c>
      <c r="I127" s="55">
        <v>122</v>
      </c>
      <c r="J127" s="33">
        <f t="shared" si="56"/>
        <v>0</v>
      </c>
      <c r="K127" s="33">
        <f t="shared" si="57"/>
        <v>0</v>
      </c>
      <c r="L127" s="33">
        <f t="shared" si="58"/>
        <v>0</v>
      </c>
      <c r="M127" s="33">
        <f t="shared" si="59"/>
        <v>0</v>
      </c>
      <c r="N127" s="33">
        <f t="shared" si="45"/>
        <v>0</v>
      </c>
      <c r="O127" s="34">
        <f t="shared" si="46"/>
        <v>0</v>
      </c>
      <c r="P127" s="55">
        <v>122</v>
      </c>
      <c r="Q127" s="33">
        <f t="shared" si="54"/>
        <v>0</v>
      </c>
      <c r="R127" s="33">
        <f t="shared" si="60"/>
        <v>0</v>
      </c>
      <c r="S127" s="33">
        <f t="shared" si="61"/>
        <v>0</v>
      </c>
      <c r="T127" s="33">
        <f t="shared" si="47"/>
        <v>0</v>
      </c>
      <c r="U127" s="33">
        <f t="shared" si="55"/>
        <v>0</v>
      </c>
      <c r="V127" s="33">
        <f t="shared" si="48"/>
        <v>0</v>
      </c>
      <c r="W127" s="33">
        <v>0</v>
      </c>
      <c r="X127" s="33">
        <f t="shared" si="49"/>
        <v>0</v>
      </c>
      <c r="Y127" s="38">
        <f t="shared" si="50"/>
        <v>0</v>
      </c>
      <c r="AA127" s="71">
        <v>122</v>
      </c>
      <c r="AB127" s="33">
        <f t="shared" si="51"/>
        <v>0</v>
      </c>
      <c r="AC127" s="305">
        <f t="shared" si="70"/>
        <v>0</v>
      </c>
      <c r="AD127" s="100">
        <f t="shared" si="52"/>
        <v>0</v>
      </c>
      <c r="AE127" s="100">
        <f t="shared" si="53"/>
        <v>0</v>
      </c>
      <c r="AF127" s="194">
        <f t="shared" si="66"/>
        <v>0</v>
      </c>
      <c r="AG127" s="194">
        <f t="shared" si="67"/>
        <v>0</v>
      </c>
      <c r="AH127" s="194">
        <f t="shared" si="68"/>
        <v>0</v>
      </c>
      <c r="AI127" s="199">
        <f t="shared" si="69"/>
        <v>0</v>
      </c>
      <c r="AK127" s="71">
        <v>122</v>
      </c>
      <c r="AL127" s="33"/>
      <c r="AM127" s="33"/>
      <c r="AN127" s="33"/>
      <c r="AO127" s="33"/>
      <c r="AP127" s="33"/>
      <c r="AQ127" s="194"/>
      <c r="AR127" s="194"/>
      <c r="AS127" s="194"/>
      <c r="AT127" s="194"/>
      <c r="AU127" s="33"/>
      <c r="AV127" s="33"/>
      <c r="AW127" s="33"/>
      <c r="AX127" s="33"/>
      <c r="AY127" s="76"/>
    </row>
    <row r="128" spans="2:51" x14ac:dyDescent="0.3">
      <c r="E128" s="24"/>
      <c r="I128" s="55">
        <v>123</v>
      </c>
      <c r="J128" s="33">
        <f t="shared" si="56"/>
        <v>0</v>
      </c>
      <c r="K128" s="33">
        <f t="shared" si="57"/>
        <v>0</v>
      </c>
      <c r="L128" s="33">
        <f t="shared" si="58"/>
        <v>0</v>
      </c>
      <c r="M128" s="33">
        <f t="shared" si="59"/>
        <v>0</v>
      </c>
      <c r="N128" s="33">
        <f t="shared" si="45"/>
        <v>0</v>
      </c>
      <c r="O128" s="34">
        <f t="shared" si="46"/>
        <v>0</v>
      </c>
      <c r="P128" s="55">
        <v>123</v>
      </c>
      <c r="Q128" s="33">
        <f t="shared" si="54"/>
        <v>0</v>
      </c>
      <c r="R128" s="33">
        <f t="shared" si="60"/>
        <v>0</v>
      </c>
      <c r="S128" s="33">
        <f t="shared" si="61"/>
        <v>0</v>
      </c>
      <c r="T128" s="33">
        <f t="shared" si="47"/>
        <v>0</v>
      </c>
      <c r="U128" s="33">
        <f t="shared" si="55"/>
        <v>0</v>
      </c>
      <c r="V128" s="33">
        <f t="shared" si="48"/>
        <v>0</v>
      </c>
      <c r="W128" s="33">
        <v>0</v>
      </c>
      <c r="X128" s="33">
        <f t="shared" si="49"/>
        <v>0</v>
      </c>
      <c r="Y128" s="38">
        <f t="shared" si="50"/>
        <v>0</v>
      </c>
      <c r="AA128" s="71">
        <v>123</v>
      </c>
      <c r="AB128" s="33">
        <f t="shared" si="51"/>
        <v>0</v>
      </c>
      <c r="AC128" s="305">
        <f t="shared" si="70"/>
        <v>0</v>
      </c>
      <c r="AD128" s="100">
        <f t="shared" si="52"/>
        <v>0</v>
      </c>
      <c r="AE128" s="100">
        <f t="shared" si="53"/>
        <v>0</v>
      </c>
      <c r="AF128" s="194">
        <f t="shared" si="66"/>
        <v>0</v>
      </c>
      <c r="AG128" s="194">
        <f t="shared" si="67"/>
        <v>0</v>
      </c>
      <c r="AH128" s="194">
        <f t="shared" si="68"/>
        <v>0</v>
      </c>
      <c r="AI128" s="199">
        <f t="shared" si="69"/>
        <v>0</v>
      </c>
      <c r="AK128" s="71">
        <v>123</v>
      </c>
      <c r="AL128" s="33"/>
      <c r="AM128" s="33"/>
      <c r="AN128" s="33"/>
      <c r="AO128" s="33"/>
      <c r="AP128" s="33"/>
      <c r="AQ128" s="194"/>
      <c r="AR128" s="194"/>
      <c r="AS128" s="194"/>
      <c r="AT128" s="194"/>
      <c r="AU128" s="33"/>
      <c r="AV128" s="33"/>
      <c r="AW128" s="33"/>
      <c r="AX128" s="33"/>
      <c r="AY128" s="76"/>
    </row>
    <row r="129" spans="3:51" x14ac:dyDescent="0.3">
      <c r="E129" s="24"/>
      <c r="I129" s="55">
        <v>124</v>
      </c>
      <c r="J129" s="33">
        <f t="shared" si="56"/>
        <v>0</v>
      </c>
      <c r="K129" s="33">
        <f t="shared" si="57"/>
        <v>0</v>
      </c>
      <c r="L129" s="33">
        <f t="shared" si="58"/>
        <v>0</v>
      </c>
      <c r="M129" s="33">
        <f t="shared" si="59"/>
        <v>0</v>
      </c>
      <c r="N129" s="33">
        <f t="shared" si="45"/>
        <v>0</v>
      </c>
      <c r="O129" s="34">
        <f t="shared" si="46"/>
        <v>0</v>
      </c>
      <c r="P129" s="55">
        <v>124</v>
      </c>
      <c r="Q129" s="33">
        <f t="shared" si="54"/>
        <v>0</v>
      </c>
      <c r="R129" s="33">
        <f t="shared" si="60"/>
        <v>0</v>
      </c>
      <c r="S129" s="33">
        <f t="shared" si="61"/>
        <v>0</v>
      </c>
      <c r="T129" s="33">
        <f t="shared" si="47"/>
        <v>0</v>
      </c>
      <c r="U129" s="33">
        <f t="shared" si="55"/>
        <v>0</v>
      </c>
      <c r="V129" s="33">
        <f t="shared" si="48"/>
        <v>0</v>
      </c>
      <c r="W129" s="33">
        <v>0</v>
      </c>
      <c r="X129" s="33">
        <f t="shared" si="49"/>
        <v>0</v>
      </c>
      <c r="Y129" s="38">
        <f t="shared" si="50"/>
        <v>0</v>
      </c>
      <c r="AA129" s="71">
        <v>124</v>
      </c>
      <c r="AB129" s="33">
        <f t="shared" si="51"/>
        <v>0</v>
      </c>
      <c r="AC129" s="305">
        <f t="shared" si="70"/>
        <v>0</v>
      </c>
      <c r="AD129" s="100">
        <f t="shared" si="52"/>
        <v>0</v>
      </c>
      <c r="AE129" s="100">
        <f t="shared" si="53"/>
        <v>0</v>
      </c>
      <c r="AF129" s="194">
        <f t="shared" si="66"/>
        <v>0</v>
      </c>
      <c r="AG129" s="194">
        <f t="shared" si="67"/>
        <v>0</v>
      </c>
      <c r="AH129" s="194">
        <f t="shared" si="68"/>
        <v>0</v>
      </c>
      <c r="AI129" s="199">
        <f t="shared" si="69"/>
        <v>0</v>
      </c>
      <c r="AK129" s="71">
        <v>124</v>
      </c>
      <c r="AL129" s="33"/>
      <c r="AM129" s="33"/>
      <c r="AN129" s="33"/>
      <c r="AO129" s="33"/>
      <c r="AP129" s="33"/>
      <c r="AQ129" s="194"/>
      <c r="AR129" s="194"/>
      <c r="AS129" s="194"/>
      <c r="AT129" s="194"/>
      <c r="AU129" s="33"/>
      <c r="AV129" s="33"/>
      <c r="AW129" s="33"/>
      <c r="AX129" s="33"/>
      <c r="AY129" s="76"/>
    </row>
    <row r="130" spans="3:51" ht="41.4" x14ac:dyDescent="0.3">
      <c r="C130" s="3" t="s">
        <v>5</v>
      </c>
      <c r="D130" s="3" t="s">
        <v>6</v>
      </c>
      <c r="E130" s="188" t="s">
        <v>227</v>
      </c>
      <c r="F130" s="343" t="s">
        <v>266</v>
      </c>
      <c r="I130" s="55">
        <v>125</v>
      </c>
      <c r="J130" s="33">
        <f t="shared" si="56"/>
        <v>0</v>
      </c>
      <c r="K130" s="33">
        <f t="shared" si="57"/>
        <v>0</v>
      </c>
      <c r="L130" s="33">
        <f t="shared" si="58"/>
        <v>0</v>
      </c>
      <c r="M130" s="33">
        <f t="shared" si="59"/>
        <v>0</v>
      </c>
      <c r="N130" s="33">
        <f t="shared" si="45"/>
        <v>0</v>
      </c>
      <c r="O130" s="34">
        <f t="shared" si="46"/>
        <v>0</v>
      </c>
      <c r="P130" s="55">
        <v>125</v>
      </c>
      <c r="Q130" s="33">
        <f t="shared" si="54"/>
        <v>0</v>
      </c>
      <c r="R130" s="33">
        <f t="shared" si="60"/>
        <v>0</v>
      </c>
      <c r="S130" s="33">
        <f t="shared" si="61"/>
        <v>0</v>
      </c>
      <c r="T130" s="33">
        <f t="shared" si="47"/>
        <v>0</v>
      </c>
      <c r="U130" s="33">
        <f t="shared" si="55"/>
        <v>0</v>
      </c>
      <c r="V130" s="33">
        <f t="shared" si="48"/>
        <v>0</v>
      </c>
      <c r="W130" s="33">
        <v>0</v>
      </c>
      <c r="X130" s="33">
        <f t="shared" si="49"/>
        <v>0</v>
      </c>
      <c r="Y130" s="38">
        <f t="shared" si="50"/>
        <v>0</v>
      </c>
      <c r="AA130" s="71">
        <v>125</v>
      </c>
      <c r="AB130" s="33">
        <f t="shared" si="51"/>
        <v>0</v>
      </c>
      <c r="AC130" s="305">
        <f t="shared" si="70"/>
        <v>0</v>
      </c>
      <c r="AD130" s="100">
        <f t="shared" si="52"/>
        <v>0</v>
      </c>
      <c r="AE130" s="100">
        <f t="shared" si="53"/>
        <v>0</v>
      </c>
      <c r="AF130" s="194">
        <f t="shared" si="66"/>
        <v>0</v>
      </c>
      <c r="AG130" s="194">
        <f t="shared" si="67"/>
        <v>0</v>
      </c>
      <c r="AH130" s="194">
        <f t="shared" si="68"/>
        <v>0</v>
      </c>
      <c r="AI130" s="199">
        <f t="shared" si="69"/>
        <v>0</v>
      </c>
      <c r="AK130" s="71">
        <v>125</v>
      </c>
      <c r="AL130" s="33"/>
      <c r="AM130" s="33"/>
      <c r="AN130" s="33"/>
      <c r="AO130" s="33"/>
      <c r="AP130" s="33"/>
      <c r="AQ130" s="194"/>
      <c r="AR130" s="194"/>
      <c r="AS130" s="194"/>
      <c r="AT130" s="194"/>
      <c r="AU130" s="33"/>
      <c r="AV130" s="33"/>
      <c r="AW130" s="33"/>
      <c r="AX130" s="33"/>
      <c r="AY130" s="76"/>
    </row>
    <row r="131" spans="3:51" x14ac:dyDescent="0.3">
      <c r="C131" s="166" t="s">
        <v>7</v>
      </c>
      <c r="D131" s="4">
        <v>0.62</v>
      </c>
      <c r="E131" s="188" t="s">
        <v>228</v>
      </c>
      <c r="F131" s="343">
        <f>IF(OR(Tableau145[[#This Row],[Type]]="Feuillus",Tableau145[[#This Row],[Type]]="Peupliers"),1.56,1.3)</f>
        <v>1.56</v>
      </c>
      <c r="I131" s="55">
        <v>126</v>
      </c>
      <c r="J131" s="33">
        <f t="shared" si="56"/>
        <v>0</v>
      </c>
      <c r="K131" s="33">
        <f t="shared" si="57"/>
        <v>0</v>
      </c>
      <c r="L131" s="33">
        <f t="shared" si="58"/>
        <v>0</v>
      </c>
      <c r="M131" s="33">
        <f t="shared" si="59"/>
        <v>0</v>
      </c>
      <c r="N131" s="33">
        <f t="shared" si="45"/>
        <v>0</v>
      </c>
      <c r="O131" s="34">
        <f t="shared" si="46"/>
        <v>0</v>
      </c>
      <c r="P131" s="55">
        <v>126</v>
      </c>
      <c r="Q131" s="33">
        <f t="shared" si="54"/>
        <v>0</v>
      </c>
      <c r="R131" s="33">
        <f t="shared" si="60"/>
        <v>0</v>
      </c>
      <c r="S131" s="33">
        <f t="shared" si="61"/>
        <v>0</v>
      </c>
      <c r="T131" s="33">
        <f t="shared" si="47"/>
        <v>0</v>
      </c>
      <c r="U131" s="33">
        <f t="shared" si="55"/>
        <v>0</v>
      </c>
      <c r="V131" s="33">
        <f t="shared" si="48"/>
        <v>0</v>
      </c>
      <c r="W131" s="33">
        <v>0</v>
      </c>
      <c r="X131" s="33">
        <f t="shared" si="49"/>
        <v>0</v>
      </c>
      <c r="Y131" s="38">
        <f t="shared" si="50"/>
        <v>0</v>
      </c>
      <c r="AA131" s="71">
        <v>126</v>
      </c>
      <c r="AB131" s="33">
        <f t="shared" si="51"/>
        <v>0</v>
      </c>
      <c r="AC131" s="305">
        <f t="shared" si="70"/>
        <v>0</v>
      </c>
      <c r="AD131" s="100">
        <f t="shared" si="52"/>
        <v>0</v>
      </c>
      <c r="AE131" s="100">
        <f t="shared" si="53"/>
        <v>0</v>
      </c>
      <c r="AF131" s="194">
        <f t="shared" si="66"/>
        <v>0</v>
      </c>
      <c r="AG131" s="194">
        <f t="shared" si="67"/>
        <v>0</v>
      </c>
      <c r="AH131" s="194">
        <f t="shared" si="68"/>
        <v>0</v>
      </c>
      <c r="AI131" s="199">
        <f t="shared" si="69"/>
        <v>0</v>
      </c>
      <c r="AK131" s="71">
        <v>126</v>
      </c>
      <c r="AL131" s="33"/>
      <c r="AM131" s="33"/>
      <c r="AN131" s="33"/>
      <c r="AO131" s="33"/>
      <c r="AP131" s="33"/>
      <c r="AQ131" s="194"/>
      <c r="AR131" s="194"/>
      <c r="AS131" s="194"/>
      <c r="AT131" s="194"/>
      <c r="AU131" s="33"/>
      <c r="AV131" s="33"/>
      <c r="AW131" s="33"/>
      <c r="AX131" s="33"/>
      <c r="AY131" s="76"/>
    </row>
    <row r="132" spans="3:51" x14ac:dyDescent="0.3">
      <c r="C132" s="166" t="s">
        <v>4</v>
      </c>
      <c r="D132" s="4">
        <v>0.64</v>
      </c>
      <c r="E132" s="188" t="s">
        <v>228</v>
      </c>
      <c r="F132" s="343">
        <f>IF(OR(Tableau145[[#This Row],[Type]]="Feuillus",Tableau145[[#This Row],[Type]]="Peupliers"),1.56,1.3)</f>
        <v>1.56</v>
      </c>
      <c r="I132" s="55">
        <v>127</v>
      </c>
      <c r="J132" s="33">
        <f t="shared" si="56"/>
        <v>0</v>
      </c>
      <c r="K132" s="33">
        <f t="shared" si="57"/>
        <v>0</v>
      </c>
      <c r="L132" s="33">
        <f t="shared" si="58"/>
        <v>0</v>
      </c>
      <c r="M132" s="33">
        <f t="shared" si="59"/>
        <v>0</v>
      </c>
      <c r="N132" s="33">
        <f t="shared" si="45"/>
        <v>0</v>
      </c>
      <c r="O132" s="34">
        <f t="shared" si="46"/>
        <v>0</v>
      </c>
      <c r="P132" s="55">
        <v>127</v>
      </c>
      <c r="Q132" s="33">
        <f t="shared" si="54"/>
        <v>0</v>
      </c>
      <c r="R132" s="33">
        <f t="shared" si="60"/>
        <v>0</v>
      </c>
      <c r="S132" s="33">
        <f t="shared" si="61"/>
        <v>0</v>
      </c>
      <c r="T132" s="33">
        <f t="shared" si="47"/>
        <v>0</v>
      </c>
      <c r="U132" s="33">
        <f t="shared" si="55"/>
        <v>0</v>
      </c>
      <c r="V132" s="33">
        <f t="shared" si="48"/>
        <v>0</v>
      </c>
      <c r="W132" s="33">
        <v>0</v>
      </c>
      <c r="X132" s="33">
        <f t="shared" si="49"/>
        <v>0</v>
      </c>
      <c r="Y132" s="38">
        <f t="shared" si="50"/>
        <v>0</v>
      </c>
      <c r="AA132" s="71">
        <v>127</v>
      </c>
      <c r="AB132" s="33">
        <f t="shared" si="51"/>
        <v>0</v>
      </c>
      <c r="AC132" s="305">
        <f t="shared" si="70"/>
        <v>0</v>
      </c>
      <c r="AD132" s="100">
        <f t="shared" si="52"/>
        <v>0</v>
      </c>
      <c r="AE132" s="100">
        <f t="shared" si="53"/>
        <v>0</v>
      </c>
      <c r="AF132" s="194">
        <f t="shared" si="66"/>
        <v>0</v>
      </c>
      <c r="AG132" s="194">
        <f t="shared" si="67"/>
        <v>0</v>
      </c>
      <c r="AH132" s="194">
        <f t="shared" si="68"/>
        <v>0</v>
      </c>
      <c r="AI132" s="199">
        <f t="shared" si="69"/>
        <v>0</v>
      </c>
      <c r="AK132" s="71">
        <v>127</v>
      </c>
      <c r="AL132" s="33"/>
      <c r="AM132" s="33"/>
      <c r="AN132" s="33"/>
      <c r="AO132" s="33"/>
      <c r="AP132" s="33"/>
      <c r="AQ132" s="194"/>
      <c r="AR132" s="194"/>
      <c r="AS132" s="194"/>
      <c r="AT132" s="194"/>
      <c r="AU132" s="33"/>
      <c r="AV132" s="33"/>
      <c r="AW132" s="33"/>
      <c r="AX132" s="33"/>
      <c r="AY132" s="76"/>
    </row>
    <row r="133" spans="3:51" x14ac:dyDescent="0.3">
      <c r="C133" s="166" t="s">
        <v>8</v>
      </c>
      <c r="D133" s="4">
        <v>0.42</v>
      </c>
      <c r="E133" s="188" t="s">
        <v>228</v>
      </c>
      <c r="F133" s="343">
        <f>IF(OR(Tableau145[[#This Row],[Type]]="Feuillus",Tableau145[[#This Row],[Type]]="Peupliers"),1.56,1.3)</f>
        <v>1.56</v>
      </c>
      <c r="I133" s="55">
        <v>128</v>
      </c>
      <c r="J133" s="33">
        <f t="shared" si="56"/>
        <v>0</v>
      </c>
      <c r="K133" s="33">
        <f t="shared" si="57"/>
        <v>0</v>
      </c>
      <c r="L133" s="33">
        <f t="shared" si="58"/>
        <v>0</v>
      </c>
      <c r="M133" s="33">
        <f t="shared" si="59"/>
        <v>0</v>
      </c>
      <c r="N133" s="33">
        <f t="shared" ref="N133:N196" si="71">IF(P134&lt;=$F$18,0,)</f>
        <v>0</v>
      </c>
      <c r="O133" s="34">
        <f t="shared" ref="O133:O196" si="72">((J133+K133)*0.475+L133+M133+N133)*44/12</f>
        <v>0</v>
      </c>
      <c r="P133" s="55">
        <v>128</v>
      </c>
      <c r="Q133" s="33">
        <f t="shared" si="54"/>
        <v>0</v>
      </c>
      <c r="R133" s="33">
        <f t="shared" si="60"/>
        <v>0</v>
      </c>
      <c r="S133" s="33">
        <f t="shared" si="61"/>
        <v>0</v>
      </c>
      <c r="T133" s="33">
        <f t="shared" ref="T133:T196" si="73">IF(S133=0,0,EXP(-1.0587+0.8836*LN(S133)+0.284))</f>
        <v>0</v>
      </c>
      <c r="U133" s="33">
        <f t="shared" si="55"/>
        <v>0</v>
      </c>
      <c r="V133" s="33">
        <f t="shared" ref="V133:V196" si="74">IF(P133&lt;=$F$18,IF(P133&lt;=30,P133*($F$16-$F$6)/30,$F$16-$F$6),)</f>
        <v>0</v>
      </c>
      <c r="W133" s="33">
        <v>0</v>
      </c>
      <c r="X133" s="33">
        <f t="shared" ref="X133:X196" si="75">((S133+T133)*0.475+U133+V133+W133)*44/12</f>
        <v>0</v>
      </c>
      <c r="Y133" s="38">
        <f t="shared" ref="Y133:Y196" si="76">IF(P133&lt;=$F$18,X133-O133,)</f>
        <v>0</v>
      </c>
      <c r="AA133" s="71">
        <v>128</v>
      </c>
      <c r="AB133" s="33">
        <f t="shared" ref="AB133:AB196" si="77">IF(AA133&lt;=$F$18,IFERROR(VLOOKUP($AA133,$B$82:$G$94,2,FALSE),0),)</f>
        <v>0</v>
      </c>
      <c r="AC133" s="305">
        <f t="shared" si="70"/>
        <v>0</v>
      </c>
      <c r="AD133" s="100">
        <f t="shared" ref="AD133:AD196" si="78">IF(AA133&lt;=$F$18,IFERROR(VLOOKUP($AA133,$B$82:$G$94,4,FALSE),0),)</f>
        <v>0</v>
      </c>
      <c r="AE133" s="100">
        <f t="shared" ref="AE133:AE196" si="79">IF(AA133&lt;=$F$18,IFERROR(VLOOKUP($AA133,$B$82:$G$94,5,FALSE),0),)</f>
        <v>0</v>
      </c>
      <c r="AF133" s="194">
        <f t="shared" si="66"/>
        <v>0</v>
      </c>
      <c r="AG133" s="194">
        <f t="shared" si="67"/>
        <v>0</v>
      </c>
      <c r="AH133" s="194">
        <f t="shared" si="68"/>
        <v>0</v>
      </c>
      <c r="AI133" s="199">
        <f t="shared" si="69"/>
        <v>0</v>
      </c>
      <c r="AK133" s="71">
        <v>128</v>
      </c>
      <c r="AL133" s="33"/>
      <c r="AM133" s="33"/>
      <c r="AN133" s="33"/>
      <c r="AO133" s="33"/>
      <c r="AP133" s="33"/>
      <c r="AQ133" s="194"/>
      <c r="AR133" s="194"/>
      <c r="AS133" s="194"/>
      <c r="AT133" s="194"/>
      <c r="AU133" s="33"/>
      <c r="AV133" s="33"/>
      <c r="AW133" s="33"/>
      <c r="AX133" s="33"/>
      <c r="AY133" s="76"/>
    </row>
    <row r="134" spans="3:51" x14ac:dyDescent="0.3">
      <c r="C134" s="166" t="s">
        <v>9</v>
      </c>
      <c r="D134" s="4">
        <v>0.42</v>
      </c>
      <c r="E134" s="188" t="s">
        <v>228</v>
      </c>
      <c r="F134" s="343">
        <f>IF(OR(Tableau145[[#This Row],[Type]]="Feuillus",Tableau145[[#This Row],[Type]]="Peupliers"),1.56,1.3)</f>
        <v>1.56</v>
      </c>
      <c r="I134" s="55">
        <v>129</v>
      </c>
      <c r="J134" s="33">
        <f t="shared" si="56"/>
        <v>0</v>
      </c>
      <c r="K134" s="33">
        <f t="shared" si="57"/>
        <v>0</v>
      </c>
      <c r="L134" s="33">
        <f t="shared" si="58"/>
        <v>0</v>
      </c>
      <c r="M134" s="33">
        <f t="shared" si="59"/>
        <v>0</v>
      </c>
      <c r="N134" s="33">
        <f t="shared" si="71"/>
        <v>0</v>
      </c>
      <c r="O134" s="34">
        <f t="shared" si="72"/>
        <v>0</v>
      </c>
      <c r="P134" s="55">
        <v>129</v>
      </c>
      <c r="Q134" s="33">
        <f t="shared" ref="Q134:Q197" si="80">IF(P134&lt;=$F$18,LOOKUP(P134-1,$B$25:$B$78,$G$25:$G$78),)</f>
        <v>0</v>
      </c>
      <c r="R134" s="33">
        <f t="shared" si="60"/>
        <v>0</v>
      </c>
      <c r="S134" s="33">
        <f t="shared" si="61"/>
        <v>0</v>
      </c>
      <c r="T134" s="33">
        <f t="shared" si="73"/>
        <v>0</v>
      </c>
      <c r="U134" s="33">
        <f t="shared" ref="U134:U197" si="81">IF(P134&lt;=$F$18,$F$5+($F$15-$F$5)*(1-EXP(-0.0175*P134)),)</f>
        <v>0</v>
      </c>
      <c r="V134" s="33">
        <f t="shared" si="74"/>
        <v>0</v>
      </c>
      <c r="W134" s="33">
        <v>0</v>
      </c>
      <c r="X134" s="33">
        <f t="shared" si="75"/>
        <v>0</v>
      </c>
      <c r="Y134" s="38">
        <f t="shared" si="76"/>
        <v>0</v>
      </c>
      <c r="AA134" s="71">
        <v>129</v>
      </c>
      <c r="AB134" s="33">
        <f t="shared" si="77"/>
        <v>0</v>
      </c>
      <c r="AC134" s="305">
        <f t="shared" si="70"/>
        <v>0</v>
      </c>
      <c r="AD134" s="100">
        <f t="shared" si="78"/>
        <v>0</v>
      </c>
      <c r="AE134" s="100">
        <f t="shared" si="79"/>
        <v>0</v>
      </c>
      <c r="AF134" s="194">
        <f t="shared" si="66"/>
        <v>0</v>
      </c>
      <c r="AG134" s="194">
        <f t="shared" si="67"/>
        <v>0</v>
      </c>
      <c r="AH134" s="194">
        <f t="shared" si="68"/>
        <v>0</v>
      </c>
      <c r="AI134" s="199">
        <f t="shared" si="69"/>
        <v>0</v>
      </c>
      <c r="AK134" s="71">
        <v>129</v>
      </c>
      <c r="AL134" s="33"/>
      <c r="AM134" s="33"/>
      <c r="AN134" s="33"/>
      <c r="AO134" s="33"/>
      <c r="AP134" s="33"/>
      <c r="AQ134" s="194"/>
      <c r="AR134" s="194"/>
      <c r="AS134" s="194"/>
      <c r="AT134" s="194"/>
      <c r="AU134" s="33"/>
      <c r="AV134" s="33"/>
      <c r="AW134" s="33"/>
      <c r="AX134" s="33"/>
      <c r="AY134" s="76"/>
    </row>
    <row r="135" spans="3:51" x14ac:dyDescent="0.3">
      <c r="C135" s="166" t="s">
        <v>10</v>
      </c>
      <c r="D135" s="4">
        <v>0.52</v>
      </c>
      <c r="E135" s="188" t="s">
        <v>228</v>
      </c>
      <c r="F135" s="343">
        <f>IF(OR(Tableau145[[#This Row],[Type]]="Feuillus",Tableau145[[#This Row],[Type]]="Peupliers"),1.56,1.3)</f>
        <v>1.56</v>
      </c>
      <c r="I135" s="55">
        <v>130</v>
      </c>
      <c r="J135" s="33">
        <f t="shared" ref="J135:J198" si="82">IF($I135&lt;=$F$10,$F$11*$F$13+J134,)</f>
        <v>0</v>
      </c>
      <c r="K135" s="33">
        <f t="shared" ref="K135:K198" si="83">IF(J135=0,0,EXP(-1.0587+0.8836*LN(J135)+0.284))</f>
        <v>0</v>
      </c>
      <c r="L135" s="33">
        <f t="shared" ref="L135:L198" si="84">IF(I135&lt;=$F$10,$F$5+($F$8-$F$5)*(1-EXP(-0.0175*I135)),)</f>
        <v>0</v>
      </c>
      <c r="M135" s="33">
        <f t="shared" ref="M135:M198" si="85">IF(I135&lt;=$F$10,IF(I135&lt;=30,I135*($F$9-$F$6)/30,$F$9-$F$6),)</f>
        <v>0</v>
      </c>
      <c r="N135" s="33">
        <f t="shared" si="71"/>
        <v>0</v>
      </c>
      <c r="O135" s="34">
        <f t="shared" si="72"/>
        <v>0</v>
      </c>
      <c r="P135" s="55">
        <v>130</v>
      </c>
      <c r="Q135" s="33">
        <f t="shared" si="80"/>
        <v>0</v>
      </c>
      <c r="R135" s="33">
        <f t="shared" ref="R135:R198" si="86">IF(P135&lt;=$F$18,Q135+R134,)</f>
        <v>0</v>
      </c>
      <c r="S135" s="33">
        <f t="shared" ref="S135:S198" si="87">$F$19*R135</f>
        <v>0</v>
      </c>
      <c r="T135" s="33">
        <f t="shared" si="73"/>
        <v>0</v>
      </c>
      <c r="U135" s="33">
        <f t="shared" si="81"/>
        <v>0</v>
      </c>
      <c r="V135" s="33">
        <f t="shared" si="74"/>
        <v>0</v>
      </c>
      <c r="W135" s="33">
        <v>0</v>
      </c>
      <c r="X135" s="33">
        <f t="shared" si="75"/>
        <v>0</v>
      </c>
      <c r="Y135" s="38">
        <f t="shared" si="76"/>
        <v>0</v>
      </c>
      <c r="AA135" s="71">
        <v>130</v>
      </c>
      <c r="AB135" s="33">
        <f t="shared" si="77"/>
        <v>0</v>
      </c>
      <c r="AC135" s="305">
        <f t="shared" si="70"/>
        <v>0</v>
      </c>
      <c r="AD135" s="100">
        <f t="shared" si="78"/>
        <v>0</v>
      </c>
      <c r="AE135" s="100">
        <f t="shared" si="79"/>
        <v>0</v>
      </c>
      <c r="AF135" s="194">
        <f t="shared" si="66"/>
        <v>0</v>
      </c>
      <c r="AG135" s="194">
        <f t="shared" si="67"/>
        <v>0</v>
      </c>
      <c r="AH135" s="194">
        <f t="shared" si="68"/>
        <v>0</v>
      </c>
      <c r="AI135" s="199">
        <f t="shared" si="69"/>
        <v>0</v>
      </c>
      <c r="AK135" s="71">
        <v>130</v>
      </c>
      <c r="AL135" s="33"/>
      <c r="AM135" s="33"/>
      <c r="AN135" s="33"/>
      <c r="AO135" s="33"/>
      <c r="AP135" s="33"/>
      <c r="AQ135" s="194"/>
      <c r="AR135" s="194"/>
      <c r="AS135" s="194"/>
      <c r="AT135" s="194"/>
      <c r="AU135" s="33"/>
      <c r="AV135" s="33"/>
      <c r="AW135" s="33"/>
      <c r="AX135" s="33"/>
      <c r="AY135" s="76"/>
    </row>
    <row r="136" spans="3:51" x14ac:dyDescent="0.3">
      <c r="C136" s="166" t="s">
        <v>11</v>
      </c>
      <c r="D136" s="4">
        <v>0.36</v>
      </c>
      <c r="E136" s="188" t="s">
        <v>229</v>
      </c>
      <c r="F136" s="343">
        <f>IF(OR(Tableau145[[#This Row],[Type]]="Feuillus",Tableau145[[#This Row],[Type]]="Peupliers"),1.56,1.3)</f>
        <v>1.3</v>
      </c>
      <c r="I136" s="55">
        <v>131</v>
      </c>
      <c r="J136" s="33">
        <f t="shared" si="82"/>
        <v>0</v>
      </c>
      <c r="K136" s="33">
        <f t="shared" si="83"/>
        <v>0</v>
      </c>
      <c r="L136" s="33">
        <f t="shared" si="84"/>
        <v>0</v>
      </c>
      <c r="M136" s="33">
        <f t="shared" si="85"/>
        <v>0</v>
      </c>
      <c r="N136" s="33">
        <f t="shared" si="71"/>
        <v>0</v>
      </c>
      <c r="O136" s="34">
        <f t="shared" si="72"/>
        <v>0</v>
      </c>
      <c r="P136" s="55">
        <v>131</v>
      </c>
      <c r="Q136" s="33">
        <f t="shared" si="80"/>
        <v>0</v>
      </c>
      <c r="R136" s="33">
        <f t="shared" si="86"/>
        <v>0</v>
      </c>
      <c r="S136" s="33">
        <f t="shared" si="87"/>
        <v>0</v>
      </c>
      <c r="T136" s="33">
        <f t="shared" si="73"/>
        <v>0</v>
      </c>
      <c r="U136" s="33">
        <f t="shared" si="81"/>
        <v>0</v>
      </c>
      <c r="V136" s="33">
        <f t="shared" si="74"/>
        <v>0</v>
      </c>
      <c r="W136" s="33">
        <v>0</v>
      </c>
      <c r="X136" s="33">
        <f t="shared" si="75"/>
        <v>0</v>
      </c>
      <c r="Y136" s="38">
        <f t="shared" si="76"/>
        <v>0</v>
      </c>
      <c r="AA136" s="71">
        <v>131</v>
      </c>
      <c r="AB136" s="33">
        <f t="shared" si="77"/>
        <v>0</v>
      </c>
      <c r="AC136" s="305">
        <f t="shared" si="70"/>
        <v>0</v>
      </c>
      <c r="AD136" s="100">
        <f t="shared" si="78"/>
        <v>0</v>
      </c>
      <c r="AE136" s="100">
        <f t="shared" si="79"/>
        <v>0</v>
      </c>
      <c r="AF136" s="194">
        <f t="shared" si="66"/>
        <v>0</v>
      </c>
      <c r="AG136" s="194">
        <f t="shared" si="67"/>
        <v>0</v>
      </c>
      <c r="AH136" s="194">
        <f t="shared" si="68"/>
        <v>0</v>
      </c>
      <c r="AI136" s="199">
        <f t="shared" si="69"/>
        <v>0</v>
      </c>
      <c r="AK136" s="71">
        <v>131</v>
      </c>
      <c r="AL136" s="33"/>
      <c r="AM136" s="33"/>
      <c r="AN136" s="33"/>
      <c r="AO136" s="33"/>
      <c r="AP136" s="33"/>
      <c r="AQ136" s="194"/>
      <c r="AR136" s="194"/>
      <c r="AS136" s="194"/>
      <c r="AT136" s="194"/>
      <c r="AU136" s="33"/>
      <c r="AV136" s="33"/>
      <c r="AW136" s="33"/>
      <c r="AX136" s="33"/>
      <c r="AY136" s="76"/>
    </row>
    <row r="137" spans="3:51" x14ac:dyDescent="0.3">
      <c r="C137" s="166" t="s">
        <v>12</v>
      </c>
      <c r="D137" s="4">
        <v>0.61</v>
      </c>
      <c r="E137" s="188" t="s">
        <v>228</v>
      </c>
      <c r="F137" s="343">
        <f>IF(OR(Tableau145[[#This Row],[Type]]="Feuillus",Tableau145[[#This Row],[Type]]="Peupliers"),1.56,1.3)</f>
        <v>1.56</v>
      </c>
      <c r="I137" s="55">
        <v>132</v>
      </c>
      <c r="J137" s="33">
        <f t="shared" si="82"/>
        <v>0</v>
      </c>
      <c r="K137" s="33">
        <f t="shared" si="83"/>
        <v>0</v>
      </c>
      <c r="L137" s="33">
        <f t="shared" si="84"/>
        <v>0</v>
      </c>
      <c r="M137" s="33">
        <f t="shared" si="85"/>
        <v>0</v>
      </c>
      <c r="N137" s="33">
        <f t="shared" si="71"/>
        <v>0</v>
      </c>
      <c r="O137" s="34">
        <f t="shared" si="72"/>
        <v>0</v>
      </c>
      <c r="P137" s="55">
        <v>132</v>
      </c>
      <c r="Q137" s="33">
        <f t="shared" si="80"/>
        <v>0</v>
      </c>
      <c r="R137" s="33">
        <f t="shared" si="86"/>
        <v>0</v>
      </c>
      <c r="S137" s="33">
        <f t="shared" si="87"/>
        <v>0</v>
      </c>
      <c r="T137" s="33">
        <f t="shared" si="73"/>
        <v>0</v>
      </c>
      <c r="U137" s="33">
        <f t="shared" si="81"/>
        <v>0</v>
      </c>
      <c r="V137" s="33">
        <f t="shared" si="74"/>
        <v>0</v>
      </c>
      <c r="W137" s="33">
        <v>0</v>
      </c>
      <c r="X137" s="33">
        <f t="shared" si="75"/>
        <v>0</v>
      </c>
      <c r="Y137" s="38">
        <f t="shared" si="76"/>
        <v>0</v>
      </c>
      <c r="AA137" s="71">
        <v>132</v>
      </c>
      <c r="AB137" s="33">
        <f t="shared" si="77"/>
        <v>0</v>
      </c>
      <c r="AC137" s="305">
        <f t="shared" si="70"/>
        <v>0</v>
      </c>
      <c r="AD137" s="100">
        <f t="shared" si="78"/>
        <v>0</v>
      </c>
      <c r="AE137" s="100">
        <f t="shared" si="79"/>
        <v>0</v>
      </c>
      <c r="AF137" s="194">
        <f t="shared" si="66"/>
        <v>0</v>
      </c>
      <c r="AG137" s="194">
        <f t="shared" si="67"/>
        <v>0</v>
      </c>
      <c r="AH137" s="194">
        <f t="shared" si="68"/>
        <v>0</v>
      </c>
      <c r="AI137" s="199">
        <f t="shared" si="69"/>
        <v>0</v>
      </c>
      <c r="AK137" s="71">
        <v>132</v>
      </c>
      <c r="AL137" s="33"/>
      <c r="AM137" s="33"/>
      <c r="AN137" s="33"/>
      <c r="AO137" s="33"/>
      <c r="AP137" s="33"/>
      <c r="AQ137" s="194"/>
      <c r="AR137" s="194"/>
      <c r="AS137" s="194"/>
      <c r="AT137" s="194"/>
      <c r="AU137" s="33"/>
      <c r="AV137" s="33"/>
      <c r="AW137" s="33"/>
      <c r="AX137" s="33"/>
      <c r="AY137" s="76"/>
    </row>
    <row r="138" spans="3:51" x14ac:dyDescent="0.3">
      <c r="C138" s="166" t="s">
        <v>13</v>
      </c>
      <c r="D138" s="4">
        <v>0.66</v>
      </c>
      <c r="E138" s="188" t="s">
        <v>228</v>
      </c>
      <c r="F138" s="343">
        <f>IF(OR(Tableau145[[#This Row],[Type]]="Feuillus",Tableau145[[#This Row],[Type]]="Peupliers"),1.56,1.3)</f>
        <v>1.56</v>
      </c>
      <c r="I138" s="55">
        <v>133</v>
      </c>
      <c r="J138" s="33">
        <f t="shared" si="82"/>
        <v>0</v>
      </c>
      <c r="K138" s="33">
        <f t="shared" si="83"/>
        <v>0</v>
      </c>
      <c r="L138" s="33">
        <f t="shared" si="84"/>
        <v>0</v>
      </c>
      <c r="M138" s="33">
        <f t="shared" si="85"/>
        <v>0</v>
      </c>
      <c r="N138" s="33">
        <f t="shared" si="71"/>
        <v>0</v>
      </c>
      <c r="O138" s="34">
        <f t="shared" si="72"/>
        <v>0</v>
      </c>
      <c r="P138" s="55">
        <v>133</v>
      </c>
      <c r="Q138" s="33">
        <f t="shared" si="80"/>
        <v>0</v>
      </c>
      <c r="R138" s="33">
        <f t="shared" si="86"/>
        <v>0</v>
      </c>
      <c r="S138" s="33">
        <f t="shared" si="87"/>
        <v>0</v>
      </c>
      <c r="T138" s="33">
        <f t="shared" si="73"/>
        <v>0</v>
      </c>
      <c r="U138" s="33">
        <f t="shared" si="81"/>
        <v>0</v>
      </c>
      <c r="V138" s="33">
        <f t="shared" si="74"/>
        <v>0</v>
      </c>
      <c r="W138" s="33">
        <v>0</v>
      </c>
      <c r="X138" s="33">
        <f t="shared" si="75"/>
        <v>0</v>
      </c>
      <c r="Y138" s="38">
        <f t="shared" si="76"/>
        <v>0</v>
      </c>
      <c r="AA138" s="71">
        <v>133</v>
      </c>
      <c r="AB138" s="33">
        <f t="shared" si="77"/>
        <v>0</v>
      </c>
      <c r="AC138" s="305">
        <f t="shared" si="70"/>
        <v>0</v>
      </c>
      <c r="AD138" s="100">
        <f t="shared" si="78"/>
        <v>0</v>
      </c>
      <c r="AE138" s="100">
        <f t="shared" si="79"/>
        <v>0</v>
      </c>
      <c r="AF138" s="194">
        <f t="shared" si="66"/>
        <v>0</v>
      </c>
      <c r="AG138" s="194">
        <f t="shared" si="67"/>
        <v>0</v>
      </c>
      <c r="AH138" s="194">
        <f t="shared" si="68"/>
        <v>0</v>
      </c>
      <c r="AI138" s="199">
        <f t="shared" si="69"/>
        <v>0</v>
      </c>
      <c r="AK138" s="71">
        <v>133</v>
      </c>
      <c r="AL138" s="33"/>
      <c r="AM138" s="33"/>
      <c r="AN138" s="33"/>
      <c r="AO138" s="33"/>
      <c r="AP138" s="33"/>
      <c r="AQ138" s="194"/>
      <c r="AR138" s="194"/>
      <c r="AS138" s="194"/>
      <c r="AT138" s="194"/>
      <c r="AU138" s="33"/>
      <c r="AV138" s="33"/>
      <c r="AW138" s="33"/>
      <c r="AX138" s="33"/>
      <c r="AY138" s="76"/>
    </row>
    <row r="139" spans="3:51" x14ac:dyDescent="0.3">
      <c r="C139" s="167" t="s">
        <v>14</v>
      </c>
      <c r="D139" s="134">
        <v>0.47</v>
      </c>
      <c r="E139" s="188" t="s">
        <v>228</v>
      </c>
      <c r="F139" s="343">
        <f>IF(OR(Tableau145[[#This Row],[Type]]="Feuillus",Tableau145[[#This Row],[Type]]="Peupliers"),1.56,1.3)</f>
        <v>1.56</v>
      </c>
      <c r="I139" s="55">
        <v>134</v>
      </c>
      <c r="J139" s="33">
        <f t="shared" si="82"/>
        <v>0</v>
      </c>
      <c r="K139" s="33">
        <f t="shared" si="83"/>
        <v>0</v>
      </c>
      <c r="L139" s="33">
        <f t="shared" si="84"/>
        <v>0</v>
      </c>
      <c r="M139" s="33">
        <f t="shared" si="85"/>
        <v>0</v>
      </c>
      <c r="N139" s="33">
        <f t="shared" si="71"/>
        <v>0</v>
      </c>
      <c r="O139" s="34">
        <f t="shared" si="72"/>
        <v>0</v>
      </c>
      <c r="P139" s="55">
        <v>134</v>
      </c>
      <c r="Q139" s="33">
        <f t="shared" si="80"/>
        <v>0</v>
      </c>
      <c r="R139" s="33">
        <f t="shared" si="86"/>
        <v>0</v>
      </c>
      <c r="S139" s="33">
        <f t="shared" si="87"/>
        <v>0</v>
      </c>
      <c r="T139" s="33">
        <f t="shared" si="73"/>
        <v>0</v>
      </c>
      <c r="U139" s="33">
        <f t="shared" si="81"/>
        <v>0</v>
      </c>
      <c r="V139" s="33">
        <f t="shared" si="74"/>
        <v>0</v>
      </c>
      <c r="W139" s="33">
        <v>0</v>
      </c>
      <c r="X139" s="33">
        <f t="shared" si="75"/>
        <v>0</v>
      </c>
      <c r="Y139" s="38">
        <f t="shared" si="76"/>
        <v>0</v>
      </c>
      <c r="AA139" s="71">
        <v>134</v>
      </c>
      <c r="AB139" s="33">
        <f t="shared" si="77"/>
        <v>0</v>
      </c>
      <c r="AC139" s="305">
        <f t="shared" si="70"/>
        <v>0</v>
      </c>
      <c r="AD139" s="100">
        <f t="shared" si="78"/>
        <v>0</v>
      </c>
      <c r="AE139" s="100">
        <f t="shared" si="79"/>
        <v>0</v>
      </c>
      <c r="AF139" s="194">
        <f t="shared" si="66"/>
        <v>0</v>
      </c>
      <c r="AG139" s="194">
        <f t="shared" si="67"/>
        <v>0</v>
      </c>
      <c r="AH139" s="194">
        <f t="shared" si="68"/>
        <v>0</v>
      </c>
      <c r="AI139" s="199">
        <f t="shared" si="69"/>
        <v>0</v>
      </c>
      <c r="AK139" s="71">
        <v>134</v>
      </c>
      <c r="AL139" s="33"/>
      <c r="AM139" s="33"/>
      <c r="AN139" s="33"/>
      <c r="AO139" s="33"/>
      <c r="AP139" s="33"/>
      <c r="AQ139" s="194"/>
      <c r="AR139" s="194"/>
      <c r="AS139" s="194"/>
      <c r="AT139" s="194"/>
      <c r="AU139" s="33"/>
      <c r="AV139" s="33"/>
      <c r="AW139" s="33"/>
      <c r="AX139" s="33"/>
      <c r="AY139" s="76"/>
    </row>
    <row r="140" spans="3:51" x14ac:dyDescent="0.3">
      <c r="C140" s="166" t="s">
        <v>15</v>
      </c>
      <c r="D140" s="4">
        <v>0.67</v>
      </c>
      <c r="E140" s="188" t="s">
        <v>228</v>
      </c>
      <c r="F140" s="343">
        <f>IF(OR(Tableau145[[#This Row],[Type]]="Feuillus",Tableau145[[#This Row],[Type]]="Peupliers"),1.56,1.3)</f>
        <v>1.56</v>
      </c>
      <c r="I140" s="55">
        <v>135</v>
      </c>
      <c r="J140" s="33">
        <f t="shared" si="82"/>
        <v>0</v>
      </c>
      <c r="K140" s="33">
        <f t="shared" si="83"/>
        <v>0</v>
      </c>
      <c r="L140" s="33">
        <f t="shared" si="84"/>
        <v>0</v>
      </c>
      <c r="M140" s="33">
        <f t="shared" si="85"/>
        <v>0</v>
      </c>
      <c r="N140" s="33">
        <f t="shared" si="71"/>
        <v>0</v>
      </c>
      <c r="O140" s="34">
        <f t="shared" si="72"/>
        <v>0</v>
      </c>
      <c r="P140" s="55">
        <v>135</v>
      </c>
      <c r="Q140" s="33">
        <f t="shared" si="80"/>
        <v>0</v>
      </c>
      <c r="R140" s="33">
        <f t="shared" si="86"/>
        <v>0</v>
      </c>
      <c r="S140" s="33">
        <f t="shared" si="87"/>
        <v>0</v>
      </c>
      <c r="T140" s="33">
        <f t="shared" si="73"/>
        <v>0</v>
      </c>
      <c r="U140" s="33">
        <f t="shared" si="81"/>
        <v>0</v>
      </c>
      <c r="V140" s="33">
        <f t="shared" si="74"/>
        <v>0</v>
      </c>
      <c r="W140" s="33">
        <v>0</v>
      </c>
      <c r="X140" s="33">
        <f t="shared" si="75"/>
        <v>0</v>
      </c>
      <c r="Y140" s="38">
        <f t="shared" si="76"/>
        <v>0</v>
      </c>
      <c r="AA140" s="71">
        <v>135</v>
      </c>
      <c r="AB140" s="33">
        <f t="shared" si="77"/>
        <v>0</v>
      </c>
      <c r="AC140" s="305">
        <f t="shared" si="70"/>
        <v>0</v>
      </c>
      <c r="AD140" s="100">
        <f t="shared" si="78"/>
        <v>0</v>
      </c>
      <c r="AE140" s="100">
        <f t="shared" si="79"/>
        <v>0</v>
      </c>
      <c r="AF140" s="194">
        <f t="shared" si="66"/>
        <v>0</v>
      </c>
      <c r="AG140" s="194">
        <f t="shared" si="67"/>
        <v>0</v>
      </c>
      <c r="AH140" s="194">
        <f t="shared" si="68"/>
        <v>0</v>
      </c>
      <c r="AI140" s="199">
        <f t="shared" si="69"/>
        <v>0</v>
      </c>
      <c r="AK140" s="71">
        <v>135</v>
      </c>
      <c r="AL140" s="33"/>
      <c r="AM140" s="33"/>
      <c r="AN140" s="33"/>
      <c r="AO140" s="33"/>
      <c r="AP140" s="33"/>
      <c r="AQ140" s="194"/>
      <c r="AR140" s="194"/>
      <c r="AS140" s="194"/>
      <c r="AT140" s="194"/>
      <c r="AU140" s="33"/>
      <c r="AV140" s="33"/>
      <c r="AW140" s="33"/>
      <c r="AX140" s="33"/>
      <c r="AY140" s="76"/>
    </row>
    <row r="141" spans="3:51" x14ac:dyDescent="0.3">
      <c r="C141" s="166" t="s">
        <v>16</v>
      </c>
      <c r="D141" s="4">
        <v>0.7</v>
      </c>
      <c r="E141" s="188" t="s">
        <v>228</v>
      </c>
      <c r="F141" s="343">
        <f>IF(OR(Tableau145[[#This Row],[Type]]="Feuillus",Tableau145[[#This Row],[Type]]="Peupliers"),1.56,1.3)</f>
        <v>1.56</v>
      </c>
      <c r="I141" s="55">
        <v>136</v>
      </c>
      <c r="J141" s="33">
        <f t="shared" si="82"/>
        <v>0</v>
      </c>
      <c r="K141" s="33">
        <f t="shared" si="83"/>
        <v>0</v>
      </c>
      <c r="L141" s="33">
        <f t="shared" si="84"/>
        <v>0</v>
      </c>
      <c r="M141" s="33">
        <f t="shared" si="85"/>
        <v>0</v>
      </c>
      <c r="N141" s="33">
        <f t="shared" si="71"/>
        <v>0</v>
      </c>
      <c r="O141" s="34">
        <f t="shared" si="72"/>
        <v>0</v>
      </c>
      <c r="P141" s="55">
        <v>136</v>
      </c>
      <c r="Q141" s="33">
        <f t="shared" si="80"/>
        <v>0</v>
      </c>
      <c r="R141" s="33">
        <f t="shared" si="86"/>
        <v>0</v>
      </c>
      <c r="S141" s="33">
        <f t="shared" si="87"/>
        <v>0</v>
      </c>
      <c r="T141" s="33">
        <f t="shared" si="73"/>
        <v>0</v>
      </c>
      <c r="U141" s="33">
        <f t="shared" si="81"/>
        <v>0</v>
      </c>
      <c r="V141" s="33">
        <f t="shared" si="74"/>
        <v>0</v>
      </c>
      <c r="W141" s="33">
        <v>0</v>
      </c>
      <c r="X141" s="33">
        <f t="shared" si="75"/>
        <v>0</v>
      </c>
      <c r="Y141" s="38">
        <f t="shared" si="76"/>
        <v>0</v>
      </c>
      <c r="AA141" s="71">
        <v>136</v>
      </c>
      <c r="AB141" s="33">
        <f t="shared" si="77"/>
        <v>0</v>
      </c>
      <c r="AC141" s="305">
        <f t="shared" si="70"/>
        <v>0</v>
      </c>
      <c r="AD141" s="100">
        <f t="shared" si="78"/>
        <v>0</v>
      </c>
      <c r="AE141" s="100">
        <f t="shared" si="79"/>
        <v>0</v>
      </c>
      <c r="AF141" s="194">
        <f t="shared" si="66"/>
        <v>0</v>
      </c>
      <c r="AG141" s="194">
        <f t="shared" si="67"/>
        <v>0</v>
      </c>
      <c r="AH141" s="194">
        <f t="shared" si="68"/>
        <v>0</v>
      </c>
      <c r="AI141" s="199">
        <f t="shared" si="69"/>
        <v>0</v>
      </c>
      <c r="AK141" s="71">
        <v>136</v>
      </c>
      <c r="AL141" s="33"/>
      <c r="AM141" s="33"/>
      <c r="AN141" s="33"/>
      <c r="AO141" s="33"/>
      <c r="AP141" s="33"/>
      <c r="AQ141" s="194"/>
      <c r="AR141" s="194"/>
      <c r="AS141" s="194"/>
      <c r="AT141" s="194"/>
      <c r="AU141" s="33"/>
      <c r="AV141" s="33"/>
      <c r="AW141" s="33"/>
      <c r="AX141" s="33"/>
      <c r="AY141" s="76"/>
    </row>
    <row r="142" spans="3:51" x14ac:dyDescent="0.3">
      <c r="C142" s="166" t="s">
        <v>17</v>
      </c>
      <c r="D142" s="4">
        <v>0.54</v>
      </c>
      <c r="E142" s="188" t="s">
        <v>228</v>
      </c>
      <c r="F142" s="343">
        <f>IF(OR(Tableau145[[#This Row],[Type]]="Feuillus",Tableau145[[#This Row],[Type]]="Peupliers"),1.56,1.3)</f>
        <v>1.56</v>
      </c>
      <c r="I142" s="55">
        <v>137</v>
      </c>
      <c r="J142" s="33">
        <f t="shared" si="82"/>
        <v>0</v>
      </c>
      <c r="K142" s="33">
        <f t="shared" si="83"/>
        <v>0</v>
      </c>
      <c r="L142" s="33">
        <f t="shared" si="84"/>
        <v>0</v>
      </c>
      <c r="M142" s="33">
        <f t="shared" si="85"/>
        <v>0</v>
      </c>
      <c r="N142" s="33">
        <f t="shared" si="71"/>
        <v>0</v>
      </c>
      <c r="O142" s="34">
        <f t="shared" si="72"/>
        <v>0</v>
      </c>
      <c r="P142" s="55">
        <v>137</v>
      </c>
      <c r="Q142" s="33">
        <f t="shared" si="80"/>
        <v>0</v>
      </c>
      <c r="R142" s="33">
        <f t="shared" si="86"/>
        <v>0</v>
      </c>
      <c r="S142" s="33">
        <f t="shared" si="87"/>
        <v>0</v>
      </c>
      <c r="T142" s="33">
        <f t="shared" si="73"/>
        <v>0</v>
      </c>
      <c r="U142" s="33">
        <f t="shared" si="81"/>
        <v>0</v>
      </c>
      <c r="V142" s="33">
        <f t="shared" si="74"/>
        <v>0</v>
      </c>
      <c r="W142" s="33">
        <v>0</v>
      </c>
      <c r="X142" s="33">
        <f t="shared" si="75"/>
        <v>0</v>
      </c>
      <c r="Y142" s="38">
        <f t="shared" si="76"/>
        <v>0</v>
      </c>
      <c r="AA142" s="71">
        <v>137</v>
      </c>
      <c r="AB142" s="33">
        <f t="shared" si="77"/>
        <v>0</v>
      </c>
      <c r="AC142" s="305">
        <f t="shared" si="70"/>
        <v>0</v>
      </c>
      <c r="AD142" s="100">
        <f t="shared" si="78"/>
        <v>0</v>
      </c>
      <c r="AE142" s="100">
        <f t="shared" si="79"/>
        <v>0</v>
      </c>
      <c r="AF142" s="194">
        <f t="shared" si="66"/>
        <v>0</v>
      </c>
      <c r="AG142" s="194">
        <f t="shared" si="67"/>
        <v>0</v>
      </c>
      <c r="AH142" s="194">
        <f t="shared" si="68"/>
        <v>0</v>
      </c>
      <c r="AI142" s="199">
        <f t="shared" si="69"/>
        <v>0</v>
      </c>
      <c r="AK142" s="71">
        <v>137</v>
      </c>
      <c r="AL142" s="33"/>
      <c r="AM142" s="33"/>
      <c r="AN142" s="33"/>
      <c r="AO142" s="33"/>
      <c r="AP142" s="33"/>
      <c r="AQ142" s="194"/>
      <c r="AR142" s="194"/>
      <c r="AS142" s="194"/>
      <c r="AT142" s="194"/>
      <c r="AU142" s="33"/>
      <c r="AV142" s="33"/>
      <c r="AW142" s="33"/>
      <c r="AX142" s="33"/>
      <c r="AY142" s="76"/>
    </row>
    <row r="143" spans="3:51" x14ac:dyDescent="0.3">
      <c r="C143" s="166" t="s">
        <v>18</v>
      </c>
      <c r="D143" s="4">
        <v>0.65</v>
      </c>
      <c r="E143" s="188" t="s">
        <v>228</v>
      </c>
      <c r="F143" s="343">
        <f>IF(OR(Tableau145[[#This Row],[Type]]="Feuillus",Tableau145[[#This Row],[Type]]="Peupliers"),1.56,1.3)</f>
        <v>1.56</v>
      </c>
      <c r="I143" s="55">
        <v>138</v>
      </c>
      <c r="J143" s="33">
        <f t="shared" si="82"/>
        <v>0</v>
      </c>
      <c r="K143" s="33">
        <f t="shared" si="83"/>
        <v>0</v>
      </c>
      <c r="L143" s="33">
        <f t="shared" si="84"/>
        <v>0</v>
      </c>
      <c r="M143" s="33">
        <f t="shared" si="85"/>
        <v>0</v>
      </c>
      <c r="N143" s="33">
        <f t="shared" si="71"/>
        <v>0</v>
      </c>
      <c r="O143" s="34">
        <f t="shared" si="72"/>
        <v>0</v>
      </c>
      <c r="P143" s="55">
        <v>138</v>
      </c>
      <c r="Q143" s="33">
        <f t="shared" si="80"/>
        <v>0</v>
      </c>
      <c r="R143" s="33">
        <f t="shared" si="86"/>
        <v>0</v>
      </c>
      <c r="S143" s="33">
        <f t="shared" si="87"/>
        <v>0</v>
      </c>
      <c r="T143" s="33">
        <f t="shared" si="73"/>
        <v>0</v>
      </c>
      <c r="U143" s="33">
        <f t="shared" si="81"/>
        <v>0</v>
      </c>
      <c r="V143" s="33">
        <f t="shared" si="74"/>
        <v>0</v>
      </c>
      <c r="W143" s="33">
        <v>0</v>
      </c>
      <c r="X143" s="33">
        <f t="shared" si="75"/>
        <v>0</v>
      </c>
      <c r="Y143" s="38">
        <f t="shared" si="76"/>
        <v>0</v>
      </c>
      <c r="AA143" s="71">
        <v>138</v>
      </c>
      <c r="AB143" s="33">
        <f t="shared" si="77"/>
        <v>0</v>
      </c>
      <c r="AC143" s="305">
        <f t="shared" si="70"/>
        <v>0</v>
      </c>
      <c r="AD143" s="100">
        <f t="shared" si="78"/>
        <v>0</v>
      </c>
      <c r="AE143" s="100">
        <f t="shared" si="79"/>
        <v>0</v>
      </c>
      <c r="AF143" s="194">
        <f t="shared" si="66"/>
        <v>0</v>
      </c>
      <c r="AG143" s="194">
        <f t="shared" si="67"/>
        <v>0</v>
      </c>
      <c r="AH143" s="194">
        <f t="shared" si="68"/>
        <v>0</v>
      </c>
      <c r="AI143" s="199">
        <f t="shared" si="69"/>
        <v>0</v>
      </c>
      <c r="AK143" s="71">
        <v>138</v>
      </c>
      <c r="AL143" s="33"/>
      <c r="AM143" s="33"/>
      <c r="AN143" s="33"/>
      <c r="AO143" s="33"/>
      <c r="AP143" s="33"/>
      <c r="AQ143" s="194"/>
      <c r="AR143" s="194"/>
      <c r="AS143" s="194"/>
      <c r="AT143" s="194"/>
      <c r="AU143" s="33"/>
      <c r="AV143" s="33"/>
      <c r="AW143" s="33"/>
      <c r="AX143" s="33"/>
      <c r="AY143" s="76"/>
    </row>
    <row r="144" spans="3:51" x14ac:dyDescent="0.3">
      <c r="C144" s="166" t="s">
        <v>19</v>
      </c>
      <c r="D144" s="4">
        <v>0.56000000000000005</v>
      </c>
      <c r="E144" s="188" t="s">
        <v>228</v>
      </c>
      <c r="F144" s="343">
        <f>IF(OR(Tableau145[[#This Row],[Type]]="Feuillus",Tableau145[[#This Row],[Type]]="Peupliers"),1.56,1.3)</f>
        <v>1.56</v>
      </c>
      <c r="I144" s="55">
        <v>139</v>
      </c>
      <c r="J144" s="33">
        <f t="shared" si="82"/>
        <v>0</v>
      </c>
      <c r="K144" s="33">
        <f t="shared" si="83"/>
        <v>0</v>
      </c>
      <c r="L144" s="33">
        <f t="shared" si="84"/>
        <v>0</v>
      </c>
      <c r="M144" s="33">
        <f t="shared" si="85"/>
        <v>0</v>
      </c>
      <c r="N144" s="33">
        <f t="shared" si="71"/>
        <v>0</v>
      </c>
      <c r="O144" s="34">
        <f t="shared" si="72"/>
        <v>0</v>
      </c>
      <c r="P144" s="55">
        <v>139</v>
      </c>
      <c r="Q144" s="33">
        <f t="shared" si="80"/>
        <v>0</v>
      </c>
      <c r="R144" s="33">
        <f t="shared" si="86"/>
        <v>0</v>
      </c>
      <c r="S144" s="33">
        <f t="shared" si="87"/>
        <v>0</v>
      </c>
      <c r="T144" s="33">
        <f t="shared" si="73"/>
        <v>0</v>
      </c>
      <c r="U144" s="33">
        <f t="shared" si="81"/>
        <v>0</v>
      </c>
      <c r="V144" s="33">
        <f t="shared" si="74"/>
        <v>0</v>
      </c>
      <c r="W144" s="33">
        <v>0</v>
      </c>
      <c r="X144" s="33">
        <f t="shared" si="75"/>
        <v>0</v>
      </c>
      <c r="Y144" s="38">
        <f t="shared" si="76"/>
        <v>0</v>
      </c>
      <c r="AA144" s="71">
        <v>139</v>
      </c>
      <c r="AB144" s="33">
        <f t="shared" si="77"/>
        <v>0</v>
      </c>
      <c r="AC144" s="305">
        <f t="shared" si="70"/>
        <v>0</v>
      </c>
      <c r="AD144" s="100">
        <f t="shared" si="78"/>
        <v>0</v>
      </c>
      <c r="AE144" s="100">
        <f t="shared" si="79"/>
        <v>0</v>
      </c>
      <c r="AF144" s="194">
        <f t="shared" si="66"/>
        <v>0</v>
      </c>
      <c r="AG144" s="194">
        <f t="shared" si="67"/>
        <v>0</v>
      </c>
      <c r="AH144" s="194">
        <f t="shared" si="68"/>
        <v>0</v>
      </c>
      <c r="AI144" s="199">
        <f t="shared" si="69"/>
        <v>0</v>
      </c>
      <c r="AK144" s="71">
        <v>139</v>
      </c>
      <c r="AL144" s="33"/>
      <c r="AM144" s="33"/>
      <c r="AN144" s="33"/>
      <c r="AO144" s="33"/>
      <c r="AP144" s="33"/>
      <c r="AQ144" s="194"/>
      <c r="AR144" s="194"/>
      <c r="AS144" s="194"/>
      <c r="AT144" s="194"/>
      <c r="AU144" s="33"/>
      <c r="AV144" s="33"/>
      <c r="AW144" s="33"/>
      <c r="AX144" s="33"/>
      <c r="AY144" s="76"/>
    </row>
    <row r="145" spans="3:51" x14ac:dyDescent="0.3">
      <c r="C145" s="166" t="s">
        <v>20</v>
      </c>
      <c r="D145" s="4">
        <v>0.57999999999999996</v>
      </c>
      <c r="E145" s="188" t="s">
        <v>228</v>
      </c>
      <c r="F145" s="343">
        <f>IF(OR(Tableau145[[#This Row],[Type]]="Feuillus",Tableau145[[#This Row],[Type]]="Peupliers"),1.56,1.3)</f>
        <v>1.56</v>
      </c>
      <c r="I145" s="55">
        <v>140</v>
      </c>
      <c r="J145" s="33">
        <f t="shared" si="82"/>
        <v>0</v>
      </c>
      <c r="K145" s="33">
        <f t="shared" si="83"/>
        <v>0</v>
      </c>
      <c r="L145" s="33">
        <f t="shared" si="84"/>
        <v>0</v>
      </c>
      <c r="M145" s="33">
        <f t="shared" si="85"/>
        <v>0</v>
      </c>
      <c r="N145" s="33">
        <f t="shared" si="71"/>
        <v>0</v>
      </c>
      <c r="O145" s="34">
        <f t="shared" si="72"/>
        <v>0</v>
      </c>
      <c r="P145" s="55">
        <v>140</v>
      </c>
      <c r="Q145" s="33">
        <f t="shared" si="80"/>
        <v>0</v>
      </c>
      <c r="R145" s="33">
        <f t="shared" si="86"/>
        <v>0</v>
      </c>
      <c r="S145" s="33">
        <f t="shared" si="87"/>
        <v>0</v>
      </c>
      <c r="T145" s="33">
        <f t="shared" si="73"/>
        <v>0</v>
      </c>
      <c r="U145" s="33">
        <f t="shared" si="81"/>
        <v>0</v>
      </c>
      <c r="V145" s="33">
        <f t="shared" si="74"/>
        <v>0</v>
      </c>
      <c r="W145" s="33">
        <v>0</v>
      </c>
      <c r="X145" s="33">
        <f t="shared" si="75"/>
        <v>0</v>
      </c>
      <c r="Y145" s="38">
        <f t="shared" si="76"/>
        <v>0</v>
      </c>
      <c r="AA145" s="71">
        <v>140</v>
      </c>
      <c r="AB145" s="33">
        <f t="shared" si="77"/>
        <v>0</v>
      </c>
      <c r="AC145" s="305">
        <f t="shared" si="70"/>
        <v>0</v>
      </c>
      <c r="AD145" s="100">
        <f t="shared" si="78"/>
        <v>0</v>
      </c>
      <c r="AE145" s="100">
        <f t="shared" si="79"/>
        <v>0</v>
      </c>
      <c r="AF145" s="194">
        <f t="shared" si="66"/>
        <v>0</v>
      </c>
      <c r="AG145" s="194">
        <f t="shared" si="67"/>
        <v>0</v>
      </c>
      <c r="AH145" s="194">
        <f t="shared" si="68"/>
        <v>0</v>
      </c>
      <c r="AI145" s="199">
        <f t="shared" si="69"/>
        <v>0</v>
      </c>
      <c r="AK145" s="71">
        <v>140</v>
      </c>
      <c r="AL145" s="33"/>
      <c r="AM145" s="33"/>
      <c r="AN145" s="33"/>
      <c r="AO145" s="33"/>
      <c r="AP145" s="33"/>
      <c r="AQ145" s="194"/>
      <c r="AR145" s="194"/>
      <c r="AS145" s="194"/>
      <c r="AT145" s="194"/>
      <c r="AU145" s="33"/>
      <c r="AV145" s="33"/>
      <c r="AW145" s="33"/>
      <c r="AX145" s="33"/>
      <c r="AY145" s="76"/>
    </row>
    <row r="146" spans="3:51" x14ac:dyDescent="0.3">
      <c r="C146" s="166" t="s">
        <v>21</v>
      </c>
      <c r="D146" s="4">
        <v>0.64</v>
      </c>
      <c r="E146" s="188" t="s">
        <v>228</v>
      </c>
      <c r="F146" s="343">
        <f>IF(OR(Tableau145[[#This Row],[Type]]="Feuillus",Tableau145[[#This Row],[Type]]="Peupliers"),1.56,1.3)</f>
        <v>1.56</v>
      </c>
      <c r="I146" s="55">
        <v>141</v>
      </c>
      <c r="J146" s="33">
        <f t="shared" si="82"/>
        <v>0</v>
      </c>
      <c r="K146" s="33">
        <f t="shared" si="83"/>
        <v>0</v>
      </c>
      <c r="L146" s="33">
        <f t="shared" si="84"/>
        <v>0</v>
      </c>
      <c r="M146" s="33">
        <f t="shared" si="85"/>
        <v>0</v>
      </c>
      <c r="N146" s="33">
        <f t="shared" si="71"/>
        <v>0</v>
      </c>
      <c r="O146" s="34">
        <f t="shared" si="72"/>
        <v>0</v>
      </c>
      <c r="P146" s="55">
        <v>141</v>
      </c>
      <c r="Q146" s="33">
        <f t="shared" si="80"/>
        <v>0</v>
      </c>
      <c r="R146" s="33">
        <f t="shared" si="86"/>
        <v>0</v>
      </c>
      <c r="S146" s="33">
        <f t="shared" si="87"/>
        <v>0</v>
      </c>
      <c r="T146" s="33">
        <f t="shared" si="73"/>
        <v>0</v>
      </c>
      <c r="U146" s="33">
        <f t="shared" si="81"/>
        <v>0</v>
      </c>
      <c r="V146" s="33">
        <f t="shared" si="74"/>
        <v>0</v>
      </c>
      <c r="W146" s="33">
        <v>0</v>
      </c>
      <c r="X146" s="33">
        <f t="shared" si="75"/>
        <v>0</v>
      </c>
      <c r="Y146" s="38">
        <f t="shared" si="76"/>
        <v>0</v>
      </c>
      <c r="AA146" s="71">
        <v>141</v>
      </c>
      <c r="AB146" s="33">
        <f t="shared" si="77"/>
        <v>0</v>
      </c>
      <c r="AC146" s="305">
        <f t="shared" si="70"/>
        <v>0</v>
      </c>
      <c r="AD146" s="100">
        <f t="shared" si="78"/>
        <v>0</v>
      </c>
      <c r="AE146" s="100">
        <f t="shared" si="79"/>
        <v>0</v>
      </c>
      <c r="AF146" s="194">
        <f t="shared" si="66"/>
        <v>0</v>
      </c>
      <c r="AG146" s="194">
        <f t="shared" si="67"/>
        <v>0</v>
      </c>
      <c r="AH146" s="194">
        <f t="shared" si="68"/>
        <v>0</v>
      </c>
      <c r="AI146" s="199">
        <f t="shared" si="69"/>
        <v>0</v>
      </c>
      <c r="AK146" s="71">
        <v>141</v>
      </c>
      <c r="AL146" s="33"/>
      <c r="AM146" s="33"/>
      <c r="AN146" s="33"/>
      <c r="AO146" s="33"/>
      <c r="AP146" s="33"/>
      <c r="AQ146" s="194"/>
      <c r="AR146" s="194"/>
      <c r="AS146" s="194"/>
      <c r="AT146" s="194"/>
      <c r="AU146" s="33"/>
      <c r="AV146" s="33"/>
      <c r="AW146" s="33"/>
      <c r="AX146" s="33"/>
      <c r="AY146" s="76"/>
    </row>
    <row r="147" spans="3:51" x14ac:dyDescent="0.3">
      <c r="C147" s="166" t="s">
        <v>22</v>
      </c>
      <c r="D147" s="4">
        <v>0.73</v>
      </c>
      <c r="E147" s="188" t="s">
        <v>228</v>
      </c>
      <c r="F147" s="343">
        <f>IF(OR(Tableau145[[#This Row],[Type]]="Feuillus",Tableau145[[#This Row],[Type]]="Peupliers"),1.56,1.3)</f>
        <v>1.56</v>
      </c>
      <c r="I147" s="55">
        <v>142</v>
      </c>
      <c r="J147" s="33">
        <f t="shared" si="82"/>
        <v>0</v>
      </c>
      <c r="K147" s="33">
        <f t="shared" si="83"/>
        <v>0</v>
      </c>
      <c r="L147" s="33">
        <f t="shared" si="84"/>
        <v>0</v>
      </c>
      <c r="M147" s="33">
        <f t="shared" si="85"/>
        <v>0</v>
      </c>
      <c r="N147" s="33">
        <f t="shared" si="71"/>
        <v>0</v>
      </c>
      <c r="O147" s="34">
        <f t="shared" si="72"/>
        <v>0</v>
      </c>
      <c r="P147" s="55">
        <v>142</v>
      </c>
      <c r="Q147" s="33">
        <f t="shared" si="80"/>
        <v>0</v>
      </c>
      <c r="R147" s="33">
        <f t="shared" si="86"/>
        <v>0</v>
      </c>
      <c r="S147" s="33">
        <f t="shared" si="87"/>
        <v>0</v>
      </c>
      <c r="T147" s="33">
        <f t="shared" si="73"/>
        <v>0</v>
      </c>
      <c r="U147" s="33">
        <f t="shared" si="81"/>
        <v>0</v>
      </c>
      <c r="V147" s="33">
        <f t="shared" si="74"/>
        <v>0</v>
      </c>
      <c r="W147" s="33">
        <v>0</v>
      </c>
      <c r="X147" s="33">
        <f t="shared" si="75"/>
        <v>0</v>
      </c>
      <c r="Y147" s="38">
        <f t="shared" si="76"/>
        <v>0</v>
      </c>
      <c r="AA147" s="71">
        <v>142</v>
      </c>
      <c r="AB147" s="33">
        <f t="shared" si="77"/>
        <v>0</v>
      </c>
      <c r="AC147" s="305">
        <f t="shared" si="70"/>
        <v>0</v>
      </c>
      <c r="AD147" s="100">
        <f t="shared" si="78"/>
        <v>0</v>
      </c>
      <c r="AE147" s="100">
        <f t="shared" si="79"/>
        <v>0</v>
      </c>
      <c r="AF147" s="194">
        <f t="shared" si="66"/>
        <v>0</v>
      </c>
      <c r="AG147" s="194">
        <f t="shared" si="67"/>
        <v>0</v>
      </c>
      <c r="AH147" s="194">
        <f t="shared" si="68"/>
        <v>0</v>
      </c>
      <c r="AI147" s="199">
        <f t="shared" si="69"/>
        <v>0</v>
      </c>
      <c r="AK147" s="71">
        <v>142</v>
      </c>
      <c r="AL147" s="33"/>
      <c r="AM147" s="33"/>
      <c r="AN147" s="33"/>
      <c r="AO147" s="33"/>
      <c r="AP147" s="33"/>
      <c r="AQ147" s="194"/>
      <c r="AR147" s="194"/>
      <c r="AS147" s="194"/>
      <c r="AT147" s="194"/>
      <c r="AU147" s="33"/>
      <c r="AV147" s="33"/>
      <c r="AW147" s="33"/>
      <c r="AX147" s="33"/>
      <c r="AY147" s="76"/>
    </row>
    <row r="148" spans="3:51" x14ac:dyDescent="0.3">
      <c r="C148" s="166" t="s">
        <v>23</v>
      </c>
      <c r="D148" s="4">
        <v>0.56000000000000005</v>
      </c>
      <c r="E148" s="188" t="s">
        <v>228</v>
      </c>
      <c r="F148" s="343">
        <f>IF(OR(Tableau145[[#This Row],[Type]]="Feuillus",Tableau145[[#This Row],[Type]]="Peupliers"),1.56,1.3)</f>
        <v>1.56</v>
      </c>
      <c r="I148" s="55">
        <v>143</v>
      </c>
      <c r="J148" s="33">
        <f t="shared" si="82"/>
        <v>0</v>
      </c>
      <c r="K148" s="33">
        <f t="shared" si="83"/>
        <v>0</v>
      </c>
      <c r="L148" s="33">
        <f t="shared" si="84"/>
        <v>0</v>
      </c>
      <c r="M148" s="33">
        <f t="shared" si="85"/>
        <v>0</v>
      </c>
      <c r="N148" s="33">
        <f t="shared" si="71"/>
        <v>0</v>
      </c>
      <c r="O148" s="34">
        <f t="shared" si="72"/>
        <v>0</v>
      </c>
      <c r="P148" s="55">
        <v>143</v>
      </c>
      <c r="Q148" s="33">
        <f t="shared" si="80"/>
        <v>0</v>
      </c>
      <c r="R148" s="33">
        <f t="shared" si="86"/>
        <v>0</v>
      </c>
      <c r="S148" s="33">
        <f t="shared" si="87"/>
        <v>0</v>
      </c>
      <c r="T148" s="33">
        <f t="shared" si="73"/>
        <v>0</v>
      </c>
      <c r="U148" s="33">
        <f t="shared" si="81"/>
        <v>0</v>
      </c>
      <c r="V148" s="33">
        <f t="shared" si="74"/>
        <v>0</v>
      </c>
      <c r="W148" s="33">
        <v>0</v>
      </c>
      <c r="X148" s="33">
        <f t="shared" si="75"/>
        <v>0</v>
      </c>
      <c r="Y148" s="38">
        <f t="shared" si="76"/>
        <v>0</v>
      </c>
      <c r="AA148" s="71">
        <v>143</v>
      </c>
      <c r="AB148" s="33">
        <f t="shared" si="77"/>
        <v>0</v>
      </c>
      <c r="AC148" s="305">
        <f t="shared" si="70"/>
        <v>0</v>
      </c>
      <c r="AD148" s="100">
        <f t="shared" si="78"/>
        <v>0</v>
      </c>
      <c r="AE148" s="100">
        <f t="shared" si="79"/>
        <v>0</v>
      </c>
      <c r="AF148" s="194">
        <f t="shared" si="66"/>
        <v>0</v>
      </c>
      <c r="AG148" s="194">
        <f t="shared" si="67"/>
        <v>0</v>
      </c>
      <c r="AH148" s="194">
        <f t="shared" si="68"/>
        <v>0</v>
      </c>
      <c r="AI148" s="199">
        <f t="shared" si="69"/>
        <v>0</v>
      </c>
      <c r="AK148" s="71">
        <v>143</v>
      </c>
      <c r="AL148" s="33"/>
      <c r="AM148" s="33"/>
      <c r="AN148" s="33"/>
      <c r="AO148" s="33"/>
      <c r="AP148" s="33"/>
      <c r="AQ148" s="194"/>
      <c r="AR148" s="194"/>
      <c r="AS148" s="194"/>
      <c r="AT148" s="194"/>
      <c r="AU148" s="33"/>
      <c r="AV148" s="33"/>
      <c r="AW148" s="33"/>
      <c r="AX148" s="33"/>
      <c r="AY148" s="76"/>
    </row>
    <row r="149" spans="3:51" x14ac:dyDescent="0.3">
      <c r="C149" s="166" t="s">
        <v>24</v>
      </c>
      <c r="D149" s="4">
        <v>0.74</v>
      </c>
      <c r="E149" s="188" t="s">
        <v>228</v>
      </c>
      <c r="F149" s="343">
        <f>IF(OR(Tableau145[[#This Row],[Type]]="Feuillus",Tableau145[[#This Row],[Type]]="Peupliers"),1.56,1.3)</f>
        <v>1.56</v>
      </c>
      <c r="I149" s="55">
        <v>144</v>
      </c>
      <c r="J149" s="33">
        <f t="shared" si="82"/>
        <v>0</v>
      </c>
      <c r="K149" s="33">
        <f t="shared" si="83"/>
        <v>0</v>
      </c>
      <c r="L149" s="33">
        <f t="shared" si="84"/>
        <v>0</v>
      </c>
      <c r="M149" s="33">
        <f t="shared" si="85"/>
        <v>0</v>
      </c>
      <c r="N149" s="33">
        <f t="shared" si="71"/>
        <v>0</v>
      </c>
      <c r="O149" s="34">
        <f t="shared" si="72"/>
        <v>0</v>
      </c>
      <c r="P149" s="55">
        <v>144</v>
      </c>
      <c r="Q149" s="33">
        <f t="shared" si="80"/>
        <v>0</v>
      </c>
      <c r="R149" s="33">
        <f t="shared" si="86"/>
        <v>0</v>
      </c>
      <c r="S149" s="33">
        <f t="shared" si="87"/>
        <v>0</v>
      </c>
      <c r="T149" s="33">
        <f t="shared" si="73"/>
        <v>0</v>
      </c>
      <c r="U149" s="33">
        <f t="shared" si="81"/>
        <v>0</v>
      </c>
      <c r="V149" s="33">
        <f t="shared" si="74"/>
        <v>0</v>
      </c>
      <c r="W149" s="33">
        <v>0</v>
      </c>
      <c r="X149" s="33">
        <f t="shared" si="75"/>
        <v>0</v>
      </c>
      <c r="Y149" s="38">
        <f t="shared" si="76"/>
        <v>0</v>
      </c>
      <c r="AA149" s="71">
        <v>144</v>
      </c>
      <c r="AB149" s="33">
        <f t="shared" si="77"/>
        <v>0</v>
      </c>
      <c r="AC149" s="305">
        <f t="shared" si="70"/>
        <v>0</v>
      </c>
      <c r="AD149" s="100">
        <f t="shared" si="78"/>
        <v>0</v>
      </c>
      <c r="AE149" s="100">
        <f t="shared" si="79"/>
        <v>0</v>
      </c>
      <c r="AF149" s="194">
        <f t="shared" si="66"/>
        <v>0</v>
      </c>
      <c r="AG149" s="194">
        <f t="shared" si="67"/>
        <v>0</v>
      </c>
      <c r="AH149" s="194">
        <f t="shared" si="68"/>
        <v>0</v>
      </c>
      <c r="AI149" s="199">
        <f t="shared" si="69"/>
        <v>0</v>
      </c>
      <c r="AK149" s="71">
        <v>144</v>
      </c>
      <c r="AL149" s="33"/>
      <c r="AM149" s="33"/>
      <c r="AN149" s="33"/>
      <c r="AO149" s="33"/>
      <c r="AP149" s="33"/>
      <c r="AQ149" s="194"/>
      <c r="AR149" s="194"/>
      <c r="AS149" s="194"/>
      <c r="AT149" s="194"/>
      <c r="AU149" s="33"/>
      <c r="AV149" s="33"/>
      <c r="AW149" s="33"/>
      <c r="AX149" s="33"/>
      <c r="AY149" s="76"/>
    </row>
    <row r="150" spans="3:51" x14ac:dyDescent="0.3">
      <c r="C150" s="166" t="s">
        <v>25</v>
      </c>
      <c r="D150" s="4">
        <v>0.4</v>
      </c>
      <c r="E150" s="188" t="s">
        <v>229</v>
      </c>
      <c r="F150" s="343">
        <f>IF(OR(Tableau145[[#This Row],[Type]]="Feuillus",Tableau145[[#This Row],[Type]]="Peupliers"),1.56,1.3)</f>
        <v>1.3</v>
      </c>
      <c r="I150" s="55">
        <v>145</v>
      </c>
      <c r="J150" s="33">
        <f t="shared" si="82"/>
        <v>0</v>
      </c>
      <c r="K150" s="33">
        <f t="shared" si="83"/>
        <v>0</v>
      </c>
      <c r="L150" s="33">
        <f t="shared" si="84"/>
        <v>0</v>
      </c>
      <c r="M150" s="33">
        <f t="shared" si="85"/>
        <v>0</v>
      </c>
      <c r="N150" s="33">
        <f t="shared" si="71"/>
        <v>0</v>
      </c>
      <c r="O150" s="34">
        <f t="shared" si="72"/>
        <v>0</v>
      </c>
      <c r="P150" s="55">
        <v>145</v>
      </c>
      <c r="Q150" s="33">
        <f t="shared" si="80"/>
        <v>0</v>
      </c>
      <c r="R150" s="33">
        <f t="shared" si="86"/>
        <v>0</v>
      </c>
      <c r="S150" s="33">
        <f t="shared" si="87"/>
        <v>0</v>
      </c>
      <c r="T150" s="33">
        <f t="shared" si="73"/>
        <v>0</v>
      </c>
      <c r="U150" s="33">
        <f t="shared" si="81"/>
        <v>0</v>
      </c>
      <c r="V150" s="33">
        <f t="shared" si="74"/>
        <v>0</v>
      </c>
      <c r="W150" s="33">
        <v>0</v>
      </c>
      <c r="X150" s="33">
        <f t="shared" si="75"/>
        <v>0</v>
      </c>
      <c r="Y150" s="38">
        <f t="shared" si="76"/>
        <v>0</v>
      </c>
      <c r="AA150" s="71">
        <v>145</v>
      </c>
      <c r="AB150" s="33">
        <f t="shared" si="77"/>
        <v>0</v>
      </c>
      <c r="AC150" s="305">
        <f t="shared" si="70"/>
        <v>0</v>
      </c>
      <c r="AD150" s="100">
        <f t="shared" si="78"/>
        <v>0</v>
      </c>
      <c r="AE150" s="100">
        <f t="shared" si="79"/>
        <v>0</v>
      </c>
      <c r="AF150" s="194">
        <f t="shared" si="66"/>
        <v>0</v>
      </c>
      <c r="AG150" s="194">
        <f t="shared" si="67"/>
        <v>0</v>
      </c>
      <c r="AH150" s="194">
        <f t="shared" si="68"/>
        <v>0</v>
      </c>
      <c r="AI150" s="199">
        <f t="shared" si="69"/>
        <v>0</v>
      </c>
      <c r="AK150" s="71">
        <v>145</v>
      </c>
      <c r="AL150" s="33"/>
      <c r="AM150" s="33"/>
      <c r="AN150" s="33"/>
      <c r="AO150" s="33"/>
      <c r="AP150" s="33"/>
      <c r="AQ150" s="194"/>
      <c r="AR150" s="194"/>
      <c r="AS150" s="194"/>
      <c r="AT150" s="194"/>
      <c r="AU150" s="33"/>
      <c r="AV150" s="33"/>
      <c r="AW150" s="33"/>
      <c r="AX150" s="33"/>
      <c r="AY150" s="76"/>
    </row>
    <row r="151" spans="3:51" x14ac:dyDescent="0.3">
      <c r="C151" s="166" t="s">
        <v>26</v>
      </c>
      <c r="D151" s="4">
        <v>0.6</v>
      </c>
      <c r="E151" s="188" t="s">
        <v>228</v>
      </c>
      <c r="F151" s="343">
        <f>IF(OR(Tableau145[[#This Row],[Type]]="Feuillus",Tableau145[[#This Row],[Type]]="Peupliers"),1.56,1.3)</f>
        <v>1.56</v>
      </c>
      <c r="I151" s="55">
        <v>146</v>
      </c>
      <c r="J151" s="33">
        <f t="shared" si="82"/>
        <v>0</v>
      </c>
      <c r="K151" s="33">
        <f t="shared" si="83"/>
        <v>0</v>
      </c>
      <c r="L151" s="33">
        <f t="shared" si="84"/>
        <v>0</v>
      </c>
      <c r="M151" s="33">
        <f t="shared" si="85"/>
        <v>0</v>
      </c>
      <c r="N151" s="33">
        <f t="shared" si="71"/>
        <v>0</v>
      </c>
      <c r="O151" s="34">
        <f t="shared" si="72"/>
        <v>0</v>
      </c>
      <c r="P151" s="55">
        <v>146</v>
      </c>
      <c r="Q151" s="33">
        <f t="shared" si="80"/>
        <v>0</v>
      </c>
      <c r="R151" s="33">
        <f t="shared" si="86"/>
        <v>0</v>
      </c>
      <c r="S151" s="33">
        <f t="shared" si="87"/>
        <v>0</v>
      </c>
      <c r="T151" s="33">
        <f t="shared" si="73"/>
        <v>0</v>
      </c>
      <c r="U151" s="33">
        <f t="shared" si="81"/>
        <v>0</v>
      </c>
      <c r="V151" s="33">
        <f t="shared" si="74"/>
        <v>0</v>
      </c>
      <c r="W151" s="33">
        <v>0</v>
      </c>
      <c r="X151" s="33">
        <f t="shared" si="75"/>
        <v>0</v>
      </c>
      <c r="Y151" s="38">
        <f t="shared" si="76"/>
        <v>0</v>
      </c>
      <c r="AA151" s="71">
        <v>146</v>
      </c>
      <c r="AB151" s="33">
        <f t="shared" si="77"/>
        <v>0</v>
      </c>
      <c r="AC151" s="305">
        <f t="shared" si="70"/>
        <v>0</v>
      </c>
      <c r="AD151" s="100">
        <f t="shared" si="78"/>
        <v>0</v>
      </c>
      <c r="AE151" s="100">
        <f t="shared" si="79"/>
        <v>0</v>
      </c>
      <c r="AF151" s="194">
        <f t="shared" si="66"/>
        <v>0</v>
      </c>
      <c r="AG151" s="194">
        <f t="shared" si="67"/>
        <v>0</v>
      </c>
      <c r="AH151" s="194">
        <f t="shared" si="68"/>
        <v>0</v>
      </c>
      <c r="AI151" s="199">
        <f t="shared" si="69"/>
        <v>0</v>
      </c>
      <c r="AK151" s="71">
        <v>146</v>
      </c>
      <c r="AL151" s="33"/>
      <c r="AM151" s="33"/>
      <c r="AN151" s="33"/>
      <c r="AO151" s="33"/>
      <c r="AP151" s="33"/>
      <c r="AQ151" s="194"/>
      <c r="AR151" s="194"/>
      <c r="AS151" s="194"/>
      <c r="AT151" s="194"/>
      <c r="AU151" s="33"/>
      <c r="AV151" s="33"/>
      <c r="AW151" s="33"/>
      <c r="AX151" s="33"/>
      <c r="AY151" s="76"/>
    </row>
    <row r="152" spans="3:51" x14ac:dyDescent="0.3">
      <c r="C152" s="166" t="s">
        <v>27</v>
      </c>
      <c r="D152" s="4">
        <v>0.43</v>
      </c>
      <c r="E152" s="188" t="s">
        <v>229</v>
      </c>
      <c r="F152" s="343">
        <f>IF(OR(Tableau145[[#This Row],[Type]]="Feuillus",Tableau145[[#This Row],[Type]]="Peupliers"),1.56,1.3)</f>
        <v>1.3</v>
      </c>
      <c r="I152" s="55">
        <v>147</v>
      </c>
      <c r="J152" s="33">
        <f t="shared" si="82"/>
        <v>0</v>
      </c>
      <c r="K152" s="33">
        <f t="shared" si="83"/>
        <v>0</v>
      </c>
      <c r="L152" s="33">
        <f t="shared" si="84"/>
        <v>0</v>
      </c>
      <c r="M152" s="33">
        <f t="shared" si="85"/>
        <v>0</v>
      </c>
      <c r="N152" s="33">
        <f t="shared" si="71"/>
        <v>0</v>
      </c>
      <c r="O152" s="34">
        <f t="shared" si="72"/>
        <v>0</v>
      </c>
      <c r="P152" s="55">
        <v>147</v>
      </c>
      <c r="Q152" s="33">
        <f t="shared" si="80"/>
        <v>0</v>
      </c>
      <c r="R152" s="33">
        <f t="shared" si="86"/>
        <v>0</v>
      </c>
      <c r="S152" s="33">
        <f t="shared" si="87"/>
        <v>0</v>
      </c>
      <c r="T152" s="33">
        <f t="shared" si="73"/>
        <v>0</v>
      </c>
      <c r="U152" s="33">
        <f t="shared" si="81"/>
        <v>0</v>
      </c>
      <c r="V152" s="33">
        <f t="shared" si="74"/>
        <v>0</v>
      </c>
      <c r="W152" s="33">
        <v>0</v>
      </c>
      <c r="X152" s="33">
        <f t="shared" si="75"/>
        <v>0</v>
      </c>
      <c r="Y152" s="38">
        <f t="shared" si="76"/>
        <v>0</v>
      </c>
      <c r="AA152" s="71">
        <v>147</v>
      </c>
      <c r="AB152" s="33">
        <f t="shared" si="77"/>
        <v>0</v>
      </c>
      <c r="AC152" s="305">
        <f t="shared" si="70"/>
        <v>0</v>
      </c>
      <c r="AD152" s="100">
        <f t="shared" si="78"/>
        <v>0</v>
      </c>
      <c r="AE152" s="100">
        <f t="shared" si="79"/>
        <v>0</v>
      </c>
      <c r="AF152" s="194">
        <f t="shared" si="66"/>
        <v>0</v>
      </c>
      <c r="AG152" s="194">
        <f t="shared" si="67"/>
        <v>0</v>
      </c>
      <c r="AH152" s="194">
        <f t="shared" si="68"/>
        <v>0</v>
      </c>
      <c r="AI152" s="199">
        <f t="shared" si="69"/>
        <v>0</v>
      </c>
      <c r="AK152" s="71">
        <v>147</v>
      </c>
      <c r="AL152" s="33"/>
      <c r="AM152" s="33"/>
      <c r="AN152" s="33"/>
      <c r="AO152" s="33"/>
      <c r="AP152" s="33"/>
      <c r="AQ152" s="194"/>
      <c r="AR152" s="194"/>
      <c r="AS152" s="194"/>
      <c r="AT152" s="194"/>
      <c r="AU152" s="33"/>
      <c r="AV152" s="33"/>
      <c r="AW152" s="33"/>
      <c r="AX152" s="33"/>
      <c r="AY152" s="76"/>
    </row>
    <row r="153" spans="3:51" x14ac:dyDescent="0.3">
      <c r="C153" s="166" t="s">
        <v>28</v>
      </c>
      <c r="D153" s="4">
        <v>0.37</v>
      </c>
      <c r="E153" s="188" t="s">
        <v>229</v>
      </c>
      <c r="F153" s="343">
        <f>IF(OR(Tableau145[[#This Row],[Type]]="Feuillus",Tableau145[[#This Row],[Type]]="Peupliers"),1.56,1.3)</f>
        <v>1.3</v>
      </c>
      <c r="I153" s="55">
        <v>148</v>
      </c>
      <c r="J153" s="33">
        <f t="shared" si="82"/>
        <v>0</v>
      </c>
      <c r="K153" s="33">
        <f t="shared" si="83"/>
        <v>0</v>
      </c>
      <c r="L153" s="33">
        <f t="shared" si="84"/>
        <v>0</v>
      </c>
      <c r="M153" s="33">
        <f t="shared" si="85"/>
        <v>0</v>
      </c>
      <c r="N153" s="33">
        <f t="shared" si="71"/>
        <v>0</v>
      </c>
      <c r="O153" s="34">
        <f t="shared" si="72"/>
        <v>0</v>
      </c>
      <c r="P153" s="55">
        <v>148</v>
      </c>
      <c r="Q153" s="33">
        <f t="shared" si="80"/>
        <v>0</v>
      </c>
      <c r="R153" s="33">
        <f t="shared" si="86"/>
        <v>0</v>
      </c>
      <c r="S153" s="33">
        <f t="shared" si="87"/>
        <v>0</v>
      </c>
      <c r="T153" s="33">
        <f t="shared" si="73"/>
        <v>0</v>
      </c>
      <c r="U153" s="33">
        <f t="shared" si="81"/>
        <v>0</v>
      </c>
      <c r="V153" s="33">
        <f t="shared" si="74"/>
        <v>0</v>
      </c>
      <c r="W153" s="33">
        <v>0</v>
      </c>
      <c r="X153" s="33">
        <f t="shared" si="75"/>
        <v>0</v>
      </c>
      <c r="Y153" s="38">
        <f t="shared" si="76"/>
        <v>0</v>
      </c>
      <c r="AA153" s="71">
        <v>148</v>
      </c>
      <c r="AB153" s="33">
        <f t="shared" si="77"/>
        <v>0</v>
      </c>
      <c r="AC153" s="305">
        <f t="shared" si="70"/>
        <v>0</v>
      </c>
      <c r="AD153" s="100">
        <f t="shared" si="78"/>
        <v>0</v>
      </c>
      <c r="AE153" s="100">
        <f t="shared" si="79"/>
        <v>0</v>
      </c>
      <c r="AF153" s="194">
        <f t="shared" si="66"/>
        <v>0</v>
      </c>
      <c r="AG153" s="194">
        <f t="shared" si="67"/>
        <v>0</v>
      </c>
      <c r="AH153" s="194">
        <f t="shared" si="68"/>
        <v>0</v>
      </c>
      <c r="AI153" s="199">
        <f t="shared" si="69"/>
        <v>0</v>
      </c>
      <c r="AK153" s="71">
        <v>148</v>
      </c>
      <c r="AL153" s="33"/>
      <c r="AM153" s="33"/>
      <c r="AN153" s="33"/>
      <c r="AO153" s="33"/>
      <c r="AP153" s="33"/>
      <c r="AQ153" s="194"/>
      <c r="AR153" s="194"/>
      <c r="AS153" s="194"/>
      <c r="AT153" s="194"/>
      <c r="AU153" s="33"/>
      <c r="AV153" s="33"/>
      <c r="AW153" s="33"/>
      <c r="AX153" s="33"/>
      <c r="AY153" s="76"/>
    </row>
    <row r="154" spans="3:51" x14ac:dyDescent="0.3">
      <c r="C154" s="166" t="s">
        <v>29</v>
      </c>
      <c r="D154" s="4">
        <v>0.36</v>
      </c>
      <c r="E154" s="188" t="s">
        <v>229</v>
      </c>
      <c r="F154" s="343">
        <f>IF(OR(Tableau145[[#This Row],[Type]]="Feuillus",Tableau145[[#This Row],[Type]]="Peupliers"),1.56,1.3)</f>
        <v>1.3</v>
      </c>
      <c r="I154" s="55">
        <v>149</v>
      </c>
      <c r="J154" s="33">
        <f t="shared" si="82"/>
        <v>0</v>
      </c>
      <c r="K154" s="33">
        <f t="shared" si="83"/>
        <v>0</v>
      </c>
      <c r="L154" s="33">
        <f t="shared" si="84"/>
        <v>0</v>
      </c>
      <c r="M154" s="33">
        <f t="shared" si="85"/>
        <v>0</v>
      </c>
      <c r="N154" s="33">
        <f t="shared" si="71"/>
        <v>0</v>
      </c>
      <c r="O154" s="34">
        <f t="shared" si="72"/>
        <v>0</v>
      </c>
      <c r="P154" s="55">
        <v>149</v>
      </c>
      <c r="Q154" s="33">
        <f t="shared" si="80"/>
        <v>0</v>
      </c>
      <c r="R154" s="33">
        <f t="shared" si="86"/>
        <v>0</v>
      </c>
      <c r="S154" s="33">
        <f t="shared" si="87"/>
        <v>0</v>
      </c>
      <c r="T154" s="33">
        <f t="shared" si="73"/>
        <v>0</v>
      </c>
      <c r="U154" s="33">
        <f t="shared" si="81"/>
        <v>0</v>
      </c>
      <c r="V154" s="33">
        <f t="shared" si="74"/>
        <v>0</v>
      </c>
      <c r="W154" s="33">
        <v>0</v>
      </c>
      <c r="X154" s="33">
        <f t="shared" si="75"/>
        <v>0</v>
      </c>
      <c r="Y154" s="38">
        <f t="shared" si="76"/>
        <v>0</v>
      </c>
      <c r="AA154" s="71">
        <v>149</v>
      </c>
      <c r="AB154" s="33">
        <f t="shared" si="77"/>
        <v>0</v>
      </c>
      <c r="AC154" s="305">
        <f t="shared" si="70"/>
        <v>0</v>
      </c>
      <c r="AD154" s="100">
        <f t="shared" si="78"/>
        <v>0</v>
      </c>
      <c r="AE154" s="100">
        <f t="shared" si="79"/>
        <v>0</v>
      </c>
      <c r="AF154" s="194">
        <f t="shared" si="66"/>
        <v>0</v>
      </c>
      <c r="AG154" s="194">
        <f t="shared" si="67"/>
        <v>0</v>
      </c>
      <c r="AH154" s="194">
        <f t="shared" si="68"/>
        <v>0</v>
      </c>
      <c r="AI154" s="199">
        <f t="shared" si="69"/>
        <v>0</v>
      </c>
      <c r="AK154" s="71">
        <v>149</v>
      </c>
      <c r="AL154" s="33"/>
      <c r="AM154" s="33"/>
      <c r="AN154" s="33"/>
      <c r="AO154" s="33"/>
      <c r="AP154" s="33"/>
      <c r="AQ154" s="194"/>
      <c r="AR154" s="194"/>
      <c r="AS154" s="194"/>
      <c r="AT154" s="194"/>
      <c r="AU154" s="33"/>
      <c r="AV154" s="33"/>
      <c r="AW154" s="33"/>
      <c r="AX154" s="33"/>
      <c r="AY154" s="76"/>
    </row>
    <row r="155" spans="3:51" x14ac:dyDescent="0.3">
      <c r="C155" s="166" t="s">
        <v>30</v>
      </c>
      <c r="D155" s="4">
        <v>0.51</v>
      </c>
      <c r="E155" s="188" t="s">
        <v>228</v>
      </c>
      <c r="F155" s="343">
        <f>IF(OR(Tableau145[[#This Row],[Type]]="Feuillus",Tableau145[[#This Row],[Type]]="Peupliers"),1.56,1.3)</f>
        <v>1.56</v>
      </c>
      <c r="I155" s="55">
        <v>150</v>
      </c>
      <c r="J155" s="33">
        <f t="shared" si="82"/>
        <v>0</v>
      </c>
      <c r="K155" s="33">
        <f t="shared" si="83"/>
        <v>0</v>
      </c>
      <c r="L155" s="33">
        <f t="shared" si="84"/>
        <v>0</v>
      </c>
      <c r="M155" s="33">
        <f t="shared" si="85"/>
        <v>0</v>
      </c>
      <c r="N155" s="33">
        <f t="shared" si="71"/>
        <v>0</v>
      </c>
      <c r="O155" s="34">
        <f t="shared" si="72"/>
        <v>0</v>
      </c>
      <c r="P155" s="55">
        <v>150</v>
      </c>
      <c r="Q155" s="33">
        <f t="shared" si="80"/>
        <v>0</v>
      </c>
      <c r="R155" s="33">
        <f t="shared" si="86"/>
        <v>0</v>
      </c>
      <c r="S155" s="33">
        <f t="shared" si="87"/>
        <v>0</v>
      </c>
      <c r="T155" s="33">
        <f t="shared" si="73"/>
        <v>0</v>
      </c>
      <c r="U155" s="33">
        <f t="shared" si="81"/>
        <v>0</v>
      </c>
      <c r="V155" s="33">
        <f t="shared" si="74"/>
        <v>0</v>
      </c>
      <c r="W155" s="33">
        <v>0</v>
      </c>
      <c r="X155" s="33">
        <f t="shared" si="75"/>
        <v>0</v>
      </c>
      <c r="Y155" s="38">
        <f t="shared" si="76"/>
        <v>0</v>
      </c>
      <c r="AA155" s="71">
        <v>150</v>
      </c>
      <c r="AB155" s="33">
        <f t="shared" si="77"/>
        <v>0</v>
      </c>
      <c r="AC155" s="305">
        <f t="shared" si="70"/>
        <v>0</v>
      </c>
      <c r="AD155" s="100">
        <f t="shared" si="78"/>
        <v>0</v>
      </c>
      <c r="AE155" s="100">
        <f t="shared" si="79"/>
        <v>0</v>
      </c>
      <c r="AF155" s="194">
        <f t="shared" ref="AF155:AF205" si="88">IF(OR(AA155&lt;=$F$18,AA155&lt;=30),EXP(-LN(2)/$D$104)*AF154+((1-EXP(-LN(2)/$D$104))/(LN(2)/$D$104))*$AB155*AC155*0.475*$F$19*44/12,)</f>
        <v>0</v>
      </c>
      <c r="AG155" s="194">
        <f t="shared" ref="AG155:AG205" si="89">IF(OR(AA155&lt;=$F$18,AA155&lt;=30),EXP(-LN(2)/$D$106)*AG154+((1-EXP(-LN(2)/$D$106))/(LN(2)/$D$106))*$AB155*AD155*0.475*$F$19*44/12,)</f>
        <v>0</v>
      </c>
      <c r="AH155" s="194">
        <f t="shared" ref="AH155:AH205" si="90">IF(OR(AA155&lt;=$F$18,AA155&lt;=30),EXP(-LN(2)/$D$105)*AH154+((1-EXP(-LN(2)/$D$105))/(LN(2)/$D$105))*$AB155*AE155*0.475*$F$19*44/12,)</f>
        <v>0</v>
      </c>
      <c r="AI155" s="199">
        <f t="shared" ref="AI155:AI205" si="91">IF(OR(AA155&lt;=$F$18,AA155&lt;=30),SUM(AF155:AH155),)</f>
        <v>0</v>
      </c>
      <c r="AK155" s="71">
        <v>150</v>
      </c>
      <c r="AL155" s="33"/>
      <c r="AM155" s="33"/>
      <c r="AN155" s="33"/>
      <c r="AO155" s="33"/>
      <c r="AP155" s="33"/>
      <c r="AQ155" s="194"/>
      <c r="AR155" s="194"/>
      <c r="AS155" s="194"/>
      <c r="AT155" s="194"/>
      <c r="AU155" s="33"/>
      <c r="AV155" s="33"/>
      <c r="AW155" s="33"/>
      <c r="AX155" s="33"/>
      <c r="AY155" s="76"/>
    </row>
    <row r="156" spans="3:51" x14ac:dyDescent="0.3">
      <c r="C156" s="166" t="s">
        <v>31</v>
      </c>
      <c r="D156" s="4">
        <v>0.56000000000000005</v>
      </c>
      <c r="E156" s="188" t="s">
        <v>228</v>
      </c>
      <c r="F156" s="343">
        <f>IF(OR(Tableau145[[#This Row],[Type]]="Feuillus",Tableau145[[#This Row],[Type]]="Peupliers"),1.56,1.3)</f>
        <v>1.56</v>
      </c>
      <c r="I156" s="55">
        <v>151</v>
      </c>
      <c r="J156" s="33">
        <f t="shared" si="82"/>
        <v>0</v>
      </c>
      <c r="K156" s="33">
        <f t="shared" si="83"/>
        <v>0</v>
      </c>
      <c r="L156" s="33">
        <f t="shared" si="84"/>
        <v>0</v>
      </c>
      <c r="M156" s="33">
        <f t="shared" si="85"/>
        <v>0</v>
      </c>
      <c r="N156" s="33">
        <f t="shared" si="71"/>
        <v>0</v>
      </c>
      <c r="O156" s="34">
        <f t="shared" si="72"/>
        <v>0</v>
      </c>
      <c r="P156" s="55">
        <v>151</v>
      </c>
      <c r="Q156" s="33">
        <f t="shared" si="80"/>
        <v>0</v>
      </c>
      <c r="R156" s="33">
        <f t="shared" si="86"/>
        <v>0</v>
      </c>
      <c r="S156" s="33">
        <f t="shared" si="87"/>
        <v>0</v>
      </c>
      <c r="T156" s="33">
        <f t="shared" si="73"/>
        <v>0</v>
      </c>
      <c r="U156" s="33">
        <f t="shared" si="81"/>
        <v>0</v>
      </c>
      <c r="V156" s="33">
        <f t="shared" si="74"/>
        <v>0</v>
      </c>
      <c r="W156" s="33">
        <v>0</v>
      </c>
      <c r="X156" s="33">
        <f t="shared" si="75"/>
        <v>0</v>
      </c>
      <c r="Y156" s="38">
        <f t="shared" si="76"/>
        <v>0</v>
      </c>
      <c r="AA156" s="71">
        <v>151</v>
      </c>
      <c r="AB156" s="33">
        <f t="shared" si="77"/>
        <v>0</v>
      </c>
      <c r="AC156" s="305">
        <f t="shared" si="70"/>
        <v>0</v>
      </c>
      <c r="AD156" s="100">
        <f t="shared" si="78"/>
        <v>0</v>
      </c>
      <c r="AE156" s="100">
        <f t="shared" si="79"/>
        <v>0</v>
      </c>
      <c r="AF156" s="194">
        <f t="shared" si="88"/>
        <v>0</v>
      </c>
      <c r="AG156" s="194">
        <f t="shared" si="89"/>
        <v>0</v>
      </c>
      <c r="AH156" s="194">
        <f t="shared" si="90"/>
        <v>0</v>
      </c>
      <c r="AI156" s="199">
        <f t="shared" si="91"/>
        <v>0</v>
      </c>
      <c r="AK156" s="71">
        <v>151</v>
      </c>
      <c r="AL156" s="33"/>
      <c r="AM156" s="33"/>
      <c r="AN156" s="33"/>
      <c r="AO156" s="33"/>
      <c r="AP156" s="33"/>
      <c r="AQ156" s="194"/>
      <c r="AR156" s="194"/>
      <c r="AS156" s="194"/>
      <c r="AT156" s="194"/>
      <c r="AU156" s="33"/>
      <c r="AV156" s="33"/>
      <c r="AW156" s="33"/>
      <c r="AX156" s="33"/>
      <c r="AY156" s="76"/>
    </row>
    <row r="157" spans="3:51" x14ac:dyDescent="0.3">
      <c r="C157" s="166" t="s">
        <v>32</v>
      </c>
      <c r="D157" s="4">
        <v>0.56000000000000005</v>
      </c>
      <c r="E157" s="188" t="s">
        <v>228</v>
      </c>
      <c r="F157" s="343">
        <f>IF(OR(Tableau145[[#This Row],[Type]]="Feuillus",Tableau145[[#This Row],[Type]]="Peupliers"),1.56,1.3)</f>
        <v>1.56</v>
      </c>
      <c r="I157" s="55">
        <v>152</v>
      </c>
      <c r="J157" s="33">
        <f t="shared" si="82"/>
        <v>0</v>
      </c>
      <c r="K157" s="33">
        <f t="shared" si="83"/>
        <v>0</v>
      </c>
      <c r="L157" s="33">
        <f t="shared" si="84"/>
        <v>0</v>
      </c>
      <c r="M157" s="33">
        <f t="shared" si="85"/>
        <v>0</v>
      </c>
      <c r="N157" s="33">
        <f t="shared" si="71"/>
        <v>0</v>
      </c>
      <c r="O157" s="34">
        <f t="shared" si="72"/>
        <v>0</v>
      </c>
      <c r="P157" s="55">
        <v>152</v>
      </c>
      <c r="Q157" s="33">
        <f t="shared" si="80"/>
        <v>0</v>
      </c>
      <c r="R157" s="33">
        <f t="shared" si="86"/>
        <v>0</v>
      </c>
      <c r="S157" s="33">
        <f t="shared" si="87"/>
        <v>0</v>
      </c>
      <c r="T157" s="33">
        <f t="shared" si="73"/>
        <v>0</v>
      </c>
      <c r="U157" s="33">
        <f t="shared" si="81"/>
        <v>0</v>
      </c>
      <c r="V157" s="33">
        <f t="shared" si="74"/>
        <v>0</v>
      </c>
      <c r="W157" s="33">
        <v>0</v>
      </c>
      <c r="X157" s="33">
        <f t="shared" si="75"/>
        <v>0</v>
      </c>
      <c r="Y157" s="38">
        <f t="shared" si="76"/>
        <v>0</v>
      </c>
      <c r="AA157" s="71">
        <v>152</v>
      </c>
      <c r="AB157" s="33">
        <f t="shared" si="77"/>
        <v>0</v>
      </c>
      <c r="AC157" s="305">
        <f t="shared" si="70"/>
        <v>0</v>
      </c>
      <c r="AD157" s="100">
        <f t="shared" si="78"/>
        <v>0</v>
      </c>
      <c r="AE157" s="100">
        <f t="shared" si="79"/>
        <v>0</v>
      </c>
      <c r="AF157" s="194">
        <f t="shared" si="88"/>
        <v>0</v>
      </c>
      <c r="AG157" s="194">
        <f t="shared" si="89"/>
        <v>0</v>
      </c>
      <c r="AH157" s="194">
        <f t="shared" si="90"/>
        <v>0</v>
      </c>
      <c r="AI157" s="199">
        <f t="shared" si="91"/>
        <v>0</v>
      </c>
      <c r="AK157" s="71">
        <v>152</v>
      </c>
      <c r="AL157" s="33"/>
      <c r="AM157" s="33"/>
      <c r="AN157" s="33"/>
      <c r="AO157" s="33"/>
      <c r="AP157" s="33"/>
      <c r="AQ157" s="194"/>
      <c r="AR157" s="194"/>
      <c r="AS157" s="194"/>
      <c r="AT157" s="194"/>
      <c r="AU157" s="33"/>
      <c r="AV157" s="33"/>
      <c r="AW157" s="33"/>
      <c r="AX157" s="33"/>
      <c r="AY157" s="76"/>
    </row>
    <row r="158" spans="3:51" x14ac:dyDescent="0.3">
      <c r="C158" s="166" t="s">
        <v>33</v>
      </c>
      <c r="D158" s="4">
        <v>0.48</v>
      </c>
      <c r="E158" s="188" t="s">
        <v>228</v>
      </c>
      <c r="F158" s="343">
        <f>IF(OR(Tableau145[[#This Row],[Type]]="Feuillus",Tableau145[[#This Row],[Type]]="Peupliers"),1.56,1.3)</f>
        <v>1.56</v>
      </c>
      <c r="I158" s="55">
        <v>153</v>
      </c>
      <c r="J158" s="33">
        <f t="shared" si="82"/>
        <v>0</v>
      </c>
      <c r="K158" s="33">
        <f t="shared" si="83"/>
        <v>0</v>
      </c>
      <c r="L158" s="33">
        <f t="shared" si="84"/>
        <v>0</v>
      </c>
      <c r="M158" s="33">
        <f t="shared" si="85"/>
        <v>0</v>
      </c>
      <c r="N158" s="33">
        <f t="shared" si="71"/>
        <v>0</v>
      </c>
      <c r="O158" s="34">
        <f t="shared" si="72"/>
        <v>0</v>
      </c>
      <c r="P158" s="55">
        <v>153</v>
      </c>
      <c r="Q158" s="33">
        <f t="shared" si="80"/>
        <v>0</v>
      </c>
      <c r="R158" s="33">
        <f t="shared" si="86"/>
        <v>0</v>
      </c>
      <c r="S158" s="33">
        <f t="shared" si="87"/>
        <v>0</v>
      </c>
      <c r="T158" s="33">
        <f t="shared" si="73"/>
        <v>0</v>
      </c>
      <c r="U158" s="33">
        <f t="shared" si="81"/>
        <v>0</v>
      </c>
      <c r="V158" s="33">
        <f t="shared" si="74"/>
        <v>0</v>
      </c>
      <c r="W158" s="33">
        <v>0</v>
      </c>
      <c r="X158" s="33">
        <f t="shared" si="75"/>
        <v>0</v>
      </c>
      <c r="Y158" s="38">
        <f t="shared" si="76"/>
        <v>0</v>
      </c>
      <c r="AA158" s="71">
        <v>153</v>
      </c>
      <c r="AB158" s="33">
        <f t="shared" si="77"/>
        <v>0</v>
      </c>
      <c r="AC158" s="305">
        <f t="shared" si="70"/>
        <v>0</v>
      </c>
      <c r="AD158" s="100">
        <f t="shared" si="78"/>
        <v>0</v>
      </c>
      <c r="AE158" s="100">
        <f t="shared" si="79"/>
        <v>0</v>
      </c>
      <c r="AF158" s="194">
        <f t="shared" si="88"/>
        <v>0</v>
      </c>
      <c r="AG158" s="194">
        <f t="shared" si="89"/>
        <v>0</v>
      </c>
      <c r="AH158" s="194">
        <f t="shared" si="90"/>
        <v>0</v>
      </c>
      <c r="AI158" s="199">
        <f t="shared" si="91"/>
        <v>0</v>
      </c>
      <c r="AK158" s="71">
        <v>153</v>
      </c>
      <c r="AL158" s="33"/>
      <c r="AM158" s="33"/>
      <c r="AN158" s="33"/>
      <c r="AO158" s="33"/>
      <c r="AP158" s="33"/>
      <c r="AQ158" s="194"/>
      <c r="AR158" s="194"/>
      <c r="AS158" s="194"/>
      <c r="AT158" s="194"/>
      <c r="AU158" s="33"/>
      <c r="AV158" s="33"/>
      <c r="AW158" s="33"/>
      <c r="AX158" s="33"/>
      <c r="AY158" s="76"/>
    </row>
    <row r="159" spans="3:51" x14ac:dyDescent="0.3">
      <c r="C159" s="166" t="s">
        <v>34</v>
      </c>
      <c r="D159" s="4">
        <v>0.55000000000000004</v>
      </c>
      <c r="E159" s="188" t="s">
        <v>228</v>
      </c>
      <c r="F159" s="343">
        <f>IF(OR(Tableau145[[#This Row],[Type]]="Feuillus",Tableau145[[#This Row],[Type]]="Peupliers"),1.56,1.3)</f>
        <v>1.56</v>
      </c>
      <c r="I159" s="55">
        <v>154</v>
      </c>
      <c r="J159" s="33">
        <f t="shared" si="82"/>
        <v>0</v>
      </c>
      <c r="K159" s="33">
        <f t="shared" si="83"/>
        <v>0</v>
      </c>
      <c r="L159" s="33">
        <f t="shared" si="84"/>
        <v>0</v>
      </c>
      <c r="M159" s="33">
        <f t="shared" si="85"/>
        <v>0</v>
      </c>
      <c r="N159" s="33">
        <f t="shared" si="71"/>
        <v>0</v>
      </c>
      <c r="O159" s="34">
        <f t="shared" si="72"/>
        <v>0</v>
      </c>
      <c r="P159" s="55">
        <v>154</v>
      </c>
      <c r="Q159" s="33">
        <f t="shared" si="80"/>
        <v>0</v>
      </c>
      <c r="R159" s="33">
        <f t="shared" si="86"/>
        <v>0</v>
      </c>
      <c r="S159" s="33">
        <f t="shared" si="87"/>
        <v>0</v>
      </c>
      <c r="T159" s="33">
        <f t="shared" si="73"/>
        <v>0</v>
      </c>
      <c r="U159" s="33">
        <f t="shared" si="81"/>
        <v>0</v>
      </c>
      <c r="V159" s="33">
        <f t="shared" si="74"/>
        <v>0</v>
      </c>
      <c r="W159" s="33">
        <v>0</v>
      </c>
      <c r="X159" s="33">
        <f t="shared" si="75"/>
        <v>0</v>
      </c>
      <c r="Y159" s="38">
        <f t="shared" si="76"/>
        <v>0</v>
      </c>
      <c r="AA159" s="71">
        <v>154</v>
      </c>
      <c r="AB159" s="33">
        <f t="shared" si="77"/>
        <v>0</v>
      </c>
      <c r="AC159" s="305">
        <f t="shared" ref="AC159:AC205" si="92">IF(AA159&lt;=$F$18,IFERROR(VLOOKUP($AA159,$B$82:$G$94,3,FALSE),0),)*50%</f>
        <v>0</v>
      </c>
      <c r="AD159" s="100">
        <f t="shared" si="78"/>
        <v>0</v>
      </c>
      <c r="AE159" s="100">
        <f t="shared" si="79"/>
        <v>0</v>
      </c>
      <c r="AF159" s="194">
        <f t="shared" si="88"/>
        <v>0</v>
      </c>
      <c r="AG159" s="194">
        <f t="shared" si="89"/>
        <v>0</v>
      </c>
      <c r="AH159" s="194">
        <f t="shared" si="90"/>
        <v>0</v>
      </c>
      <c r="AI159" s="199">
        <f t="shared" si="91"/>
        <v>0</v>
      </c>
      <c r="AK159" s="71">
        <v>154</v>
      </c>
      <c r="AL159" s="33"/>
      <c r="AM159" s="33"/>
      <c r="AN159" s="33"/>
      <c r="AO159" s="33"/>
      <c r="AP159" s="33"/>
      <c r="AQ159" s="194"/>
      <c r="AR159" s="194"/>
      <c r="AS159" s="194"/>
      <c r="AT159" s="194"/>
      <c r="AU159" s="33"/>
      <c r="AV159" s="33"/>
      <c r="AW159" s="33"/>
      <c r="AX159" s="33"/>
      <c r="AY159" s="76"/>
    </row>
    <row r="160" spans="3:51" x14ac:dyDescent="0.3">
      <c r="C160" s="166" t="s">
        <v>35</v>
      </c>
      <c r="D160" s="4">
        <v>0.56000000000000005</v>
      </c>
      <c r="E160" s="188" t="s">
        <v>228</v>
      </c>
      <c r="F160" s="343">
        <f>IF(OR(Tableau145[[#This Row],[Type]]="Feuillus",Tableau145[[#This Row],[Type]]="Peupliers"),1.56,1.3)</f>
        <v>1.56</v>
      </c>
      <c r="I160" s="55">
        <v>155</v>
      </c>
      <c r="J160" s="33">
        <f t="shared" si="82"/>
        <v>0</v>
      </c>
      <c r="K160" s="33">
        <f t="shared" si="83"/>
        <v>0</v>
      </c>
      <c r="L160" s="33">
        <f t="shared" si="84"/>
        <v>0</v>
      </c>
      <c r="M160" s="33">
        <f t="shared" si="85"/>
        <v>0</v>
      </c>
      <c r="N160" s="33">
        <f t="shared" si="71"/>
        <v>0</v>
      </c>
      <c r="O160" s="34">
        <f t="shared" si="72"/>
        <v>0</v>
      </c>
      <c r="P160" s="55">
        <v>155</v>
      </c>
      <c r="Q160" s="33">
        <f t="shared" si="80"/>
        <v>0</v>
      </c>
      <c r="R160" s="33">
        <f t="shared" si="86"/>
        <v>0</v>
      </c>
      <c r="S160" s="33">
        <f t="shared" si="87"/>
        <v>0</v>
      </c>
      <c r="T160" s="33">
        <f t="shared" si="73"/>
        <v>0</v>
      </c>
      <c r="U160" s="33">
        <f t="shared" si="81"/>
        <v>0</v>
      </c>
      <c r="V160" s="33">
        <f t="shared" si="74"/>
        <v>0</v>
      </c>
      <c r="W160" s="33">
        <v>0</v>
      </c>
      <c r="X160" s="33">
        <f t="shared" si="75"/>
        <v>0</v>
      </c>
      <c r="Y160" s="38">
        <f t="shared" si="76"/>
        <v>0</v>
      </c>
      <c r="AA160" s="71">
        <v>155</v>
      </c>
      <c r="AB160" s="33">
        <f t="shared" si="77"/>
        <v>0</v>
      </c>
      <c r="AC160" s="305">
        <f t="shared" si="92"/>
        <v>0</v>
      </c>
      <c r="AD160" s="100">
        <f t="shared" si="78"/>
        <v>0</v>
      </c>
      <c r="AE160" s="100">
        <f t="shared" si="79"/>
        <v>0</v>
      </c>
      <c r="AF160" s="194">
        <f t="shared" si="88"/>
        <v>0</v>
      </c>
      <c r="AG160" s="194">
        <f t="shared" si="89"/>
        <v>0</v>
      </c>
      <c r="AH160" s="194">
        <f t="shared" si="90"/>
        <v>0</v>
      </c>
      <c r="AI160" s="199">
        <f t="shared" si="91"/>
        <v>0</v>
      </c>
      <c r="AK160" s="71">
        <v>155</v>
      </c>
      <c r="AL160" s="33"/>
      <c r="AM160" s="33"/>
      <c r="AN160" s="33"/>
      <c r="AO160" s="33"/>
      <c r="AP160" s="33"/>
      <c r="AQ160" s="194"/>
      <c r="AR160" s="194"/>
      <c r="AS160" s="194"/>
      <c r="AT160" s="194"/>
      <c r="AU160" s="33"/>
      <c r="AV160" s="33"/>
      <c r="AW160" s="33"/>
      <c r="AX160" s="33"/>
      <c r="AY160" s="76"/>
    </row>
    <row r="161" spans="3:51" x14ac:dyDescent="0.3">
      <c r="C161" s="166" t="s">
        <v>36</v>
      </c>
      <c r="D161" s="4">
        <v>0.57999999999999996</v>
      </c>
      <c r="E161" s="188" t="s">
        <v>228</v>
      </c>
      <c r="F161" s="343">
        <f>IF(OR(Tableau145[[#This Row],[Type]]="Feuillus",Tableau145[[#This Row],[Type]]="Peupliers"),1.56,1.3)</f>
        <v>1.56</v>
      </c>
      <c r="I161" s="55">
        <v>156</v>
      </c>
      <c r="J161" s="33">
        <f t="shared" si="82"/>
        <v>0</v>
      </c>
      <c r="K161" s="33">
        <f t="shared" si="83"/>
        <v>0</v>
      </c>
      <c r="L161" s="33">
        <f t="shared" si="84"/>
        <v>0</v>
      </c>
      <c r="M161" s="33">
        <f t="shared" si="85"/>
        <v>0</v>
      </c>
      <c r="N161" s="33">
        <f t="shared" si="71"/>
        <v>0</v>
      </c>
      <c r="O161" s="34">
        <f t="shared" si="72"/>
        <v>0</v>
      </c>
      <c r="P161" s="55">
        <v>156</v>
      </c>
      <c r="Q161" s="33">
        <f t="shared" si="80"/>
        <v>0</v>
      </c>
      <c r="R161" s="33">
        <f t="shared" si="86"/>
        <v>0</v>
      </c>
      <c r="S161" s="33">
        <f t="shared" si="87"/>
        <v>0</v>
      </c>
      <c r="T161" s="33">
        <f t="shared" si="73"/>
        <v>0</v>
      </c>
      <c r="U161" s="33">
        <f t="shared" si="81"/>
        <v>0</v>
      </c>
      <c r="V161" s="33">
        <f t="shared" si="74"/>
        <v>0</v>
      </c>
      <c r="W161" s="33">
        <v>0</v>
      </c>
      <c r="X161" s="33">
        <f t="shared" si="75"/>
        <v>0</v>
      </c>
      <c r="Y161" s="38">
        <f t="shared" si="76"/>
        <v>0</v>
      </c>
      <c r="AA161" s="71">
        <v>156</v>
      </c>
      <c r="AB161" s="33">
        <f t="shared" si="77"/>
        <v>0</v>
      </c>
      <c r="AC161" s="305">
        <f t="shared" si="92"/>
        <v>0</v>
      </c>
      <c r="AD161" s="100">
        <f t="shared" si="78"/>
        <v>0</v>
      </c>
      <c r="AE161" s="100">
        <f t="shared" si="79"/>
        <v>0</v>
      </c>
      <c r="AF161" s="194">
        <f t="shared" si="88"/>
        <v>0</v>
      </c>
      <c r="AG161" s="194">
        <f t="shared" si="89"/>
        <v>0</v>
      </c>
      <c r="AH161" s="194">
        <f t="shared" si="90"/>
        <v>0</v>
      </c>
      <c r="AI161" s="199">
        <f t="shared" si="91"/>
        <v>0</v>
      </c>
      <c r="AK161" s="71">
        <v>156</v>
      </c>
      <c r="AL161" s="33"/>
      <c r="AM161" s="33"/>
      <c r="AN161" s="33"/>
      <c r="AO161" s="33"/>
      <c r="AP161" s="33"/>
      <c r="AQ161" s="194"/>
      <c r="AR161" s="194"/>
      <c r="AS161" s="194"/>
      <c r="AT161" s="194"/>
      <c r="AU161" s="33"/>
      <c r="AV161" s="33"/>
      <c r="AW161" s="33"/>
      <c r="AX161" s="33"/>
      <c r="AY161" s="76"/>
    </row>
    <row r="162" spans="3:51" x14ac:dyDescent="0.3">
      <c r="C162" s="166" t="s">
        <v>37</v>
      </c>
      <c r="D162" s="4">
        <v>0.57999999999999996</v>
      </c>
      <c r="E162" s="188" t="s">
        <v>229</v>
      </c>
      <c r="F162" s="343">
        <f>IF(OR(Tableau145[[#This Row],[Type]]="Feuillus",Tableau145[[#This Row],[Type]]="Peupliers"),1.56,1.3)</f>
        <v>1.3</v>
      </c>
      <c r="I162" s="55">
        <v>157</v>
      </c>
      <c r="J162" s="33">
        <f t="shared" si="82"/>
        <v>0</v>
      </c>
      <c r="K162" s="33">
        <f t="shared" si="83"/>
        <v>0</v>
      </c>
      <c r="L162" s="33">
        <f t="shared" si="84"/>
        <v>0</v>
      </c>
      <c r="M162" s="33">
        <f t="shared" si="85"/>
        <v>0</v>
      </c>
      <c r="N162" s="33">
        <f t="shared" si="71"/>
        <v>0</v>
      </c>
      <c r="O162" s="34">
        <f t="shared" si="72"/>
        <v>0</v>
      </c>
      <c r="P162" s="55">
        <v>157</v>
      </c>
      <c r="Q162" s="33">
        <f t="shared" si="80"/>
        <v>0</v>
      </c>
      <c r="R162" s="33">
        <f t="shared" si="86"/>
        <v>0</v>
      </c>
      <c r="S162" s="33">
        <f t="shared" si="87"/>
        <v>0</v>
      </c>
      <c r="T162" s="33">
        <f t="shared" si="73"/>
        <v>0</v>
      </c>
      <c r="U162" s="33">
        <f t="shared" si="81"/>
        <v>0</v>
      </c>
      <c r="V162" s="33">
        <f t="shared" si="74"/>
        <v>0</v>
      </c>
      <c r="W162" s="33">
        <v>0</v>
      </c>
      <c r="X162" s="33">
        <f t="shared" si="75"/>
        <v>0</v>
      </c>
      <c r="Y162" s="38">
        <f t="shared" si="76"/>
        <v>0</v>
      </c>
      <c r="AA162" s="71">
        <v>157</v>
      </c>
      <c r="AB162" s="33">
        <f t="shared" si="77"/>
        <v>0</v>
      </c>
      <c r="AC162" s="305">
        <f t="shared" si="92"/>
        <v>0</v>
      </c>
      <c r="AD162" s="100">
        <f t="shared" si="78"/>
        <v>0</v>
      </c>
      <c r="AE162" s="100">
        <f t="shared" si="79"/>
        <v>0</v>
      </c>
      <c r="AF162" s="194">
        <f t="shared" si="88"/>
        <v>0</v>
      </c>
      <c r="AG162" s="194">
        <f t="shared" si="89"/>
        <v>0</v>
      </c>
      <c r="AH162" s="194">
        <f t="shared" si="90"/>
        <v>0</v>
      </c>
      <c r="AI162" s="199">
        <f t="shared" si="91"/>
        <v>0</v>
      </c>
      <c r="AK162" s="71">
        <v>157</v>
      </c>
      <c r="AL162" s="33"/>
      <c r="AM162" s="33"/>
      <c r="AN162" s="33"/>
      <c r="AO162" s="33"/>
      <c r="AP162" s="33"/>
      <c r="AQ162" s="194"/>
      <c r="AR162" s="194"/>
      <c r="AS162" s="194"/>
      <c r="AT162" s="194"/>
      <c r="AU162" s="33"/>
      <c r="AV162" s="33"/>
      <c r="AW162" s="33"/>
      <c r="AX162" s="33"/>
      <c r="AY162" s="76"/>
    </row>
    <row r="163" spans="3:51" x14ac:dyDescent="0.3">
      <c r="C163" s="166" t="s">
        <v>38</v>
      </c>
      <c r="D163" s="4">
        <v>0.48</v>
      </c>
      <c r="E163" s="188" t="s">
        <v>229</v>
      </c>
      <c r="F163" s="343">
        <f>IF(OR(Tableau145[[#This Row],[Type]]="Feuillus",Tableau145[[#This Row],[Type]]="Peupliers"),1.56,1.3)</f>
        <v>1.3</v>
      </c>
      <c r="I163" s="55">
        <v>158</v>
      </c>
      <c r="J163" s="33">
        <f t="shared" si="82"/>
        <v>0</v>
      </c>
      <c r="K163" s="33">
        <f t="shared" si="83"/>
        <v>0</v>
      </c>
      <c r="L163" s="33">
        <f t="shared" si="84"/>
        <v>0</v>
      </c>
      <c r="M163" s="33">
        <f t="shared" si="85"/>
        <v>0</v>
      </c>
      <c r="N163" s="33">
        <f t="shared" si="71"/>
        <v>0</v>
      </c>
      <c r="O163" s="34">
        <f t="shared" si="72"/>
        <v>0</v>
      </c>
      <c r="P163" s="55">
        <v>158</v>
      </c>
      <c r="Q163" s="33">
        <f t="shared" si="80"/>
        <v>0</v>
      </c>
      <c r="R163" s="33">
        <f t="shared" si="86"/>
        <v>0</v>
      </c>
      <c r="S163" s="33">
        <f t="shared" si="87"/>
        <v>0</v>
      </c>
      <c r="T163" s="33">
        <f t="shared" si="73"/>
        <v>0</v>
      </c>
      <c r="U163" s="33">
        <f t="shared" si="81"/>
        <v>0</v>
      </c>
      <c r="V163" s="33">
        <f t="shared" si="74"/>
        <v>0</v>
      </c>
      <c r="W163" s="33">
        <v>0</v>
      </c>
      <c r="X163" s="33">
        <f t="shared" si="75"/>
        <v>0</v>
      </c>
      <c r="Y163" s="38">
        <f t="shared" si="76"/>
        <v>0</v>
      </c>
      <c r="AA163" s="71">
        <v>158</v>
      </c>
      <c r="AB163" s="33">
        <f t="shared" si="77"/>
        <v>0</v>
      </c>
      <c r="AC163" s="305">
        <f t="shared" si="92"/>
        <v>0</v>
      </c>
      <c r="AD163" s="100">
        <f t="shared" si="78"/>
        <v>0</v>
      </c>
      <c r="AE163" s="100">
        <f t="shared" si="79"/>
        <v>0</v>
      </c>
      <c r="AF163" s="194">
        <f t="shared" si="88"/>
        <v>0</v>
      </c>
      <c r="AG163" s="194">
        <f t="shared" si="89"/>
        <v>0</v>
      </c>
      <c r="AH163" s="194">
        <f t="shared" si="90"/>
        <v>0</v>
      </c>
      <c r="AI163" s="199">
        <f t="shared" si="91"/>
        <v>0</v>
      </c>
      <c r="AK163" s="71">
        <v>158</v>
      </c>
      <c r="AL163" s="33"/>
      <c r="AM163" s="33"/>
      <c r="AN163" s="33"/>
      <c r="AO163" s="33"/>
      <c r="AP163" s="33"/>
      <c r="AQ163" s="194"/>
      <c r="AR163" s="194"/>
      <c r="AS163" s="194"/>
      <c r="AT163" s="194"/>
      <c r="AU163" s="33"/>
      <c r="AV163" s="33"/>
      <c r="AW163" s="33"/>
      <c r="AX163" s="33"/>
      <c r="AY163" s="76"/>
    </row>
    <row r="164" spans="3:51" x14ac:dyDescent="0.3">
      <c r="C164" s="166" t="s">
        <v>39</v>
      </c>
      <c r="D164" s="4">
        <v>0.42</v>
      </c>
      <c r="E164" s="188" t="s">
        <v>229</v>
      </c>
      <c r="F164" s="343">
        <f>IF(OR(Tableau145[[#This Row],[Type]]="Feuillus",Tableau145[[#This Row],[Type]]="Peupliers"),1.56,1.3)</f>
        <v>1.3</v>
      </c>
      <c r="I164" s="55">
        <v>159</v>
      </c>
      <c r="J164" s="33">
        <f t="shared" si="82"/>
        <v>0</v>
      </c>
      <c r="K164" s="33">
        <f t="shared" si="83"/>
        <v>0</v>
      </c>
      <c r="L164" s="33">
        <f t="shared" si="84"/>
        <v>0</v>
      </c>
      <c r="M164" s="33">
        <f t="shared" si="85"/>
        <v>0</v>
      </c>
      <c r="N164" s="33">
        <f t="shared" si="71"/>
        <v>0</v>
      </c>
      <c r="O164" s="34">
        <f t="shared" si="72"/>
        <v>0</v>
      </c>
      <c r="P164" s="55">
        <v>159</v>
      </c>
      <c r="Q164" s="33">
        <f t="shared" si="80"/>
        <v>0</v>
      </c>
      <c r="R164" s="33">
        <f t="shared" si="86"/>
        <v>0</v>
      </c>
      <c r="S164" s="33">
        <f t="shared" si="87"/>
        <v>0</v>
      </c>
      <c r="T164" s="33">
        <f t="shared" si="73"/>
        <v>0</v>
      </c>
      <c r="U164" s="33">
        <f t="shared" si="81"/>
        <v>0</v>
      </c>
      <c r="V164" s="33">
        <f t="shared" si="74"/>
        <v>0</v>
      </c>
      <c r="W164" s="33">
        <v>0</v>
      </c>
      <c r="X164" s="33">
        <f t="shared" si="75"/>
        <v>0</v>
      </c>
      <c r="Y164" s="38">
        <f t="shared" si="76"/>
        <v>0</v>
      </c>
      <c r="AA164" s="71">
        <v>159</v>
      </c>
      <c r="AB164" s="33">
        <f t="shared" si="77"/>
        <v>0</v>
      </c>
      <c r="AC164" s="305">
        <f t="shared" si="92"/>
        <v>0</v>
      </c>
      <c r="AD164" s="100">
        <f t="shared" si="78"/>
        <v>0</v>
      </c>
      <c r="AE164" s="100">
        <f t="shared" si="79"/>
        <v>0</v>
      </c>
      <c r="AF164" s="194">
        <f t="shared" si="88"/>
        <v>0</v>
      </c>
      <c r="AG164" s="194">
        <f t="shared" si="89"/>
        <v>0</v>
      </c>
      <c r="AH164" s="194">
        <f t="shared" si="90"/>
        <v>0</v>
      </c>
      <c r="AI164" s="199">
        <f t="shared" si="91"/>
        <v>0</v>
      </c>
      <c r="AK164" s="71">
        <v>159</v>
      </c>
      <c r="AL164" s="33"/>
      <c r="AM164" s="33"/>
      <c r="AN164" s="33"/>
      <c r="AO164" s="33"/>
      <c r="AP164" s="33"/>
      <c r="AQ164" s="194"/>
      <c r="AR164" s="194"/>
      <c r="AS164" s="194"/>
      <c r="AT164" s="194"/>
      <c r="AU164" s="33"/>
      <c r="AV164" s="33"/>
      <c r="AW164" s="33"/>
      <c r="AX164" s="33"/>
      <c r="AY164" s="76"/>
    </row>
    <row r="165" spans="3:51" x14ac:dyDescent="0.3">
      <c r="C165" s="166" t="s">
        <v>40</v>
      </c>
      <c r="D165" s="4">
        <v>0.5</v>
      </c>
      <c r="E165" s="188" t="s">
        <v>228</v>
      </c>
      <c r="F165" s="343">
        <f>IF(OR(Tableau145[[#This Row],[Type]]="Feuillus",Tableau145[[#This Row],[Type]]="Peupliers"),1.56,1.3)</f>
        <v>1.56</v>
      </c>
      <c r="I165" s="55">
        <v>160</v>
      </c>
      <c r="J165" s="33">
        <f t="shared" si="82"/>
        <v>0</v>
      </c>
      <c r="K165" s="33">
        <f t="shared" si="83"/>
        <v>0</v>
      </c>
      <c r="L165" s="33">
        <f t="shared" si="84"/>
        <v>0</v>
      </c>
      <c r="M165" s="33">
        <f t="shared" si="85"/>
        <v>0</v>
      </c>
      <c r="N165" s="33">
        <f t="shared" si="71"/>
        <v>0</v>
      </c>
      <c r="O165" s="34">
        <f t="shared" si="72"/>
        <v>0</v>
      </c>
      <c r="P165" s="55">
        <v>160</v>
      </c>
      <c r="Q165" s="33">
        <f t="shared" si="80"/>
        <v>0</v>
      </c>
      <c r="R165" s="33">
        <f t="shared" si="86"/>
        <v>0</v>
      </c>
      <c r="S165" s="33">
        <f t="shared" si="87"/>
        <v>0</v>
      </c>
      <c r="T165" s="33">
        <f t="shared" si="73"/>
        <v>0</v>
      </c>
      <c r="U165" s="33">
        <f t="shared" si="81"/>
        <v>0</v>
      </c>
      <c r="V165" s="33">
        <f t="shared" si="74"/>
        <v>0</v>
      </c>
      <c r="W165" s="33">
        <v>0</v>
      </c>
      <c r="X165" s="33">
        <f t="shared" si="75"/>
        <v>0</v>
      </c>
      <c r="Y165" s="38">
        <f t="shared" si="76"/>
        <v>0</v>
      </c>
      <c r="AA165" s="71">
        <v>160</v>
      </c>
      <c r="AB165" s="33">
        <f t="shared" si="77"/>
        <v>0</v>
      </c>
      <c r="AC165" s="305">
        <f t="shared" si="92"/>
        <v>0</v>
      </c>
      <c r="AD165" s="100">
        <f t="shared" si="78"/>
        <v>0</v>
      </c>
      <c r="AE165" s="100">
        <f t="shared" si="79"/>
        <v>0</v>
      </c>
      <c r="AF165" s="194">
        <f t="shared" si="88"/>
        <v>0</v>
      </c>
      <c r="AG165" s="194">
        <f t="shared" si="89"/>
        <v>0</v>
      </c>
      <c r="AH165" s="194">
        <f t="shared" si="90"/>
        <v>0</v>
      </c>
      <c r="AI165" s="199">
        <f t="shared" si="91"/>
        <v>0</v>
      </c>
      <c r="AK165" s="71">
        <v>160</v>
      </c>
      <c r="AL165" s="33"/>
      <c r="AM165" s="33"/>
      <c r="AN165" s="33"/>
      <c r="AO165" s="33"/>
      <c r="AP165" s="33"/>
      <c r="AQ165" s="194"/>
      <c r="AR165" s="194"/>
      <c r="AS165" s="194"/>
      <c r="AT165" s="194"/>
      <c r="AU165" s="33"/>
      <c r="AV165" s="33"/>
      <c r="AW165" s="33"/>
      <c r="AX165" s="33"/>
      <c r="AY165" s="76"/>
    </row>
    <row r="166" spans="3:51" x14ac:dyDescent="0.3">
      <c r="C166" s="166" t="s">
        <v>41</v>
      </c>
      <c r="D166" s="4">
        <v>0.55000000000000004</v>
      </c>
      <c r="E166" s="188" t="s">
        <v>228</v>
      </c>
      <c r="F166" s="343">
        <f>IF(OR(Tableau145[[#This Row],[Type]]="Feuillus",Tableau145[[#This Row],[Type]]="Peupliers"),1.56,1.3)</f>
        <v>1.56</v>
      </c>
      <c r="I166" s="55">
        <v>161</v>
      </c>
      <c r="J166" s="33">
        <f t="shared" si="82"/>
        <v>0</v>
      </c>
      <c r="K166" s="33">
        <f t="shared" si="83"/>
        <v>0</v>
      </c>
      <c r="L166" s="33">
        <f t="shared" si="84"/>
        <v>0</v>
      </c>
      <c r="M166" s="33">
        <f t="shared" si="85"/>
        <v>0</v>
      </c>
      <c r="N166" s="33">
        <f t="shared" si="71"/>
        <v>0</v>
      </c>
      <c r="O166" s="34">
        <f t="shared" si="72"/>
        <v>0</v>
      </c>
      <c r="P166" s="55">
        <v>161</v>
      </c>
      <c r="Q166" s="33">
        <f t="shared" si="80"/>
        <v>0</v>
      </c>
      <c r="R166" s="33">
        <f t="shared" si="86"/>
        <v>0</v>
      </c>
      <c r="S166" s="33">
        <f t="shared" si="87"/>
        <v>0</v>
      </c>
      <c r="T166" s="33">
        <f t="shared" si="73"/>
        <v>0</v>
      </c>
      <c r="U166" s="33">
        <f t="shared" si="81"/>
        <v>0</v>
      </c>
      <c r="V166" s="33">
        <f t="shared" si="74"/>
        <v>0</v>
      </c>
      <c r="W166" s="33">
        <v>0</v>
      </c>
      <c r="X166" s="33">
        <f t="shared" si="75"/>
        <v>0</v>
      </c>
      <c r="Y166" s="38">
        <f t="shared" si="76"/>
        <v>0</v>
      </c>
      <c r="AA166" s="71">
        <v>161</v>
      </c>
      <c r="AB166" s="33">
        <f t="shared" si="77"/>
        <v>0</v>
      </c>
      <c r="AC166" s="305">
        <f t="shared" si="92"/>
        <v>0</v>
      </c>
      <c r="AD166" s="100">
        <f t="shared" si="78"/>
        <v>0</v>
      </c>
      <c r="AE166" s="100">
        <f t="shared" si="79"/>
        <v>0</v>
      </c>
      <c r="AF166" s="194">
        <f t="shared" si="88"/>
        <v>0</v>
      </c>
      <c r="AG166" s="194">
        <f t="shared" si="89"/>
        <v>0</v>
      </c>
      <c r="AH166" s="194">
        <f t="shared" si="90"/>
        <v>0</v>
      </c>
      <c r="AI166" s="199">
        <f t="shared" si="91"/>
        <v>0</v>
      </c>
      <c r="AK166" s="71">
        <v>161</v>
      </c>
      <c r="AL166" s="33"/>
      <c r="AM166" s="33"/>
      <c r="AN166" s="33"/>
      <c r="AO166" s="33"/>
      <c r="AP166" s="33"/>
      <c r="AQ166" s="194"/>
      <c r="AR166" s="194"/>
      <c r="AS166" s="194"/>
      <c r="AT166" s="194"/>
      <c r="AU166" s="33"/>
      <c r="AV166" s="33"/>
      <c r="AW166" s="33"/>
      <c r="AX166" s="33"/>
      <c r="AY166" s="76"/>
    </row>
    <row r="167" spans="3:51" x14ac:dyDescent="0.3">
      <c r="C167" s="166" t="s">
        <v>42</v>
      </c>
      <c r="D167" s="4">
        <v>0.53</v>
      </c>
      <c r="E167" s="188" t="s">
        <v>228</v>
      </c>
      <c r="F167" s="343">
        <f>IF(OR(Tableau145[[#This Row],[Type]]="Feuillus",Tableau145[[#This Row],[Type]]="Peupliers"),1.56,1.3)</f>
        <v>1.56</v>
      </c>
      <c r="I167" s="55">
        <v>162</v>
      </c>
      <c r="J167" s="33">
        <f t="shared" si="82"/>
        <v>0</v>
      </c>
      <c r="K167" s="33">
        <f t="shared" si="83"/>
        <v>0</v>
      </c>
      <c r="L167" s="33">
        <f t="shared" si="84"/>
        <v>0</v>
      </c>
      <c r="M167" s="33">
        <f t="shared" si="85"/>
        <v>0</v>
      </c>
      <c r="N167" s="33">
        <f t="shared" si="71"/>
        <v>0</v>
      </c>
      <c r="O167" s="34">
        <f t="shared" si="72"/>
        <v>0</v>
      </c>
      <c r="P167" s="55">
        <v>162</v>
      </c>
      <c r="Q167" s="33">
        <f t="shared" si="80"/>
        <v>0</v>
      </c>
      <c r="R167" s="33">
        <f t="shared" si="86"/>
        <v>0</v>
      </c>
      <c r="S167" s="33">
        <f t="shared" si="87"/>
        <v>0</v>
      </c>
      <c r="T167" s="33">
        <f t="shared" si="73"/>
        <v>0</v>
      </c>
      <c r="U167" s="33">
        <f t="shared" si="81"/>
        <v>0</v>
      </c>
      <c r="V167" s="33">
        <f t="shared" si="74"/>
        <v>0</v>
      </c>
      <c r="W167" s="33">
        <v>0</v>
      </c>
      <c r="X167" s="33">
        <f t="shared" si="75"/>
        <v>0</v>
      </c>
      <c r="Y167" s="38">
        <f t="shared" si="76"/>
        <v>0</v>
      </c>
      <c r="AA167" s="71">
        <v>162</v>
      </c>
      <c r="AB167" s="33">
        <f t="shared" si="77"/>
        <v>0</v>
      </c>
      <c r="AC167" s="305">
        <f t="shared" si="92"/>
        <v>0</v>
      </c>
      <c r="AD167" s="100">
        <f t="shared" si="78"/>
        <v>0</v>
      </c>
      <c r="AE167" s="100">
        <f t="shared" si="79"/>
        <v>0</v>
      </c>
      <c r="AF167" s="194">
        <f t="shared" si="88"/>
        <v>0</v>
      </c>
      <c r="AG167" s="194">
        <f t="shared" si="89"/>
        <v>0</v>
      </c>
      <c r="AH167" s="194">
        <f t="shared" si="90"/>
        <v>0</v>
      </c>
      <c r="AI167" s="199">
        <f t="shared" si="91"/>
        <v>0</v>
      </c>
      <c r="AK167" s="71">
        <v>162</v>
      </c>
      <c r="AL167" s="33"/>
      <c r="AM167" s="33"/>
      <c r="AN167" s="33"/>
      <c r="AO167" s="33"/>
      <c r="AP167" s="33"/>
      <c r="AQ167" s="194"/>
      <c r="AR167" s="194"/>
      <c r="AS167" s="194"/>
      <c r="AT167" s="194"/>
      <c r="AU167" s="33"/>
      <c r="AV167" s="33"/>
      <c r="AW167" s="33"/>
      <c r="AX167" s="33"/>
      <c r="AY167" s="76"/>
    </row>
    <row r="168" spans="3:51" x14ac:dyDescent="0.3">
      <c r="C168" s="166" t="s">
        <v>43</v>
      </c>
      <c r="D168" s="4">
        <v>0.52</v>
      </c>
      <c r="E168" s="188" t="s">
        <v>228</v>
      </c>
      <c r="F168" s="343">
        <f>IF(OR(Tableau145[[#This Row],[Type]]="Feuillus",Tableau145[[#This Row],[Type]]="Peupliers"),1.56,1.3)</f>
        <v>1.56</v>
      </c>
      <c r="I168" s="55">
        <v>163</v>
      </c>
      <c r="J168" s="33">
        <f t="shared" si="82"/>
        <v>0</v>
      </c>
      <c r="K168" s="33">
        <f t="shared" si="83"/>
        <v>0</v>
      </c>
      <c r="L168" s="33">
        <f t="shared" si="84"/>
        <v>0</v>
      </c>
      <c r="M168" s="33">
        <f t="shared" si="85"/>
        <v>0</v>
      </c>
      <c r="N168" s="33">
        <f t="shared" si="71"/>
        <v>0</v>
      </c>
      <c r="O168" s="34">
        <f t="shared" si="72"/>
        <v>0</v>
      </c>
      <c r="P168" s="55">
        <v>163</v>
      </c>
      <c r="Q168" s="33">
        <f t="shared" si="80"/>
        <v>0</v>
      </c>
      <c r="R168" s="33">
        <f t="shared" si="86"/>
        <v>0</v>
      </c>
      <c r="S168" s="33">
        <f t="shared" si="87"/>
        <v>0</v>
      </c>
      <c r="T168" s="33">
        <f t="shared" si="73"/>
        <v>0</v>
      </c>
      <c r="U168" s="33">
        <f t="shared" si="81"/>
        <v>0</v>
      </c>
      <c r="V168" s="33">
        <f t="shared" si="74"/>
        <v>0</v>
      </c>
      <c r="W168" s="33">
        <v>0</v>
      </c>
      <c r="X168" s="33">
        <f t="shared" si="75"/>
        <v>0</v>
      </c>
      <c r="Y168" s="38">
        <f t="shared" si="76"/>
        <v>0</v>
      </c>
      <c r="AA168" s="71">
        <v>163</v>
      </c>
      <c r="AB168" s="33">
        <f t="shared" si="77"/>
        <v>0</v>
      </c>
      <c r="AC168" s="305">
        <f t="shared" si="92"/>
        <v>0</v>
      </c>
      <c r="AD168" s="100">
        <f t="shared" si="78"/>
        <v>0</v>
      </c>
      <c r="AE168" s="100">
        <f t="shared" si="79"/>
        <v>0</v>
      </c>
      <c r="AF168" s="194">
        <f t="shared" si="88"/>
        <v>0</v>
      </c>
      <c r="AG168" s="194">
        <f t="shared" si="89"/>
        <v>0</v>
      </c>
      <c r="AH168" s="194">
        <f t="shared" si="90"/>
        <v>0</v>
      </c>
      <c r="AI168" s="199">
        <f t="shared" si="91"/>
        <v>0</v>
      </c>
      <c r="AK168" s="71">
        <v>163</v>
      </c>
      <c r="AL168" s="33"/>
      <c r="AM168" s="33"/>
      <c r="AN168" s="33"/>
      <c r="AO168" s="33"/>
      <c r="AP168" s="33"/>
      <c r="AQ168" s="194"/>
      <c r="AR168" s="194"/>
      <c r="AS168" s="194"/>
      <c r="AT168" s="194"/>
      <c r="AU168" s="33"/>
      <c r="AV168" s="33"/>
      <c r="AW168" s="33"/>
      <c r="AX168" s="33"/>
      <c r="AY168" s="76"/>
    </row>
    <row r="169" spans="3:51" x14ac:dyDescent="0.3">
      <c r="C169" s="166" t="s">
        <v>44</v>
      </c>
      <c r="D169" s="4">
        <v>0.52</v>
      </c>
      <c r="E169" s="188" t="s">
        <v>228</v>
      </c>
      <c r="F169" s="343">
        <f>IF(OR(Tableau145[[#This Row],[Type]]="Feuillus",Tableau145[[#This Row],[Type]]="Peupliers"),1.56,1.3)</f>
        <v>1.56</v>
      </c>
      <c r="I169" s="55">
        <v>164</v>
      </c>
      <c r="J169" s="33">
        <f t="shared" si="82"/>
        <v>0</v>
      </c>
      <c r="K169" s="33">
        <f t="shared" si="83"/>
        <v>0</v>
      </c>
      <c r="L169" s="33">
        <f t="shared" si="84"/>
        <v>0</v>
      </c>
      <c r="M169" s="33">
        <f t="shared" si="85"/>
        <v>0</v>
      </c>
      <c r="N169" s="33">
        <f t="shared" si="71"/>
        <v>0</v>
      </c>
      <c r="O169" s="34">
        <f t="shared" si="72"/>
        <v>0</v>
      </c>
      <c r="P169" s="55">
        <v>164</v>
      </c>
      <c r="Q169" s="33">
        <f t="shared" si="80"/>
        <v>0</v>
      </c>
      <c r="R169" s="33">
        <f t="shared" si="86"/>
        <v>0</v>
      </c>
      <c r="S169" s="33">
        <f t="shared" si="87"/>
        <v>0</v>
      </c>
      <c r="T169" s="33">
        <f t="shared" si="73"/>
        <v>0</v>
      </c>
      <c r="U169" s="33">
        <f t="shared" si="81"/>
        <v>0</v>
      </c>
      <c r="V169" s="33">
        <f t="shared" si="74"/>
        <v>0</v>
      </c>
      <c r="W169" s="33">
        <v>0</v>
      </c>
      <c r="X169" s="33">
        <f t="shared" si="75"/>
        <v>0</v>
      </c>
      <c r="Y169" s="38">
        <f t="shared" si="76"/>
        <v>0</v>
      </c>
      <c r="AA169" s="71">
        <v>164</v>
      </c>
      <c r="AB169" s="33">
        <f t="shared" si="77"/>
        <v>0</v>
      </c>
      <c r="AC169" s="305">
        <f t="shared" si="92"/>
        <v>0</v>
      </c>
      <c r="AD169" s="100">
        <f t="shared" si="78"/>
        <v>0</v>
      </c>
      <c r="AE169" s="100">
        <f t="shared" si="79"/>
        <v>0</v>
      </c>
      <c r="AF169" s="194">
        <f t="shared" si="88"/>
        <v>0</v>
      </c>
      <c r="AG169" s="194">
        <f t="shared" si="89"/>
        <v>0</v>
      </c>
      <c r="AH169" s="194">
        <f t="shared" si="90"/>
        <v>0</v>
      </c>
      <c r="AI169" s="199">
        <f t="shared" si="91"/>
        <v>0</v>
      </c>
      <c r="AK169" s="71">
        <v>164</v>
      </c>
      <c r="AL169" s="33"/>
      <c r="AM169" s="33"/>
      <c r="AN169" s="33"/>
      <c r="AO169" s="33"/>
      <c r="AP169" s="33"/>
      <c r="AQ169" s="194"/>
      <c r="AR169" s="194"/>
      <c r="AS169" s="194"/>
      <c r="AT169" s="194"/>
      <c r="AU169" s="33"/>
      <c r="AV169" s="33"/>
      <c r="AW169" s="33"/>
      <c r="AX169" s="33"/>
      <c r="AY169" s="76"/>
    </row>
    <row r="170" spans="3:51" x14ac:dyDescent="0.3">
      <c r="C170" s="166" t="s">
        <v>45</v>
      </c>
      <c r="D170" s="4">
        <v>0.75</v>
      </c>
      <c r="E170" s="188" t="s">
        <v>228</v>
      </c>
      <c r="F170" s="343">
        <f>IF(OR(Tableau145[[#This Row],[Type]]="Feuillus",Tableau145[[#This Row],[Type]]="Peupliers"),1.56,1.3)</f>
        <v>1.56</v>
      </c>
      <c r="I170" s="55">
        <v>165</v>
      </c>
      <c r="J170" s="33">
        <f t="shared" si="82"/>
        <v>0</v>
      </c>
      <c r="K170" s="33">
        <f t="shared" si="83"/>
        <v>0</v>
      </c>
      <c r="L170" s="33">
        <f t="shared" si="84"/>
        <v>0</v>
      </c>
      <c r="M170" s="33">
        <f t="shared" si="85"/>
        <v>0</v>
      </c>
      <c r="N170" s="33">
        <f t="shared" si="71"/>
        <v>0</v>
      </c>
      <c r="O170" s="34">
        <f t="shared" si="72"/>
        <v>0</v>
      </c>
      <c r="P170" s="55">
        <v>165</v>
      </c>
      <c r="Q170" s="33">
        <f t="shared" si="80"/>
        <v>0</v>
      </c>
      <c r="R170" s="33">
        <f t="shared" si="86"/>
        <v>0</v>
      </c>
      <c r="S170" s="33">
        <f t="shared" si="87"/>
        <v>0</v>
      </c>
      <c r="T170" s="33">
        <f t="shared" si="73"/>
        <v>0</v>
      </c>
      <c r="U170" s="33">
        <f t="shared" si="81"/>
        <v>0</v>
      </c>
      <c r="V170" s="33">
        <f t="shared" si="74"/>
        <v>0</v>
      </c>
      <c r="W170" s="33">
        <v>0</v>
      </c>
      <c r="X170" s="33">
        <f t="shared" si="75"/>
        <v>0</v>
      </c>
      <c r="Y170" s="38">
        <f t="shared" si="76"/>
        <v>0</v>
      </c>
      <c r="AA170" s="71">
        <v>165</v>
      </c>
      <c r="AB170" s="33">
        <f t="shared" si="77"/>
        <v>0</v>
      </c>
      <c r="AC170" s="305">
        <f t="shared" si="92"/>
        <v>0</v>
      </c>
      <c r="AD170" s="100">
        <f t="shared" si="78"/>
        <v>0</v>
      </c>
      <c r="AE170" s="100">
        <f t="shared" si="79"/>
        <v>0</v>
      </c>
      <c r="AF170" s="194">
        <f t="shared" si="88"/>
        <v>0</v>
      </c>
      <c r="AG170" s="194">
        <f t="shared" si="89"/>
        <v>0</v>
      </c>
      <c r="AH170" s="194">
        <f t="shared" si="90"/>
        <v>0</v>
      </c>
      <c r="AI170" s="199">
        <f t="shared" si="91"/>
        <v>0</v>
      </c>
      <c r="AK170" s="71">
        <v>165</v>
      </c>
      <c r="AL170" s="33"/>
      <c r="AM170" s="33"/>
      <c r="AN170" s="33"/>
      <c r="AO170" s="33"/>
      <c r="AP170" s="33"/>
      <c r="AQ170" s="194"/>
      <c r="AR170" s="194"/>
      <c r="AS170" s="194"/>
      <c r="AT170" s="194"/>
      <c r="AU170" s="33"/>
      <c r="AV170" s="33"/>
      <c r="AW170" s="33"/>
      <c r="AX170" s="33"/>
      <c r="AY170" s="76"/>
    </row>
    <row r="171" spans="3:51" x14ac:dyDescent="0.3">
      <c r="C171" s="166" t="s">
        <v>46</v>
      </c>
      <c r="D171" s="4">
        <v>0.52</v>
      </c>
      <c r="E171" s="188" t="s">
        <v>228</v>
      </c>
      <c r="F171" s="343">
        <f>IF(OR(Tableau145[[#This Row],[Type]]="Feuillus",Tableau145[[#This Row],[Type]]="Peupliers"),1.56,1.3)</f>
        <v>1.56</v>
      </c>
      <c r="I171" s="55">
        <v>166</v>
      </c>
      <c r="J171" s="33">
        <f t="shared" si="82"/>
        <v>0</v>
      </c>
      <c r="K171" s="33">
        <f t="shared" si="83"/>
        <v>0</v>
      </c>
      <c r="L171" s="33">
        <f t="shared" si="84"/>
        <v>0</v>
      </c>
      <c r="M171" s="33">
        <f t="shared" si="85"/>
        <v>0</v>
      </c>
      <c r="N171" s="33">
        <f t="shared" si="71"/>
        <v>0</v>
      </c>
      <c r="O171" s="34">
        <f t="shared" si="72"/>
        <v>0</v>
      </c>
      <c r="P171" s="55">
        <v>166</v>
      </c>
      <c r="Q171" s="33">
        <f t="shared" si="80"/>
        <v>0</v>
      </c>
      <c r="R171" s="33">
        <f t="shared" si="86"/>
        <v>0</v>
      </c>
      <c r="S171" s="33">
        <f t="shared" si="87"/>
        <v>0</v>
      </c>
      <c r="T171" s="33">
        <f t="shared" si="73"/>
        <v>0</v>
      </c>
      <c r="U171" s="33">
        <f t="shared" si="81"/>
        <v>0</v>
      </c>
      <c r="V171" s="33">
        <f t="shared" si="74"/>
        <v>0</v>
      </c>
      <c r="W171" s="33">
        <v>0</v>
      </c>
      <c r="X171" s="33">
        <f t="shared" si="75"/>
        <v>0</v>
      </c>
      <c r="Y171" s="38">
        <f t="shared" si="76"/>
        <v>0</v>
      </c>
      <c r="AA171" s="71">
        <v>166</v>
      </c>
      <c r="AB171" s="33">
        <f t="shared" si="77"/>
        <v>0</v>
      </c>
      <c r="AC171" s="305">
        <f t="shared" si="92"/>
        <v>0</v>
      </c>
      <c r="AD171" s="100">
        <f t="shared" si="78"/>
        <v>0</v>
      </c>
      <c r="AE171" s="100">
        <f t="shared" si="79"/>
        <v>0</v>
      </c>
      <c r="AF171" s="194">
        <f t="shared" si="88"/>
        <v>0</v>
      </c>
      <c r="AG171" s="194">
        <f t="shared" si="89"/>
        <v>0</v>
      </c>
      <c r="AH171" s="194">
        <f t="shared" si="90"/>
        <v>0</v>
      </c>
      <c r="AI171" s="199">
        <f t="shared" si="91"/>
        <v>0</v>
      </c>
      <c r="AK171" s="71">
        <v>166</v>
      </c>
      <c r="AL171" s="33"/>
      <c r="AM171" s="33"/>
      <c r="AN171" s="33"/>
      <c r="AO171" s="33"/>
      <c r="AP171" s="33"/>
      <c r="AQ171" s="194"/>
      <c r="AR171" s="194"/>
      <c r="AS171" s="194"/>
      <c r="AT171" s="194"/>
      <c r="AU171" s="33"/>
      <c r="AV171" s="33"/>
      <c r="AW171" s="33"/>
      <c r="AX171" s="33"/>
      <c r="AY171" s="76"/>
    </row>
    <row r="172" spans="3:51" x14ac:dyDescent="0.3">
      <c r="C172" s="166" t="s">
        <v>47</v>
      </c>
      <c r="D172" s="4">
        <v>0.35</v>
      </c>
      <c r="E172" s="188" t="s">
        <v>230</v>
      </c>
      <c r="F172" s="343">
        <f>IF(OR(Tableau145[[#This Row],[Type]]="Feuillus",Tableau145[[#This Row],[Type]]="Peupliers"),1.56,1.3)</f>
        <v>1.56</v>
      </c>
      <c r="I172" s="55">
        <v>167</v>
      </c>
      <c r="J172" s="33">
        <f t="shared" si="82"/>
        <v>0</v>
      </c>
      <c r="K172" s="33">
        <f t="shared" si="83"/>
        <v>0</v>
      </c>
      <c r="L172" s="33">
        <f t="shared" si="84"/>
        <v>0</v>
      </c>
      <c r="M172" s="33">
        <f t="shared" si="85"/>
        <v>0</v>
      </c>
      <c r="N172" s="33">
        <f t="shared" si="71"/>
        <v>0</v>
      </c>
      <c r="O172" s="34">
        <f t="shared" si="72"/>
        <v>0</v>
      </c>
      <c r="P172" s="55">
        <v>167</v>
      </c>
      <c r="Q172" s="33">
        <f t="shared" si="80"/>
        <v>0</v>
      </c>
      <c r="R172" s="33">
        <f t="shared" si="86"/>
        <v>0</v>
      </c>
      <c r="S172" s="33">
        <f t="shared" si="87"/>
        <v>0</v>
      </c>
      <c r="T172" s="33">
        <f t="shared" si="73"/>
        <v>0</v>
      </c>
      <c r="U172" s="33">
        <f t="shared" si="81"/>
        <v>0</v>
      </c>
      <c r="V172" s="33">
        <f t="shared" si="74"/>
        <v>0</v>
      </c>
      <c r="W172" s="33">
        <v>0</v>
      </c>
      <c r="X172" s="33">
        <f t="shared" si="75"/>
        <v>0</v>
      </c>
      <c r="Y172" s="38">
        <f t="shared" si="76"/>
        <v>0</v>
      </c>
      <c r="AA172" s="71">
        <v>167</v>
      </c>
      <c r="AB172" s="33">
        <f t="shared" si="77"/>
        <v>0</v>
      </c>
      <c r="AC172" s="305">
        <f t="shared" si="92"/>
        <v>0</v>
      </c>
      <c r="AD172" s="100">
        <f t="shared" si="78"/>
        <v>0</v>
      </c>
      <c r="AE172" s="100">
        <f t="shared" si="79"/>
        <v>0</v>
      </c>
      <c r="AF172" s="194">
        <f t="shared" si="88"/>
        <v>0</v>
      </c>
      <c r="AG172" s="194">
        <f t="shared" si="89"/>
        <v>0</v>
      </c>
      <c r="AH172" s="194">
        <f t="shared" si="90"/>
        <v>0</v>
      </c>
      <c r="AI172" s="199">
        <f t="shared" si="91"/>
        <v>0</v>
      </c>
      <c r="AK172" s="71">
        <v>167</v>
      </c>
      <c r="AL172" s="33"/>
      <c r="AM172" s="33"/>
      <c r="AN172" s="33"/>
      <c r="AO172" s="33"/>
      <c r="AP172" s="33"/>
      <c r="AQ172" s="194"/>
      <c r="AR172" s="194"/>
      <c r="AS172" s="194"/>
      <c r="AT172" s="194"/>
      <c r="AU172" s="33"/>
      <c r="AV172" s="33"/>
      <c r="AW172" s="33"/>
      <c r="AX172" s="33"/>
      <c r="AY172" s="76"/>
    </row>
    <row r="173" spans="3:51" x14ac:dyDescent="0.3">
      <c r="C173" s="166" t="s">
        <v>48</v>
      </c>
      <c r="D173" s="4">
        <v>0.37</v>
      </c>
      <c r="E173" s="188" t="s">
        <v>228</v>
      </c>
      <c r="F173" s="343">
        <f>IF(OR(Tableau145[[#This Row],[Type]]="Feuillus",Tableau145[[#This Row],[Type]]="Peupliers"),1.56,1.3)</f>
        <v>1.56</v>
      </c>
      <c r="I173" s="55">
        <v>168</v>
      </c>
      <c r="J173" s="33">
        <f t="shared" si="82"/>
        <v>0</v>
      </c>
      <c r="K173" s="33">
        <f t="shared" si="83"/>
        <v>0</v>
      </c>
      <c r="L173" s="33">
        <f t="shared" si="84"/>
        <v>0</v>
      </c>
      <c r="M173" s="33">
        <f t="shared" si="85"/>
        <v>0</v>
      </c>
      <c r="N173" s="33">
        <f t="shared" si="71"/>
        <v>0</v>
      </c>
      <c r="O173" s="34">
        <f t="shared" si="72"/>
        <v>0</v>
      </c>
      <c r="P173" s="55">
        <v>168</v>
      </c>
      <c r="Q173" s="33">
        <f t="shared" si="80"/>
        <v>0</v>
      </c>
      <c r="R173" s="33">
        <f t="shared" si="86"/>
        <v>0</v>
      </c>
      <c r="S173" s="33">
        <f t="shared" si="87"/>
        <v>0</v>
      </c>
      <c r="T173" s="33">
        <f t="shared" si="73"/>
        <v>0</v>
      </c>
      <c r="U173" s="33">
        <f t="shared" si="81"/>
        <v>0</v>
      </c>
      <c r="V173" s="33">
        <f t="shared" si="74"/>
        <v>0</v>
      </c>
      <c r="W173" s="33">
        <v>0</v>
      </c>
      <c r="X173" s="33">
        <f t="shared" si="75"/>
        <v>0</v>
      </c>
      <c r="Y173" s="38">
        <f t="shared" si="76"/>
        <v>0</v>
      </c>
      <c r="AA173" s="71">
        <v>168</v>
      </c>
      <c r="AB173" s="33">
        <f t="shared" si="77"/>
        <v>0</v>
      </c>
      <c r="AC173" s="305">
        <f t="shared" si="92"/>
        <v>0</v>
      </c>
      <c r="AD173" s="100">
        <f t="shared" si="78"/>
        <v>0</v>
      </c>
      <c r="AE173" s="100">
        <f t="shared" si="79"/>
        <v>0</v>
      </c>
      <c r="AF173" s="194">
        <f t="shared" si="88"/>
        <v>0</v>
      </c>
      <c r="AG173" s="194">
        <f t="shared" si="89"/>
        <v>0</v>
      </c>
      <c r="AH173" s="194">
        <f t="shared" si="90"/>
        <v>0</v>
      </c>
      <c r="AI173" s="199">
        <f t="shared" si="91"/>
        <v>0</v>
      </c>
      <c r="AK173" s="71">
        <v>168</v>
      </c>
      <c r="AL173" s="33"/>
      <c r="AM173" s="33"/>
      <c r="AN173" s="33"/>
      <c r="AO173" s="33"/>
      <c r="AP173" s="33"/>
      <c r="AQ173" s="194"/>
      <c r="AR173" s="194"/>
      <c r="AS173" s="194"/>
      <c r="AT173" s="194"/>
      <c r="AU173" s="33"/>
      <c r="AV173" s="33"/>
      <c r="AW173" s="33"/>
      <c r="AX173" s="33"/>
      <c r="AY173" s="76"/>
    </row>
    <row r="174" spans="3:51" x14ac:dyDescent="0.3">
      <c r="C174" s="166" t="s">
        <v>49</v>
      </c>
      <c r="D174" s="4">
        <v>0.45</v>
      </c>
      <c r="E174" s="188" t="s">
        <v>229</v>
      </c>
      <c r="F174" s="343">
        <f>IF(OR(Tableau145[[#This Row],[Type]]="Feuillus",Tableau145[[#This Row],[Type]]="Peupliers"),1.56,1.3)</f>
        <v>1.3</v>
      </c>
      <c r="I174" s="55">
        <v>169</v>
      </c>
      <c r="J174" s="33">
        <f t="shared" si="82"/>
        <v>0</v>
      </c>
      <c r="K174" s="33">
        <f t="shared" si="83"/>
        <v>0</v>
      </c>
      <c r="L174" s="33">
        <f t="shared" si="84"/>
        <v>0</v>
      </c>
      <c r="M174" s="33">
        <f t="shared" si="85"/>
        <v>0</v>
      </c>
      <c r="N174" s="33">
        <f t="shared" si="71"/>
        <v>0</v>
      </c>
      <c r="O174" s="34">
        <f t="shared" si="72"/>
        <v>0</v>
      </c>
      <c r="P174" s="55">
        <v>169</v>
      </c>
      <c r="Q174" s="33">
        <f t="shared" si="80"/>
        <v>0</v>
      </c>
      <c r="R174" s="33">
        <f t="shared" si="86"/>
        <v>0</v>
      </c>
      <c r="S174" s="33">
        <f t="shared" si="87"/>
        <v>0</v>
      </c>
      <c r="T174" s="33">
        <f t="shared" si="73"/>
        <v>0</v>
      </c>
      <c r="U174" s="33">
        <f t="shared" si="81"/>
        <v>0</v>
      </c>
      <c r="V174" s="33">
        <f t="shared" si="74"/>
        <v>0</v>
      </c>
      <c r="W174" s="33">
        <v>0</v>
      </c>
      <c r="X174" s="33">
        <f t="shared" si="75"/>
        <v>0</v>
      </c>
      <c r="Y174" s="38">
        <f t="shared" si="76"/>
        <v>0</v>
      </c>
      <c r="AA174" s="71">
        <v>169</v>
      </c>
      <c r="AB174" s="33">
        <f t="shared" si="77"/>
        <v>0</v>
      </c>
      <c r="AC174" s="305">
        <f t="shared" si="92"/>
        <v>0</v>
      </c>
      <c r="AD174" s="100">
        <f t="shared" si="78"/>
        <v>0</v>
      </c>
      <c r="AE174" s="100">
        <f t="shared" si="79"/>
        <v>0</v>
      </c>
      <c r="AF174" s="194">
        <f t="shared" si="88"/>
        <v>0</v>
      </c>
      <c r="AG174" s="194">
        <f t="shared" si="89"/>
        <v>0</v>
      </c>
      <c r="AH174" s="194">
        <f t="shared" si="90"/>
        <v>0</v>
      </c>
      <c r="AI174" s="199">
        <f t="shared" si="91"/>
        <v>0</v>
      </c>
      <c r="AK174" s="71">
        <v>169</v>
      </c>
      <c r="AL174" s="33"/>
      <c r="AM174" s="33"/>
      <c r="AN174" s="33"/>
      <c r="AO174" s="33"/>
      <c r="AP174" s="33"/>
      <c r="AQ174" s="194"/>
      <c r="AR174" s="194"/>
      <c r="AS174" s="194"/>
      <c r="AT174" s="194"/>
      <c r="AU174" s="33"/>
      <c r="AV174" s="33"/>
      <c r="AW174" s="33"/>
      <c r="AX174" s="33"/>
      <c r="AY174" s="76"/>
    </row>
    <row r="175" spans="3:51" x14ac:dyDescent="0.3">
      <c r="C175" s="166" t="s">
        <v>50</v>
      </c>
      <c r="D175" s="4">
        <v>0.39</v>
      </c>
      <c r="E175" s="188" t="s">
        <v>229</v>
      </c>
      <c r="F175" s="343">
        <f>IF(OR(Tableau145[[#This Row],[Type]]="Feuillus",Tableau145[[#This Row],[Type]]="Peupliers"),1.56,1.3)</f>
        <v>1.3</v>
      </c>
      <c r="I175" s="55">
        <v>170</v>
      </c>
      <c r="J175" s="33">
        <f t="shared" si="82"/>
        <v>0</v>
      </c>
      <c r="K175" s="33">
        <f t="shared" si="83"/>
        <v>0</v>
      </c>
      <c r="L175" s="33">
        <f t="shared" si="84"/>
        <v>0</v>
      </c>
      <c r="M175" s="33">
        <f t="shared" si="85"/>
        <v>0</v>
      </c>
      <c r="N175" s="33">
        <f t="shared" si="71"/>
        <v>0</v>
      </c>
      <c r="O175" s="34">
        <f t="shared" si="72"/>
        <v>0</v>
      </c>
      <c r="P175" s="55">
        <v>170</v>
      </c>
      <c r="Q175" s="33">
        <f t="shared" si="80"/>
        <v>0</v>
      </c>
      <c r="R175" s="33">
        <f t="shared" si="86"/>
        <v>0</v>
      </c>
      <c r="S175" s="33">
        <f t="shared" si="87"/>
        <v>0</v>
      </c>
      <c r="T175" s="33">
        <f t="shared" si="73"/>
        <v>0</v>
      </c>
      <c r="U175" s="33">
        <f t="shared" si="81"/>
        <v>0</v>
      </c>
      <c r="V175" s="33">
        <f t="shared" si="74"/>
        <v>0</v>
      </c>
      <c r="W175" s="33">
        <v>0</v>
      </c>
      <c r="X175" s="33">
        <f t="shared" si="75"/>
        <v>0</v>
      </c>
      <c r="Y175" s="38">
        <f t="shared" si="76"/>
        <v>0</v>
      </c>
      <c r="AA175" s="71">
        <v>170</v>
      </c>
      <c r="AB175" s="33">
        <f t="shared" si="77"/>
        <v>0</v>
      </c>
      <c r="AC175" s="305">
        <f t="shared" si="92"/>
        <v>0</v>
      </c>
      <c r="AD175" s="100">
        <f t="shared" si="78"/>
        <v>0</v>
      </c>
      <c r="AE175" s="100">
        <f t="shared" si="79"/>
        <v>0</v>
      </c>
      <c r="AF175" s="194">
        <f t="shared" si="88"/>
        <v>0</v>
      </c>
      <c r="AG175" s="194">
        <f t="shared" si="89"/>
        <v>0</v>
      </c>
      <c r="AH175" s="194">
        <f t="shared" si="90"/>
        <v>0</v>
      </c>
      <c r="AI175" s="199">
        <f t="shared" si="91"/>
        <v>0</v>
      </c>
      <c r="AK175" s="71">
        <v>170</v>
      </c>
      <c r="AL175" s="33"/>
      <c r="AM175" s="33"/>
      <c r="AN175" s="33"/>
      <c r="AO175" s="33"/>
      <c r="AP175" s="33"/>
      <c r="AQ175" s="194"/>
      <c r="AR175" s="194"/>
      <c r="AS175" s="194"/>
      <c r="AT175" s="194"/>
      <c r="AU175" s="33"/>
      <c r="AV175" s="33"/>
      <c r="AW175" s="33"/>
      <c r="AX175" s="33"/>
      <c r="AY175" s="76"/>
    </row>
    <row r="176" spans="3:51" x14ac:dyDescent="0.3">
      <c r="C176" s="166" t="s">
        <v>51</v>
      </c>
      <c r="D176" s="4">
        <v>0.44</v>
      </c>
      <c r="E176" s="188" t="s">
        <v>229</v>
      </c>
      <c r="F176" s="343">
        <f>IF(OR(Tableau145[[#This Row],[Type]]="Feuillus",Tableau145[[#This Row],[Type]]="Peupliers"),1.56,1.3)</f>
        <v>1.3</v>
      </c>
      <c r="I176" s="55">
        <v>171</v>
      </c>
      <c r="J176" s="33">
        <f t="shared" si="82"/>
        <v>0</v>
      </c>
      <c r="K176" s="33">
        <f t="shared" si="83"/>
        <v>0</v>
      </c>
      <c r="L176" s="33">
        <f t="shared" si="84"/>
        <v>0</v>
      </c>
      <c r="M176" s="33">
        <f t="shared" si="85"/>
        <v>0</v>
      </c>
      <c r="N176" s="33">
        <f t="shared" si="71"/>
        <v>0</v>
      </c>
      <c r="O176" s="34">
        <f t="shared" si="72"/>
        <v>0</v>
      </c>
      <c r="P176" s="55">
        <v>171</v>
      </c>
      <c r="Q176" s="33">
        <f t="shared" si="80"/>
        <v>0</v>
      </c>
      <c r="R176" s="33">
        <f t="shared" si="86"/>
        <v>0</v>
      </c>
      <c r="S176" s="33">
        <f t="shared" si="87"/>
        <v>0</v>
      </c>
      <c r="T176" s="33">
        <f t="shared" si="73"/>
        <v>0</v>
      </c>
      <c r="U176" s="33">
        <f t="shared" si="81"/>
        <v>0</v>
      </c>
      <c r="V176" s="33">
        <f t="shared" si="74"/>
        <v>0</v>
      </c>
      <c r="W176" s="33">
        <v>0</v>
      </c>
      <c r="X176" s="33">
        <f t="shared" si="75"/>
        <v>0</v>
      </c>
      <c r="Y176" s="38">
        <f t="shared" si="76"/>
        <v>0</v>
      </c>
      <c r="AA176" s="71">
        <v>171</v>
      </c>
      <c r="AB176" s="33">
        <f t="shared" si="77"/>
        <v>0</v>
      </c>
      <c r="AC176" s="305">
        <f t="shared" si="92"/>
        <v>0</v>
      </c>
      <c r="AD176" s="100">
        <f t="shared" si="78"/>
        <v>0</v>
      </c>
      <c r="AE176" s="100">
        <f t="shared" si="79"/>
        <v>0</v>
      </c>
      <c r="AF176" s="194">
        <f t="shared" si="88"/>
        <v>0</v>
      </c>
      <c r="AG176" s="194">
        <f t="shared" si="89"/>
        <v>0</v>
      </c>
      <c r="AH176" s="194">
        <f t="shared" si="90"/>
        <v>0</v>
      </c>
      <c r="AI176" s="199">
        <f t="shared" si="91"/>
        <v>0</v>
      </c>
      <c r="AK176" s="71">
        <v>171</v>
      </c>
      <c r="AL176" s="33"/>
      <c r="AM176" s="33"/>
      <c r="AN176" s="33"/>
      <c r="AO176" s="33"/>
      <c r="AP176" s="33"/>
      <c r="AQ176" s="194"/>
      <c r="AR176" s="194"/>
      <c r="AS176" s="194"/>
      <c r="AT176" s="194"/>
      <c r="AU176" s="33"/>
      <c r="AV176" s="33"/>
      <c r="AW176" s="33"/>
      <c r="AX176" s="33"/>
      <c r="AY176" s="76"/>
    </row>
    <row r="177" spans="3:51" x14ac:dyDescent="0.3">
      <c r="C177" s="166" t="s">
        <v>52</v>
      </c>
      <c r="D177" s="4">
        <v>0.46</v>
      </c>
      <c r="E177" s="188" t="s">
        <v>229</v>
      </c>
      <c r="F177" s="343">
        <f>IF(OR(Tableau145[[#This Row],[Type]]="Feuillus",Tableau145[[#This Row],[Type]]="Peupliers"),1.56,1.3)</f>
        <v>1.3</v>
      </c>
      <c r="I177" s="55">
        <v>172</v>
      </c>
      <c r="J177" s="33">
        <f t="shared" si="82"/>
        <v>0</v>
      </c>
      <c r="K177" s="33">
        <f t="shared" si="83"/>
        <v>0</v>
      </c>
      <c r="L177" s="33">
        <f t="shared" si="84"/>
        <v>0</v>
      </c>
      <c r="M177" s="33">
        <f t="shared" si="85"/>
        <v>0</v>
      </c>
      <c r="N177" s="33">
        <f t="shared" si="71"/>
        <v>0</v>
      </c>
      <c r="O177" s="34">
        <f t="shared" si="72"/>
        <v>0</v>
      </c>
      <c r="P177" s="55">
        <v>172</v>
      </c>
      <c r="Q177" s="33">
        <f t="shared" si="80"/>
        <v>0</v>
      </c>
      <c r="R177" s="33">
        <f t="shared" si="86"/>
        <v>0</v>
      </c>
      <c r="S177" s="33">
        <f t="shared" si="87"/>
        <v>0</v>
      </c>
      <c r="T177" s="33">
        <f t="shared" si="73"/>
        <v>0</v>
      </c>
      <c r="U177" s="33">
        <f t="shared" si="81"/>
        <v>0</v>
      </c>
      <c r="V177" s="33">
        <f t="shared" si="74"/>
        <v>0</v>
      </c>
      <c r="W177" s="33">
        <v>0</v>
      </c>
      <c r="X177" s="33">
        <f t="shared" si="75"/>
        <v>0</v>
      </c>
      <c r="Y177" s="38">
        <f t="shared" si="76"/>
        <v>0</v>
      </c>
      <c r="AA177" s="71">
        <v>172</v>
      </c>
      <c r="AB177" s="33">
        <f t="shared" si="77"/>
        <v>0</v>
      </c>
      <c r="AC177" s="305">
        <f t="shared" si="92"/>
        <v>0</v>
      </c>
      <c r="AD177" s="100">
        <f t="shared" si="78"/>
        <v>0</v>
      </c>
      <c r="AE177" s="100">
        <f t="shared" si="79"/>
        <v>0</v>
      </c>
      <c r="AF177" s="194">
        <f t="shared" si="88"/>
        <v>0</v>
      </c>
      <c r="AG177" s="194">
        <f t="shared" si="89"/>
        <v>0</v>
      </c>
      <c r="AH177" s="194">
        <f t="shared" si="90"/>
        <v>0</v>
      </c>
      <c r="AI177" s="199">
        <f t="shared" si="91"/>
        <v>0</v>
      </c>
      <c r="AK177" s="71">
        <v>172</v>
      </c>
      <c r="AL177" s="33"/>
      <c r="AM177" s="33"/>
      <c r="AN177" s="33"/>
      <c r="AO177" s="33"/>
      <c r="AP177" s="33"/>
      <c r="AQ177" s="194"/>
      <c r="AR177" s="194"/>
      <c r="AS177" s="194"/>
      <c r="AT177" s="194"/>
      <c r="AU177" s="33"/>
      <c r="AV177" s="33"/>
      <c r="AW177" s="33"/>
      <c r="AX177" s="33"/>
      <c r="AY177" s="76"/>
    </row>
    <row r="178" spans="3:51" ht="27.6" x14ac:dyDescent="0.3">
      <c r="C178" s="166" t="s">
        <v>53</v>
      </c>
      <c r="D178" s="4">
        <v>0.46</v>
      </c>
      <c r="E178" s="188" t="s">
        <v>231</v>
      </c>
      <c r="F178" s="343">
        <f>IF(OR(Tableau145[[#This Row],[Type]]="Feuillus",Tableau145[[#This Row],[Type]]="Peupliers"),1.56,1.3)</f>
        <v>1.3</v>
      </c>
      <c r="I178" s="55">
        <v>173</v>
      </c>
      <c r="J178" s="33">
        <f t="shared" si="82"/>
        <v>0</v>
      </c>
      <c r="K178" s="33">
        <f t="shared" si="83"/>
        <v>0</v>
      </c>
      <c r="L178" s="33">
        <f t="shared" si="84"/>
        <v>0</v>
      </c>
      <c r="M178" s="33">
        <f t="shared" si="85"/>
        <v>0</v>
      </c>
      <c r="N178" s="33">
        <f t="shared" si="71"/>
        <v>0</v>
      </c>
      <c r="O178" s="34">
        <f t="shared" si="72"/>
        <v>0</v>
      </c>
      <c r="P178" s="55">
        <v>173</v>
      </c>
      <c r="Q178" s="33">
        <f t="shared" si="80"/>
        <v>0</v>
      </c>
      <c r="R178" s="33">
        <f t="shared" si="86"/>
        <v>0</v>
      </c>
      <c r="S178" s="33">
        <f t="shared" si="87"/>
        <v>0</v>
      </c>
      <c r="T178" s="33">
        <f t="shared" si="73"/>
        <v>0</v>
      </c>
      <c r="U178" s="33">
        <f t="shared" si="81"/>
        <v>0</v>
      </c>
      <c r="V178" s="33">
        <f t="shared" si="74"/>
        <v>0</v>
      </c>
      <c r="W178" s="33">
        <v>0</v>
      </c>
      <c r="X178" s="33">
        <f t="shared" si="75"/>
        <v>0</v>
      </c>
      <c r="Y178" s="38">
        <f t="shared" si="76"/>
        <v>0</v>
      </c>
      <c r="AA178" s="71">
        <v>173</v>
      </c>
      <c r="AB178" s="33">
        <f t="shared" si="77"/>
        <v>0</v>
      </c>
      <c r="AC178" s="305">
        <f t="shared" si="92"/>
        <v>0</v>
      </c>
      <c r="AD178" s="100">
        <f t="shared" si="78"/>
        <v>0</v>
      </c>
      <c r="AE178" s="100">
        <f t="shared" si="79"/>
        <v>0</v>
      </c>
      <c r="AF178" s="194">
        <f t="shared" si="88"/>
        <v>0</v>
      </c>
      <c r="AG178" s="194">
        <f t="shared" si="89"/>
        <v>0</v>
      </c>
      <c r="AH178" s="194">
        <f t="shared" si="90"/>
        <v>0</v>
      </c>
      <c r="AI178" s="199">
        <f t="shared" si="91"/>
        <v>0</v>
      </c>
      <c r="AK178" s="71">
        <v>173</v>
      </c>
      <c r="AL178" s="33"/>
      <c r="AM178" s="33"/>
      <c r="AN178" s="33"/>
      <c r="AO178" s="33"/>
      <c r="AP178" s="33"/>
      <c r="AQ178" s="194"/>
      <c r="AR178" s="194"/>
      <c r="AS178" s="194"/>
      <c r="AT178" s="194"/>
      <c r="AU178" s="33"/>
      <c r="AV178" s="33"/>
      <c r="AW178" s="33"/>
      <c r="AX178" s="33"/>
      <c r="AY178" s="76"/>
    </row>
    <row r="179" spans="3:51" x14ac:dyDescent="0.3">
      <c r="C179" s="166" t="s">
        <v>54</v>
      </c>
      <c r="D179" s="4">
        <v>0.44</v>
      </c>
      <c r="E179" s="188" t="s">
        <v>229</v>
      </c>
      <c r="F179" s="343">
        <f>IF(OR(Tableau145[[#This Row],[Type]]="Feuillus",Tableau145[[#This Row],[Type]]="Peupliers"),1.56,1.3)</f>
        <v>1.3</v>
      </c>
      <c r="I179" s="55">
        <v>174</v>
      </c>
      <c r="J179" s="33">
        <f t="shared" si="82"/>
        <v>0</v>
      </c>
      <c r="K179" s="33">
        <f t="shared" si="83"/>
        <v>0</v>
      </c>
      <c r="L179" s="33">
        <f t="shared" si="84"/>
        <v>0</v>
      </c>
      <c r="M179" s="33">
        <f t="shared" si="85"/>
        <v>0</v>
      </c>
      <c r="N179" s="33">
        <f t="shared" si="71"/>
        <v>0</v>
      </c>
      <c r="O179" s="34">
        <f t="shared" si="72"/>
        <v>0</v>
      </c>
      <c r="P179" s="55">
        <v>174</v>
      </c>
      <c r="Q179" s="33">
        <f t="shared" si="80"/>
        <v>0</v>
      </c>
      <c r="R179" s="33">
        <f t="shared" si="86"/>
        <v>0</v>
      </c>
      <c r="S179" s="33">
        <f t="shared" si="87"/>
        <v>0</v>
      </c>
      <c r="T179" s="33">
        <f t="shared" si="73"/>
        <v>0</v>
      </c>
      <c r="U179" s="33">
        <f t="shared" si="81"/>
        <v>0</v>
      </c>
      <c r="V179" s="33">
        <f t="shared" si="74"/>
        <v>0</v>
      </c>
      <c r="W179" s="33">
        <v>0</v>
      </c>
      <c r="X179" s="33">
        <f t="shared" si="75"/>
        <v>0</v>
      </c>
      <c r="Y179" s="38">
        <f t="shared" si="76"/>
        <v>0</v>
      </c>
      <c r="AA179" s="71">
        <v>174</v>
      </c>
      <c r="AB179" s="33">
        <f t="shared" si="77"/>
        <v>0</v>
      </c>
      <c r="AC179" s="305">
        <f t="shared" si="92"/>
        <v>0</v>
      </c>
      <c r="AD179" s="100">
        <f t="shared" si="78"/>
        <v>0</v>
      </c>
      <c r="AE179" s="100">
        <f t="shared" si="79"/>
        <v>0</v>
      </c>
      <c r="AF179" s="194">
        <f t="shared" si="88"/>
        <v>0</v>
      </c>
      <c r="AG179" s="194">
        <f t="shared" si="89"/>
        <v>0</v>
      </c>
      <c r="AH179" s="194">
        <f t="shared" si="90"/>
        <v>0</v>
      </c>
      <c r="AI179" s="199">
        <f t="shared" si="91"/>
        <v>0</v>
      </c>
      <c r="AK179" s="71">
        <v>174</v>
      </c>
      <c r="AL179" s="33"/>
      <c r="AM179" s="33"/>
      <c r="AN179" s="33"/>
      <c r="AO179" s="33"/>
      <c r="AP179" s="33"/>
      <c r="AQ179" s="194"/>
      <c r="AR179" s="194"/>
      <c r="AS179" s="194"/>
      <c r="AT179" s="194"/>
      <c r="AU179" s="33"/>
      <c r="AV179" s="33"/>
      <c r="AW179" s="33"/>
      <c r="AX179" s="33"/>
      <c r="AY179" s="76"/>
    </row>
    <row r="180" spans="3:51" x14ac:dyDescent="0.3">
      <c r="C180" s="166" t="s">
        <v>55</v>
      </c>
      <c r="D180" s="4">
        <v>0.46</v>
      </c>
      <c r="E180" s="188" t="s">
        <v>229</v>
      </c>
      <c r="F180" s="343">
        <f>IF(OR(Tableau145[[#This Row],[Type]]="Feuillus",Tableau145[[#This Row],[Type]]="Peupliers"),1.56,1.3)</f>
        <v>1.3</v>
      </c>
      <c r="I180" s="55">
        <v>175</v>
      </c>
      <c r="J180" s="33">
        <f t="shared" si="82"/>
        <v>0</v>
      </c>
      <c r="K180" s="33">
        <f t="shared" si="83"/>
        <v>0</v>
      </c>
      <c r="L180" s="33">
        <f t="shared" si="84"/>
        <v>0</v>
      </c>
      <c r="M180" s="33">
        <f t="shared" si="85"/>
        <v>0</v>
      </c>
      <c r="N180" s="33">
        <f t="shared" si="71"/>
        <v>0</v>
      </c>
      <c r="O180" s="34">
        <f t="shared" si="72"/>
        <v>0</v>
      </c>
      <c r="P180" s="55">
        <v>175</v>
      </c>
      <c r="Q180" s="33">
        <f t="shared" si="80"/>
        <v>0</v>
      </c>
      <c r="R180" s="33">
        <f t="shared" si="86"/>
        <v>0</v>
      </c>
      <c r="S180" s="33">
        <f t="shared" si="87"/>
        <v>0</v>
      </c>
      <c r="T180" s="33">
        <f t="shared" si="73"/>
        <v>0</v>
      </c>
      <c r="U180" s="33">
        <f t="shared" si="81"/>
        <v>0</v>
      </c>
      <c r="V180" s="33">
        <f t="shared" si="74"/>
        <v>0</v>
      </c>
      <c r="W180" s="33">
        <v>0</v>
      </c>
      <c r="X180" s="33">
        <f t="shared" si="75"/>
        <v>0</v>
      </c>
      <c r="Y180" s="38">
        <f t="shared" si="76"/>
        <v>0</v>
      </c>
      <c r="AA180" s="71">
        <v>175</v>
      </c>
      <c r="AB180" s="33">
        <f t="shared" si="77"/>
        <v>0</v>
      </c>
      <c r="AC180" s="305">
        <f t="shared" si="92"/>
        <v>0</v>
      </c>
      <c r="AD180" s="100">
        <f t="shared" si="78"/>
        <v>0</v>
      </c>
      <c r="AE180" s="100">
        <f t="shared" si="79"/>
        <v>0</v>
      </c>
      <c r="AF180" s="194">
        <f t="shared" si="88"/>
        <v>0</v>
      </c>
      <c r="AG180" s="194">
        <f t="shared" si="89"/>
        <v>0</v>
      </c>
      <c r="AH180" s="194">
        <f t="shared" si="90"/>
        <v>0</v>
      </c>
      <c r="AI180" s="199">
        <f t="shared" si="91"/>
        <v>0</v>
      </c>
      <c r="AK180" s="71">
        <v>175</v>
      </c>
      <c r="AL180" s="33"/>
      <c r="AM180" s="33"/>
      <c r="AN180" s="33"/>
      <c r="AO180" s="33"/>
      <c r="AP180" s="33"/>
      <c r="AQ180" s="194"/>
      <c r="AR180" s="194"/>
      <c r="AS180" s="194"/>
      <c r="AT180" s="194"/>
      <c r="AU180" s="33"/>
      <c r="AV180" s="33"/>
      <c r="AW180" s="33"/>
      <c r="AX180" s="33"/>
      <c r="AY180" s="76"/>
    </row>
    <row r="181" spans="3:51" x14ac:dyDescent="0.3">
      <c r="C181" s="166" t="s">
        <v>56</v>
      </c>
      <c r="D181" s="4">
        <v>0.48</v>
      </c>
      <c r="E181" s="188" t="s">
        <v>229</v>
      </c>
      <c r="F181" s="343">
        <f>IF(OR(Tableau145[[#This Row],[Type]]="Feuillus",Tableau145[[#This Row],[Type]]="Peupliers"),1.56,1.3)</f>
        <v>1.3</v>
      </c>
      <c r="I181" s="55">
        <v>176</v>
      </c>
      <c r="J181" s="33">
        <f t="shared" si="82"/>
        <v>0</v>
      </c>
      <c r="K181" s="33">
        <f t="shared" si="83"/>
        <v>0</v>
      </c>
      <c r="L181" s="33">
        <f t="shared" si="84"/>
        <v>0</v>
      </c>
      <c r="M181" s="33">
        <f t="shared" si="85"/>
        <v>0</v>
      </c>
      <c r="N181" s="33">
        <f t="shared" si="71"/>
        <v>0</v>
      </c>
      <c r="O181" s="34">
        <f t="shared" si="72"/>
        <v>0</v>
      </c>
      <c r="P181" s="55">
        <v>176</v>
      </c>
      <c r="Q181" s="33">
        <f t="shared" si="80"/>
        <v>0</v>
      </c>
      <c r="R181" s="33">
        <f t="shared" si="86"/>
        <v>0</v>
      </c>
      <c r="S181" s="33">
        <f t="shared" si="87"/>
        <v>0</v>
      </c>
      <c r="T181" s="33">
        <f t="shared" si="73"/>
        <v>0</v>
      </c>
      <c r="U181" s="33">
        <f t="shared" si="81"/>
        <v>0</v>
      </c>
      <c r="V181" s="33">
        <f t="shared" si="74"/>
        <v>0</v>
      </c>
      <c r="W181" s="33">
        <v>0</v>
      </c>
      <c r="X181" s="33">
        <f t="shared" si="75"/>
        <v>0</v>
      </c>
      <c r="Y181" s="38">
        <f t="shared" si="76"/>
        <v>0</v>
      </c>
      <c r="AA181" s="71">
        <v>176</v>
      </c>
      <c r="AB181" s="33">
        <f t="shared" si="77"/>
        <v>0</v>
      </c>
      <c r="AC181" s="305">
        <f t="shared" si="92"/>
        <v>0</v>
      </c>
      <c r="AD181" s="100">
        <f t="shared" si="78"/>
        <v>0</v>
      </c>
      <c r="AE181" s="100">
        <f t="shared" si="79"/>
        <v>0</v>
      </c>
      <c r="AF181" s="194">
        <f t="shared" si="88"/>
        <v>0</v>
      </c>
      <c r="AG181" s="194">
        <f t="shared" si="89"/>
        <v>0</v>
      </c>
      <c r="AH181" s="194">
        <f t="shared" si="90"/>
        <v>0</v>
      </c>
      <c r="AI181" s="199">
        <f t="shared" si="91"/>
        <v>0</v>
      </c>
      <c r="AK181" s="71">
        <v>176</v>
      </c>
      <c r="AL181" s="33"/>
      <c r="AM181" s="33"/>
      <c r="AN181" s="33"/>
      <c r="AO181" s="33"/>
      <c r="AP181" s="33"/>
      <c r="AQ181" s="194"/>
      <c r="AR181" s="194"/>
      <c r="AS181" s="194"/>
      <c r="AT181" s="194"/>
      <c r="AU181" s="33"/>
      <c r="AV181" s="33"/>
      <c r="AW181" s="33"/>
      <c r="AX181" s="33"/>
      <c r="AY181" s="76"/>
    </row>
    <row r="182" spans="3:51" x14ac:dyDescent="0.3">
      <c r="C182" s="166" t="s">
        <v>57</v>
      </c>
      <c r="D182" s="4">
        <v>0.44</v>
      </c>
      <c r="E182" s="188" t="s">
        <v>229</v>
      </c>
      <c r="F182" s="343">
        <f>IF(OR(Tableau145[[#This Row],[Type]]="Feuillus",Tableau145[[#This Row],[Type]]="Peupliers"),1.56,1.3)</f>
        <v>1.3</v>
      </c>
      <c r="I182" s="55">
        <v>177</v>
      </c>
      <c r="J182" s="33">
        <f t="shared" si="82"/>
        <v>0</v>
      </c>
      <c r="K182" s="33">
        <f t="shared" si="83"/>
        <v>0</v>
      </c>
      <c r="L182" s="33">
        <f t="shared" si="84"/>
        <v>0</v>
      </c>
      <c r="M182" s="33">
        <f t="shared" si="85"/>
        <v>0</v>
      </c>
      <c r="N182" s="33">
        <f t="shared" si="71"/>
        <v>0</v>
      </c>
      <c r="O182" s="34">
        <f t="shared" si="72"/>
        <v>0</v>
      </c>
      <c r="P182" s="55">
        <v>177</v>
      </c>
      <c r="Q182" s="33">
        <f t="shared" si="80"/>
        <v>0</v>
      </c>
      <c r="R182" s="33">
        <f t="shared" si="86"/>
        <v>0</v>
      </c>
      <c r="S182" s="33">
        <f t="shared" si="87"/>
        <v>0</v>
      </c>
      <c r="T182" s="33">
        <f t="shared" si="73"/>
        <v>0</v>
      </c>
      <c r="U182" s="33">
        <f t="shared" si="81"/>
        <v>0</v>
      </c>
      <c r="V182" s="33">
        <f t="shared" si="74"/>
        <v>0</v>
      </c>
      <c r="W182" s="33">
        <v>0</v>
      </c>
      <c r="X182" s="33">
        <f t="shared" si="75"/>
        <v>0</v>
      </c>
      <c r="Y182" s="38">
        <f t="shared" si="76"/>
        <v>0</v>
      </c>
      <c r="AA182" s="71">
        <v>177</v>
      </c>
      <c r="AB182" s="33">
        <f t="shared" si="77"/>
        <v>0</v>
      </c>
      <c r="AC182" s="305">
        <f t="shared" si="92"/>
        <v>0</v>
      </c>
      <c r="AD182" s="100">
        <f t="shared" si="78"/>
        <v>0</v>
      </c>
      <c r="AE182" s="100">
        <f t="shared" si="79"/>
        <v>0</v>
      </c>
      <c r="AF182" s="194">
        <f t="shared" si="88"/>
        <v>0</v>
      </c>
      <c r="AG182" s="194">
        <f t="shared" si="89"/>
        <v>0</v>
      </c>
      <c r="AH182" s="194">
        <f t="shared" si="90"/>
        <v>0</v>
      </c>
      <c r="AI182" s="199">
        <f t="shared" si="91"/>
        <v>0</v>
      </c>
      <c r="AK182" s="71">
        <v>177</v>
      </c>
      <c r="AL182" s="33"/>
      <c r="AM182" s="33"/>
      <c r="AN182" s="33"/>
      <c r="AO182" s="33"/>
      <c r="AP182" s="33"/>
      <c r="AQ182" s="194"/>
      <c r="AR182" s="194"/>
      <c r="AS182" s="194"/>
      <c r="AT182" s="194"/>
      <c r="AU182" s="33"/>
      <c r="AV182" s="33"/>
      <c r="AW182" s="33"/>
      <c r="AX182" s="33"/>
      <c r="AY182" s="76"/>
    </row>
    <row r="183" spans="3:51" x14ac:dyDescent="0.3">
      <c r="C183" s="166" t="s">
        <v>58</v>
      </c>
      <c r="D183" s="4">
        <v>0.34</v>
      </c>
      <c r="E183" s="188" t="s">
        <v>229</v>
      </c>
      <c r="F183" s="343">
        <f>IF(OR(Tableau145[[#This Row],[Type]]="Feuillus",Tableau145[[#This Row],[Type]]="Peupliers"),1.56,1.3)</f>
        <v>1.3</v>
      </c>
      <c r="I183" s="55">
        <v>178</v>
      </c>
      <c r="J183" s="33">
        <f t="shared" si="82"/>
        <v>0</v>
      </c>
      <c r="K183" s="33">
        <f t="shared" si="83"/>
        <v>0</v>
      </c>
      <c r="L183" s="33">
        <f t="shared" si="84"/>
        <v>0</v>
      </c>
      <c r="M183" s="33">
        <f t="shared" si="85"/>
        <v>0</v>
      </c>
      <c r="N183" s="33">
        <f t="shared" si="71"/>
        <v>0</v>
      </c>
      <c r="O183" s="34">
        <f t="shared" si="72"/>
        <v>0</v>
      </c>
      <c r="P183" s="55">
        <v>178</v>
      </c>
      <c r="Q183" s="33">
        <f t="shared" si="80"/>
        <v>0</v>
      </c>
      <c r="R183" s="33">
        <f t="shared" si="86"/>
        <v>0</v>
      </c>
      <c r="S183" s="33">
        <f t="shared" si="87"/>
        <v>0</v>
      </c>
      <c r="T183" s="33">
        <f t="shared" si="73"/>
        <v>0</v>
      </c>
      <c r="U183" s="33">
        <f t="shared" si="81"/>
        <v>0</v>
      </c>
      <c r="V183" s="33">
        <f t="shared" si="74"/>
        <v>0</v>
      </c>
      <c r="W183" s="33">
        <v>0</v>
      </c>
      <c r="X183" s="33">
        <f t="shared" si="75"/>
        <v>0</v>
      </c>
      <c r="Y183" s="38">
        <f t="shared" si="76"/>
        <v>0</v>
      </c>
      <c r="AA183" s="71">
        <v>178</v>
      </c>
      <c r="AB183" s="33">
        <f t="shared" si="77"/>
        <v>0</v>
      </c>
      <c r="AC183" s="305">
        <f t="shared" si="92"/>
        <v>0</v>
      </c>
      <c r="AD183" s="100">
        <f t="shared" si="78"/>
        <v>0</v>
      </c>
      <c r="AE183" s="100">
        <f t="shared" si="79"/>
        <v>0</v>
      </c>
      <c r="AF183" s="194">
        <f t="shared" si="88"/>
        <v>0</v>
      </c>
      <c r="AG183" s="194">
        <f t="shared" si="89"/>
        <v>0</v>
      </c>
      <c r="AH183" s="194">
        <f t="shared" si="90"/>
        <v>0</v>
      </c>
      <c r="AI183" s="199">
        <f t="shared" si="91"/>
        <v>0</v>
      </c>
      <c r="AK183" s="71">
        <v>178</v>
      </c>
      <c r="AL183" s="33"/>
      <c r="AM183" s="33"/>
      <c r="AN183" s="33"/>
      <c r="AO183" s="33"/>
      <c r="AP183" s="33"/>
      <c r="AQ183" s="194"/>
      <c r="AR183" s="194"/>
      <c r="AS183" s="194"/>
      <c r="AT183" s="194"/>
      <c r="AU183" s="33"/>
      <c r="AV183" s="33"/>
      <c r="AW183" s="33"/>
      <c r="AX183" s="33"/>
      <c r="AY183" s="76"/>
    </row>
    <row r="184" spans="3:51" x14ac:dyDescent="0.3">
      <c r="C184" s="166" t="s">
        <v>59</v>
      </c>
      <c r="D184" s="4">
        <v>0.5</v>
      </c>
      <c r="E184" s="188" t="s">
        <v>228</v>
      </c>
      <c r="F184" s="343">
        <f>IF(OR(Tableau145[[#This Row],[Type]]="Feuillus",Tableau145[[#This Row],[Type]]="Peupliers"),1.56,1.3)</f>
        <v>1.56</v>
      </c>
      <c r="I184" s="55">
        <v>179</v>
      </c>
      <c r="J184" s="33">
        <f t="shared" si="82"/>
        <v>0</v>
      </c>
      <c r="K184" s="33">
        <f t="shared" si="83"/>
        <v>0</v>
      </c>
      <c r="L184" s="33">
        <f t="shared" si="84"/>
        <v>0</v>
      </c>
      <c r="M184" s="33">
        <f t="shared" si="85"/>
        <v>0</v>
      </c>
      <c r="N184" s="33">
        <f t="shared" si="71"/>
        <v>0</v>
      </c>
      <c r="O184" s="34">
        <f t="shared" si="72"/>
        <v>0</v>
      </c>
      <c r="P184" s="55">
        <v>179</v>
      </c>
      <c r="Q184" s="33">
        <f t="shared" si="80"/>
        <v>0</v>
      </c>
      <c r="R184" s="33">
        <f t="shared" si="86"/>
        <v>0</v>
      </c>
      <c r="S184" s="33">
        <f t="shared" si="87"/>
        <v>0</v>
      </c>
      <c r="T184" s="33">
        <f t="shared" si="73"/>
        <v>0</v>
      </c>
      <c r="U184" s="33">
        <f t="shared" si="81"/>
        <v>0</v>
      </c>
      <c r="V184" s="33">
        <f t="shared" si="74"/>
        <v>0</v>
      </c>
      <c r="W184" s="33">
        <v>0</v>
      </c>
      <c r="X184" s="33">
        <f t="shared" si="75"/>
        <v>0</v>
      </c>
      <c r="Y184" s="38">
        <f t="shared" si="76"/>
        <v>0</v>
      </c>
      <c r="AA184" s="71">
        <v>179</v>
      </c>
      <c r="AB184" s="33">
        <f t="shared" si="77"/>
        <v>0</v>
      </c>
      <c r="AC184" s="305">
        <f t="shared" si="92"/>
        <v>0</v>
      </c>
      <c r="AD184" s="100">
        <f t="shared" si="78"/>
        <v>0</v>
      </c>
      <c r="AE184" s="100">
        <f t="shared" si="79"/>
        <v>0</v>
      </c>
      <c r="AF184" s="194">
        <f t="shared" si="88"/>
        <v>0</v>
      </c>
      <c r="AG184" s="194">
        <f t="shared" si="89"/>
        <v>0</v>
      </c>
      <c r="AH184" s="194">
        <f t="shared" si="90"/>
        <v>0</v>
      </c>
      <c r="AI184" s="199">
        <f t="shared" si="91"/>
        <v>0</v>
      </c>
      <c r="AK184" s="71">
        <v>179</v>
      </c>
      <c r="AL184" s="33"/>
      <c r="AM184" s="33"/>
      <c r="AN184" s="33"/>
      <c r="AO184" s="33"/>
      <c r="AP184" s="33"/>
      <c r="AQ184" s="194"/>
      <c r="AR184" s="194"/>
      <c r="AS184" s="194"/>
      <c r="AT184" s="194"/>
      <c r="AU184" s="33"/>
      <c r="AV184" s="33"/>
      <c r="AW184" s="33"/>
      <c r="AX184" s="33"/>
      <c r="AY184" s="76"/>
    </row>
    <row r="185" spans="3:51" x14ac:dyDescent="0.3">
      <c r="C185" s="166" t="s">
        <v>60</v>
      </c>
      <c r="D185" s="4">
        <v>0.57999999999999996</v>
      </c>
      <c r="E185" s="188" t="s">
        <v>228</v>
      </c>
      <c r="F185" s="343">
        <f>IF(OR(Tableau145[[#This Row],[Type]]="Feuillus",Tableau145[[#This Row],[Type]]="Peupliers"),1.56,1.3)</f>
        <v>1.56</v>
      </c>
      <c r="I185" s="55">
        <v>180</v>
      </c>
      <c r="J185" s="33">
        <f t="shared" si="82"/>
        <v>0</v>
      </c>
      <c r="K185" s="33">
        <f t="shared" si="83"/>
        <v>0</v>
      </c>
      <c r="L185" s="33">
        <f t="shared" si="84"/>
        <v>0</v>
      </c>
      <c r="M185" s="33">
        <f t="shared" si="85"/>
        <v>0</v>
      </c>
      <c r="N185" s="33">
        <f t="shared" si="71"/>
        <v>0</v>
      </c>
      <c r="O185" s="34">
        <f t="shared" si="72"/>
        <v>0</v>
      </c>
      <c r="P185" s="55">
        <v>180</v>
      </c>
      <c r="Q185" s="33">
        <f t="shared" si="80"/>
        <v>0</v>
      </c>
      <c r="R185" s="33">
        <f t="shared" si="86"/>
        <v>0</v>
      </c>
      <c r="S185" s="33">
        <f t="shared" si="87"/>
        <v>0</v>
      </c>
      <c r="T185" s="33">
        <f t="shared" si="73"/>
        <v>0</v>
      </c>
      <c r="U185" s="33">
        <f t="shared" si="81"/>
        <v>0</v>
      </c>
      <c r="V185" s="33">
        <f t="shared" si="74"/>
        <v>0</v>
      </c>
      <c r="W185" s="33">
        <v>0</v>
      </c>
      <c r="X185" s="33">
        <f t="shared" si="75"/>
        <v>0</v>
      </c>
      <c r="Y185" s="38">
        <f t="shared" si="76"/>
        <v>0</v>
      </c>
      <c r="AA185" s="71">
        <v>180</v>
      </c>
      <c r="AB185" s="33">
        <f t="shared" si="77"/>
        <v>0</v>
      </c>
      <c r="AC185" s="305">
        <f t="shared" si="92"/>
        <v>0</v>
      </c>
      <c r="AD185" s="100">
        <f t="shared" si="78"/>
        <v>0</v>
      </c>
      <c r="AE185" s="100">
        <f t="shared" si="79"/>
        <v>0</v>
      </c>
      <c r="AF185" s="194">
        <f t="shared" si="88"/>
        <v>0</v>
      </c>
      <c r="AG185" s="194">
        <f t="shared" si="89"/>
        <v>0</v>
      </c>
      <c r="AH185" s="194">
        <f t="shared" si="90"/>
        <v>0</v>
      </c>
      <c r="AI185" s="199">
        <f t="shared" si="91"/>
        <v>0</v>
      </c>
      <c r="AK185" s="71">
        <v>180</v>
      </c>
      <c r="AL185" s="33"/>
      <c r="AM185" s="33"/>
      <c r="AN185" s="33"/>
      <c r="AO185" s="33"/>
      <c r="AP185" s="33"/>
      <c r="AQ185" s="194"/>
      <c r="AR185" s="194"/>
      <c r="AS185" s="194"/>
      <c r="AT185" s="194"/>
      <c r="AU185" s="33"/>
      <c r="AV185" s="33"/>
      <c r="AW185" s="33"/>
      <c r="AX185" s="33"/>
      <c r="AY185" s="76"/>
    </row>
    <row r="186" spans="3:51" x14ac:dyDescent="0.3">
      <c r="C186" s="166" t="s">
        <v>61</v>
      </c>
      <c r="D186" s="4">
        <v>0.37</v>
      </c>
      <c r="E186" s="188" t="s">
        <v>229</v>
      </c>
      <c r="F186" s="343">
        <f>IF(OR(Tableau145[[#This Row],[Type]]="Feuillus",Tableau145[[#This Row],[Type]]="Peupliers"),1.56,1.3)</f>
        <v>1.3</v>
      </c>
      <c r="I186" s="55">
        <v>181</v>
      </c>
      <c r="J186" s="33">
        <f t="shared" si="82"/>
        <v>0</v>
      </c>
      <c r="K186" s="33">
        <f t="shared" si="83"/>
        <v>0</v>
      </c>
      <c r="L186" s="33">
        <f t="shared" si="84"/>
        <v>0</v>
      </c>
      <c r="M186" s="33">
        <f t="shared" si="85"/>
        <v>0</v>
      </c>
      <c r="N186" s="33">
        <f t="shared" si="71"/>
        <v>0</v>
      </c>
      <c r="O186" s="34">
        <f t="shared" si="72"/>
        <v>0</v>
      </c>
      <c r="P186" s="55">
        <v>181</v>
      </c>
      <c r="Q186" s="33">
        <f t="shared" si="80"/>
        <v>0</v>
      </c>
      <c r="R186" s="33">
        <f t="shared" si="86"/>
        <v>0</v>
      </c>
      <c r="S186" s="33">
        <f t="shared" si="87"/>
        <v>0</v>
      </c>
      <c r="T186" s="33">
        <f t="shared" si="73"/>
        <v>0</v>
      </c>
      <c r="U186" s="33">
        <f t="shared" si="81"/>
        <v>0</v>
      </c>
      <c r="V186" s="33">
        <f t="shared" si="74"/>
        <v>0</v>
      </c>
      <c r="W186" s="33">
        <v>0</v>
      </c>
      <c r="X186" s="33">
        <f t="shared" si="75"/>
        <v>0</v>
      </c>
      <c r="Y186" s="38">
        <f t="shared" si="76"/>
        <v>0</v>
      </c>
      <c r="AA186" s="71">
        <v>181</v>
      </c>
      <c r="AB186" s="33">
        <f t="shared" si="77"/>
        <v>0</v>
      </c>
      <c r="AC186" s="305">
        <f t="shared" si="92"/>
        <v>0</v>
      </c>
      <c r="AD186" s="100">
        <f t="shared" si="78"/>
        <v>0</v>
      </c>
      <c r="AE186" s="100">
        <f t="shared" si="79"/>
        <v>0</v>
      </c>
      <c r="AF186" s="194">
        <f t="shared" si="88"/>
        <v>0</v>
      </c>
      <c r="AG186" s="194">
        <f t="shared" si="89"/>
        <v>0</v>
      </c>
      <c r="AH186" s="194">
        <f t="shared" si="90"/>
        <v>0</v>
      </c>
      <c r="AI186" s="199">
        <f t="shared" si="91"/>
        <v>0</v>
      </c>
      <c r="AK186" s="71">
        <v>181</v>
      </c>
      <c r="AL186" s="33"/>
      <c r="AM186" s="33"/>
      <c r="AN186" s="33"/>
      <c r="AO186" s="33"/>
      <c r="AP186" s="33"/>
      <c r="AQ186" s="194"/>
      <c r="AR186" s="194"/>
      <c r="AS186" s="194"/>
      <c r="AT186" s="194"/>
      <c r="AU186" s="33"/>
      <c r="AV186" s="33"/>
      <c r="AW186" s="33"/>
      <c r="AX186" s="33"/>
      <c r="AY186" s="76"/>
    </row>
    <row r="187" spans="3:51" x14ac:dyDescent="0.3">
      <c r="C187" s="166" t="s">
        <v>62</v>
      </c>
      <c r="D187" s="4">
        <v>0.37</v>
      </c>
      <c r="E187" s="188" t="s">
        <v>229</v>
      </c>
      <c r="F187" s="343">
        <f>IF(OR(Tableau145[[#This Row],[Type]]="Feuillus",Tableau145[[#This Row],[Type]]="Peupliers"),1.56,1.3)</f>
        <v>1.3</v>
      </c>
      <c r="I187" s="55">
        <v>182</v>
      </c>
      <c r="J187" s="33">
        <f t="shared" si="82"/>
        <v>0</v>
      </c>
      <c r="K187" s="33">
        <f t="shared" si="83"/>
        <v>0</v>
      </c>
      <c r="L187" s="33">
        <f t="shared" si="84"/>
        <v>0</v>
      </c>
      <c r="M187" s="33">
        <f t="shared" si="85"/>
        <v>0</v>
      </c>
      <c r="N187" s="33">
        <f t="shared" si="71"/>
        <v>0</v>
      </c>
      <c r="O187" s="34">
        <f t="shared" si="72"/>
        <v>0</v>
      </c>
      <c r="P187" s="55">
        <v>182</v>
      </c>
      <c r="Q187" s="33">
        <f t="shared" si="80"/>
        <v>0</v>
      </c>
      <c r="R187" s="33">
        <f t="shared" si="86"/>
        <v>0</v>
      </c>
      <c r="S187" s="33">
        <f t="shared" si="87"/>
        <v>0</v>
      </c>
      <c r="T187" s="33">
        <f t="shared" si="73"/>
        <v>0</v>
      </c>
      <c r="U187" s="33">
        <f t="shared" si="81"/>
        <v>0</v>
      </c>
      <c r="V187" s="33">
        <f t="shared" si="74"/>
        <v>0</v>
      </c>
      <c r="W187" s="33">
        <v>0</v>
      </c>
      <c r="X187" s="33">
        <f t="shared" si="75"/>
        <v>0</v>
      </c>
      <c r="Y187" s="38">
        <f t="shared" si="76"/>
        <v>0</v>
      </c>
      <c r="AA187" s="71">
        <v>182</v>
      </c>
      <c r="AB187" s="33">
        <f t="shared" si="77"/>
        <v>0</v>
      </c>
      <c r="AC187" s="305">
        <f t="shared" si="92"/>
        <v>0</v>
      </c>
      <c r="AD187" s="100">
        <f t="shared" si="78"/>
        <v>0</v>
      </c>
      <c r="AE187" s="100">
        <f t="shared" si="79"/>
        <v>0</v>
      </c>
      <c r="AF187" s="194">
        <f t="shared" si="88"/>
        <v>0</v>
      </c>
      <c r="AG187" s="194">
        <f t="shared" si="89"/>
        <v>0</v>
      </c>
      <c r="AH187" s="194">
        <f t="shared" si="90"/>
        <v>0</v>
      </c>
      <c r="AI187" s="199">
        <f t="shared" si="91"/>
        <v>0</v>
      </c>
      <c r="AK187" s="71">
        <v>182</v>
      </c>
      <c r="AL187" s="33"/>
      <c r="AM187" s="33"/>
      <c r="AN187" s="33"/>
      <c r="AO187" s="33"/>
      <c r="AP187" s="33"/>
      <c r="AQ187" s="194"/>
      <c r="AR187" s="194"/>
      <c r="AS187" s="194"/>
      <c r="AT187" s="194"/>
      <c r="AU187" s="33"/>
      <c r="AV187" s="33"/>
      <c r="AW187" s="33"/>
      <c r="AX187" s="33"/>
      <c r="AY187" s="76"/>
    </row>
    <row r="188" spans="3:51" x14ac:dyDescent="0.3">
      <c r="C188" s="166" t="s">
        <v>63</v>
      </c>
      <c r="D188" s="4">
        <v>0.38</v>
      </c>
      <c r="E188" s="188" t="s">
        <v>229</v>
      </c>
      <c r="F188" s="343">
        <f>IF(OR(Tableau145[[#This Row],[Type]]="Feuillus",Tableau145[[#This Row],[Type]]="Peupliers"),1.56,1.3)</f>
        <v>1.3</v>
      </c>
      <c r="I188" s="55">
        <v>183</v>
      </c>
      <c r="J188" s="33">
        <f t="shared" si="82"/>
        <v>0</v>
      </c>
      <c r="K188" s="33">
        <f t="shared" si="83"/>
        <v>0</v>
      </c>
      <c r="L188" s="33">
        <f t="shared" si="84"/>
        <v>0</v>
      </c>
      <c r="M188" s="33">
        <f t="shared" si="85"/>
        <v>0</v>
      </c>
      <c r="N188" s="33">
        <f t="shared" si="71"/>
        <v>0</v>
      </c>
      <c r="O188" s="34">
        <f t="shared" si="72"/>
        <v>0</v>
      </c>
      <c r="P188" s="55">
        <v>183</v>
      </c>
      <c r="Q188" s="33">
        <f t="shared" si="80"/>
        <v>0</v>
      </c>
      <c r="R188" s="33">
        <f t="shared" si="86"/>
        <v>0</v>
      </c>
      <c r="S188" s="33">
        <f t="shared" si="87"/>
        <v>0</v>
      </c>
      <c r="T188" s="33">
        <f t="shared" si="73"/>
        <v>0</v>
      </c>
      <c r="U188" s="33">
        <f t="shared" si="81"/>
        <v>0</v>
      </c>
      <c r="V188" s="33">
        <f t="shared" si="74"/>
        <v>0</v>
      </c>
      <c r="W188" s="33">
        <v>0</v>
      </c>
      <c r="X188" s="33">
        <f t="shared" si="75"/>
        <v>0</v>
      </c>
      <c r="Y188" s="38">
        <f t="shared" si="76"/>
        <v>0</v>
      </c>
      <c r="AA188" s="71">
        <v>183</v>
      </c>
      <c r="AB188" s="33">
        <f t="shared" si="77"/>
        <v>0</v>
      </c>
      <c r="AC188" s="305">
        <f t="shared" si="92"/>
        <v>0</v>
      </c>
      <c r="AD188" s="100">
        <f t="shared" si="78"/>
        <v>0</v>
      </c>
      <c r="AE188" s="100">
        <f t="shared" si="79"/>
        <v>0</v>
      </c>
      <c r="AF188" s="194">
        <f t="shared" si="88"/>
        <v>0</v>
      </c>
      <c r="AG188" s="194">
        <f t="shared" si="89"/>
        <v>0</v>
      </c>
      <c r="AH188" s="194">
        <f t="shared" si="90"/>
        <v>0</v>
      </c>
      <c r="AI188" s="199">
        <f t="shared" si="91"/>
        <v>0</v>
      </c>
      <c r="AK188" s="71">
        <v>183</v>
      </c>
      <c r="AL188" s="33"/>
      <c r="AM188" s="33"/>
      <c r="AN188" s="33"/>
      <c r="AO188" s="33"/>
      <c r="AP188" s="33"/>
      <c r="AQ188" s="194"/>
      <c r="AR188" s="194"/>
      <c r="AS188" s="194"/>
      <c r="AT188" s="194"/>
      <c r="AU188" s="33"/>
      <c r="AV188" s="33"/>
      <c r="AW188" s="33"/>
      <c r="AX188" s="33"/>
      <c r="AY188" s="76"/>
    </row>
    <row r="189" spans="3:51" x14ac:dyDescent="0.3">
      <c r="C189" s="166" t="s">
        <v>64</v>
      </c>
      <c r="D189" s="4">
        <v>0.36</v>
      </c>
      <c r="E189" s="188" t="s">
        <v>229</v>
      </c>
      <c r="F189" s="343">
        <f>IF(OR(Tableau145[[#This Row],[Type]]="Feuillus",Tableau145[[#This Row],[Type]]="Peupliers"),1.56,1.3)</f>
        <v>1.3</v>
      </c>
      <c r="I189" s="55">
        <v>184</v>
      </c>
      <c r="J189" s="33">
        <f t="shared" si="82"/>
        <v>0</v>
      </c>
      <c r="K189" s="33">
        <f t="shared" si="83"/>
        <v>0</v>
      </c>
      <c r="L189" s="33">
        <f t="shared" si="84"/>
        <v>0</v>
      </c>
      <c r="M189" s="33">
        <f t="shared" si="85"/>
        <v>0</v>
      </c>
      <c r="N189" s="33">
        <f t="shared" si="71"/>
        <v>0</v>
      </c>
      <c r="O189" s="34">
        <f t="shared" si="72"/>
        <v>0</v>
      </c>
      <c r="P189" s="55">
        <v>184</v>
      </c>
      <c r="Q189" s="33">
        <f t="shared" si="80"/>
        <v>0</v>
      </c>
      <c r="R189" s="33">
        <f t="shared" si="86"/>
        <v>0</v>
      </c>
      <c r="S189" s="33">
        <f t="shared" si="87"/>
        <v>0</v>
      </c>
      <c r="T189" s="33">
        <f t="shared" si="73"/>
        <v>0</v>
      </c>
      <c r="U189" s="33">
        <f t="shared" si="81"/>
        <v>0</v>
      </c>
      <c r="V189" s="33">
        <f t="shared" si="74"/>
        <v>0</v>
      </c>
      <c r="W189" s="33">
        <v>0</v>
      </c>
      <c r="X189" s="33">
        <f t="shared" si="75"/>
        <v>0</v>
      </c>
      <c r="Y189" s="38">
        <f t="shared" si="76"/>
        <v>0</v>
      </c>
      <c r="AA189" s="71">
        <v>184</v>
      </c>
      <c r="AB189" s="33">
        <f t="shared" si="77"/>
        <v>0</v>
      </c>
      <c r="AC189" s="305">
        <f t="shared" si="92"/>
        <v>0</v>
      </c>
      <c r="AD189" s="100">
        <f t="shared" si="78"/>
        <v>0</v>
      </c>
      <c r="AE189" s="100">
        <f t="shared" si="79"/>
        <v>0</v>
      </c>
      <c r="AF189" s="194">
        <f t="shared" si="88"/>
        <v>0</v>
      </c>
      <c r="AG189" s="194">
        <f t="shared" si="89"/>
        <v>0</v>
      </c>
      <c r="AH189" s="194">
        <f t="shared" si="90"/>
        <v>0</v>
      </c>
      <c r="AI189" s="199">
        <f t="shared" si="91"/>
        <v>0</v>
      </c>
      <c r="AK189" s="71">
        <v>184</v>
      </c>
      <c r="AL189" s="33"/>
      <c r="AM189" s="33"/>
      <c r="AN189" s="33"/>
      <c r="AO189" s="33"/>
      <c r="AP189" s="33"/>
      <c r="AQ189" s="194"/>
      <c r="AR189" s="194"/>
      <c r="AS189" s="194"/>
      <c r="AT189" s="194"/>
      <c r="AU189" s="33"/>
      <c r="AV189" s="33"/>
      <c r="AW189" s="33"/>
      <c r="AX189" s="33"/>
      <c r="AY189" s="76"/>
    </row>
    <row r="190" spans="3:51" x14ac:dyDescent="0.3">
      <c r="C190" s="166" t="s">
        <v>65</v>
      </c>
      <c r="D190" s="4">
        <v>0.37</v>
      </c>
      <c r="E190" s="188" t="s">
        <v>228</v>
      </c>
      <c r="F190" s="343">
        <f>IF(OR(Tableau145[[#This Row],[Type]]="Feuillus",Tableau145[[#This Row],[Type]]="Peupliers"),1.56,1.3)</f>
        <v>1.56</v>
      </c>
      <c r="I190" s="55">
        <v>185</v>
      </c>
      <c r="J190" s="33">
        <f t="shared" si="82"/>
        <v>0</v>
      </c>
      <c r="K190" s="33">
        <f t="shared" si="83"/>
        <v>0</v>
      </c>
      <c r="L190" s="33">
        <f t="shared" si="84"/>
        <v>0</v>
      </c>
      <c r="M190" s="33">
        <f t="shared" si="85"/>
        <v>0</v>
      </c>
      <c r="N190" s="33">
        <f t="shared" si="71"/>
        <v>0</v>
      </c>
      <c r="O190" s="34">
        <f t="shared" si="72"/>
        <v>0</v>
      </c>
      <c r="P190" s="55">
        <v>185</v>
      </c>
      <c r="Q190" s="33">
        <f t="shared" si="80"/>
        <v>0</v>
      </c>
      <c r="R190" s="33">
        <f t="shared" si="86"/>
        <v>0</v>
      </c>
      <c r="S190" s="33">
        <f t="shared" si="87"/>
        <v>0</v>
      </c>
      <c r="T190" s="33">
        <f t="shared" si="73"/>
        <v>0</v>
      </c>
      <c r="U190" s="33">
        <f t="shared" si="81"/>
        <v>0</v>
      </c>
      <c r="V190" s="33">
        <f t="shared" si="74"/>
        <v>0</v>
      </c>
      <c r="W190" s="33">
        <v>0</v>
      </c>
      <c r="X190" s="33">
        <f t="shared" si="75"/>
        <v>0</v>
      </c>
      <c r="Y190" s="38">
        <f t="shared" si="76"/>
        <v>0</v>
      </c>
      <c r="AA190" s="71">
        <v>185</v>
      </c>
      <c r="AB190" s="33">
        <f t="shared" si="77"/>
        <v>0</v>
      </c>
      <c r="AC190" s="305">
        <f t="shared" si="92"/>
        <v>0</v>
      </c>
      <c r="AD190" s="100">
        <f t="shared" si="78"/>
        <v>0</v>
      </c>
      <c r="AE190" s="100">
        <f t="shared" si="79"/>
        <v>0</v>
      </c>
      <c r="AF190" s="194">
        <f t="shared" si="88"/>
        <v>0</v>
      </c>
      <c r="AG190" s="194">
        <f t="shared" si="89"/>
        <v>0</v>
      </c>
      <c r="AH190" s="194">
        <f t="shared" si="90"/>
        <v>0</v>
      </c>
      <c r="AI190" s="199">
        <f t="shared" si="91"/>
        <v>0</v>
      </c>
      <c r="AK190" s="71">
        <v>185</v>
      </c>
      <c r="AL190" s="33"/>
      <c r="AM190" s="33"/>
      <c r="AN190" s="33"/>
      <c r="AO190" s="33"/>
      <c r="AP190" s="33"/>
      <c r="AQ190" s="194"/>
      <c r="AR190" s="194"/>
      <c r="AS190" s="194"/>
      <c r="AT190" s="194"/>
      <c r="AU190" s="33"/>
      <c r="AV190" s="33"/>
      <c r="AW190" s="33"/>
      <c r="AX190" s="33"/>
      <c r="AY190" s="76"/>
    </row>
    <row r="191" spans="3:51" x14ac:dyDescent="0.3">
      <c r="C191" s="166" t="s">
        <v>66</v>
      </c>
      <c r="D191" s="4">
        <v>0.53</v>
      </c>
      <c r="E191" s="188" t="s">
        <v>228</v>
      </c>
      <c r="F191" s="343">
        <f>IF(OR(Tableau145[[#This Row],[Type]]="Feuillus",Tableau145[[#This Row],[Type]]="Peupliers"),1.56,1.3)</f>
        <v>1.56</v>
      </c>
      <c r="I191" s="55">
        <v>186</v>
      </c>
      <c r="J191" s="33">
        <f t="shared" si="82"/>
        <v>0</v>
      </c>
      <c r="K191" s="33">
        <f t="shared" si="83"/>
        <v>0</v>
      </c>
      <c r="L191" s="33">
        <f t="shared" si="84"/>
        <v>0</v>
      </c>
      <c r="M191" s="33">
        <f t="shared" si="85"/>
        <v>0</v>
      </c>
      <c r="N191" s="33">
        <f t="shared" si="71"/>
        <v>0</v>
      </c>
      <c r="O191" s="34">
        <f t="shared" si="72"/>
        <v>0</v>
      </c>
      <c r="P191" s="55">
        <v>186</v>
      </c>
      <c r="Q191" s="33">
        <f t="shared" si="80"/>
        <v>0</v>
      </c>
      <c r="R191" s="33">
        <f t="shared" si="86"/>
        <v>0</v>
      </c>
      <c r="S191" s="33">
        <f t="shared" si="87"/>
        <v>0</v>
      </c>
      <c r="T191" s="33">
        <f t="shared" si="73"/>
        <v>0</v>
      </c>
      <c r="U191" s="33">
        <f t="shared" si="81"/>
        <v>0</v>
      </c>
      <c r="V191" s="33">
        <f t="shared" si="74"/>
        <v>0</v>
      </c>
      <c r="W191" s="33">
        <v>0</v>
      </c>
      <c r="X191" s="33">
        <f t="shared" si="75"/>
        <v>0</v>
      </c>
      <c r="Y191" s="38">
        <f t="shared" si="76"/>
        <v>0</v>
      </c>
      <c r="AA191" s="71">
        <v>186</v>
      </c>
      <c r="AB191" s="33">
        <f t="shared" si="77"/>
        <v>0</v>
      </c>
      <c r="AC191" s="305">
        <f t="shared" si="92"/>
        <v>0</v>
      </c>
      <c r="AD191" s="100">
        <f t="shared" si="78"/>
        <v>0</v>
      </c>
      <c r="AE191" s="100">
        <f t="shared" si="79"/>
        <v>0</v>
      </c>
      <c r="AF191" s="194">
        <f t="shared" si="88"/>
        <v>0</v>
      </c>
      <c r="AG191" s="194">
        <f t="shared" si="89"/>
        <v>0</v>
      </c>
      <c r="AH191" s="194">
        <f t="shared" si="90"/>
        <v>0</v>
      </c>
      <c r="AI191" s="199">
        <f t="shared" si="91"/>
        <v>0</v>
      </c>
      <c r="AK191" s="71">
        <v>186</v>
      </c>
      <c r="AL191" s="33"/>
      <c r="AM191" s="33"/>
      <c r="AN191" s="33"/>
      <c r="AO191" s="33"/>
      <c r="AP191" s="33"/>
      <c r="AQ191" s="194"/>
      <c r="AR191" s="194"/>
      <c r="AS191" s="194"/>
      <c r="AT191" s="194"/>
      <c r="AU191" s="33"/>
      <c r="AV191" s="33"/>
      <c r="AW191" s="33"/>
      <c r="AX191" s="33"/>
      <c r="AY191" s="76"/>
    </row>
    <row r="192" spans="3:51" x14ac:dyDescent="0.3">
      <c r="C192" s="166" t="s">
        <v>67</v>
      </c>
      <c r="D192" s="4">
        <v>0.43</v>
      </c>
      <c r="E192" s="188" t="s">
        <v>228</v>
      </c>
      <c r="F192" s="343">
        <f>IF(OR(Tableau145[[#This Row],[Type]]="Feuillus",Tableau145[[#This Row],[Type]]="Peupliers"),1.56,1.3)</f>
        <v>1.56</v>
      </c>
      <c r="I192" s="55">
        <v>187</v>
      </c>
      <c r="J192" s="33">
        <f t="shared" si="82"/>
        <v>0</v>
      </c>
      <c r="K192" s="33">
        <f t="shared" si="83"/>
        <v>0</v>
      </c>
      <c r="L192" s="33">
        <f t="shared" si="84"/>
        <v>0</v>
      </c>
      <c r="M192" s="33">
        <f t="shared" si="85"/>
        <v>0</v>
      </c>
      <c r="N192" s="33">
        <f t="shared" si="71"/>
        <v>0</v>
      </c>
      <c r="O192" s="34">
        <f t="shared" si="72"/>
        <v>0</v>
      </c>
      <c r="P192" s="55">
        <v>187</v>
      </c>
      <c r="Q192" s="33">
        <f t="shared" si="80"/>
        <v>0</v>
      </c>
      <c r="R192" s="33">
        <f t="shared" si="86"/>
        <v>0</v>
      </c>
      <c r="S192" s="33">
        <f t="shared" si="87"/>
        <v>0</v>
      </c>
      <c r="T192" s="33">
        <f t="shared" si="73"/>
        <v>0</v>
      </c>
      <c r="U192" s="33">
        <f t="shared" si="81"/>
        <v>0</v>
      </c>
      <c r="V192" s="33">
        <f t="shared" si="74"/>
        <v>0</v>
      </c>
      <c r="W192" s="33">
        <v>0</v>
      </c>
      <c r="X192" s="33">
        <f t="shared" si="75"/>
        <v>0</v>
      </c>
      <c r="Y192" s="38">
        <f t="shared" si="76"/>
        <v>0</v>
      </c>
      <c r="AA192" s="71">
        <v>187</v>
      </c>
      <c r="AB192" s="33">
        <f t="shared" si="77"/>
        <v>0</v>
      </c>
      <c r="AC192" s="305">
        <f t="shared" si="92"/>
        <v>0</v>
      </c>
      <c r="AD192" s="100">
        <f t="shared" si="78"/>
        <v>0</v>
      </c>
      <c r="AE192" s="100">
        <f t="shared" si="79"/>
        <v>0</v>
      </c>
      <c r="AF192" s="194">
        <f t="shared" si="88"/>
        <v>0</v>
      </c>
      <c r="AG192" s="194">
        <f t="shared" si="89"/>
        <v>0</v>
      </c>
      <c r="AH192" s="194">
        <f t="shared" si="90"/>
        <v>0</v>
      </c>
      <c r="AI192" s="199">
        <f t="shared" si="91"/>
        <v>0</v>
      </c>
      <c r="AK192" s="71">
        <v>187</v>
      </c>
      <c r="AL192" s="33"/>
      <c r="AM192" s="33"/>
      <c r="AN192" s="33"/>
      <c r="AO192" s="33"/>
      <c r="AP192" s="33"/>
      <c r="AQ192" s="194"/>
      <c r="AR192" s="194"/>
      <c r="AS192" s="194"/>
      <c r="AT192" s="194"/>
      <c r="AU192" s="33"/>
      <c r="AV192" s="33"/>
      <c r="AW192" s="33"/>
      <c r="AX192" s="33"/>
      <c r="AY192" s="76"/>
    </row>
    <row r="193" spans="3:51" x14ac:dyDescent="0.3">
      <c r="C193" s="166" t="s">
        <v>68</v>
      </c>
      <c r="D193" s="4">
        <v>0.38</v>
      </c>
      <c r="E193" s="188" t="s">
        <v>228</v>
      </c>
      <c r="F193" s="343">
        <f>IF(OR(Tableau145[[#This Row],[Type]]="Feuillus",Tableau145[[#This Row],[Type]]="Peupliers"),1.56,1.3)</f>
        <v>1.56</v>
      </c>
      <c r="I193" s="55">
        <v>188</v>
      </c>
      <c r="J193" s="33">
        <f t="shared" si="82"/>
        <v>0</v>
      </c>
      <c r="K193" s="33">
        <f t="shared" si="83"/>
        <v>0</v>
      </c>
      <c r="L193" s="33">
        <f t="shared" si="84"/>
        <v>0</v>
      </c>
      <c r="M193" s="33">
        <f t="shared" si="85"/>
        <v>0</v>
      </c>
      <c r="N193" s="33">
        <f t="shared" si="71"/>
        <v>0</v>
      </c>
      <c r="O193" s="34">
        <f t="shared" si="72"/>
        <v>0</v>
      </c>
      <c r="P193" s="55">
        <v>188</v>
      </c>
      <c r="Q193" s="33">
        <f t="shared" si="80"/>
        <v>0</v>
      </c>
      <c r="R193" s="33">
        <f t="shared" si="86"/>
        <v>0</v>
      </c>
      <c r="S193" s="33">
        <f t="shared" si="87"/>
        <v>0</v>
      </c>
      <c r="T193" s="33">
        <f t="shared" si="73"/>
        <v>0</v>
      </c>
      <c r="U193" s="33">
        <f t="shared" si="81"/>
        <v>0</v>
      </c>
      <c r="V193" s="33">
        <f t="shared" si="74"/>
        <v>0</v>
      </c>
      <c r="W193" s="33">
        <v>0</v>
      </c>
      <c r="X193" s="33">
        <f t="shared" si="75"/>
        <v>0</v>
      </c>
      <c r="Y193" s="38">
        <f t="shared" si="76"/>
        <v>0</v>
      </c>
      <c r="AA193" s="71">
        <v>188</v>
      </c>
      <c r="AB193" s="33">
        <f t="shared" si="77"/>
        <v>0</v>
      </c>
      <c r="AC193" s="305">
        <f t="shared" si="92"/>
        <v>0</v>
      </c>
      <c r="AD193" s="100">
        <f t="shared" si="78"/>
        <v>0</v>
      </c>
      <c r="AE193" s="100">
        <f t="shared" si="79"/>
        <v>0</v>
      </c>
      <c r="AF193" s="194">
        <f t="shared" si="88"/>
        <v>0</v>
      </c>
      <c r="AG193" s="194">
        <f t="shared" si="89"/>
        <v>0</v>
      </c>
      <c r="AH193" s="194">
        <f t="shared" si="90"/>
        <v>0</v>
      </c>
      <c r="AI193" s="199">
        <f t="shared" si="91"/>
        <v>0</v>
      </c>
      <c r="AK193" s="71">
        <v>188</v>
      </c>
      <c r="AL193" s="33"/>
      <c r="AM193" s="33"/>
      <c r="AN193" s="33"/>
      <c r="AO193" s="33"/>
      <c r="AP193" s="33"/>
      <c r="AQ193" s="194"/>
      <c r="AR193" s="194"/>
      <c r="AS193" s="194"/>
      <c r="AT193" s="194"/>
      <c r="AU193" s="33"/>
      <c r="AV193" s="33"/>
      <c r="AW193" s="33"/>
      <c r="AX193" s="33"/>
      <c r="AY193" s="76"/>
    </row>
    <row r="194" spans="3:51" x14ac:dyDescent="0.3">
      <c r="C194" s="168" t="s">
        <v>69</v>
      </c>
      <c r="D194" s="3">
        <v>0.42</v>
      </c>
      <c r="E194" s="188" t="s">
        <v>229</v>
      </c>
      <c r="F194" s="343">
        <f>IF(OR(Tableau145[[#This Row],[Type]]="Feuillus",Tableau145[[#This Row],[Type]]="Peupliers"),1.56,1.3)</f>
        <v>1.3</v>
      </c>
      <c r="I194" s="55">
        <v>189</v>
      </c>
      <c r="J194" s="33">
        <f t="shared" si="82"/>
        <v>0</v>
      </c>
      <c r="K194" s="33">
        <f t="shared" si="83"/>
        <v>0</v>
      </c>
      <c r="L194" s="33">
        <f t="shared" si="84"/>
        <v>0</v>
      </c>
      <c r="M194" s="33">
        <f t="shared" si="85"/>
        <v>0</v>
      </c>
      <c r="N194" s="33">
        <f t="shared" si="71"/>
        <v>0</v>
      </c>
      <c r="O194" s="34">
        <f t="shared" si="72"/>
        <v>0</v>
      </c>
      <c r="P194" s="55">
        <v>189</v>
      </c>
      <c r="Q194" s="33">
        <f t="shared" si="80"/>
        <v>0</v>
      </c>
      <c r="R194" s="33">
        <f t="shared" si="86"/>
        <v>0</v>
      </c>
      <c r="S194" s="33">
        <f t="shared" si="87"/>
        <v>0</v>
      </c>
      <c r="T194" s="33">
        <f t="shared" si="73"/>
        <v>0</v>
      </c>
      <c r="U194" s="33">
        <f t="shared" si="81"/>
        <v>0</v>
      </c>
      <c r="V194" s="33">
        <f t="shared" si="74"/>
        <v>0</v>
      </c>
      <c r="W194" s="33">
        <v>0</v>
      </c>
      <c r="X194" s="33">
        <f t="shared" si="75"/>
        <v>0</v>
      </c>
      <c r="Y194" s="38">
        <f t="shared" si="76"/>
        <v>0</v>
      </c>
      <c r="AA194" s="71">
        <v>189</v>
      </c>
      <c r="AB194" s="33">
        <f t="shared" si="77"/>
        <v>0</v>
      </c>
      <c r="AC194" s="305">
        <f t="shared" si="92"/>
        <v>0</v>
      </c>
      <c r="AD194" s="100">
        <f t="shared" si="78"/>
        <v>0</v>
      </c>
      <c r="AE194" s="100">
        <f t="shared" si="79"/>
        <v>0</v>
      </c>
      <c r="AF194" s="194">
        <f t="shared" si="88"/>
        <v>0</v>
      </c>
      <c r="AG194" s="194">
        <f t="shared" si="89"/>
        <v>0</v>
      </c>
      <c r="AH194" s="194">
        <f t="shared" si="90"/>
        <v>0</v>
      </c>
      <c r="AI194" s="199">
        <f t="shared" si="91"/>
        <v>0</v>
      </c>
      <c r="AK194" s="71">
        <v>189</v>
      </c>
      <c r="AL194" s="33"/>
      <c r="AM194" s="33"/>
      <c r="AN194" s="33"/>
      <c r="AO194" s="33"/>
      <c r="AP194" s="33"/>
      <c r="AQ194" s="194"/>
      <c r="AR194" s="194"/>
      <c r="AS194" s="194"/>
      <c r="AT194" s="194"/>
      <c r="AU194" s="33"/>
      <c r="AV194" s="33"/>
      <c r="AW194" s="33"/>
      <c r="AX194" s="33"/>
      <c r="AY194" s="76"/>
    </row>
    <row r="195" spans="3:51" x14ac:dyDescent="0.3">
      <c r="C195" s="168" t="s">
        <v>70</v>
      </c>
      <c r="D195" s="3">
        <v>0.56999999999999995</v>
      </c>
      <c r="E195" s="188" t="s">
        <v>228</v>
      </c>
      <c r="F195" s="343">
        <f>IF(OR(Tableau145[[#This Row],[Type]]="Feuillus",Tableau145[[#This Row],[Type]]="Peupliers"),1.56,1.3)</f>
        <v>1.56</v>
      </c>
      <c r="I195" s="55">
        <v>190</v>
      </c>
      <c r="J195" s="33">
        <f t="shared" si="82"/>
        <v>0</v>
      </c>
      <c r="K195" s="33">
        <f t="shared" si="83"/>
        <v>0</v>
      </c>
      <c r="L195" s="33">
        <f t="shared" si="84"/>
        <v>0</v>
      </c>
      <c r="M195" s="33">
        <f t="shared" si="85"/>
        <v>0</v>
      </c>
      <c r="N195" s="33">
        <f t="shared" si="71"/>
        <v>0</v>
      </c>
      <c r="O195" s="34">
        <f t="shared" si="72"/>
        <v>0</v>
      </c>
      <c r="P195" s="55">
        <v>190</v>
      </c>
      <c r="Q195" s="33">
        <f t="shared" si="80"/>
        <v>0</v>
      </c>
      <c r="R195" s="33">
        <f t="shared" si="86"/>
        <v>0</v>
      </c>
      <c r="S195" s="33">
        <f t="shared" si="87"/>
        <v>0</v>
      </c>
      <c r="T195" s="33">
        <f t="shared" si="73"/>
        <v>0</v>
      </c>
      <c r="U195" s="33">
        <f t="shared" si="81"/>
        <v>0</v>
      </c>
      <c r="V195" s="33">
        <f t="shared" si="74"/>
        <v>0</v>
      </c>
      <c r="W195" s="33">
        <v>0</v>
      </c>
      <c r="X195" s="33">
        <f t="shared" si="75"/>
        <v>0</v>
      </c>
      <c r="Y195" s="38">
        <f t="shared" si="76"/>
        <v>0</v>
      </c>
      <c r="AA195" s="71">
        <v>190</v>
      </c>
      <c r="AB195" s="33">
        <f t="shared" si="77"/>
        <v>0</v>
      </c>
      <c r="AC195" s="305">
        <f t="shared" si="92"/>
        <v>0</v>
      </c>
      <c r="AD195" s="100">
        <f t="shared" si="78"/>
        <v>0</v>
      </c>
      <c r="AE195" s="100">
        <f t="shared" si="79"/>
        <v>0</v>
      </c>
      <c r="AF195" s="194">
        <f t="shared" si="88"/>
        <v>0</v>
      </c>
      <c r="AG195" s="194">
        <f t="shared" si="89"/>
        <v>0</v>
      </c>
      <c r="AH195" s="194">
        <f t="shared" si="90"/>
        <v>0</v>
      </c>
      <c r="AI195" s="199">
        <f t="shared" si="91"/>
        <v>0</v>
      </c>
      <c r="AK195" s="71">
        <v>190</v>
      </c>
      <c r="AL195" s="33"/>
      <c r="AM195" s="33"/>
      <c r="AN195" s="33"/>
      <c r="AO195" s="33"/>
      <c r="AP195" s="33"/>
      <c r="AQ195" s="194"/>
      <c r="AR195" s="194"/>
      <c r="AS195" s="194"/>
      <c r="AT195" s="194"/>
      <c r="AU195" s="33"/>
      <c r="AV195" s="33"/>
      <c r="AW195" s="33"/>
      <c r="AX195" s="33"/>
      <c r="AY195" s="76"/>
    </row>
    <row r="196" spans="3:51" x14ac:dyDescent="0.3">
      <c r="C196" s="168" t="s">
        <v>71</v>
      </c>
      <c r="D196" s="3">
        <v>0.54</v>
      </c>
      <c r="E196" s="188"/>
      <c r="F196" s="343">
        <f>IF(OR(Tableau145[[#This Row],[Type]]="Feuillus",Tableau145[[#This Row],[Type]]="Peupliers"),1.56,1.3)</f>
        <v>1.3</v>
      </c>
      <c r="I196" s="55">
        <v>191</v>
      </c>
      <c r="J196" s="33">
        <f t="shared" si="82"/>
        <v>0</v>
      </c>
      <c r="K196" s="33">
        <f t="shared" si="83"/>
        <v>0</v>
      </c>
      <c r="L196" s="33">
        <f t="shared" si="84"/>
        <v>0</v>
      </c>
      <c r="M196" s="33">
        <f t="shared" si="85"/>
        <v>0</v>
      </c>
      <c r="N196" s="33">
        <f t="shared" si="71"/>
        <v>0</v>
      </c>
      <c r="O196" s="34">
        <f t="shared" si="72"/>
        <v>0</v>
      </c>
      <c r="P196" s="55">
        <v>191</v>
      </c>
      <c r="Q196" s="33">
        <f t="shared" si="80"/>
        <v>0</v>
      </c>
      <c r="R196" s="33">
        <f t="shared" si="86"/>
        <v>0</v>
      </c>
      <c r="S196" s="33">
        <f t="shared" si="87"/>
        <v>0</v>
      </c>
      <c r="T196" s="33">
        <f t="shared" si="73"/>
        <v>0</v>
      </c>
      <c r="U196" s="33">
        <f t="shared" si="81"/>
        <v>0</v>
      </c>
      <c r="V196" s="33">
        <f t="shared" si="74"/>
        <v>0</v>
      </c>
      <c r="W196" s="33">
        <v>0</v>
      </c>
      <c r="X196" s="33">
        <f t="shared" si="75"/>
        <v>0</v>
      </c>
      <c r="Y196" s="38">
        <f t="shared" si="76"/>
        <v>0</v>
      </c>
      <c r="AA196" s="71">
        <v>191</v>
      </c>
      <c r="AB196" s="33">
        <f t="shared" si="77"/>
        <v>0</v>
      </c>
      <c r="AC196" s="305">
        <f t="shared" si="92"/>
        <v>0</v>
      </c>
      <c r="AD196" s="100">
        <f t="shared" si="78"/>
        <v>0</v>
      </c>
      <c r="AE196" s="100">
        <f t="shared" si="79"/>
        <v>0</v>
      </c>
      <c r="AF196" s="194">
        <f t="shared" si="88"/>
        <v>0</v>
      </c>
      <c r="AG196" s="194">
        <f t="shared" si="89"/>
        <v>0</v>
      </c>
      <c r="AH196" s="194">
        <f t="shared" si="90"/>
        <v>0</v>
      </c>
      <c r="AI196" s="199">
        <f t="shared" si="91"/>
        <v>0</v>
      </c>
      <c r="AK196" s="71">
        <v>191</v>
      </c>
      <c r="AL196" s="33"/>
      <c r="AM196" s="33"/>
      <c r="AN196" s="33"/>
      <c r="AO196" s="33"/>
      <c r="AP196" s="33"/>
      <c r="AQ196" s="194"/>
      <c r="AR196" s="194"/>
      <c r="AS196" s="194"/>
      <c r="AT196" s="194"/>
      <c r="AU196" s="33"/>
      <c r="AV196" s="33"/>
      <c r="AW196" s="33"/>
      <c r="AX196" s="33"/>
      <c r="AY196" s="76"/>
    </row>
    <row r="197" spans="3:51" x14ac:dyDescent="0.3">
      <c r="E197" s="24"/>
      <c r="I197" s="55">
        <v>192</v>
      </c>
      <c r="J197" s="33">
        <f t="shared" si="82"/>
        <v>0</v>
      </c>
      <c r="K197" s="33">
        <f t="shared" si="83"/>
        <v>0</v>
      </c>
      <c r="L197" s="33">
        <f t="shared" si="84"/>
        <v>0</v>
      </c>
      <c r="M197" s="33">
        <f t="shared" si="85"/>
        <v>0</v>
      </c>
      <c r="N197" s="33">
        <f t="shared" ref="N197:N204" si="93">IF(P198&lt;=$F$18,0,)</f>
        <v>0</v>
      </c>
      <c r="O197" s="34">
        <f t="shared" ref="O197:O205" si="94">((J197+K197)*0.475+L197+M197+N197)*44/12</f>
        <v>0</v>
      </c>
      <c r="P197" s="55">
        <v>192</v>
      </c>
      <c r="Q197" s="33">
        <f t="shared" si="80"/>
        <v>0</v>
      </c>
      <c r="R197" s="33">
        <f t="shared" si="86"/>
        <v>0</v>
      </c>
      <c r="S197" s="33">
        <f t="shared" si="87"/>
        <v>0</v>
      </c>
      <c r="T197" s="33">
        <f t="shared" ref="T197:T205" si="95">IF(S197=0,0,EXP(-1.0587+0.8836*LN(S197)+0.284))</f>
        <v>0</v>
      </c>
      <c r="U197" s="33">
        <f t="shared" si="81"/>
        <v>0</v>
      </c>
      <c r="V197" s="33">
        <f t="shared" ref="V197:V205" si="96">IF(P197&lt;=$F$18,IF(P197&lt;=30,P197*($F$16-$F$6)/30,$F$16-$F$6),)</f>
        <v>0</v>
      </c>
      <c r="W197" s="33">
        <v>0</v>
      </c>
      <c r="X197" s="33">
        <f t="shared" ref="X197:X205" si="97">((S197+T197)*0.475+U197+V197+W197)*44/12</f>
        <v>0</v>
      </c>
      <c r="Y197" s="38">
        <f t="shared" ref="Y197:Y205" si="98">IF(P197&lt;=$F$18,X197-O197,)</f>
        <v>0</v>
      </c>
      <c r="AA197" s="71">
        <v>192</v>
      </c>
      <c r="AB197" s="33">
        <f t="shared" ref="AB197:AB205" si="99">IF(AA197&lt;=$F$18,IFERROR(VLOOKUP($AA197,$B$82:$G$94,2,FALSE),0),)</f>
        <v>0</v>
      </c>
      <c r="AC197" s="305">
        <f t="shared" si="92"/>
        <v>0</v>
      </c>
      <c r="AD197" s="100">
        <f t="shared" ref="AD197:AD205" si="100">IF(AA197&lt;=$F$18,IFERROR(VLOOKUP($AA197,$B$82:$G$94,4,FALSE),0),)</f>
        <v>0</v>
      </c>
      <c r="AE197" s="100">
        <f t="shared" ref="AE197:AE205" si="101">IF(AA197&lt;=$F$18,IFERROR(VLOOKUP($AA197,$B$82:$G$94,5,FALSE),0),)</f>
        <v>0</v>
      </c>
      <c r="AF197" s="194">
        <f t="shared" si="88"/>
        <v>0</v>
      </c>
      <c r="AG197" s="194">
        <f t="shared" si="89"/>
        <v>0</v>
      </c>
      <c r="AH197" s="194">
        <f t="shared" si="90"/>
        <v>0</v>
      </c>
      <c r="AI197" s="199">
        <f t="shared" si="91"/>
        <v>0</v>
      </c>
      <c r="AK197" s="71">
        <v>192</v>
      </c>
      <c r="AL197" s="33"/>
      <c r="AM197" s="33"/>
      <c r="AN197" s="33"/>
      <c r="AO197" s="33"/>
      <c r="AP197" s="33"/>
      <c r="AQ197" s="194"/>
      <c r="AR197" s="194"/>
      <c r="AS197" s="194"/>
      <c r="AT197" s="194"/>
      <c r="AU197" s="33"/>
      <c r="AV197" s="33"/>
      <c r="AW197" s="33"/>
      <c r="AX197" s="33"/>
      <c r="AY197" s="76"/>
    </row>
    <row r="198" spans="3:51" x14ac:dyDescent="0.3">
      <c r="E198" s="24"/>
      <c r="I198" s="55">
        <v>193</v>
      </c>
      <c r="J198" s="33">
        <f t="shared" si="82"/>
        <v>0</v>
      </c>
      <c r="K198" s="33">
        <f t="shared" si="83"/>
        <v>0</v>
      </c>
      <c r="L198" s="33">
        <f t="shared" si="84"/>
        <v>0</v>
      </c>
      <c r="M198" s="33">
        <f t="shared" si="85"/>
        <v>0</v>
      </c>
      <c r="N198" s="33">
        <f t="shared" si="93"/>
        <v>0</v>
      </c>
      <c r="O198" s="34">
        <f t="shared" si="94"/>
        <v>0</v>
      </c>
      <c r="P198" s="55">
        <v>193</v>
      </c>
      <c r="Q198" s="33">
        <f t="shared" ref="Q198:Q205" si="102">IF(P198&lt;=$F$18,LOOKUP(P198-1,$B$25:$B$78,$G$25:$G$78),)</f>
        <v>0</v>
      </c>
      <c r="R198" s="33">
        <f t="shared" si="86"/>
        <v>0</v>
      </c>
      <c r="S198" s="33">
        <f t="shared" si="87"/>
        <v>0</v>
      </c>
      <c r="T198" s="33">
        <f t="shared" si="95"/>
        <v>0</v>
      </c>
      <c r="U198" s="33">
        <f t="shared" ref="U198:U205" si="103">IF(P198&lt;=$F$18,$F$5+($F$15-$F$5)*(1-EXP(-0.0175*P198)),)</f>
        <v>0</v>
      </c>
      <c r="V198" s="33">
        <f t="shared" si="96"/>
        <v>0</v>
      </c>
      <c r="W198" s="33">
        <v>0</v>
      </c>
      <c r="X198" s="33">
        <f t="shared" si="97"/>
        <v>0</v>
      </c>
      <c r="Y198" s="38">
        <f t="shared" si="98"/>
        <v>0</v>
      </c>
      <c r="AA198" s="71">
        <v>193</v>
      </c>
      <c r="AB198" s="33">
        <f t="shared" si="99"/>
        <v>0</v>
      </c>
      <c r="AC198" s="305">
        <f t="shared" si="92"/>
        <v>0</v>
      </c>
      <c r="AD198" s="100">
        <f t="shared" si="100"/>
        <v>0</v>
      </c>
      <c r="AE198" s="100">
        <f t="shared" si="101"/>
        <v>0</v>
      </c>
      <c r="AF198" s="194">
        <f t="shared" si="88"/>
        <v>0</v>
      </c>
      <c r="AG198" s="194">
        <f t="shared" si="89"/>
        <v>0</v>
      </c>
      <c r="AH198" s="194">
        <f t="shared" si="90"/>
        <v>0</v>
      </c>
      <c r="AI198" s="199">
        <f t="shared" si="91"/>
        <v>0</v>
      </c>
      <c r="AK198" s="71">
        <v>193</v>
      </c>
      <c r="AL198" s="33"/>
      <c r="AM198" s="33"/>
      <c r="AN198" s="33"/>
      <c r="AO198" s="33"/>
      <c r="AP198" s="33"/>
      <c r="AQ198" s="194"/>
      <c r="AR198" s="194"/>
      <c r="AS198" s="194"/>
      <c r="AT198" s="194"/>
      <c r="AU198" s="33"/>
      <c r="AV198" s="33"/>
      <c r="AW198" s="33"/>
      <c r="AX198" s="33"/>
      <c r="AY198" s="76"/>
    </row>
    <row r="199" spans="3:51" x14ac:dyDescent="0.3">
      <c r="E199" s="24"/>
      <c r="I199" s="55">
        <v>194</v>
      </c>
      <c r="J199" s="33">
        <f t="shared" ref="J199:J205" si="104">IF($I199&lt;=$F$10,$F$11*$F$13+J198,)</f>
        <v>0</v>
      </c>
      <c r="K199" s="33">
        <f t="shared" ref="K199:K205" si="105">IF(J199=0,0,EXP(-1.0587+0.8836*LN(J199)+0.284))</f>
        <v>0</v>
      </c>
      <c r="L199" s="33">
        <f t="shared" ref="L199:L205" si="106">IF(I199&lt;=$F$10,$F$5+($F$8-$F$5)*(1-EXP(-0.0175*I199)),)</f>
        <v>0</v>
      </c>
      <c r="M199" s="33">
        <f t="shared" ref="M199:M205" si="107">IF(I199&lt;=$F$10,IF(I199&lt;=30,I199*($F$9-$F$6)/30,$F$9-$F$6),)</f>
        <v>0</v>
      </c>
      <c r="N199" s="33">
        <f t="shared" si="93"/>
        <v>0</v>
      </c>
      <c r="O199" s="34">
        <f t="shared" si="94"/>
        <v>0</v>
      </c>
      <c r="P199" s="55">
        <v>194</v>
      </c>
      <c r="Q199" s="33">
        <f t="shared" si="102"/>
        <v>0</v>
      </c>
      <c r="R199" s="33">
        <f t="shared" ref="R199:R205" si="108">IF(P199&lt;=$F$18,Q199+R198,)</f>
        <v>0</v>
      </c>
      <c r="S199" s="33">
        <f t="shared" ref="S199:S205" si="109">$F$19*R199</f>
        <v>0</v>
      </c>
      <c r="T199" s="33">
        <f t="shared" si="95"/>
        <v>0</v>
      </c>
      <c r="U199" s="33">
        <f t="shared" si="103"/>
        <v>0</v>
      </c>
      <c r="V199" s="33">
        <f t="shared" si="96"/>
        <v>0</v>
      </c>
      <c r="W199" s="33">
        <v>0</v>
      </c>
      <c r="X199" s="33">
        <f t="shared" si="97"/>
        <v>0</v>
      </c>
      <c r="Y199" s="38">
        <f t="shared" si="98"/>
        <v>0</v>
      </c>
      <c r="AA199" s="71">
        <v>194</v>
      </c>
      <c r="AB199" s="33">
        <f t="shared" si="99"/>
        <v>0</v>
      </c>
      <c r="AC199" s="305">
        <f t="shared" si="92"/>
        <v>0</v>
      </c>
      <c r="AD199" s="100">
        <f t="shared" si="100"/>
        <v>0</v>
      </c>
      <c r="AE199" s="100">
        <f t="shared" si="101"/>
        <v>0</v>
      </c>
      <c r="AF199" s="194">
        <f t="shared" si="88"/>
        <v>0</v>
      </c>
      <c r="AG199" s="194">
        <f t="shared" si="89"/>
        <v>0</v>
      </c>
      <c r="AH199" s="194">
        <f t="shared" si="90"/>
        <v>0</v>
      </c>
      <c r="AI199" s="199">
        <f t="shared" si="91"/>
        <v>0</v>
      </c>
      <c r="AK199" s="71">
        <v>194</v>
      </c>
      <c r="AL199" s="33"/>
      <c r="AM199" s="33"/>
      <c r="AN199" s="33"/>
      <c r="AO199" s="33"/>
      <c r="AP199" s="33"/>
      <c r="AQ199" s="194"/>
      <c r="AR199" s="194"/>
      <c r="AS199" s="194"/>
      <c r="AT199" s="194"/>
      <c r="AU199" s="33"/>
      <c r="AV199" s="33"/>
      <c r="AW199" s="33"/>
      <c r="AX199" s="33"/>
      <c r="AY199" s="76"/>
    </row>
    <row r="200" spans="3:51" x14ac:dyDescent="0.3">
      <c r="E200" s="24"/>
      <c r="I200" s="55">
        <v>195</v>
      </c>
      <c r="J200" s="33">
        <f t="shared" si="104"/>
        <v>0</v>
      </c>
      <c r="K200" s="33">
        <f t="shared" si="105"/>
        <v>0</v>
      </c>
      <c r="L200" s="33">
        <f t="shared" si="106"/>
        <v>0</v>
      </c>
      <c r="M200" s="33">
        <f t="shared" si="107"/>
        <v>0</v>
      </c>
      <c r="N200" s="33">
        <f t="shared" si="93"/>
        <v>0</v>
      </c>
      <c r="O200" s="34">
        <f t="shared" si="94"/>
        <v>0</v>
      </c>
      <c r="P200" s="55">
        <v>195</v>
      </c>
      <c r="Q200" s="33">
        <f t="shared" si="102"/>
        <v>0</v>
      </c>
      <c r="R200" s="33">
        <f t="shared" si="108"/>
        <v>0</v>
      </c>
      <c r="S200" s="33">
        <f t="shared" si="109"/>
        <v>0</v>
      </c>
      <c r="T200" s="33">
        <f t="shared" si="95"/>
        <v>0</v>
      </c>
      <c r="U200" s="33">
        <f t="shared" si="103"/>
        <v>0</v>
      </c>
      <c r="V200" s="33">
        <f t="shared" si="96"/>
        <v>0</v>
      </c>
      <c r="W200" s="33">
        <v>0</v>
      </c>
      <c r="X200" s="33">
        <f t="shared" si="97"/>
        <v>0</v>
      </c>
      <c r="Y200" s="38">
        <f t="shared" si="98"/>
        <v>0</v>
      </c>
      <c r="AA200" s="71">
        <v>195</v>
      </c>
      <c r="AB200" s="33">
        <f t="shared" si="99"/>
        <v>0</v>
      </c>
      <c r="AC200" s="305">
        <f t="shared" si="92"/>
        <v>0</v>
      </c>
      <c r="AD200" s="100">
        <f t="shared" si="100"/>
        <v>0</v>
      </c>
      <c r="AE200" s="100">
        <f t="shared" si="101"/>
        <v>0</v>
      </c>
      <c r="AF200" s="194">
        <f t="shared" si="88"/>
        <v>0</v>
      </c>
      <c r="AG200" s="194">
        <f t="shared" si="89"/>
        <v>0</v>
      </c>
      <c r="AH200" s="194">
        <f t="shared" si="90"/>
        <v>0</v>
      </c>
      <c r="AI200" s="199">
        <f t="shared" si="91"/>
        <v>0</v>
      </c>
      <c r="AK200" s="71">
        <v>195</v>
      </c>
      <c r="AL200" s="33"/>
      <c r="AM200" s="33"/>
      <c r="AN200" s="33"/>
      <c r="AO200" s="33"/>
      <c r="AP200" s="33"/>
      <c r="AQ200" s="194"/>
      <c r="AR200" s="194"/>
      <c r="AS200" s="194"/>
      <c r="AT200" s="194"/>
      <c r="AU200" s="33"/>
      <c r="AV200" s="33"/>
      <c r="AW200" s="33"/>
      <c r="AX200" s="33"/>
      <c r="AY200" s="76"/>
    </row>
    <row r="201" spans="3:51" x14ac:dyDescent="0.3">
      <c r="E201" s="24"/>
      <c r="I201" s="55">
        <v>196</v>
      </c>
      <c r="J201" s="33">
        <f t="shared" si="104"/>
        <v>0</v>
      </c>
      <c r="K201" s="33">
        <f t="shared" si="105"/>
        <v>0</v>
      </c>
      <c r="L201" s="33">
        <f t="shared" si="106"/>
        <v>0</v>
      </c>
      <c r="M201" s="33">
        <f t="shared" si="107"/>
        <v>0</v>
      </c>
      <c r="N201" s="33">
        <f t="shared" si="93"/>
        <v>0</v>
      </c>
      <c r="O201" s="34">
        <f t="shared" si="94"/>
        <v>0</v>
      </c>
      <c r="P201" s="55">
        <v>196</v>
      </c>
      <c r="Q201" s="33">
        <f t="shared" si="102"/>
        <v>0</v>
      </c>
      <c r="R201" s="33">
        <f t="shared" si="108"/>
        <v>0</v>
      </c>
      <c r="S201" s="33">
        <f t="shared" si="109"/>
        <v>0</v>
      </c>
      <c r="T201" s="33">
        <f t="shared" si="95"/>
        <v>0</v>
      </c>
      <c r="U201" s="33">
        <f t="shared" si="103"/>
        <v>0</v>
      </c>
      <c r="V201" s="33">
        <f t="shared" si="96"/>
        <v>0</v>
      </c>
      <c r="W201" s="33">
        <v>0</v>
      </c>
      <c r="X201" s="33">
        <f t="shared" si="97"/>
        <v>0</v>
      </c>
      <c r="Y201" s="38">
        <f t="shared" si="98"/>
        <v>0</v>
      </c>
      <c r="AA201" s="71">
        <v>196</v>
      </c>
      <c r="AB201" s="33">
        <f t="shared" si="99"/>
        <v>0</v>
      </c>
      <c r="AC201" s="305">
        <f t="shared" si="92"/>
        <v>0</v>
      </c>
      <c r="AD201" s="100">
        <f t="shared" si="100"/>
        <v>0</v>
      </c>
      <c r="AE201" s="100">
        <f t="shared" si="101"/>
        <v>0</v>
      </c>
      <c r="AF201" s="194">
        <f t="shared" si="88"/>
        <v>0</v>
      </c>
      <c r="AG201" s="194">
        <f t="shared" si="89"/>
        <v>0</v>
      </c>
      <c r="AH201" s="194">
        <f t="shared" si="90"/>
        <v>0</v>
      </c>
      <c r="AI201" s="199">
        <f t="shared" si="91"/>
        <v>0</v>
      </c>
      <c r="AK201" s="71">
        <v>196</v>
      </c>
      <c r="AL201" s="33"/>
      <c r="AM201" s="33"/>
      <c r="AN201" s="33"/>
      <c r="AO201" s="33"/>
      <c r="AP201" s="33"/>
      <c r="AQ201" s="194"/>
      <c r="AR201" s="194"/>
      <c r="AS201" s="194"/>
      <c r="AT201" s="194"/>
      <c r="AU201" s="33"/>
      <c r="AV201" s="33"/>
      <c r="AW201" s="33"/>
      <c r="AX201" s="33"/>
      <c r="AY201" s="76"/>
    </row>
    <row r="202" spans="3:51" x14ac:dyDescent="0.3">
      <c r="E202" s="24"/>
      <c r="I202" s="55">
        <v>197</v>
      </c>
      <c r="J202" s="33">
        <f t="shared" si="104"/>
        <v>0</v>
      </c>
      <c r="K202" s="33">
        <f t="shared" si="105"/>
        <v>0</v>
      </c>
      <c r="L202" s="33">
        <f t="shared" si="106"/>
        <v>0</v>
      </c>
      <c r="M202" s="33">
        <f t="shared" si="107"/>
        <v>0</v>
      </c>
      <c r="N202" s="33">
        <f t="shared" si="93"/>
        <v>0</v>
      </c>
      <c r="O202" s="34">
        <f t="shared" si="94"/>
        <v>0</v>
      </c>
      <c r="P202" s="55">
        <v>197</v>
      </c>
      <c r="Q202" s="33">
        <f t="shared" si="102"/>
        <v>0</v>
      </c>
      <c r="R202" s="33">
        <f t="shared" si="108"/>
        <v>0</v>
      </c>
      <c r="S202" s="33">
        <f t="shared" si="109"/>
        <v>0</v>
      </c>
      <c r="T202" s="33">
        <f t="shared" si="95"/>
        <v>0</v>
      </c>
      <c r="U202" s="33">
        <f t="shared" si="103"/>
        <v>0</v>
      </c>
      <c r="V202" s="33">
        <f t="shared" si="96"/>
        <v>0</v>
      </c>
      <c r="W202" s="33">
        <v>0</v>
      </c>
      <c r="X202" s="33">
        <f t="shared" si="97"/>
        <v>0</v>
      </c>
      <c r="Y202" s="38">
        <f t="shared" si="98"/>
        <v>0</v>
      </c>
      <c r="AA202" s="71">
        <v>197</v>
      </c>
      <c r="AB202" s="33">
        <f t="shared" si="99"/>
        <v>0</v>
      </c>
      <c r="AC202" s="305">
        <f t="shared" si="92"/>
        <v>0</v>
      </c>
      <c r="AD202" s="100">
        <f t="shared" si="100"/>
        <v>0</v>
      </c>
      <c r="AE202" s="100">
        <f t="shared" si="101"/>
        <v>0</v>
      </c>
      <c r="AF202" s="194">
        <f t="shared" si="88"/>
        <v>0</v>
      </c>
      <c r="AG202" s="194">
        <f t="shared" si="89"/>
        <v>0</v>
      </c>
      <c r="AH202" s="194">
        <f t="shared" si="90"/>
        <v>0</v>
      </c>
      <c r="AI202" s="199">
        <f t="shared" si="91"/>
        <v>0</v>
      </c>
      <c r="AK202" s="71">
        <v>197</v>
      </c>
      <c r="AL202" s="33"/>
      <c r="AM202" s="33"/>
      <c r="AN202" s="33"/>
      <c r="AO202" s="33"/>
      <c r="AP202" s="33"/>
      <c r="AQ202" s="194"/>
      <c r="AR202" s="194"/>
      <c r="AS202" s="194"/>
      <c r="AT202" s="194"/>
      <c r="AU202" s="33"/>
      <c r="AV202" s="33"/>
      <c r="AW202" s="33"/>
      <c r="AX202" s="33"/>
      <c r="AY202" s="76"/>
    </row>
    <row r="203" spans="3:51" x14ac:dyDescent="0.3">
      <c r="E203" s="24"/>
      <c r="I203" s="55">
        <v>198</v>
      </c>
      <c r="J203" s="33">
        <f t="shared" si="104"/>
        <v>0</v>
      </c>
      <c r="K203" s="33">
        <f t="shared" si="105"/>
        <v>0</v>
      </c>
      <c r="L203" s="33">
        <f t="shared" si="106"/>
        <v>0</v>
      </c>
      <c r="M203" s="33">
        <f t="shared" si="107"/>
        <v>0</v>
      </c>
      <c r="N203" s="33">
        <f t="shared" si="93"/>
        <v>0</v>
      </c>
      <c r="O203" s="34">
        <f t="shared" si="94"/>
        <v>0</v>
      </c>
      <c r="P203" s="55">
        <v>198</v>
      </c>
      <c r="Q203" s="33">
        <f t="shared" si="102"/>
        <v>0</v>
      </c>
      <c r="R203" s="33">
        <f t="shared" si="108"/>
        <v>0</v>
      </c>
      <c r="S203" s="33">
        <f t="shared" si="109"/>
        <v>0</v>
      </c>
      <c r="T203" s="33">
        <f t="shared" si="95"/>
        <v>0</v>
      </c>
      <c r="U203" s="33">
        <f t="shared" si="103"/>
        <v>0</v>
      </c>
      <c r="V203" s="33">
        <f t="shared" si="96"/>
        <v>0</v>
      </c>
      <c r="W203" s="33">
        <v>0</v>
      </c>
      <c r="X203" s="33">
        <f t="shared" si="97"/>
        <v>0</v>
      </c>
      <c r="Y203" s="38">
        <f t="shared" si="98"/>
        <v>0</v>
      </c>
      <c r="AA203" s="71">
        <v>198</v>
      </c>
      <c r="AB203" s="33">
        <f t="shared" si="99"/>
        <v>0</v>
      </c>
      <c r="AC203" s="305">
        <f t="shared" si="92"/>
        <v>0</v>
      </c>
      <c r="AD203" s="100">
        <f t="shared" si="100"/>
        <v>0</v>
      </c>
      <c r="AE203" s="100">
        <f t="shared" si="101"/>
        <v>0</v>
      </c>
      <c r="AF203" s="194">
        <f t="shared" si="88"/>
        <v>0</v>
      </c>
      <c r="AG203" s="194">
        <f t="shared" si="89"/>
        <v>0</v>
      </c>
      <c r="AH203" s="194">
        <f t="shared" si="90"/>
        <v>0</v>
      </c>
      <c r="AI203" s="199">
        <f t="shared" si="91"/>
        <v>0</v>
      </c>
      <c r="AK203" s="71">
        <v>198</v>
      </c>
      <c r="AL203" s="33"/>
      <c r="AM203" s="33"/>
      <c r="AN203" s="33"/>
      <c r="AO203" s="33"/>
      <c r="AP203" s="33"/>
      <c r="AQ203" s="194"/>
      <c r="AR203" s="194"/>
      <c r="AS203" s="194"/>
      <c r="AT203" s="194"/>
      <c r="AU203" s="33"/>
      <c r="AV203" s="33"/>
      <c r="AW203" s="33"/>
      <c r="AX203" s="33"/>
      <c r="AY203" s="76"/>
    </row>
    <row r="204" spans="3:51" x14ac:dyDescent="0.3">
      <c r="E204" s="24"/>
      <c r="I204" s="55">
        <v>199</v>
      </c>
      <c r="J204" s="33">
        <f t="shared" si="104"/>
        <v>0</v>
      </c>
      <c r="K204" s="33">
        <f t="shared" si="105"/>
        <v>0</v>
      </c>
      <c r="L204" s="33">
        <f t="shared" si="106"/>
        <v>0</v>
      </c>
      <c r="M204" s="33">
        <f t="shared" si="107"/>
        <v>0</v>
      </c>
      <c r="N204" s="33">
        <f t="shared" si="93"/>
        <v>0</v>
      </c>
      <c r="O204" s="34">
        <f t="shared" si="94"/>
        <v>0</v>
      </c>
      <c r="P204" s="55">
        <v>199</v>
      </c>
      <c r="Q204" s="33">
        <f t="shared" si="102"/>
        <v>0</v>
      </c>
      <c r="R204" s="33">
        <f t="shared" si="108"/>
        <v>0</v>
      </c>
      <c r="S204" s="33">
        <f t="shared" si="109"/>
        <v>0</v>
      </c>
      <c r="T204" s="33">
        <f t="shared" si="95"/>
        <v>0</v>
      </c>
      <c r="U204" s="33">
        <f t="shared" si="103"/>
        <v>0</v>
      </c>
      <c r="V204" s="33">
        <f t="shared" si="96"/>
        <v>0</v>
      </c>
      <c r="W204" s="33">
        <v>0</v>
      </c>
      <c r="X204" s="33">
        <f t="shared" si="97"/>
        <v>0</v>
      </c>
      <c r="Y204" s="38">
        <f t="shared" si="98"/>
        <v>0</v>
      </c>
      <c r="AA204" s="71">
        <v>199</v>
      </c>
      <c r="AB204" s="33">
        <f t="shared" si="99"/>
        <v>0</v>
      </c>
      <c r="AC204" s="305">
        <f t="shared" si="92"/>
        <v>0</v>
      </c>
      <c r="AD204" s="100">
        <f t="shared" si="100"/>
        <v>0</v>
      </c>
      <c r="AE204" s="100">
        <f t="shared" si="101"/>
        <v>0</v>
      </c>
      <c r="AF204" s="194">
        <f t="shared" si="88"/>
        <v>0</v>
      </c>
      <c r="AG204" s="194">
        <f t="shared" si="89"/>
        <v>0</v>
      </c>
      <c r="AH204" s="194">
        <f t="shared" si="90"/>
        <v>0</v>
      </c>
      <c r="AI204" s="199">
        <f t="shared" si="91"/>
        <v>0</v>
      </c>
      <c r="AK204" s="71">
        <v>199</v>
      </c>
      <c r="AL204" s="33"/>
      <c r="AM204" s="33"/>
      <c r="AN204" s="33"/>
      <c r="AO204" s="33"/>
      <c r="AP204" s="33"/>
      <c r="AQ204" s="194"/>
      <c r="AR204" s="194"/>
      <c r="AS204" s="194"/>
      <c r="AT204" s="194"/>
      <c r="AU204" s="33"/>
      <c r="AV204" s="33"/>
      <c r="AW204" s="33"/>
      <c r="AX204" s="33"/>
      <c r="AY204" s="76"/>
    </row>
    <row r="205" spans="3:51" x14ac:dyDescent="0.3">
      <c r="E205" s="24"/>
      <c r="I205" s="56">
        <v>200</v>
      </c>
      <c r="J205" s="33">
        <f t="shared" si="104"/>
        <v>0</v>
      </c>
      <c r="K205" s="33">
        <f t="shared" si="105"/>
        <v>0</v>
      </c>
      <c r="L205" s="33">
        <f t="shared" si="106"/>
        <v>0</v>
      </c>
      <c r="M205" s="33">
        <f t="shared" si="107"/>
        <v>0</v>
      </c>
      <c r="N205" s="35">
        <f>IF(F208&lt;=$F$18,0,)</f>
        <v>0</v>
      </c>
      <c r="O205" s="34">
        <f t="shared" si="94"/>
        <v>0</v>
      </c>
      <c r="P205" s="56">
        <v>200</v>
      </c>
      <c r="Q205" s="35">
        <f t="shared" si="102"/>
        <v>0</v>
      </c>
      <c r="R205" s="35">
        <f t="shared" si="108"/>
        <v>0</v>
      </c>
      <c r="S205" s="35">
        <f t="shared" si="109"/>
        <v>0</v>
      </c>
      <c r="T205" s="35">
        <f t="shared" si="95"/>
        <v>0</v>
      </c>
      <c r="U205" s="35">
        <f t="shared" si="103"/>
        <v>0</v>
      </c>
      <c r="V205" s="35">
        <f t="shared" si="96"/>
        <v>0</v>
      </c>
      <c r="W205" s="35">
        <v>0</v>
      </c>
      <c r="X205" s="155">
        <f t="shared" si="97"/>
        <v>0</v>
      </c>
      <c r="Y205" s="39">
        <f t="shared" si="98"/>
        <v>0</v>
      </c>
      <c r="AA205" s="72">
        <v>200</v>
      </c>
      <c r="AB205" s="143">
        <f t="shared" si="99"/>
        <v>0</v>
      </c>
      <c r="AC205" s="305">
        <f t="shared" si="92"/>
        <v>0</v>
      </c>
      <c r="AD205" s="101">
        <f t="shared" si="100"/>
        <v>0</v>
      </c>
      <c r="AE205" s="101">
        <f t="shared" si="101"/>
        <v>0</v>
      </c>
      <c r="AF205" s="196">
        <f t="shared" si="88"/>
        <v>0</v>
      </c>
      <c r="AG205" s="196">
        <f t="shared" si="89"/>
        <v>0</v>
      </c>
      <c r="AH205" s="196">
        <f t="shared" si="90"/>
        <v>0</v>
      </c>
      <c r="AI205" s="203">
        <f t="shared" si="91"/>
        <v>0</v>
      </c>
      <c r="AK205" s="72">
        <v>200</v>
      </c>
      <c r="AL205" s="143"/>
      <c r="AM205" s="35"/>
      <c r="AN205" s="35"/>
      <c r="AO205" s="35"/>
      <c r="AP205" s="35"/>
      <c r="AQ205" s="196"/>
      <c r="AR205" s="196"/>
      <c r="AS205" s="196"/>
      <c r="AT205" s="196"/>
      <c r="AU205" s="35"/>
      <c r="AV205" s="35"/>
      <c r="AW205" s="35"/>
      <c r="AX205" s="35"/>
      <c r="AY205" s="77"/>
    </row>
    <row r="206" spans="3:51" x14ac:dyDescent="0.3">
      <c r="E206" s="24"/>
    </row>
    <row r="207" spans="3:51" x14ac:dyDescent="0.3">
      <c r="E207" s="24"/>
    </row>
  </sheetData>
  <mergeCells count="29">
    <mergeCell ref="B80:G80"/>
    <mergeCell ref="AA3:AI3"/>
    <mergeCell ref="B4:F4"/>
    <mergeCell ref="B7:B13"/>
    <mergeCell ref="C7:F7"/>
    <mergeCell ref="D8:E8"/>
    <mergeCell ref="D9:E9"/>
    <mergeCell ref="C10:C13"/>
    <mergeCell ref="D10:E10"/>
    <mergeCell ref="D11:E11"/>
    <mergeCell ref="D12:E12"/>
    <mergeCell ref="D13:E13"/>
    <mergeCell ref="B5:B6"/>
    <mergeCell ref="D5:E5"/>
    <mergeCell ref="AK3:AY3"/>
    <mergeCell ref="D6:E6"/>
    <mergeCell ref="I3:O3"/>
    <mergeCell ref="B23:G23"/>
    <mergeCell ref="B14:B21"/>
    <mergeCell ref="C14:F14"/>
    <mergeCell ref="D15:E15"/>
    <mergeCell ref="D16:E16"/>
    <mergeCell ref="C17:C21"/>
    <mergeCell ref="D17:E17"/>
    <mergeCell ref="D18:E18"/>
    <mergeCell ref="D19:E19"/>
    <mergeCell ref="D20:E20"/>
    <mergeCell ref="D21:E21"/>
    <mergeCell ref="P3:X3"/>
  </mergeCells>
  <dataValidations count="4">
    <dataValidation type="list" allowBlank="1" showInputMessage="1" showErrorMessage="1" sqref="D8:E8 D5:E5 D15">
      <formula1>$B$97:$B$100</formula1>
    </dataValidation>
    <dataValidation type="list" allowBlank="1" showInputMessage="1" showErrorMessage="1" sqref="D81:G81">
      <formula1>$B$104:$B$108</formula1>
    </dataValidation>
    <dataValidation type="list" allowBlank="1" showInputMessage="1" showErrorMessage="1" sqref="F17">
      <formula1>$C$130:$C$195</formula1>
    </dataValidation>
    <dataValidation type="list" allowBlank="1" showInputMessage="1" showErrorMessage="1" sqref="F12">
      <formula1>$C$194:$C$195</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21"/>
  <sheetViews>
    <sheetView zoomScale="85" zoomScaleNormal="85" zoomScaleSheetLayoutView="25" workbookViewId="0">
      <selection activeCell="L11" sqref="L11"/>
    </sheetView>
  </sheetViews>
  <sheetFormatPr baseColWidth="10" defaultRowHeight="14.4" x14ac:dyDescent="0.3"/>
  <cols>
    <col min="2" max="2" width="18.5546875" customWidth="1"/>
    <col min="3" max="3" width="22.44140625" customWidth="1"/>
    <col min="4" max="4" width="17" customWidth="1"/>
    <col min="6" max="6" width="13.109375" bestFit="1" customWidth="1"/>
    <col min="12" max="12" width="15.44140625" style="253" customWidth="1"/>
    <col min="13" max="13" width="11.44140625" style="133"/>
    <col min="14" max="14" width="13.6640625" customWidth="1"/>
    <col min="15" max="15" width="12.109375" style="7" customWidth="1"/>
    <col min="16" max="20" width="10.5546875" style="7" customWidth="1"/>
    <col min="21" max="21" width="14.6640625" style="7" customWidth="1"/>
    <col min="22" max="22" width="10.5546875" style="7" customWidth="1"/>
    <col min="23" max="23" width="12.5546875" customWidth="1"/>
    <col min="24" max="26" width="10.5546875" customWidth="1"/>
    <col min="27" max="27" width="14.6640625" customWidth="1"/>
    <col min="28" max="28" width="15.109375" customWidth="1"/>
    <col min="29" max="30" width="10.5546875" customWidth="1"/>
    <col min="31" max="31" width="16.109375" customWidth="1"/>
    <col min="32" max="32" width="12.6640625" customWidth="1"/>
    <col min="33" max="33" width="15.33203125" customWidth="1"/>
  </cols>
  <sheetData>
    <row r="2" spans="3:32" ht="15" thickBot="1" x14ac:dyDescent="0.35"/>
    <row r="3" spans="3:32" ht="18" x14ac:dyDescent="0.35">
      <c r="C3" s="407" t="s">
        <v>258</v>
      </c>
      <c r="D3" s="408"/>
      <c r="I3" s="404" t="s">
        <v>196</v>
      </c>
      <c r="J3" s="278"/>
      <c r="K3" s="278" t="s">
        <v>217</v>
      </c>
      <c r="L3" s="279"/>
      <c r="M3" s="280"/>
      <c r="N3" s="389" t="str">
        <f>'Pin Laricio'!F17</f>
        <v xml:space="preserve">Pin laricio </v>
      </c>
      <c r="O3" s="390"/>
      <c r="P3" s="391"/>
      <c r="Q3" s="390" t="str">
        <f>'Pin Maritime'!F17</f>
        <v xml:space="preserve">Pin maritime </v>
      </c>
      <c r="R3" s="390"/>
      <c r="S3" s="390"/>
      <c r="T3" s="389" t="str">
        <f>'C'!F17</f>
        <v xml:space="preserve">Pin maritime </v>
      </c>
      <c r="U3" s="390"/>
      <c r="V3" s="391"/>
      <c r="W3" s="390" t="str">
        <f>D!F17</f>
        <v xml:space="preserve">Sapin pectiné </v>
      </c>
      <c r="X3" s="390"/>
      <c r="Y3" s="390"/>
      <c r="Z3" s="389" t="str">
        <f>E!F17</f>
        <v xml:space="preserve">Chêne rouvre (sessile) </v>
      </c>
      <c r="AA3" s="390"/>
      <c r="AB3" s="391"/>
      <c r="AC3" s="390">
        <f>F!F17</f>
        <v>0</v>
      </c>
      <c r="AD3" s="390"/>
      <c r="AE3" s="420"/>
    </row>
    <row r="4" spans="3:32" ht="18" x14ac:dyDescent="0.35">
      <c r="C4" s="310" t="s">
        <v>262</v>
      </c>
      <c r="D4" s="311">
        <f>E9+SUM(AB21:AB221)</f>
        <v>-48888.278427333469</v>
      </c>
      <c r="I4" s="405"/>
      <c r="J4" s="281"/>
      <c r="K4" s="282" t="s">
        <v>215</v>
      </c>
      <c r="L4" s="285">
        <f>MAX(O4,R4,U4,X4,AA4,AD4)</f>
        <v>70</v>
      </c>
      <c r="M4" s="283"/>
      <c r="N4" s="315" t="s">
        <v>215</v>
      </c>
      <c r="O4" s="237">
        <f>'Pin Laricio'!F18</f>
        <v>70</v>
      </c>
      <c r="P4" s="316"/>
      <c r="Q4" s="281" t="s">
        <v>215</v>
      </c>
      <c r="R4" s="237">
        <f>'Pin Maritime'!F18</f>
        <v>60</v>
      </c>
      <c r="S4" s="237"/>
      <c r="T4" s="315" t="s">
        <v>215</v>
      </c>
      <c r="U4" s="237">
        <f>'C'!F18</f>
        <v>0</v>
      </c>
      <c r="V4" s="316"/>
      <c r="W4" s="281" t="s">
        <v>215</v>
      </c>
      <c r="X4" s="237">
        <f>D!F18</f>
        <v>0</v>
      </c>
      <c r="Y4" s="237"/>
      <c r="Z4" s="315" t="s">
        <v>215</v>
      </c>
      <c r="AA4" s="237">
        <f>E!F18</f>
        <v>0</v>
      </c>
      <c r="AB4" s="316"/>
      <c r="AC4" s="281" t="s">
        <v>215</v>
      </c>
      <c r="AD4" s="237">
        <f>F!F18</f>
        <v>0</v>
      </c>
      <c r="AE4" s="284"/>
    </row>
    <row r="5" spans="3:32" ht="18" x14ac:dyDescent="0.35">
      <c r="C5" s="310" t="s">
        <v>254</v>
      </c>
      <c r="D5" s="312">
        <f>E9+(1*L4*E184-0)/((1+4.5%)^L4)</f>
        <v>192.80085659703701</v>
      </c>
      <c r="I5" s="405"/>
      <c r="J5" s="281"/>
      <c r="K5" s="282" t="s">
        <v>219</v>
      </c>
      <c r="L5" s="287">
        <f>SUM(O5,R5,U5,X5,AA5,AD5)</f>
        <v>10.899999999999999</v>
      </c>
      <c r="M5" s="283"/>
      <c r="N5" s="315" t="s">
        <v>174</v>
      </c>
      <c r="O5" s="286">
        <f>'Pin Laricio'!F21</f>
        <v>6.6</v>
      </c>
      <c r="P5" s="317"/>
      <c r="Q5" s="281" t="s">
        <v>174</v>
      </c>
      <c r="R5" s="286">
        <f>'Pin Maritime'!F21</f>
        <v>4.3</v>
      </c>
      <c r="S5" s="286"/>
      <c r="T5" s="315" t="s">
        <v>174</v>
      </c>
      <c r="U5" s="286">
        <f>'C'!F21</f>
        <v>0</v>
      </c>
      <c r="V5" s="317"/>
      <c r="W5" s="281" t="s">
        <v>174</v>
      </c>
      <c r="X5" s="286">
        <f>D!F21</f>
        <v>0</v>
      </c>
      <c r="Y5" s="286"/>
      <c r="Z5" s="315" t="s">
        <v>174</v>
      </c>
      <c r="AA5" s="286">
        <f>E!F21</f>
        <v>0</v>
      </c>
      <c r="AB5" s="317"/>
      <c r="AC5" s="281" t="s">
        <v>174</v>
      </c>
      <c r="AD5" s="286">
        <f>F!F21</f>
        <v>0</v>
      </c>
      <c r="AE5" s="284"/>
    </row>
    <row r="6" spans="3:32" ht="18.600000000000001" thickBot="1" x14ac:dyDescent="0.4">
      <c r="C6" s="314" t="s">
        <v>255</v>
      </c>
      <c r="D6" s="313">
        <f>D4-D5</f>
        <v>-49081.079283930507</v>
      </c>
      <c r="I6" s="405"/>
      <c r="J6" s="281"/>
      <c r="M6" s="283"/>
      <c r="N6" s="315" t="s">
        <v>216</v>
      </c>
      <c r="O6" s="288">
        <v>1200</v>
      </c>
      <c r="P6" s="316" t="s">
        <v>220</v>
      </c>
      <c r="Q6" s="281" t="s">
        <v>216</v>
      </c>
      <c r="R6" s="288">
        <f t="shared" ref="R6:R13" si="0">O6</f>
        <v>1200</v>
      </c>
      <c r="S6" s="237" t="s">
        <v>220</v>
      </c>
      <c r="T6" s="315" t="s">
        <v>216</v>
      </c>
      <c r="U6" s="288">
        <f t="shared" ref="U6:U13" si="1">R6</f>
        <v>1200</v>
      </c>
      <c r="V6" s="316" t="s">
        <v>220</v>
      </c>
      <c r="W6" s="281" t="s">
        <v>216</v>
      </c>
      <c r="X6" s="288">
        <f t="shared" ref="X6:X13" si="2">U6</f>
        <v>1200</v>
      </c>
      <c r="Y6" s="237" t="s">
        <v>220</v>
      </c>
      <c r="Z6" s="315" t="s">
        <v>216</v>
      </c>
      <c r="AA6" s="288">
        <f>X6</f>
        <v>1200</v>
      </c>
      <c r="AB6" s="316" t="s">
        <v>220</v>
      </c>
      <c r="AC6" s="281" t="s">
        <v>216</v>
      </c>
      <c r="AD6" s="288">
        <f t="shared" ref="AD6:AD13" si="3">AA6</f>
        <v>1200</v>
      </c>
      <c r="AE6" s="284" t="s">
        <v>220</v>
      </c>
    </row>
    <row r="7" spans="3:32" x14ac:dyDescent="0.3">
      <c r="I7" s="405"/>
      <c r="J7" s="281"/>
      <c r="M7" s="283"/>
      <c r="N7" s="315" t="s">
        <v>198</v>
      </c>
      <c r="O7" s="290">
        <v>1665</v>
      </c>
      <c r="P7" s="316" t="s">
        <v>220</v>
      </c>
      <c r="Q7" s="281" t="s">
        <v>198</v>
      </c>
      <c r="R7" s="290">
        <f t="shared" si="0"/>
        <v>1665</v>
      </c>
      <c r="S7" s="237" t="s">
        <v>220</v>
      </c>
      <c r="T7" s="315" t="s">
        <v>198</v>
      </c>
      <c r="U7" s="290">
        <f t="shared" si="1"/>
        <v>1665</v>
      </c>
      <c r="V7" s="316" t="s">
        <v>220</v>
      </c>
      <c r="W7" s="281" t="s">
        <v>198</v>
      </c>
      <c r="X7" s="290">
        <f t="shared" si="2"/>
        <v>1665</v>
      </c>
      <c r="Y7" s="237" t="s">
        <v>220</v>
      </c>
      <c r="Z7" s="315" t="s">
        <v>198</v>
      </c>
      <c r="AA7" s="290">
        <v>2827</v>
      </c>
      <c r="AB7" s="316" t="s">
        <v>220</v>
      </c>
      <c r="AC7" s="281" t="s">
        <v>198</v>
      </c>
      <c r="AD7" s="290">
        <f>AA7</f>
        <v>2827</v>
      </c>
      <c r="AE7" s="284" t="s">
        <v>220</v>
      </c>
    </row>
    <row r="8" spans="3:32" ht="15" thickBot="1" x14ac:dyDescent="0.35">
      <c r="I8" s="405"/>
      <c r="J8" s="281"/>
      <c r="K8" s="282"/>
      <c r="L8" s="291"/>
      <c r="M8" s="283"/>
      <c r="N8" s="315" t="s">
        <v>265</v>
      </c>
      <c r="O8" s="288">
        <v>900</v>
      </c>
      <c r="P8" s="316" t="s">
        <v>220</v>
      </c>
      <c r="Q8" s="315" t="s">
        <v>265</v>
      </c>
      <c r="R8" s="288">
        <f t="shared" si="0"/>
        <v>900</v>
      </c>
      <c r="S8" s="237" t="s">
        <v>220</v>
      </c>
      <c r="T8" s="315" t="s">
        <v>265</v>
      </c>
      <c r="U8" s="288">
        <f t="shared" si="1"/>
        <v>900</v>
      </c>
      <c r="V8" s="316" t="s">
        <v>220</v>
      </c>
      <c r="W8" s="281" t="s">
        <v>203</v>
      </c>
      <c r="X8" s="288">
        <f t="shared" si="2"/>
        <v>900</v>
      </c>
      <c r="Y8" s="237" t="s">
        <v>220</v>
      </c>
      <c r="Z8" s="315" t="s">
        <v>203</v>
      </c>
      <c r="AA8" s="288">
        <f>X8</f>
        <v>900</v>
      </c>
      <c r="AB8" s="316" t="s">
        <v>220</v>
      </c>
      <c r="AC8" s="281" t="s">
        <v>203</v>
      </c>
      <c r="AD8" s="288">
        <f>AA8</f>
        <v>900</v>
      </c>
      <c r="AE8" s="284" t="s">
        <v>220</v>
      </c>
    </row>
    <row r="9" spans="3:32" ht="15" customHeight="1" thickBot="1" x14ac:dyDescent="0.35">
      <c r="C9" s="423" t="s">
        <v>264</v>
      </c>
      <c r="D9" s="424"/>
      <c r="E9" s="322">
        <v>0</v>
      </c>
      <c r="I9" s="405"/>
      <c r="J9" s="281"/>
      <c r="K9" s="282" t="s">
        <v>195</v>
      </c>
      <c r="L9" s="289">
        <v>0</v>
      </c>
      <c r="M9" s="283"/>
      <c r="N9" s="315" t="s">
        <v>204</v>
      </c>
      <c r="O9" s="288">
        <v>540</v>
      </c>
      <c r="P9" s="316" t="s">
        <v>220</v>
      </c>
      <c r="Q9" s="281" t="s">
        <v>221</v>
      </c>
      <c r="R9" s="288">
        <f t="shared" si="0"/>
        <v>540</v>
      </c>
      <c r="S9" s="237" t="s">
        <v>220</v>
      </c>
      <c r="T9" s="315" t="s">
        <v>221</v>
      </c>
      <c r="U9" s="288">
        <f t="shared" si="1"/>
        <v>540</v>
      </c>
      <c r="V9" s="316" t="s">
        <v>220</v>
      </c>
      <c r="W9" s="281" t="s">
        <v>221</v>
      </c>
      <c r="X9" s="288">
        <f t="shared" si="2"/>
        <v>540</v>
      </c>
      <c r="Y9" s="237" t="s">
        <v>220</v>
      </c>
      <c r="Z9" s="315" t="s">
        <v>221</v>
      </c>
      <c r="AA9" s="288">
        <f>X9+275</f>
        <v>815</v>
      </c>
      <c r="AB9" s="316" t="s">
        <v>220</v>
      </c>
      <c r="AC9" s="281" t="s">
        <v>221</v>
      </c>
      <c r="AD9" s="288">
        <f t="shared" si="3"/>
        <v>815</v>
      </c>
      <c r="AE9" s="284" t="s">
        <v>220</v>
      </c>
    </row>
    <row r="10" spans="3:32" ht="15" customHeight="1" x14ac:dyDescent="0.3">
      <c r="C10" s="421" t="s">
        <v>263</v>
      </c>
      <c r="D10" s="323">
        <v>0</v>
      </c>
      <c r="E10" s="324">
        <v>0</v>
      </c>
      <c r="I10" s="405"/>
      <c r="J10" s="281"/>
      <c r="K10" s="282" t="s">
        <v>218</v>
      </c>
      <c r="L10" s="292">
        <v>0.08</v>
      </c>
      <c r="M10" s="283"/>
      <c r="N10" s="315" t="s">
        <v>205</v>
      </c>
      <c r="O10" s="288">
        <v>540</v>
      </c>
      <c r="P10" s="316" t="s">
        <v>220</v>
      </c>
      <c r="Q10" s="281" t="s">
        <v>222</v>
      </c>
      <c r="R10" s="288">
        <f t="shared" si="0"/>
        <v>540</v>
      </c>
      <c r="S10" s="237" t="s">
        <v>220</v>
      </c>
      <c r="T10" s="315" t="s">
        <v>222</v>
      </c>
      <c r="U10" s="288">
        <f t="shared" si="1"/>
        <v>540</v>
      </c>
      <c r="V10" s="316" t="s">
        <v>220</v>
      </c>
      <c r="W10" s="281" t="s">
        <v>222</v>
      </c>
      <c r="X10" s="288">
        <f t="shared" si="2"/>
        <v>540</v>
      </c>
      <c r="Y10" s="237" t="s">
        <v>220</v>
      </c>
      <c r="Z10" s="315" t="s">
        <v>222</v>
      </c>
      <c r="AA10" s="288">
        <f>X10</f>
        <v>540</v>
      </c>
      <c r="AB10" s="316" t="s">
        <v>220</v>
      </c>
      <c r="AC10" s="281" t="s">
        <v>222</v>
      </c>
      <c r="AD10" s="288">
        <f t="shared" si="3"/>
        <v>540</v>
      </c>
      <c r="AE10" s="284" t="s">
        <v>220</v>
      </c>
    </row>
    <row r="11" spans="3:32" ht="15" customHeight="1" x14ac:dyDescent="0.3">
      <c r="C11" s="421"/>
      <c r="D11" s="323">
        <v>1</v>
      </c>
      <c r="E11" s="324">
        <v>0</v>
      </c>
      <c r="I11" s="405"/>
      <c r="J11" s="281"/>
      <c r="K11" s="282" t="s">
        <v>201</v>
      </c>
      <c r="L11" s="293">
        <v>0</v>
      </c>
      <c r="M11" s="283"/>
      <c r="N11" s="315" t="s">
        <v>206</v>
      </c>
      <c r="O11" s="288">
        <v>540</v>
      </c>
      <c r="P11" s="316" t="s">
        <v>220</v>
      </c>
      <c r="Q11" s="281" t="s">
        <v>223</v>
      </c>
      <c r="R11" s="288">
        <f t="shared" si="0"/>
        <v>540</v>
      </c>
      <c r="S11" s="237" t="s">
        <v>220</v>
      </c>
      <c r="T11" s="315" t="s">
        <v>223</v>
      </c>
      <c r="U11" s="288">
        <f t="shared" si="1"/>
        <v>540</v>
      </c>
      <c r="V11" s="316" t="s">
        <v>220</v>
      </c>
      <c r="W11" s="281" t="s">
        <v>223</v>
      </c>
      <c r="X11" s="288">
        <f t="shared" si="2"/>
        <v>540</v>
      </c>
      <c r="Y11" s="237" t="s">
        <v>220</v>
      </c>
      <c r="Z11" s="315" t="s">
        <v>223</v>
      </c>
      <c r="AA11" s="288">
        <f>X11</f>
        <v>540</v>
      </c>
      <c r="AB11" s="316" t="s">
        <v>220</v>
      </c>
      <c r="AC11" s="281" t="s">
        <v>223</v>
      </c>
      <c r="AD11" s="288">
        <f t="shared" si="3"/>
        <v>540</v>
      </c>
      <c r="AE11" s="284" t="s">
        <v>220</v>
      </c>
    </row>
    <row r="12" spans="3:32" ht="15" customHeight="1" x14ac:dyDescent="0.3">
      <c r="C12" s="421"/>
      <c r="D12" s="323">
        <v>2</v>
      </c>
      <c r="E12" s="324">
        <v>0</v>
      </c>
      <c r="I12" s="405"/>
      <c r="J12" s="281"/>
      <c r="K12" s="282" t="s">
        <v>213</v>
      </c>
      <c r="L12" s="294">
        <v>5</v>
      </c>
      <c r="M12" s="283"/>
      <c r="N12" s="315" t="s">
        <v>207</v>
      </c>
      <c r="O12" s="288">
        <v>540</v>
      </c>
      <c r="P12" s="316" t="s">
        <v>220</v>
      </c>
      <c r="Q12" s="281" t="s">
        <v>224</v>
      </c>
      <c r="R12" s="288">
        <f t="shared" si="0"/>
        <v>540</v>
      </c>
      <c r="S12" s="237" t="s">
        <v>220</v>
      </c>
      <c r="T12" s="315" t="s">
        <v>224</v>
      </c>
      <c r="U12" s="288">
        <f t="shared" si="1"/>
        <v>540</v>
      </c>
      <c r="V12" s="316" t="s">
        <v>220</v>
      </c>
      <c r="W12" s="281" t="s">
        <v>224</v>
      </c>
      <c r="X12" s="288">
        <f t="shared" si="2"/>
        <v>540</v>
      </c>
      <c r="Y12" s="237" t="s">
        <v>220</v>
      </c>
      <c r="Z12" s="315" t="s">
        <v>224</v>
      </c>
      <c r="AA12" s="288">
        <f>X12</f>
        <v>540</v>
      </c>
      <c r="AB12" s="316" t="s">
        <v>220</v>
      </c>
      <c r="AC12" s="281" t="s">
        <v>224</v>
      </c>
      <c r="AD12" s="288">
        <f t="shared" si="3"/>
        <v>540</v>
      </c>
      <c r="AE12" s="284" t="s">
        <v>220</v>
      </c>
    </row>
    <row r="13" spans="3:32" ht="15" customHeight="1" x14ac:dyDescent="0.3">
      <c r="C13" s="421"/>
      <c r="D13" s="323">
        <v>3</v>
      </c>
      <c r="E13" s="324">
        <v>0</v>
      </c>
      <c r="I13" s="405"/>
      <c r="J13" s="281"/>
      <c r="K13" s="282" t="s">
        <v>214</v>
      </c>
      <c r="L13" s="294">
        <v>25</v>
      </c>
      <c r="M13" s="283"/>
      <c r="N13" s="315" t="s">
        <v>208</v>
      </c>
      <c r="O13" s="288">
        <v>540</v>
      </c>
      <c r="P13" s="316" t="s">
        <v>220</v>
      </c>
      <c r="Q13" s="281" t="s">
        <v>225</v>
      </c>
      <c r="R13" s="288">
        <f t="shared" si="0"/>
        <v>540</v>
      </c>
      <c r="S13" s="237" t="s">
        <v>220</v>
      </c>
      <c r="T13" s="315" t="s">
        <v>225</v>
      </c>
      <c r="U13" s="288">
        <f t="shared" si="1"/>
        <v>540</v>
      </c>
      <c r="V13" s="316" t="s">
        <v>220</v>
      </c>
      <c r="W13" s="281" t="s">
        <v>225</v>
      </c>
      <c r="X13" s="288">
        <f t="shared" si="2"/>
        <v>540</v>
      </c>
      <c r="Y13" s="237" t="s">
        <v>220</v>
      </c>
      <c r="Z13" s="315" t="s">
        <v>225</v>
      </c>
      <c r="AA13" s="288">
        <f>X13</f>
        <v>540</v>
      </c>
      <c r="AB13" s="316" t="s">
        <v>220</v>
      </c>
      <c r="AC13" s="281" t="s">
        <v>225</v>
      </c>
      <c r="AD13" s="288">
        <f t="shared" si="3"/>
        <v>540</v>
      </c>
      <c r="AE13" s="284" t="s">
        <v>220</v>
      </c>
    </row>
    <row r="14" spans="3:32" ht="15" customHeight="1" thickBot="1" x14ac:dyDescent="0.35">
      <c r="C14" s="421"/>
      <c r="D14" s="323">
        <v>4</v>
      </c>
      <c r="E14" s="324">
        <v>0</v>
      </c>
      <c r="I14" s="406"/>
      <c r="J14" s="295"/>
      <c r="K14" s="295"/>
      <c r="L14" s="296"/>
      <c r="M14" s="297"/>
      <c r="N14" s="318"/>
      <c r="O14" s="306"/>
      <c r="P14" s="320"/>
      <c r="Q14" s="297"/>
      <c r="R14" s="308"/>
      <c r="S14" s="307"/>
      <c r="T14" s="318"/>
      <c r="U14" s="297"/>
      <c r="V14" s="319"/>
      <c r="W14" s="307"/>
      <c r="X14" s="297"/>
      <c r="Y14" s="308"/>
      <c r="Z14" s="321"/>
      <c r="AA14" s="297"/>
      <c r="AB14" s="319"/>
      <c r="AC14" s="307"/>
      <c r="AD14" s="297"/>
      <c r="AE14" s="309"/>
    </row>
    <row r="15" spans="3:32" s="133" customFormat="1" ht="15" customHeight="1" thickBot="1" x14ac:dyDescent="0.35">
      <c r="C15" s="422"/>
      <c r="D15" s="325">
        <v>5</v>
      </c>
      <c r="E15" s="326">
        <v>0</v>
      </c>
      <c r="L15" s="232"/>
      <c r="O15" s="206"/>
      <c r="P15" s="216"/>
      <c r="R15" s="160"/>
      <c r="S15" s="216"/>
      <c r="V15" s="160"/>
      <c r="W15" s="216"/>
      <c r="Y15" s="160"/>
      <c r="Z15" s="216"/>
      <c r="AB15" s="160"/>
      <c r="AC15" s="216"/>
      <c r="AE15" s="160"/>
      <c r="AF15" s="216"/>
    </row>
    <row r="16" spans="3:32" s="133" customFormat="1" x14ac:dyDescent="0.3">
      <c r="L16" s="232"/>
      <c r="M16" s="186"/>
      <c r="O16" s="206"/>
      <c r="P16" s="216"/>
      <c r="R16" s="160"/>
      <c r="S16" s="216"/>
      <c r="V16" s="160"/>
      <c r="W16" s="216"/>
      <c r="Y16" s="160"/>
      <c r="Z16" s="216"/>
      <c r="AB16" s="160"/>
      <c r="AC16" s="216"/>
      <c r="AE16" s="160"/>
      <c r="AF16" s="216"/>
    </row>
    <row r="17" spans="2:30" x14ac:dyDescent="0.3">
      <c r="M17" s="186"/>
    </row>
    <row r="18" spans="2:30" ht="18" x14ac:dyDescent="0.35">
      <c r="M18" s="186"/>
      <c r="N18" s="398" t="s">
        <v>256</v>
      </c>
      <c r="O18" s="399"/>
      <c r="P18" s="399"/>
      <c r="Q18" s="399"/>
      <c r="R18" s="399"/>
      <c r="S18" s="399"/>
      <c r="T18" s="399"/>
      <c r="U18" s="399"/>
      <c r="V18" s="399"/>
      <c r="W18" s="399"/>
      <c r="X18" s="399"/>
      <c r="Y18" s="399"/>
      <c r="Z18" s="399"/>
      <c r="AA18" s="399"/>
      <c r="AB18" s="400"/>
    </row>
    <row r="19" spans="2:30" ht="16.2" thickBot="1" x14ac:dyDescent="0.35">
      <c r="M19" s="186"/>
      <c r="N19" s="415" t="s">
        <v>76</v>
      </c>
      <c r="O19" s="417" t="s">
        <v>196</v>
      </c>
      <c r="P19" s="418"/>
      <c r="Q19" s="418"/>
      <c r="R19" s="418"/>
      <c r="S19" s="418"/>
      <c r="T19" s="419"/>
      <c r="U19" s="299"/>
      <c r="V19" s="371" t="s">
        <v>197</v>
      </c>
      <c r="W19" s="371"/>
      <c r="X19" s="371"/>
      <c r="Y19" s="371"/>
      <c r="Z19" s="371"/>
      <c r="AA19" s="371"/>
      <c r="AB19" s="233" t="s">
        <v>166</v>
      </c>
    </row>
    <row r="20" spans="2:30" ht="43.8" thickBot="1" x14ac:dyDescent="0.35">
      <c r="B20" s="401" t="s">
        <v>257</v>
      </c>
      <c r="C20" s="402"/>
      <c r="D20" s="402"/>
      <c r="E20" s="402"/>
      <c r="F20" s="402"/>
      <c r="G20" s="402"/>
      <c r="H20" s="402"/>
      <c r="I20" s="402"/>
      <c r="J20" s="402"/>
      <c r="K20" s="402"/>
      <c r="L20" s="403"/>
      <c r="M20"/>
      <c r="N20" s="416"/>
      <c r="O20" s="234" t="s">
        <v>198</v>
      </c>
      <c r="P20" s="178" t="s">
        <v>199</v>
      </c>
      <c r="Q20" s="178" t="s">
        <v>226</v>
      </c>
      <c r="R20" s="178" t="s">
        <v>200</v>
      </c>
      <c r="S20" s="178" t="s">
        <v>201</v>
      </c>
      <c r="T20" s="235" t="s">
        <v>202</v>
      </c>
      <c r="U20" s="178" t="s">
        <v>263</v>
      </c>
      <c r="V20" s="180" t="s">
        <v>146</v>
      </c>
      <c r="W20" s="174" t="s">
        <v>209</v>
      </c>
      <c r="X20" s="68" t="s">
        <v>210</v>
      </c>
      <c r="Y20" s="64" t="s">
        <v>211</v>
      </c>
      <c r="Z20" s="64" t="s">
        <v>212</v>
      </c>
      <c r="AA20" s="64" t="s">
        <v>197</v>
      </c>
      <c r="AB20" s="75" t="s">
        <v>253</v>
      </c>
    </row>
    <row r="21" spans="2:30" x14ac:dyDescent="0.3">
      <c r="B21" s="412" t="str">
        <f>'Pin Laricio'!F17</f>
        <v xml:space="preserve">Pin laricio </v>
      </c>
      <c r="C21" s="413"/>
      <c r="D21" s="413"/>
      <c r="E21" s="413"/>
      <c r="F21" s="413"/>
      <c r="G21" s="414"/>
      <c r="H21" s="392" t="s">
        <v>248</v>
      </c>
      <c r="I21" s="393"/>
      <c r="J21" s="393"/>
      <c r="K21" s="394"/>
      <c r="L21" s="298">
        <f>O5</f>
        <v>6.6</v>
      </c>
      <c r="N21" s="71">
        <v>0</v>
      </c>
      <c r="O21" s="236">
        <f>SUMPRODUCT(O6:AE6,O5:AE5)+SUMPRODUCT(O5:AE5,O7:AE7)+SUMPRODUCT(O5:AE5,O8:AE8)</f>
        <v>41038.5</v>
      </c>
      <c r="P21" s="177"/>
      <c r="Q21" s="237"/>
      <c r="R21" s="177">
        <f t="shared" ref="R21:R84" si="4">$L$10*SUM(O21:Q21)</f>
        <v>3283.08</v>
      </c>
      <c r="S21" s="177">
        <f>$L$11*(1+$L$9)^N21*'Récapitulatif des résultats'!$I$11</f>
        <v>0</v>
      </c>
      <c r="T21" s="238"/>
      <c r="U21" s="335">
        <f t="shared" ref="U21:U26" si="5">VLOOKUP(N21,D9:E14,2,FALSE)</f>
        <v>0</v>
      </c>
      <c r="V21" s="242">
        <f t="shared" ref="V21:V84" si="6">SUM(W21:Z21)</f>
        <v>0</v>
      </c>
      <c r="W21" s="243">
        <f>SUM('Pin Laricio'!AQ5*'Pin Laricio'!$F$21,'Pin Maritime'!AQ5*'Pin Maritime'!$F$21,'C'!AQ5*'C'!$F$21,D!AQ5*D!$F$21,E!AQ5*E!$F$21,F!AQ5*F!$F$21)</f>
        <v>0</v>
      </c>
      <c r="X21" s="243">
        <f>SUM('Pin Laricio'!AR5*'Pin Laricio'!$F$21,'Pin Maritime'!AR5*'Pin Maritime'!$F$21,'C'!AR5*'C'!$F$21,D!AR5*D!$F$21,E!AR5*E!$F$21,F!AR5*F!$F$21)</f>
        <v>0</v>
      </c>
      <c r="Y21" s="243">
        <f>SUM('Pin Laricio'!AS5*'Pin Laricio'!$F$21,'Pin Maritime'!AS5*'Pin Maritime'!$F$21,'C'!AS5*'C'!$F$21,D!AS5*D!$F$21,E!AS5*E!$F$21,F!AS5*F!$F$21)</f>
        <v>0</v>
      </c>
      <c r="Z21" s="327">
        <f>SUM('Pin Laricio'!AT5*'Pin Laricio'!$F$21,'Pin Maritime'!AT5*'Pin Maritime'!$F$21,'C'!AT5*'C'!$F$21,D!AT5*D!$F$21,E!AT5*E!$F$21,F!AT5*F!$F$21)</f>
        <v>0</v>
      </c>
      <c r="AA21" s="244">
        <f>SUMIF(B$23:B$115,N21,L$23:L$115)+U21</f>
        <v>0</v>
      </c>
      <c r="AB21" s="245">
        <f t="shared" ref="AB21:AB84" si="7">IF(N21&lt;=$L$4,(AA21-SUM(O21:T21))/((1+4.5%)^N21),)</f>
        <v>-44321.58</v>
      </c>
    </row>
    <row r="22" spans="2:30" x14ac:dyDescent="0.3">
      <c r="B22" s="255" t="str">
        <f>'Pin Laricio'!B81</f>
        <v>Année</v>
      </c>
      <c r="C22" s="132" t="str">
        <f>'Pin Laricio'!C81</f>
        <v>Volume d'éclaircie</v>
      </c>
      <c r="D22" s="130" t="str">
        <f>'Pin Laricio'!D81</f>
        <v>BO</v>
      </c>
      <c r="E22" s="130" t="str">
        <f>'Pin Laricio'!E81</f>
        <v>BI - panneaux</v>
      </c>
      <c r="F22" s="130" t="str">
        <f>'Pin Laricio'!F81</f>
        <v>BI - papier</v>
      </c>
      <c r="G22" s="131" t="str">
        <f>'Pin Laricio'!G81</f>
        <v>BE</v>
      </c>
      <c r="H22" s="213" t="s">
        <v>78</v>
      </c>
      <c r="I22" s="214" t="s">
        <v>81</v>
      </c>
      <c r="J22" s="214" t="s">
        <v>80</v>
      </c>
      <c r="K22" s="215" t="s">
        <v>79</v>
      </c>
      <c r="L22" s="256" t="s">
        <v>252</v>
      </c>
      <c r="N22" s="71">
        <v>1</v>
      </c>
      <c r="O22" s="236"/>
      <c r="P22" s="177">
        <f>SUMPRODUCT($O$5:$AE$5,O9:AE9)</f>
        <v>5886</v>
      </c>
      <c r="Q22" s="237"/>
      <c r="R22" s="177">
        <f t="shared" si="4"/>
        <v>470.88</v>
      </c>
      <c r="S22" s="177">
        <f>$L$11*(1+$L$9)^N22*'Récapitulatif des résultats'!$I$11</f>
        <v>0</v>
      </c>
      <c r="T22" s="238"/>
      <c r="U22" s="335">
        <f t="shared" si="5"/>
        <v>0</v>
      </c>
      <c r="V22" s="246">
        <f t="shared" si="6"/>
        <v>0</v>
      </c>
      <c r="W22" s="185">
        <f>SUM('Pin Laricio'!AQ6*'Pin Laricio'!$F$21,'Pin Maritime'!AQ6*'Pin Maritime'!$F$21,'C'!AQ6*'C'!$F$21,D!AQ6*D!$F$21,E!AQ6*E!$F$21,F!AQ6*F!$F$21)</f>
        <v>0</v>
      </c>
      <c r="X22" s="185">
        <f>SUM('Pin Laricio'!AR6*'Pin Laricio'!$F$21,'Pin Maritime'!AR6*'Pin Maritime'!$F$21,'C'!AR6*'C'!$F$21,D!AR6*D!$F$21,E!AR6*E!$F$21,F!AR6*F!$F$21)</f>
        <v>0</v>
      </c>
      <c r="Y22" s="185">
        <f>SUM('Pin Laricio'!AS6*'Pin Laricio'!$F$21,'Pin Maritime'!AS6*'Pin Maritime'!$F$21,'C'!AS6*'C'!$F$21,D!AS6*D!$F$21,E!AS6*E!$F$21,F!AS6*F!$F$21)</f>
        <v>0</v>
      </c>
      <c r="Z22" s="328">
        <f>SUM('Pin Laricio'!AT6*'Pin Laricio'!$F$21,'Pin Maritime'!AT6*'Pin Maritime'!$F$21,'C'!AT6*'C'!$F$21,D!AT6*D!$F$21,E!AT6*E!$F$21,F!AT6*F!$F$21)</f>
        <v>0</v>
      </c>
      <c r="AA22" s="175">
        <f t="shared" ref="AA22:AA85" si="8">SUMIF(B$23:B$115,N22,L$23:L$115)+U22</f>
        <v>0</v>
      </c>
      <c r="AB22" s="176">
        <f t="shared" si="7"/>
        <v>-6083.1387559808618</v>
      </c>
      <c r="AC22" s="175"/>
      <c r="AD22" s="175"/>
    </row>
    <row r="23" spans="2:30" x14ac:dyDescent="0.3">
      <c r="B23" s="257">
        <f>'Pin Laricio'!B82</f>
        <v>23</v>
      </c>
      <c r="C23" s="220">
        <f>'Pin Laricio'!C82</f>
        <v>16</v>
      </c>
      <c r="D23" s="217">
        <f>'Pin Laricio'!D82</f>
        <v>0</v>
      </c>
      <c r="E23" s="217">
        <f>'Pin Laricio'!E82</f>
        <v>0.56000000000000005</v>
      </c>
      <c r="F23" s="217">
        <f>'Pin Laricio'!F82</f>
        <v>0.44</v>
      </c>
      <c r="G23" s="221">
        <f>'Pin Laricio'!G82</f>
        <v>0</v>
      </c>
      <c r="H23" s="228">
        <f>IFERROR(VLOOKUP($B$21,Tableau14582[],4,FALSE)*(1+$L$9)^$B23,0)</f>
        <v>30</v>
      </c>
      <c r="I23" s="229">
        <f>IFERROR(VLOOKUP($B$21,Tableau14582[],5,FALSE)*(1+$L$9)^$B23,0)</f>
        <v>19.375</v>
      </c>
      <c r="J23" s="229">
        <f>IFERROR(VLOOKUP($B$21,Tableau14582[],5,FALSE)*(1+$L$9)^$B23,0)</f>
        <v>19.375</v>
      </c>
      <c r="K23" s="230">
        <f>IFERROR(VLOOKUP($B$21,Tableau14582[],6,FALSE)*(1+$L$9)^$B23,0)</f>
        <v>10</v>
      </c>
      <c r="L23" s="258">
        <f>(C23*D23*H23+C23*E23*I23+C23*F23*J23+C23*G23*K23)*L$21</f>
        <v>2046</v>
      </c>
      <c r="N23" s="71">
        <v>2</v>
      </c>
      <c r="O23" s="236"/>
      <c r="P23" s="177">
        <f>SUMPRODUCT($O$5:$AE$5,O10:AE10)</f>
        <v>5886</v>
      </c>
      <c r="Q23" s="237"/>
      <c r="R23" s="177">
        <f t="shared" si="4"/>
        <v>470.88</v>
      </c>
      <c r="S23" s="177">
        <f>$L$11*(1+$L$9)^N23*'Récapitulatif des résultats'!$I$11</f>
        <v>0</v>
      </c>
      <c r="T23" s="238"/>
      <c r="U23" s="335">
        <f t="shared" si="5"/>
        <v>0</v>
      </c>
      <c r="V23" s="246">
        <f t="shared" si="6"/>
        <v>0</v>
      </c>
      <c r="W23" s="185">
        <f>SUM('Pin Laricio'!AQ7*'Pin Laricio'!$F$21,'Pin Maritime'!AQ7*'Pin Maritime'!$F$21,'C'!AQ7*'C'!$F$21,D!AQ7*D!$F$21,E!AQ7*E!$F$21,F!AQ7*F!$F$21)</f>
        <v>0</v>
      </c>
      <c r="X23" s="185">
        <f>SUM('Pin Laricio'!AR7*'Pin Laricio'!$F$21,'Pin Maritime'!AR7*'Pin Maritime'!$F$21,'C'!AR7*'C'!$F$21,D!AR7*D!$F$21,E!AR7*E!$F$21,F!AR7*F!$F$21)</f>
        <v>0</v>
      </c>
      <c r="Y23" s="185">
        <f>SUM('Pin Laricio'!AS7*'Pin Laricio'!$F$21,'Pin Maritime'!AS7*'Pin Maritime'!$F$21,'C'!AS7*'C'!$F$21,D!AS7*D!$F$21,E!AS7*E!$F$21,F!AS7*F!$F$21)</f>
        <v>0</v>
      </c>
      <c r="Z23" s="328">
        <f>SUM('Pin Laricio'!AT7*'Pin Laricio'!$F$21,'Pin Maritime'!AT7*'Pin Maritime'!$F$21,'C'!AT7*'C'!$F$21,D!AT7*D!$F$21,E!AT7*E!$F$21,F!AT7*F!$F$21)</f>
        <v>0</v>
      </c>
      <c r="AA23" s="175">
        <f t="shared" si="8"/>
        <v>0</v>
      </c>
      <c r="AB23" s="176">
        <f t="shared" si="7"/>
        <v>-5821.185412421878</v>
      </c>
      <c r="AC23" s="175"/>
      <c r="AD23" s="175"/>
    </row>
    <row r="24" spans="2:30" x14ac:dyDescent="0.3">
      <c r="B24" s="259">
        <f>'Pin Laricio'!B83</f>
        <v>26</v>
      </c>
      <c r="C24" s="222">
        <f>'Pin Laricio'!C83</f>
        <v>17</v>
      </c>
      <c r="D24" s="223">
        <f>'Pin Laricio'!D83</f>
        <v>0</v>
      </c>
      <c r="E24" s="218">
        <f>'Pin Laricio'!E83</f>
        <v>0.56000000000000005</v>
      </c>
      <c r="F24" s="218">
        <f>'Pin Laricio'!F83</f>
        <v>0.44</v>
      </c>
      <c r="G24" s="224">
        <f>'Pin Laricio'!G83</f>
        <v>0</v>
      </c>
      <c r="H24" s="207">
        <f>IFERROR(VLOOKUP($B$21,Tableau14582[],4,FALSE)*(1+$L$9)^$B24,0)</f>
        <v>30</v>
      </c>
      <c r="I24" s="208">
        <f>IFERROR(VLOOKUP($B$21,Tableau14582[],5,FALSE)*(1+$L$9)^$B24,0)</f>
        <v>19.375</v>
      </c>
      <c r="J24" s="208">
        <f>IFERROR(VLOOKUP($B$21,Tableau14582[],5,FALSE)*(1+$L$9)^$B24,0)</f>
        <v>19.375</v>
      </c>
      <c r="K24" s="209">
        <f>IFERROR(VLOOKUP($B$21,Tableau14582[],6,FALSE)*(1+$L$9)^$B24,0)</f>
        <v>10</v>
      </c>
      <c r="L24" s="260">
        <f t="shared" ref="L24:L35" si="9">(C24*D24*H24+C24*E24*I24+C24*F24*J24+C24*G24*K24)*L$21</f>
        <v>2173.875</v>
      </c>
      <c r="N24" s="71">
        <v>3</v>
      </c>
      <c r="O24" s="236"/>
      <c r="P24" s="177">
        <f>SUMPRODUCT($O$5:$AE$5,O11:AE11)</f>
        <v>5886</v>
      </c>
      <c r="Q24" s="237"/>
      <c r="R24" s="177">
        <f t="shared" si="4"/>
        <v>470.88</v>
      </c>
      <c r="S24" s="177">
        <f>$L$11*(1+$L$9)^N24*'Récapitulatif des résultats'!$I$11</f>
        <v>0</v>
      </c>
      <c r="T24" s="238"/>
      <c r="U24" s="335">
        <f t="shared" si="5"/>
        <v>0</v>
      </c>
      <c r="V24" s="246">
        <f t="shared" si="6"/>
        <v>0</v>
      </c>
      <c r="W24" s="185">
        <f>SUM('Pin Laricio'!AQ8*'Pin Laricio'!$F$21,'Pin Maritime'!AQ8*'Pin Maritime'!$F$21,'C'!AQ8*'C'!$F$21,D!AQ8*D!$F$21,E!AQ8*E!$F$21,F!AQ8*F!$F$21)</f>
        <v>0</v>
      </c>
      <c r="X24" s="185">
        <f>SUM('Pin Laricio'!AR8*'Pin Laricio'!$F$21,'Pin Maritime'!AR8*'Pin Maritime'!$F$21,'C'!AR8*'C'!$F$21,D!AR8*D!$F$21,E!AR8*E!$F$21,F!AR8*F!$F$21)</f>
        <v>0</v>
      </c>
      <c r="Y24" s="185">
        <f>SUM('Pin Laricio'!AS8*'Pin Laricio'!$F$21,'Pin Maritime'!AS8*'Pin Maritime'!$F$21,'C'!AS8*'C'!$F$21,D!AS8*D!$F$21,E!AS8*E!$F$21,F!AS8*F!$F$21)</f>
        <v>0</v>
      </c>
      <c r="Z24" s="328">
        <f>SUM('Pin Laricio'!AT8*'Pin Laricio'!$F$21,'Pin Maritime'!AT8*'Pin Maritime'!$F$21,'C'!AT8*'C'!$F$21,D!AT8*D!$F$21,E!AT8*E!$F$21,F!AT8*F!$F$21)</f>
        <v>0</v>
      </c>
      <c r="AA24" s="175">
        <f t="shared" si="8"/>
        <v>0</v>
      </c>
      <c r="AB24" s="176">
        <f t="shared" si="7"/>
        <v>-5570.5123563845718</v>
      </c>
      <c r="AC24" s="175"/>
      <c r="AD24" s="175"/>
    </row>
    <row r="25" spans="2:30" x14ac:dyDescent="0.3">
      <c r="B25" s="259">
        <f>'Pin Laricio'!B84</f>
        <v>31</v>
      </c>
      <c r="C25" s="222">
        <f>'Pin Laricio'!C84</f>
        <v>34</v>
      </c>
      <c r="D25" s="223">
        <f>'Pin Laricio'!D84</f>
        <v>0.2</v>
      </c>
      <c r="E25" s="218">
        <f>'Pin Laricio'!E84</f>
        <v>0.44800000000000006</v>
      </c>
      <c r="F25" s="218">
        <f>'Pin Laricio'!F84</f>
        <v>0.35200000000000004</v>
      </c>
      <c r="G25" s="224">
        <f>'Pin Laricio'!G84</f>
        <v>0</v>
      </c>
      <c r="H25" s="207">
        <f>IFERROR(VLOOKUP($B$21,Tableau14582[],4,FALSE)*(1+$L$9)^$B25,0)</f>
        <v>30</v>
      </c>
      <c r="I25" s="208">
        <f>IFERROR(VLOOKUP($B$21,Tableau14582[],5,FALSE)*(1+$L$9)^$B25,0)</f>
        <v>19.375</v>
      </c>
      <c r="J25" s="208">
        <f>IFERROR(VLOOKUP($B$21,Tableau14582[],5,FALSE)*(1+$L$9)^$B25,0)</f>
        <v>19.375</v>
      </c>
      <c r="K25" s="209">
        <f>IFERROR(VLOOKUP($B$21,Tableau14582[],6,FALSE)*(1+$L$9)^$B25,0)</f>
        <v>10</v>
      </c>
      <c r="L25" s="260">
        <f t="shared" si="9"/>
        <v>4824.6000000000004</v>
      </c>
      <c r="N25" s="71">
        <v>4</v>
      </c>
      <c r="O25" s="236"/>
      <c r="P25" s="177">
        <f>SUMPRODUCT($O$5:$AE$5,O12:AE12)</f>
        <v>5886</v>
      </c>
      <c r="Q25" s="237"/>
      <c r="R25" s="177">
        <f t="shared" si="4"/>
        <v>470.88</v>
      </c>
      <c r="S25" s="177">
        <f>$L$11*(1+$L$9)^N25*'Récapitulatif des résultats'!$I$11</f>
        <v>0</v>
      </c>
      <c r="T25" s="238"/>
      <c r="U25" s="335">
        <f t="shared" si="5"/>
        <v>0</v>
      </c>
      <c r="V25" s="246">
        <f t="shared" si="6"/>
        <v>0</v>
      </c>
      <c r="W25" s="185">
        <f>SUM('Pin Laricio'!AQ9*'Pin Laricio'!$F$21,'Pin Maritime'!AQ9*'Pin Maritime'!$F$21,'C'!AQ9*'C'!$F$21,D!AQ9*D!$F$21,E!AQ9*E!$F$21,F!AQ9*F!$F$21)</f>
        <v>0</v>
      </c>
      <c r="X25" s="185">
        <f>SUM('Pin Laricio'!AR9*'Pin Laricio'!$F$21,'Pin Maritime'!AR9*'Pin Maritime'!$F$21,'C'!AR9*'C'!$F$21,D!AR9*D!$F$21,E!AR9*E!$F$21,F!AR9*F!$F$21)</f>
        <v>0</v>
      </c>
      <c r="Y25" s="185">
        <f>SUM('Pin Laricio'!AS9*'Pin Laricio'!$F$21,'Pin Maritime'!AS9*'Pin Maritime'!$F$21,'C'!AS9*'C'!$F$21,D!AS9*D!$F$21,E!AS9*E!$F$21,F!AS9*F!$F$21)</f>
        <v>0</v>
      </c>
      <c r="Z25" s="328">
        <f>SUM('Pin Laricio'!AT9*'Pin Laricio'!$F$21,'Pin Maritime'!AT9*'Pin Maritime'!$F$21,'C'!AT9*'C'!$F$21,D!AT9*D!$F$21,E!AT9*E!$F$21,F!AT9*F!$F$21)</f>
        <v>0</v>
      </c>
      <c r="AA25" s="175">
        <f t="shared" si="8"/>
        <v>0</v>
      </c>
      <c r="AB25" s="176">
        <f t="shared" si="7"/>
        <v>-5330.6338338608357</v>
      </c>
      <c r="AC25" s="175"/>
      <c r="AD25" s="175"/>
    </row>
    <row r="26" spans="2:30" x14ac:dyDescent="0.3">
      <c r="B26" s="259">
        <f>'Pin Laricio'!B85</f>
        <v>36</v>
      </c>
      <c r="C26" s="222">
        <f>'Pin Laricio'!C85</f>
        <v>41</v>
      </c>
      <c r="D26" s="223">
        <f>'Pin Laricio'!D85</f>
        <v>0.3</v>
      </c>
      <c r="E26" s="218">
        <f>'Pin Laricio'!E85</f>
        <v>0.39200000000000002</v>
      </c>
      <c r="F26" s="218">
        <f>'Pin Laricio'!F85</f>
        <v>0.308</v>
      </c>
      <c r="G26" s="224">
        <f>'Pin Laricio'!G85</f>
        <v>0</v>
      </c>
      <c r="H26" s="207">
        <f>IFERROR(VLOOKUP($B$21,Tableau14582[],4,FALSE)*(1+$L$9)^$B26,0)</f>
        <v>30</v>
      </c>
      <c r="I26" s="208">
        <f>IFERROR(VLOOKUP($B$21,Tableau14582[],5,FALSE)*(1+$L$9)^$B26,0)</f>
        <v>19.375</v>
      </c>
      <c r="J26" s="208">
        <f>IFERROR(VLOOKUP($B$21,Tableau14582[],5,FALSE)*(1+$L$9)^$B26,0)</f>
        <v>19.375</v>
      </c>
      <c r="K26" s="209">
        <f>IFERROR(VLOOKUP($B$21,Tableau14582[],6,FALSE)*(1+$L$9)^$B26,0)</f>
        <v>10</v>
      </c>
      <c r="L26" s="260">
        <f t="shared" si="9"/>
        <v>6105.4124999999995</v>
      </c>
      <c r="N26" s="71">
        <v>5</v>
      </c>
      <c r="O26" s="236"/>
      <c r="P26" s="177">
        <f>SUMPRODUCT($O$5:$AE$5,O13:AE13)</f>
        <v>5886</v>
      </c>
      <c r="Q26" s="237"/>
      <c r="R26" s="177">
        <f t="shared" si="4"/>
        <v>470.88</v>
      </c>
      <c r="S26" s="177">
        <f>$L$11*(1+$L$9)^N26*'Récapitulatif des résultats'!$I$11</f>
        <v>0</v>
      </c>
      <c r="T26" s="238"/>
      <c r="U26" s="335">
        <f t="shared" si="5"/>
        <v>0</v>
      </c>
      <c r="V26" s="246">
        <f t="shared" si="6"/>
        <v>0</v>
      </c>
      <c r="W26" s="185">
        <f>SUM('Pin Laricio'!AQ10*'Pin Laricio'!$F$21,'Pin Maritime'!AQ10*'Pin Maritime'!$F$21,'C'!AQ10*'C'!$F$21,D!AQ10*D!$F$21,E!AQ10*E!$F$21,F!AQ10*F!$F$21)</f>
        <v>0</v>
      </c>
      <c r="X26" s="185">
        <f>SUM('Pin Laricio'!AR10*'Pin Laricio'!$F$21,'Pin Maritime'!AR10*'Pin Maritime'!$F$21,'C'!AR10*'C'!$F$21,D!AR10*D!$F$21,E!AR10*E!$F$21,F!AR10*F!$F$21)</f>
        <v>0</v>
      </c>
      <c r="Y26" s="185">
        <f>SUM('Pin Laricio'!AS10*'Pin Laricio'!$F$21,'Pin Maritime'!AS10*'Pin Maritime'!$F$21,'C'!AS10*'C'!$F$21,D!AS10*D!$F$21,E!AS10*E!$F$21,F!AS10*F!$F$21)</f>
        <v>0</v>
      </c>
      <c r="Z26" s="328">
        <f>SUM('Pin Laricio'!AT10*'Pin Laricio'!$F$21,'Pin Maritime'!AT10*'Pin Maritime'!$F$21,'C'!AT10*'C'!$F$21,D!AT10*D!$F$21,E!AT10*E!$F$21,F!AT10*F!$F$21)</f>
        <v>0</v>
      </c>
      <c r="AA26" s="175">
        <f t="shared" si="8"/>
        <v>0</v>
      </c>
      <c r="AB26" s="176">
        <f t="shared" si="7"/>
        <v>-5101.0850084792692</v>
      </c>
      <c r="AC26" s="175"/>
      <c r="AD26" s="175"/>
    </row>
    <row r="27" spans="2:30" x14ac:dyDescent="0.3">
      <c r="B27" s="259">
        <f>'Pin Laricio'!B86</f>
        <v>41</v>
      </c>
      <c r="C27" s="222">
        <f>'Pin Laricio'!C86</f>
        <v>41</v>
      </c>
      <c r="D27" s="223">
        <f>'Pin Laricio'!D86</f>
        <v>0.4</v>
      </c>
      <c r="E27" s="218">
        <f>'Pin Laricio'!E86</f>
        <v>0.33600000000000002</v>
      </c>
      <c r="F27" s="218">
        <f>'Pin Laricio'!F86</f>
        <v>0.26400000000000001</v>
      </c>
      <c r="G27" s="224">
        <f>'Pin Laricio'!G86</f>
        <v>0</v>
      </c>
      <c r="H27" s="207">
        <f>IFERROR(VLOOKUP($B$21,Tableau14582[],4,FALSE)*(1+$L$9)^$B27,0)</f>
        <v>30</v>
      </c>
      <c r="I27" s="208">
        <f>IFERROR(VLOOKUP($B$21,Tableau14582[],5,FALSE)*(1+$L$9)^$B27,0)</f>
        <v>19.375</v>
      </c>
      <c r="J27" s="208">
        <f>IFERROR(VLOOKUP($B$21,Tableau14582[],5,FALSE)*(1+$L$9)^$B27,0)</f>
        <v>19.375</v>
      </c>
      <c r="K27" s="209">
        <f>IFERROR(VLOOKUP($B$21,Tableau14582[],6,FALSE)*(1+$L$9)^$B27,0)</f>
        <v>10</v>
      </c>
      <c r="L27" s="260">
        <f t="shared" si="9"/>
        <v>6392.9250000000002</v>
      </c>
      <c r="N27" s="71">
        <v>6</v>
      </c>
      <c r="O27" s="236"/>
      <c r="P27" s="177"/>
      <c r="Q27" s="237">
        <f t="shared" ref="Q27:Q58" si="10">$L$13*(1+$L$9)^N27*$L$5</f>
        <v>272.49999999999994</v>
      </c>
      <c r="R27" s="177">
        <f t="shared" si="4"/>
        <v>21.799999999999997</v>
      </c>
      <c r="S27" s="177">
        <f>$L$11*(1+$L$9)^N27*'Récapitulatif des résultats'!$I$11</f>
        <v>0</v>
      </c>
      <c r="T27" s="238"/>
      <c r="U27" s="177"/>
      <c r="V27" s="246">
        <f t="shared" si="6"/>
        <v>0</v>
      </c>
      <c r="W27" s="185">
        <f>SUM('Pin Laricio'!AQ11*'Pin Laricio'!$F$21,'Pin Maritime'!AQ11*'Pin Maritime'!$F$21,'C'!AQ11*'C'!$F$21,D!AQ11*D!$F$21,E!AQ11*E!$F$21,F!AQ11*F!$F$21)</f>
        <v>0</v>
      </c>
      <c r="X27" s="185">
        <f>SUM('Pin Laricio'!AR11*'Pin Laricio'!$F$21,'Pin Maritime'!AR11*'Pin Maritime'!$F$21,'C'!AR11*'C'!$F$21,D!AR11*D!$F$21,E!AR11*E!$F$21,F!AR11*F!$F$21)</f>
        <v>0</v>
      </c>
      <c r="Y27" s="185">
        <f>SUM('Pin Laricio'!AS11*'Pin Laricio'!$F$21,'Pin Maritime'!AS11*'Pin Maritime'!$F$21,'C'!AS11*'C'!$F$21,D!AS11*D!$F$21,E!AS11*E!$F$21,F!AS11*F!$F$21)</f>
        <v>0</v>
      </c>
      <c r="Z27" s="328">
        <f>SUM('Pin Laricio'!AT11*'Pin Laricio'!$F$21,'Pin Maritime'!AT11*'Pin Maritime'!$F$21,'C'!AT11*'C'!$F$21,D!AT11*D!$F$21,E!AT11*E!$F$21,F!AT11*F!$F$21)</f>
        <v>0</v>
      </c>
      <c r="AA27" s="175">
        <f t="shared" si="8"/>
        <v>0</v>
      </c>
      <c r="AB27" s="176">
        <f t="shared" si="7"/>
        <v>-225.99171577526445</v>
      </c>
      <c r="AC27" s="175"/>
      <c r="AD27" s="175"/>
    </row>
    <row r="28" spans="2:30" x14ac:dyDescent="0.3">
      <c r="B28" s="259">
        <f>'Pin Laricio'!B87</f>
        <v>46</v>
      </c>
      <c r="C28" s="222">
        <f>'Pin Laricio'!C87</f>
        <v>53</v>
      </c>
      <c r="D28" s="223">
        <f>'Pin Laricio'!D87</f>
        <v>0.5</v>
      </c>
      <c r="E28" s="218">
        <f>'Pin Laricio'!E87</f>
        <v>0.28000000000000003</v>
      </c>
      <c r="F28" s="218">
        <f>'Pin Laricio'!F87</f>
        <v>0.22</v>
      </c>
      <c r="G28" s="224">
        <f>'Pin Laricio'!G87</f>
        <v>0</v>
      </c>
      <c r="H28" s="207">
        <f>IFERROR(VLOOKUP($B$21,Tableau14582[],4,FALSE)*(1+$L$9)^$B28,0)</f>
        <v>30</v>
      </c>
      <c r="I28" s="208">
        <f>IFERROR(VLOOKUP($B$21,Tableau14582[],5,FALSE)*(1+$L$9)^$B28,0)</f>
        <v>19.375</v>
      </c>
      <c r="J28" s="208">
        <f>IFERROR(VLOOKUP($B$21,Tableau14582[],5,FALSE)*(1+$L$9)^$B28,0)</f>
        <v>19.375</v>
      </c>
      <c r="K28" s="209">
        <f>IFERROR(VLOOKUP($B$21,Tableau14582[],6,FALSE)*(1+$L$9)^$B28,0)</f>
        <v>10</v>
      </c>
      <c r="L28" s="260">
        <f t="shared" si="9"/>
        <v>8635.6875</v>
      </c>
      <c r="N28" s="71">
        <v>7</v>
      </c>
      <c r="O28" s="236"/>
      <c r="P28" s="177"/>
      <c r="Q28" s="237">
        <f t="shared" si="10"/>
        <v>272.49999999999994</v>
      </c>
      <c r="R28" s="177">
        <f t="shared" si="4"/>
        <v>21.799999999999997</v>
      </c>
      <c r="S28" s="177">
        <f>$L$11*(1+$L$9)^N28*'Récapitulatif des résultats'!$I$11</f>
        <v>0</v>
      </c>
      <c r="T28" s="238"/>
      <c r="U28" s="177"/>
      <c r="V28" s="246">
        <f t="shared" si="6"/>
        <v>0</v>
      </c>
      <c r="W28" s="185">
        <f>SUM('Pin Laricio'!AQ12*'Pin Laricio'!$F$21,'Pin Maritime'!AQ12*'Pin Maritime'!$F$21,'C'!AQ12*'C'!$F$21,D!AQ12*D!$F$21,E!AQ12*E!$F$21,F!AQ12*F!$F$21)</f>
        <v>0</v>
      </c>
      <c r="X28" s="185">
        <f>SUM('Pin Laricio'!AR12*'Pin Laricio'!$F$21,'Pin Maritime'!AR12*'Pin Maritime'!$F$21,'C'!AR12*'C'!$F$21,D!AR12*D!$F$21,E!AR12*E!$F$21,F!AR12*F!$F$21)</f>
        <v>0</v>
      </c>
      <c r="Y28" s="185">
        <f>SUM('Pin Laricio'!AS12*'Pin Laricio'!$F$21,'Pin Maritime'!AS12*'Pin Maritime'!$F$21,'C'!AS12*'C'!$F$21,D!AS12*D!$F$21,E!AS12*E!$F$21,F!AS12*F!$F$21)</f>
        <v>0</v>
      </c>
      <c r="Z28" s="328">
        <f>SUM('Pin Laricio'!AT12*'Pin Laricio'!$F$21,'Pin Maritime'!AT12*'Pin Maritime'!$F$21,'C'!AT12*'C'!$F$21,D!AT12*D!$F$21,E!AT12*E!$F$21,F!AT12*F!$F$21)</f>
        <v>0</v>
      </c>
      <c r="AA28" s="175">
        <f t="shared" si="8"/>
        <v>0</v>
      </c>
      <c r="AB28" s="176">
        <f t="shared" si="7"/>
        <v>-216.26001509594684</v>
      </c>
      <c r="AC28" s="175"/>
      <c r="AD28" s="175"/>
    </row>
    <row r="29" spans="2:30" x14ac:dyDescent="0.3">
      <c r="B29" s="259">
        <f>'Pin Laricio'!B88</f>
        <v>51</v>
      </c>
      <c r="C29" s="222">
        <f>'Pin Laricio'!C88</f>
        <v>53</v>
      </c>
      <c r="D29" s="223">
        <f>'Pin Laricio'!D88</f>
        <v>0.6</v>
      </c>
      <c r="E29" s="218">
        <f>'Pin Laricio'!E88</f>
        <v>0.22400000000000003</v>
      </c>
      <c r="F29" s="218">
        <f>'Pin Laricio'!F88</f>
        <v>0.17600000000000002</v>
      </c>
      <c r="G29" s="224">
        <f>'Pin Laricio'!G88</f>
        <v>0</v>
      </c>
      <c r="H29" s="207">
        <f>IFERROR(VLOOKUP($B$21,Tableau14582[],4,FALSE)*(1+$L$9)^$B29,0)</f>
        <v>30</v>
      </c>
      <c r="I29" s="208">
        <f>IFERROR(VLOOKUP($B$21,Tableau14582[],5,FALSE)*(1+$L$9)^$B29,0)</f>
        <v>19.375</v>
      </c>
      <c r="J29" s="208">
        <f>IFERROR(VLOOKUP($B$21,Tableau14582[],5,FALSE)*(1+$L$9)^$B29,0)</f>
        <v>19.375</v>
      </c>
      <c r="K29" s="209">
        <f>IFERROR(VLOOKUP($B$21,Tableau14582[],6,FALSE)*(1+$L$9)^$B29,0)</f>
        <v>10</v>
      </c>
      <c r="L29" s="260">
        <f t="shared" si="9"/>
        <v>9007.35</v>
      </c>
      <c r="N29" s="71">
        <v>8</v>
      </c>
      <c r="O29" s="236"/>
      <c r="P29" s="177"/>
      <c r="Q29" s="237">
        <f t="shared" si="10"/>
        <v>272.49999999999994</v>
      </c>
      <c r="R29" s="177">
        <f t="shared" si="4"/>
        <v>21.799999999999997</v>
      </c>
      <c r="S29" s="177">
        <f>$L$11*(1+$L$9)^N29*'Récapitulatif des résultats'!$I$11</f>
        <v>0</v>
      </c>
      <c r="T29" s="238"/>
      <c r="U29" s="177"/>
      <c r="V29" s="246">
        <f t="shared" si="6"/>
        <v>0</v>
      </c>
      <c r="W29" s="185">
        <f>SUM('Pin Laricio'!AQ13*'Pin Laricio'!$F$21,'Pin Maritime'!AQ13*'Pin Maritime'!$F$21,'C'!AQ13*'C'!$F$21,D!AQ13*D!$F$21,E!AQ13*E!$F$21,F!AQ13*F!$F$21)</f>
        <v>0</v>
      </c>
      <c r="X29" s="185">
        <f>SUM('Pin Laricio'!AR13*'Pin Laricio'!$F$21,'Pin Maritime'!AR13*'Pin Maritime'!$F$21,'C'!AR13*'C'!$F$21,D!AR13*D!$F$21,E!AR13*E!$F$21,F!AR13*F!$F$21)</f>
        <v>0</v>
      </c>
      <c r="Y29" s="185">
        <f>SUM('Pin Laricio'!AS13*'Pin Laricio'!$F$21,'Pin Maritime'!AS13*'Pin Maritime'!$F$21,'C'!AS13*'C'!$F$21,D!AS13*D!$F$21,E!AS13*E!$F$21,F!AS13*F!$F$21)</f>
        <v>0</v>
      </c>
      <c r="Z29" s="328">
        <f>SUM('Pin Laricio'!AT13*'Pin Laricio'!$F$21,'Pin Maritime'!AT13*'Pin Maritime'!$F$21,'C'!AT13*'C'!$F$21,D!AT13*D!$F$21,E!AT13*E!$F$21,F!AT13*F!$F$21)</f>
        <v>0</v>
      </c>
      <c r="AA29" s="175">
        <f t="shared" si="8"/>
        <v>0</v>
      </c>
      <c r="AB29" s="176">
        <f t="shared" si="7"/>
        <v>-206.94738286693484</v>
      </c>
      <c r="AC29" s="175"/>
      <c r="AD29" s="175"/>
    </row>
    <row r="30" spans="2:30" x14ac:dyDescent="0.3">
      <c r="B30" s="259">
        <f>'Pin Laricio'!B89</f>
        <v>59</v>
      </c>
      <c r="C30" s="222">
        <f>'Pin Laricio'!C89</f>
        <v>78</v>
      </c>
      <c r="D30" s="223">
        <f>'Pin Laricio'!D89</f>
        <v>0.7</v>
      </c>
      <c r="E30" s="218">
        <f>'Pin Laricio'!E89</f>
        <v>0.16800000000000004</v>
      </c>
      <c r="F30" s="218">
        <f>'Pin Laricio'!F89</f>
        <v>0.13200000000000003</v>
      </c>
      <c r="G30" s="224">
        <f>'Pin Laricio'!G89</f>
        <v>0</v>
      </c>
      <c r="H30" s="207">
        <f>IFERROR(VLOOKUP($B$21,Tableau14582[],4,FALSE)*(1+$L$9)^$B30,0)</f>
        <v>30</v>
      </c>
      <c r="I30" s="208">
        <f>IFERROR(VLOOKUP($B$21,Tableau14582[],5,FALSE)*(1+$L$9)^$B30,0)</f>
        <v>19.375</v>
      </c>
      <c r="J30" s="208">
        <f>IFERROR(VLOOKUP($B$21,Tableau14582[],5,FALSE)*(1+$L$9)^$B30,0)</f>
        <v>19.375</v>
      </c>
      <c r="K30" s="209">
        <f>IFERROR(VLOOKUP($B$21,Tableau14582[],6,FALSE)*(1+$L$9)^$B30,0)</f>
        <v>10</v>
      </c>
      <c r="L30" s="260">
        <f t="shared" si="9"/>
        <v>13803.074999999999</v>
      </c>
      <c r="N30" s="71">
        <v>9</v>
      </c>
      <c r="O30" s="236"/>
      <c r="P30" s="177"/>
      <c r="Q30" s="237">
        <f t="shared" si="10"/>
        <v>272.49999999999994</v>
      </c>
      <c r="R30" s="177">
        <f t="shared" si="4"/>
        <v>21.799999999999997</v>
      </c>
      <c r="S30" s="177">
        <f>$L$11*(1+$L$9)^N30*'Récapitulatif des résultats'!$I$11</f>
        <v>0</v>
      </c>
      <c r="T30" s="238"/>
      <c r="U30" s="177"/>
      <c r="V30" s="246">
        <f t="shared" si="6"/>
        <v>0</v>
      </c>
      <c r="W30" s="185">
        <f>SUM('Pin Laricio'!AQ14*'Pin Laricio'!$F$21,'Pin Maritime'!AQ14*'Pin Maritime'!$F$21,'C'!AQ14*'C'!$F$21,D!AQ14*D!$F$21,E!AQ14*E!$F$21,F!AQ14*F!$F$21)</f>
        <v>0</v>
      </c>
      <c r="X30" s="185">
        <f>SUM('Pin Laricio'!AR14*'Pin Laricio'!$F$21,'Pin Maritime'!AR14*'Pin Maritime'!$F$21,'C'!AR14*'C'!$F$21,D!AR14*D!$F$21,E!AR14*E!$F$21,F!AR14*F!$F$21)</f>
        <v>0</v>
      </c>
      <c r="Y30" s="185">
        <f>SUM('Pin Laricio'!AS14*'Pin Laricio'!$F$21,'Pin Maritime'!AS14*'Pin Maritime'!$F$21,'C'!AS14*'C'!$F$21,D!AS14*D!$F$21,E!AS14*E!$F$21,F!AS14*F!$F$21)</f>
        <v>0</v>
      </c>
      <c r="Z30" s="328">
        <f>SUM('Pin Laricio'!AT14*'Pin Laricio'!$F$21,'Pin Maritime'!AT14*'Pin Maritime'!$F$21,'C'!AT14*'C'!$F$21,D!AT14*D!$F$21,E!AT14*E!$F$21,F!AT14*F!$F$21)</f>
        <v>0</v>
      </c>
      <c r="AA30" s="175">
        <f t="shared" si="8"/>
        <v>0</v>
      </c>
      <c r="AB30" s="176">
        <f t="shared" si="7"/>
        <v>-198.03577307840655</v>
      </c>
      <c r="AC30" s="175"/>
      <c r="AD30" s="175"/>
    </row>
    <row r="31" spans="2:30" x14ac:dyDescent="0.3">
      <c r="B31" s="259">
        <f>'Pin Laricio'!B90</f>
        <v>67</v>
      </c>
      <c r="C31" s="222">
        <f>'Pin Laricio'!C90</f>
        <v>65</v>
      </c>
      <c r="D31" s="223">
        <f>'Pin Laricio'!D90</f>
        <v>0.8</v>
      </c>
      <c r="E31" s="218">
        <f>'Pin Laricio'!E90</f>
        <v>0.11199999999999999</v>
      </c>
      <c r="F31" s="218">
        <f>'Pin Laricio'!F90</f>
        <v>8.7999999999999981E-2</v>
      </c>
      <c r="G31" s="224">
        <f>'Pin Laricio'!G90</f>
        <v>0</v>
      </c>
      <c r="H31" s="207">
        <f>IFERROR(VLOOKUP($B$21,Tableau14582[],4,FALSE)*(1+$L$9)^$B31,0)</f>
        <v>30</v>
      </c>
      <c r="I31" s="208">
        <f>IFERROR(VLOOKUP($B$21,Tableau14582[],5,FALSE)*(1+$L$9)^$B31,0)</f>
        <v>19.375</v>
      </c>
      <c r="J31" s="208">
        <f>IFERROR(VLOOKUP($B$21,Tableau14582[],5,FALSE)*(1+$L$9)^$B31,0)</f>
        <v>19.375</v>
      </c>
      <c r="K31" s="209">
        <f>IFERROR(VLOOKUP($B$21,Tableau14582[],6,FALSE)*(1+$L$9)^$B31,0)</f>
        <v>10</v>
      </c>
      <c r="L31" s="260">
        <f t="shared" si="9"/>
        <v>11958.375</v>
      </c>
      <c r="N31" s="71">
        <v>10</v>
      </c>
      <c r="O31" s="236"/>
      <c r="P31" s="177"/>
      <c r="Q31" s="237">
        <f t="shared" si="10"/>
        <v>272.49999999999994</v>
      </c>
      <c r="R31" s="177">
        <f t="shared" si="4"/>
        <v>21.799999999999997</v>
      </c>
      <c r="S31" s="177">
        <f>$L$11*(1+$L$9)^N31*'Récapitulatif des résultats'!$I$11</f>
        <v>0</v>
      </c>
      <c r="T31" s="238"/>
      <c r="U31" s="177"/>
      <c r="V31" s="246">
        <f t="shared" si="6"/>
        <v>0</v>
      </c>
      <c r="W31" s="185">
        <f>SUM('Pin Laricio'!AQ15*'Pin Laricio'!$F$21,'Pin Maritime'!AQ15*'Pin Maritime'!$F$21,'C'!AQ15*'C'!$F$21,D!AQ15*D!$F$21,E!AQ15*E!$F$21,F!AQ15*F!$F$21)</f>
        <v>0</v>
      </c>
      <c r="X31" s="185">
        <f>SUM('Pin Laricio'!AR15*'Pin Laricio'!$F$21,'Pin Maritime'!AR15*'Pin Maritime'!$F$21,'C'!AR15*'C'!$F$21,D!AR15*D!$F$21,E!AR15*E!$F$21,F!AR15*F!$F$21)</f>
        <v>0</v>
      </c>
      <c r="Y31" s="185">
        <f>SUM('Pin Laricio'!AS15*'Pin Laricio'!$F$21,'Pin Maritime'!AS15*'Pin Maritime'!$F$21,'C'!AS15*'C'!$F$21,D!AS15*D!$F$21,E!AS15*E!$F$21,F!AS15*F!$F$21)</f>
        <v>0</v>
      </c>
      <c r="Z31" s="328">
        <f>SUM('Pin Laricio'!AT15*'Pin Laricio'!$F$21,'Pin Maritime'!AT15*'Pin Maritime'!$F$21,'C'!AT15*'C'!$F$21,D!AT15*D!$F$21,E!AT15*E!$F$21,F!AT15*F!$F$21)</f>
        <v>0</v>
      </c>
      <c r="AA31" s="175">
        <f t="shared" si="8"/>
        <v>0</v>
      </c>
      <c r="AB31" s="176">
        <f t="shared" si="7"/>
        <v>-189.50791682144171</v>
      </c>
      <c r="AC31" s="175"/>
      <c r="AD31" s="175"/>
    </row>
    <row r="32" spans="2:30" x14ac:dyDescent="0.3">
      <c r="B32" s="259" t="str">
        <f>'Pin Laricio'!B91</f>
        <v>-</v>
      </c>
      <c r="C32" s="222">
        <f>'Pin Laricio'!C91</f>
        <v>37</v>
      </c>
      <c r="D32" s="223">
        <f>'Pin Laricio'!D91</f>
        <v>0.4</v>
      </c>
      <c r="E32" s="218">
        <f>'Pin Laricio'!E91</f>
        <v>0.33600000000000002</v>
      </c>
      <c r="F32" s="218">
        <f>'Pin Laricio'!F91</f>
        <v>0.26400000000000001</v>
      </c>
      <c r="G32" s="224">
        <f>'Pin Laricio'!G91</f>
        <v>0</v>
      </c>
      <c r="H32" s="207">
        <f>IFERROR(VLOOKUP($B$21,Tableau14582[],4,FALSE)*(1+$L$9)^$B32,0)</f>
        <v>0</v>
      </c>
      <c r="I32" s="208">
        <f>IFERROR(VLOOKUP($B$21,Tableau14582[],5,FALSE)*(1+$L$9)^$B32,0)</f>
        <v>0</v>
      </c>
      <c r="J32" s="208">
        <f>IFERROR(VLOOKUP($B$21,Tableau14582[],5,FALSE)*(1+$L$9)^$B32,0)</f>
        <v>0</v>
      </c>
      <c r="K32" s="209">
        <f>IFERROR(VLOOKUP($B$21,Tableau14582[],6,FALSE)*(1+$L$9)^$B32,0)</f>
        <v>0</v>
      </c>
      <c r="L32" s="260">
        <f t="shared" si="9"/>
        <v>0</v>
      </c>
      <c r="N32" s="71">
        <v>11</v>
      </c>
      <c r="O32" s="236"/>
      <c r="P32" s="177"/>
      <c r="Q32" s="237">
        <f t="shared" si="10"/>
        <v>272.49999999999994</v>
      </c>
      <c r="R32" s="177">
        <f t="shared" si="4"/>
        <v>21.799999999999997</v>
      </c>
      <c r="S32" s="177">
        <f>$L$11*(1+$L$9)^N32*'Récapitulatif des résultats'!$I$11</f>
        <v>0</v>
      </c>
      <c r="T32" s="238"/>
      <c r="U32" s="177"/>
      <c r="V32" s="246">
        <f t="shared" si="6"/>
        <v>0</v>
      </c>
      <c r="W32" s="185">
        <f>SUM('Pin Laricio'!AQ16*'Pin Laricio'!$F$21,'Pin Maritime'!AQ16*'Pin Maritime'!$F$21,'C'!AQ16*'C'!$F$21,D!AQ16*D!$F$21,E!AQ16*E!$F$21,F!AQ16*F!$F$21)</f>
        <v>0</v>
      </c>
      <c r="X32" s="185">
        <f>SUM('Pin Laricio'!AR16*'Pin Laricio'!$F$21,'Pin Maritime'!AR16*'Pin Maritime'!$F$21,'C'!AR16*'C'!$F$21,D!AR16*D!$F$21,E!AR16*E!$F$21,F!AR16*F!$F$21)</f>
        <v>0</v>
      </c>
      <c r="Y32" s="185">
        <f>SUM('Pin Laricio'!AS16*'Pin Laricio'!$F$21,'Pin Maritime'!AS16*'Pin Maritime'!$F$21,'C'!AS16*'C'!$F$21,D!AS16*D!$F$21,E!AS16*E!$F$21,F!AS16*F!$F$21)</f>
        <v>0</v>
      </c>
      <c r="Z32" s="328">
        <f>SUM('Pin Laricio'!AT16*'Pin Laricio'!$F$21,'Pin Maritime'!AT16*'Pin Maritime'!$F$21,'C'!AT16*'C'!$F$21,D!AT16*D!$F$21,E!AT16*E!$F$21,F!AT16*F!$F$21)</f>
        <v>0</v>
      </c>
      <c r="AA32" s="175">
        <f t="shared" si="8"/>
        <v>0</v>
      </c>
      <c r="AB32" s="176">
        <f t="shared" si="7"/>
        <v>-181.34728882434612</v>
      </c>
      <c r="AC32" s="175"/>
      <c r="AD32" s="175"/>
    </row>
    <row r="33" spans="1:30" x14ac:dyDescent="0.3">
      <c r="B33" s="259" t="str">
        <f>'Pin Laricio'!B92</f>
        <v>-</v>
      </c>
      <c r="C33" s="222">
        <f>'Pin Laricio'!C92</f>
        <v>26</v>
      </c>
      <c r="D33" s="223">
        <f>'Pin Laricio'!D92</f>
        <v>0.4</v>
      </c>
      <c r="E33" s="218">
        <f>'Pin Laricio'!E92</f>
        <v>0.33600000000000002</v>
      </c>
      <c r="F33" s="218">
        <f>'Pin Laricio'!F92</f>
        <v>0.26400000000000001</v>
      </c>
      <c r="G33" s="224">
        <f>'Pin Laricio'!G92</f>
        <v>0</v>
      </c>
      <c r="H33" s="207">
        <f>IFERROR(VLOOKUP($B$21,Tableau14582[],4,FALSE)*(1+$L$9)^$B33,0)</f>
        <v>0</v>
      </c>
      <c r="I33" s="208">
        <f>IFERROR(VLOOKUP($B$21,Tableau14582[],5,FALSE)*(1+$L$9)^$B33,0)</f>
        <v>0</v>
      </c>
      <c r="J33" s="208">
        <f>IFERROR(VLOOKUP($B$21,Tableau14582[],5,FALSE)*(1+$L$9)^$B33,0)</f>
        <v>0</v>
      </c>
      <c r="K33" s="209">
        <f>IFERROR(VLOOKUP($B$21,Tableau14582[],6,FALSE)*(1+$L$9)^$B33,0)</f>
        <v>0</v>
      </c>
      <c r="L33" s="260">
        <f t="shared" si="9"/>
        <v>0</v>
      </c>
      <c r="N33" s="71">
        <v>12</v>
      </c>
      <c r="O33" s="236"/>
      <c r="P33" s="177"/>
      <c r="Q33" s="237">
        <f t="shared" si="10"/>
        <v>272.49999999999994</v>
      </c>
      <c r="R33" s="177">
        <f t="shared" si="4"/>
        <v>21.799999999999997</v>
      </c>
      <c r="S33" s="177">
        <f>$L$11*(1+$L$9)^N33*'Récapitulatif des résultats'!$I$11</f>
        <v>0</v>
      </c>
      <c r="T33" s="238"/>
      <c r="U33" s="177"/>
      <c r="V33" s="246">
        <f t="shared" si="6"/>
        <v>0</v>
      </c>
      <c r="W33" s="185">
        <f>SUM('Pin Laricio'!AQ17*'Pin Laricio'!$F$21,'Pin Maritime'!AQ17*'Pin Maritime'!$F$21,'C'!AQ17*'C'!$F$21,D!AQ17*D!$F$21,E!AQ17*E!$F$21,F!AQ17*F!$F$21)</f>
        <v>0</v>
      </c>
      <c r="X33" s="185">
        <f>SUM('Pin Laricio'!AR17*'Pin Laricio'!$F$21,'Pin Maritime'!AR17*'Pin Maritime'!$F$21,'C'!AR17*'C'!$F$21,D!AR17*D!$F$21,E!AR17*E!$F$21,F!AR17*F!$F$21)</f>
        <v>0</v>
      </c>
      <c r="Y33" s="185">
        <f>SUM('Pin Laricio'!AS17*'Pin Laricio'!$F$21,'Pin Maritime'!AS17*'Pin Maritime'!$F$21,'C'!AS17*'C'!$F$21,D!AS17*D!$F$21,E!AS17*E!$F$21,F!AS17*F!$F$21)</f>
        <v>0</v>
      </c>
      <c r="Z33" s="328">
        <f>SUM('Pin Laricio'!AT17*'Pin Laricio'!$F$21,'Pin Maritime'!AT17*'Pin Maritime'!$F$21,'C'!AT17*'C'!$F$21,D!AT17*D!$F$21,E!AT17*E!$F$21,F!AT17*F!$F$21)</f>
        <v>0</v>
      </c>
      <c r="AA33" s="175">
        <f t="shared" si="8"/>
        <v>0</v>
      </c>
      <c r="AB33" s="176">
        <f t="shared" si="7"/>
        <v>-173.53807542999633</v>
      </c>
      <c r="AC33" s="175"/>
      <c r="AD33" s="175"/>
    </row>
    <row r="34" spans="1:30" x14ac:dyDescent="0.3">
      <c r="B34" s="259">
        <f>'Pin Laricio'!B93</f>
        <v>1</v>
      </c>
      <c r="C34" s="222">
        <f>'Pin Laricio'!C93</f>
        <v>0</v>
      </c>
      <c r="D34" s="223">
        <f>'Pin Laricio'!D93</f>
        <v>0.5</v>
      </c>
      <c r="E34" s="218">
        <f>'Pin Laricio'!E93</f>
        <v>0.28000000000000003</v>
      </c>
      <c r="F34" s="218">
        <f>'Pin Laricio'!F93</f>
        <v>0.22</v>
      </c>
      <c r="G34" s="224">
        <f>'Pin Laricio'!G93</f>
        <v>0</v>
      </c>
      <c r="H34" s="207">
        <f>IFERROR(VLOOKUP($B$21,Tableau14582[],4,FALSE)*(1+$L$9)^$B34,0)</f>
        <v>30</v>
      </c>
      <c r="I34" s="208">
        <f>IFERROR(VLOOKUP($B$21,Tableau14582[],5,FALSE)*(1+$L$9)^$B34,0)</f>
        <v>19.375</v>
      </c>
      <c r="J34" s="208">
        <f>IFERROR(VLOOKUP($B$21,Tableau14582[],5,FALSE)*(1+$L$9)^$B34,0)</f>
        <v>19.375</v>
      </c>
      <c r="K34" s="209">
        <f>IFERROR(VLOOKUP($B$21,Tableau14582[],6,FALSE)*(1+$L$9)^$B34,0)</f>
        <v>10</v>
      </c>
      <c r="L34" s="260">
        <f t="shared" si="9"/>
        <v>0</v>
      </c>
      <c r="N34" s="71">
        <v>13</v>
      </c>
      <c r="O34" s="236"/>
      <c r="P34" s="177"/>
      <c r="Q34" s="237">
        <f t="shared" si="10"/>
        <v>272.49999999999994</v>
      </c>
      <c r="R34" s="177">
        <f t="shared" si="4"/>
        <v>21.799999999999997</v>
      </c>
      <c r="S34" s="177">
        <f>$L$11*(1+$L$9)^N34*'Récapitulatif des résultats'!$I$11</f>
        <v>0</v>
      </c>
      <c r="T34" s="238"/>
      <c r="U34" s="177"/>
      <c r="V34" s="246">
        <f t="shared" si="6"/>
        <v>0</v>
      </c>
      <c r="W34" s="185">
        <f>SUM('Pin Laricio'!AQ18*'Pin Laricio'!$F$21,'Pin Maritime'!AQ18*'Pin Maritime'!$F$21,'C'!AQ18*'C'!$F$21,D!AQ18*D!$F$21,E!AQ18*E!$F$21,F!AQ18*F!$F$21)</f>
        <v>0</v>
      </c>
      <c r="X34" s="185">
        <f>SUM('Pin Laricio'!AR18*'Pin Laricio'!$F$21,'Pin Maritime'!AR18*'Pin Maritime'!$F$21,'C'!AR18*'C'!$F$21,D!AR18*D!$F$21,E!AR18*E!$F$21,F!AR18*F!$F$21)</f>
        <v>0</v>
      </c>
      <c r="Y34" s="185">
        <f>SUM('Pin Laricio'!AS18*'Pin Laricio'!$F$21,'Pin Maritime'!AS18*'Pin Maritime'!$F$21,'C'!AS18*'C'!$F$21,D!AS18*D!$F$21,E!AS18*E!$F$21,F!AS18*F!$F$21)</f>
        <v>0</v>
      </c>
      <c r="Z34" s="328">
        <f>SUM('Pin Laricio'!AT18*'Pin Laricio'!$F$21,'Pin Maritime'!AT18*'Pin Maritime'!$F$21,'C'!AT18*'C'!$F$21,D!AT18*D!$F$21,E!AT18*E!$F$21,F!AT18*F!$F$21)</f>
        <v>0</v>
      </c>
      <c r="AA34" s="175">
        <f t="shared" si="8"/>
        <v>0</v>
      </c>
      <c r="AB34" s="176">
        <f t="shared" si="7"/>
        <v>-166.06514395214958</v>
      </c>
      <c r="AC34" s="175"/>
      <c r="AD34" s="175"/>
    </row>
    <row r="35" spans="1:30" x14ac:dyDescent="0.3">
      <c r="B35" s="261">
        <f>'Pin Laricio'!B95</f>
        <v>70</v>
      </c>
      <c r="C35" s="225">
        <f>'Pin Laricio'!C95</f>
        <v>430</v>
      </c>
      <c r="D35" s="219">
        <f>'Pin Laricio'!D95</f>
        <v>0.9</v>
      </c>
      <c r="E35" s="231">
        <f>'Pin Laricio'!E95</f>
        <v>5.5999999999999994E-2</v>
      </c>
      <c r="F35" s="231">
        <f>'Pin Laricio'!F95</f>
        <v>4.3999999999999991E-2</v>
      </c>
      <c r="G35" s="226">
        <f>'Pin Laricio'!G95</f>
        <v>0</v>
      </c>
      <c r="H35" s="210">
        <f>IFERROR(VLOOKUP($B$21,Tableau14582[],4,FALSE)*(1+$L$9)^$B35,0)</f>
        <v>30</v>
      </c>
      <c r="I35" s="211">
        <f>IFERROR(VLOOKUP($B$21,Tableau14582[],5,FALSE)*(1+$L$9)^$B35,0)</f>
        <v>19.375</v>
      </c>
      <c r="J35" s="211">
        <f>IFERROR(VLOOKUP($B$21,Tableau14582[],5,FALSE)*(1+$L$9)^$B35,0)</f>
        <v>19.375</v>
      </c>
      <c r="K35" s="212">
        <f>IFERROR(VLOOKUP($B$21,Tableau14582[],6,FALSE)*(1+$L$9)^$B35,0)</f>
        <v>10</v>
      </c>
      <c r="L35" s="262">
        <f t="shared" si="9"/>
        <v>82124.625</v>
      </c>
      <c r="N35" s="71">
        <v>14</v>
      </c>
      <c r="O35" s="236"/>
      <c r="P35" s="177"/>
      <c r="Q35" s="237">
        <f t="shared" si="10"/>
        <v>272.49999999999994</v>
      </c>
      <c r="R35" s="177">
        <f t="shared" si="4"/>
        <v>21.799999999999997</v>
      </c>
      <c r="S35" s="177">
        <f>$L$11*(1+$L$9)^N35*'Récapitulatif des résultats'!$I$11</f>
        <v>0</v>
      </c>
      <c r="T35" s="238"/>
      <c r="U35" s="177"/>
      <c r="V35" s="246">
        <f t="shared" si="6"/>
        <v>0</v>
      </c>
      <c r="W35" s="185">
        <f>SUM('Pin Laricio'!AQ19*'Pin Laricio'!$F$21,'Pin Maritime'!AQ19*'Pin Maritime'!$F$21,'C'!AQ19*'C'!$F$21,D!AQ19*D!$F$21,E!AQ19*E!$F$21,F!AQ19*F!$F$21)</f>
        <v>0</v>
      </c>
      <c r="X35" s="185">
        <f>SUM('Pin Laricio'!AR19*'Pin Laricio'!$F$21,'Pin Maritime'!AR19*'Pin Maritime'!$F$21,'C'!AR19*'C'!$F$21,D!AR19*D!$F$21,E!AR19*E!$F$21,F!AR19*F!$F$21)</f>
        <v>0</v>
      </c>
      <c r="Y35" s="185">
        <f>SUM('Pin Laricio'!AS19*'Pin Laricio'!$F$21,'Pin Maritime'!AS19*'Pin Maritime'!$F$21,'C'!AS19*'C'!$F$21,D!AS19*D!$F$21,E!AS19*E!$F$21,F!AS19*F!$F$21)</f>
        <v>0</v>
      </c>
      <c r="Z35" s="328">
        <f>SUM('Pin Laricio'!AT19*'Pin Laricio'!$F$21,'Pin Maritime'!AT19*'Pin Maritime'!$F$21,'C'!AT19*'C'!$F$21,D!AT19*D!$F$21,E!AT19*E!$F$21,F!AT19*F!$F$21)</f>
        <v>0</v>
      </c>
      <c r="AA35" s="175">
        <f t="shared" si="8"/>
        <v>0</v>
      </c>
      <c r="AB35" s="176">
        <f t="shared" si="7"/>
        <v>-158.91401335133938</v>
      </c>
      <c r="AC35" s="175"/>
      <c r="AD35" s="175"/>
    </row>
    <row r="36" spans="1:30" x14ac:dyDescent="0.3">
      <c r="B36" s="263"/>
      <c r="C36" s="264"/>
      <c r="D36" s="264"/>
      <c r="E36" s="264"/>
      <c r="F36" s="264"/>
      <c r="G36" s="264"/>
      <c r="H36" s="264"/>
      <c r="I36" s="264"/>
      <c r="J36" s="264"/>
      <c r="K36" s="264"/>
      <c r="L36" s="265"/>
      <c r="N36" s="71">
        <v>15</v>
      </c>
      <c r="O36" s="236"/>
      <c r="P36" s="177"/>
      <c r="Q36" s="237">
        <f t="shared" si="10"/>
        <v>272.49999999999994</v>
      </c>
      <c r="R36" s="177">
        <f t="shared" si="4"/>
        <v>21.799999999999997</v>
      </c>
      <c r="S36" s="177">
        <f>$L$11*(1+$L$9)^N36*'Récapitulatif des résultats'!$I$11</f>
        <v>0</v>
      </c>
      <c r="T36" s="238"/>
      <c r="U36" s="177"/>
      <c r="V36" s="246">
        <f t="shared" si="6"/>
        <v>0</v>
      </c>
      <c r="W36" s="185">
        <f>SUM('Pin Laricio'!AQ20*'Pin Laricio'!$F$21,'Pin Maritime'!AQ20*'Pin Maritime'!$F$21,'C'!AQ20*'C'!$F$21,D!AQ20*D!$F$21,E!AQ20*E!$F$21,F!AQ20*F!$F$21)</f>
        <v>0</v>
      </c>
      <c r="X36" s="185">
        <f>SUM('Pin Laricio'!AR20*'Pin Laricio'!$F$21,'Pin Maritime'!AR20*'Pin Maritime'!$F$21,'C'!AR20*'C'!$F$21,D!AR20*D!$F$21,E!AR20*E!$F$21,F!AR20*F!$F$21)</f>
        <v>0</v>
      </c>
      <c r="Y36" s="185">
        <f>SUM('Pin Laricio'!AS20*'Pin Laricio'!$F$21,'Pin Maritime'!AS20*'Pin Maritime'!$F$21,'C'!AS20*'C'!$F$21,D!AS20*D!$F$21,E!AS20*E!$F$21,F!AS20*F!$F$21)</f>
        <v>0</v>
      </c>
      <c r="Z36" s="328">
        <f>SUM('Pin Laricio'!AT20*'Pin Laricio'!$F$21,'Pin Maritime'!AT20*'Pin Maritime'!$F$21,'C'!AT20*'C'!$F$21,D!AT20*D!$F$21,E!AT20*E!$F$21,F!AT20*F!$F$21)</f>
        <v>0</v>
      </c>
      <c r="AA36" s="175">
        <f t="shared" si="8"/>
        <v>0</v>
      </c>
      <c r="AB36" s="176">
        <f t="shared" si="7"/>
        <v>-152.07082617353046</v>
      </c>
      <c r="AC36" s="175"/>
      <c r="AD36" s="175"/>
    </row>
    <row r="37" spans="1:30" x14ac:dyDescent="0.3">
      <c r="B37" s="409" t="str">
        <f>'Pin Maritime'!F17</f>
        <v xml:space="preserve">Pin maritime </v>
      </c>
      <c r="C37" s="410">
        <f>'Pin Maritime'!C80</f>
        <v>0</v>
      </c>
      <c r="D37" s="410">
        <f>'Pin Maritime'!D80</f>
        <v>0</v>
      </c>
      <c r="E37" s="410">
        <f>'Pin Maritime'!E80</f>
        <v>0</v>
      </c>
      <c r="F37" s="410">
        <f>'Pin Maritime'!F80</f>
        <v>0</v>
      </c>
      <c r="G37" s="411">
        <f>'Pin Maritime'!G80</f>
        <v>0</v>
      </c>
      <c r="H37" s="395" t="s">
        <v>248</v>
      </c>
      <c r="I37" s="396"/>
      <c r="J37" s="396"/>
      <c r="K37" s="397"/>
      <c r="L37" s="254">
        <f>R5</f>
        <v>4.3</v>
      </c>
      <c r="N37" s="71">
        <v>16</v>
      </c>
      <c r="O37" s="236"/>
      <c r="P37" s="177"/>
      <c r="Q37" s="237">
        <f t="shared" si="10"/>
        <v>272.49999999999994</v>
      </c>
      <c r="R37" s="177">
        <f t="shared" si="4"/>
        <v>21.799999999999997</v>
      </c>
      <c r="S37" s="177">
        <f>$L$11*(1+$L$9)^N37*'Récapitulatif des résultats'!$I$11</f>
        <v>0</v>
      </c>
      <c r="T37" s="238"/>
      <c r="U37" s="177"/>
      <c r="V37" s="246">
        <f t="shared" si="6"/>
        <v>115.09329580467893</v>
      </c>
      <c r="W37" s="185">
        <f>SUM('Pin Laricio'!AQ21*'Pin Laricio'!$F$21,'Pin Maritime'!AQ21*'Pin Maritime'!$F$21,'C'!AQ21*'C'!$F$21,D!AQ21*D!$F$21,E!AQ21*E!$F$21,F!AQ21*F!$F$21)</f>
        <v>0</v>
      </c>
      <c r="X37" s="185">
        <f>SUM('Pin Laricio'!AR21*'Pin Laricio'!$F$21,'Pin Maritime'!AR21*'Pin Maritime'!$F$21,'C'!AR21*'C'!$F$21,D!AR21*D!$F$21,E!AR21*E!$F$21,F!AR21*F!$F$21)</f>
        <v>64.452245650620199</v>
      </c>
      <c r="Y37" s="185">
        <f>SUM('Pin Laricio'!AS21*'Pin Laricio'!$F$21,'Pin Maritime'!AS21*'Pin Maritime'!$F$21,'C'!AS21*'C'!$F$21,D!AS21*D!$F$21,E!AS21*E!$F$21,F!AS21*F!$F$21)</f>
        <v>50.641050154058732</v>
      </c>
      <c r="Z37" s="328">
        <f>SUM('Pin Laricio'!AT21*'Pin Laricio'!$F$21,'Pin Maritime'!AT21*'Pin Maritime'!$F$21,'C'!AT21*'C'!$F$21,D!AT21*D!$F$21,E!AT21*E!$F$21,F!AT21*F!$F$21)</f>
        <v>0</v>
      </c>
      <c r="AA37" s="175">
        <f t="shared" si="8"/>
        <v>2229.9326062156542</v>
      </c>
      <c r="AB37" s="176">
        <f t="shared" si="7"/>
        <v>957.11094396610133</v>
      </c>
      <c r="AC37" s="175"/>
      <c r="AD37" s="175"/>
    </row>
    <row r="38" spans="1:30" x14ac:dyDescent="0.3">
      <c r="B38" s="266" t="str">
        <f>'Pin Maritime'!B81</f>
        <v>Année</v>
      </c>
      <c r="C38" s="227" t="str">
        <f>'Pin Maritime'!C81</f>
        <v>Volume d'éclaircie</v>
      </c>
      <c r="D38" s="214" t="str">
        <f>'Pin Maritime'!D81</f>
        <v>BO</v>
      </c>
      <c r="E38" s="214" t="str">
        <f>'Pin Maritime'!E81</f>
        <v>BI - panneaux</v>
      </c>
      <c r="F38" s="214" t="str">
        <f>'Pin Maritime'!F81</f>
        <v>BI - papier</v>
      </c>
      <c r="G38" s="215" t="str">
        <f>'Pin Maritime'!G81</f>
        <v>BE</v>
      </c>
      <c r="H38" s="213" t="s">
        <v>78</v>
      </c>
      <c r="I38" s="214" t="s">
        <v>81</v>
      </c>
      <c r="J38" s="214" t="s">
        <v>80</v>
      </c>
      <c r="K38" s="215" t="s">
        <v>79</v>
      </c>
      <c r="L38" s="256" t="s">
        <v>252</v>
      </c>
      <c r="N38" s="71">
        <v>17</v>
      </c>
      <c r="O38" s="236"/>
      <c r="P38" s="177"/>
      <c r="Q38" s="237">
        <f t="shared" si="10"/>
        <v>272.49999999999994</v>
      </c>
      <c r="R38" s="177">
        <f t="shared" si="4"/>
        <v>21.799999999999997</v>
      </c>
      <c r="S38" s="177">
        <f>$L$11*(1+$L$9)^N38*'Récapitulatif des résultats'!$I$11</f>
        <v>0</v>
      </c>
      <c r="T38" s="238"/>
      <c r="U38" s="177"/>
      <c r="V38" s="246">
        <f t="shared" si="6"/>
        <v>0</v>
      </c>
      <c r="W38" s="185">
        <f>SUM('Pin Laricio'!AQ22*'Pin Laricio'!$F$21,'Pin Maritime'!AQ22*'Pin Maritime'!$F$21,'C'!AQ22*'C'!$F$21,D!AQ22*D!$F$21,E!AQ22*E!$F$21,F!AQ22*F!$F$21)</f>
        <v>0</v>
      </c>
      <c r="X38" s="185">
        <f>SUM('Pin Laricio'!AR22*'Pin Laricio'!$F$21,'Pin Maritime'!AR22*'Pin Maritime'!$F$21,'C'!AR22*'C'!$F$21,D!AR22*D!$F$21,E!AR22*E!$F$21,F!AR22*F!$F$21)</f>
        <v>0</v>
      </c>
      <c r="Y38" s="185">
        <f>SUM('Pin Laricio'!AS22*'Pin Laricio'!$F$21,'Pin Maritime'!AS22*'Pin Maritime'!$F$21,'C'!AS22*'C'!$F$21,D!AS22*D!$F$21,E!AS22*E!$F$21,F!AS22*F!$F$21)</f>
        <v>0</v>
      </c>
      <c r="Z38" s="328">
        <f>SUM('Pin Laricio'!AT22*'Pin Laricio'!$F$21,'Pin Maritime'!AT22*'Pin Maritime'!$F$21,'C'!AT22*'C'!$F$21,D!AT22*D!$F$21,E!AT22*E!$F$21,F!AT22*F!$F$21)</f>
        <v>0</v>
      </c>
      <c r="AA38" s="175">
        <f t="shared" si="8"/>
        <v>0</v>
      </c>
      <c r="AB38" s="176">
        <f t="shared" si="7"/>
        <v>-139.25581023651523</v>
      </c>
      <c r="AC38" s="175"/>
      <c r="AD38" s="175"/>
    </row>
    <row r="39" spans="1:30" x14ac:dyDescent="0.3">
      <c r="B39" s="257">
        <f>'Pin Maritime'!B82</f>
        <v>16</v>
      </c>
      <c r="C39" s="220">
        <f>'Pin Maritime'!C82</f>
        <v>26.765882745274169</v>
      </c>
      <c r="D39" s="217">
        <f>'Pin Maritime'!D82</f>
        <v>0</v>
      </c>
      <c r="E39" s="217">
        <f>'Pin Maritime'!E82</f>
        <v>0.56000000000000005</v>
      </c>
      <c r="F39" s="217">
        <f>'Pin Maritime'!F82</f>
        <v>0.44</v>
      </c>
      <c r="G39" s="221">
        <f>'Pin Maritime'!G82</f>
        <v>0</v>
      </c>
      <c r="H39" s="228">
        <f>IFERROR(VLOOKUP($B$37,Tableau14582[],4,FALSE)*(1+$L$9)^$B39,0)</f>
        <v>42</v>
      </c>
      <c r="I39" s="229">
        <f>IFERROR(VLOOKUP($B$37,Tableau14582[],5,FALSE)*(1+$L$9)^$B39,0)</f>
        <v>19.375</v>
      </c>
      <c r="J39" s="229">
        <f>IFERROR(VLOOKUP($B$37,Tableau14582[],5,FALSE)*(1+$L$9)^$B39,0)</f>
        <v>19.375</v>
      </c>
      <c r="K39" s="230">
        <f>IFERROR(VLOOKUP($B$37,Tableau14582[],6,FALSE)*(1+$L$9)^$B39,0)</f>
        <v>10</v>
      </c>
      <c r="L39" s="258">
        <f>(C39*D39*H39+C39*E39*I39+C39*F39*J39+C39*G39*K39)*L$37</f>
        <v>2229.9326062156542</v>
      </c>
      <c r="N39" s="71">
        <v>18</v>
      </c>
      <c r="O39" s="236"/>
      <c r="P39" s="177"/>
      <c r="Q39" s="237">
        <f t="shared" si="10"/>
        <v>272.49999999999994</v>
      </c>
      <c r="R39" s="177">
        <f t="shared" si="4"/>
        <v>21.799999999999997</v>
      </c>
      <c r="S39" s="177">
        <f>$L$11*(1+$L$9)^N39*'Récapitulatif des résultats'!$I$11</f>
        <v>0</v>
      </c>
      <c r="T39" s="238"/>
      <c r="U39" s="177"/>
      <c r="V39" s="246">
        <f t="shared" si="6"/>
        <v>0</v>
      </c>
      <c r="W39" s="185">
        <f>SUM('Pin Laricio'!AQ23*'Pin Laricio'!$F$21,'Pin Maritime'!AQ23*'Pin Maritime'!$F$21,'C'!AQ23*'C'!$F$21,D!AQ23*D!$F$21,E!AQ23*E!$F$21,F!AQ23*F!$F$21)</f>
        <v>0</v>
      </c>
      <c r="X39" s="185">
        <f>SUM('Pin Laricio'!AR23*'Pin Laricio'!$F$21,'Pin Maritime'!AR23*'Pin Maritime'!$F$21,'C'!AR23*'C'!$F$21,D!AR23*D!$F$21,E!AR23*E!$F$21,F!AR23*F!$F$21)</f>
        <v>0</v>
      </c>
      <c r="Y39" s="185">
        <f>SUM('Pin Laricio'!AS23*'Pin Laricio'!$F$21,'Pin Maritime'!AS23*'Pin Maritime'!$F$21,'C'!AS23*'C'!$F$21,D!AS23*D!$F$21,E!AS23*E!$F$21,F!AS23*F!$F$21)</f>
        <v>0</v>
      </c>
      <c r="Z39" s="328">
        <f>SUM('Pin Laricio'!AT23*'Pin Laricio'!$F$21,'Pin Maritime'!AT23*'Pin Maritime'!$F$21,'C'!AT23*'C'!$F$21,D!AT23*D!$F$21,E!AT23*E!$F$21,F!AT23*F!$F$21)</f>
        <v>0</v>
      </c>
      <c r="AA39" s="175">
        <f t="shared" si="8"/>
        <v>0</v>
      </c>
      <c r="AB39" s="176">
        <f t="shared" si="7"/>
        <v>-133.25914855168924</v>
      </c>
      <c r="AC39" s="175"/>
      <c r="AD39" s="175"/>
    </row>
    <row r="40" spans="1:30" x14ac:dyDescent="0.3">
      <c r="A40" s="388"/>
      <c r="B40" s="259">
        <f>'Pin Maritime'!B83</f>
        <v>21</v>
      </c>
      <c r="C40" s="222">
        <f>'Pin Maritime'!C83</f>
        <v>40.111031921545845</v>
      </c>
      <c r="D40" s="223">
        <f>'Pin Maritime'!D83</f>
        <v>0</v>
      </c>
      <c r="E40" s="218">
        <f>'Pin Maritime'!E83</f>
        <v>0.56000000000000005</v>
      </c>
      <c r="F40" s="218">
        <f>'Pin Maritime'!F83</f>
        <v>0.44</v>
      </c>
      <c r="G40" s="224">
        <f>'Pin Maritime'!G83</f>
        <v>0</v>
      </c>
      <c r="H40" s="207">
        <f>IFERROR(VLOOKUP($B$37,Tableau14582[],4,FALSE)*(1+$L$9)^$B40,0)</f>
        <v>42</v>
      </c>
      <c r="I40" s="208">
        <f>IFERROR(VLOOKUP($B$37,Tableau14582[],5,FALSE)*(1+$L$9)^$B40,0)</f>
        <v>19.375</v>
      </c>
      <c r="J40" s="208">
        <f>IFERROR(VLOOKUP($B$37,Tableau14582[],5,FALSE)*(1+$L$9)^$B40,0)</f>
        <v>19.375</v>
      </c>
      <c r="K40" s="209">
        <f>IFERROR(VLOOKUP($B$37,Tableau14582[],6,FALSE)*(1+$L$9)^$B40,0)</f>
        <v>10</v>
      </c>
      <c r="L40" s="260">
        <f t="shared" ref="L40:L51" si="11">(C40*D40*H40+C40*E40*I40+C40*F40*J40+C40*G40*K40)*L$37</f>
        <v>3341.7503469637882</v>
      </c>
      <c r="N40" s="71">
        <v>19</v>
      </c>
      <c r="O40" s="236"/>
      <c r="P40" s="177"/>
      <c r="Q40" s="237">
        <f t="shared" si="10"/>
        <v>272.49999999999994</v>
      </c>
      <c r="R40" s="177">
        <f t="shared" si="4"/>
        <v>21.799999999999997</v>
      </c>
      <c r="S40" s="177">
        <f>$L$11*(1+$L$9)^N40*'Récapitulatif des résultats'!$I$11</f>
        <v>0</v>
      </c>
      <c r="T40" s="238"/>
      <c r="U40" s="177"/>
      <c r="V40" s="246">
        <f t="shared" si="6"/>
        <v>0</v>
      </c>
      <c r="W40" s="185">
        <f>SUM('Pin Laricio'!AQ24*'Pin Laricio'!$F$21,'Pin Maritime'!AQ24*'Pin Maritime'!$F$21,'C'!AQ24*'C'!$F$21,D!AQ24*D!$F$21,E!AQ24*E!$F$21,F!AQ24*F!$F$21)</f>
        <v>0</v>
      </c>
      <c r="X40" s="185">
        <f>SUM('Pin Laricio'!AR24*'Pin Laricio'!$F$21,'Pin Maritime'!AR24*'Pin Maritime'!$F$21,'C'!AR24*'C'!$F$21,D!AR24*D!$F$21,E!AR24*E!$F$21,F!AR24*F!$F$21)</f>
        <v>0</v>
      </c>
      <c r="Y40" s="185">
        <f>SUM('Pin Laricio'!AS24*'Pin Laricio'!$F$21,'Pin Maritime'!AS24*'Pin Maritime'!$F$21,'C'!AS24*'C'!$F$21,D!AS24*D!$F$21,E!AS24*E!$F$21,F!AS24*F!$F$21)</f>
        <v>0</v>
      </c>
      <c r="Z40" s="328">
        <f>SUM('Pin Laricio'!AT24*'Pin Laricio'!$F$21,'Pin Maritime'!AT24*'Pin Maritime'!$F$21,'C'!AT24*'C'!$F$21,D!AT24*D!$F$21,E!AT24*E!$F$21,F!AT24*F!$F$21)</f>
        <v>0</v>
      </c>
      <c r="AA40" s="175">
        <f t="shared" si="8"/>
        <v>0</v>
      </c>
      <c r="AB40" s="176">
        <f t="shared" si="7"/>
        <v>-127.52071631740597</v>
      </c>
      <c r="AC40" s="175"/>
      <c r="AD40" s="175"/>
    </row>
    <row r="41" spans="1:30" x14ac:dyDescent="0.3">
      <c r="A41" s="388"/>
      <c r="B41" s="259">
        <f>'Pin Maritime'!B84</f>
        <v>26</v>
      </c>
      <c r="C41" s="222">
        <f>'Pin Maritime'!C84</f>
        <v>40.284666387285768</v>
      </c>
      <c r="D41" s="223">
        <f>'Pin Maritime'!D84</f>
        <v>0</v>
      </c>
      <c r="E41" s="218">
        <f>'Pin Maritime'!E84</f>
        <v>0.56000000000000005</v>
      </c>
      <c r="F41" s="218">
        <f>'Pin Maritime'!F84</f>
        <v>0.44</v>
      </c>
      <c r="G41" s="224">
        <f>'Pin Maritime'!G84</f>
        <v>0</v>
      </c>
      <c r="H41" s="207">
        <f>IFERROR(VLOOKUP($B$37,Tableau14582[],4,FALSE)*(1+$L$9)^$B41,0)</f>
        <v>42</v>
      </c>
      <c r="I41" s="208">
        <f>IFERROR(VLOOKUP($B$37,Tableau14582[],5,FALSE)*(1+$L$9)^$B41,0)</f>
        <v>19.375</v>
      </c>
      <c r="J41" s="208">
        <f>IFERROR(VLOOKUP($B$37,Tableau14582[],5,FALSE)*(1+$L$9)^$B41,0)</f>
        <v>19.375</v>
      </c>
      <c r="K41" s="209">
        <f>IFERROR(VLOOKUP($B$37,Tableau14582[],6,FALSE)*(1+$L$9)^$B41,0)</f>
        <v>10</v>
      </c>
      <c r="L41" s="260">
        <f t="shared" si="11"/>
        <v>3356.2162683907454</v>
      </c>
      <c r="N41" s="71">
        <v>20</v>
      </c>
      <c r="O41" s="236"/>
      <c r="P41" s="177"/>
      <c r="Q41" s="237">
        <f t="shared" si="10"/>
        <v>272.49999999999994</v>
      </c>
      <c r="R41" s="177">
        <f t="shared" si="4"/>
        <v>21.799999999999997</v>
      </c>
      <c r="S41" s="177">
        <f>$L$11*(1+$L$9)^N41*'Récapitulatif des résultats'!$I$11</f>
        <v>0</v>
      </c>
      <c r="T41" s="238"/>
      <c r="U41" s="177"/>
      <c r="V41" s="246">
        <f>SUM(W41:Z41)</f>
        <v>0</v>
      </c>
      <c r="W41" s="185">
        <f>SUM('Pin Laricio'!AQ25*'Pin Laricio'!$F$21,'Pin Maritime'!AQ25*'Pin Maritime'!$F$21,'C'!AQ25*'C'!$F$21,D!AQ25*D!$F$21,E!AQ25*E!$F$21,F!AQ25*F!$F$21)</f>
        <v>0</v>
      </c>
      <c r="X41" s="185">
        <f>SUM('Pin Laricio'!AR25*'Pin Laricio'!$F$21,'Pin Maritime'!AR25*'Pin Maritime'!$F$21,'C'!AR25*'C'!$F$21,D!AR25*D!$F$21,E!AR25*E!$F$21,F!AR25*F!$F$21)</f>
        <v>0</v>
      </c>
      <c r="Y41" s="185">
        <f>SUM('Pin Laricio'!AS25*'Pin Laricio'!$F$21,'Pin Maritime'!AS25*'Pin Maritime'!$F$21,'C'!AS25*'C'!$F$21,D!AS25*D!$F$21,E!AS25*E!$F$21,F!AS25*F!$F$21)</f>
        <v>0</v>
      </c>
      <c r="Z41" s="328">
        <f>SUM('Pin Laricio'!AT25*'Pin Laricio'!$F$21,'Pin Maritime'!AT25*'Pin Maritime'!$F$21,'C'!AT25*'C'!$F$21,D!AT25*D!$F$21,E!AT25*E!$F$21,F!AT25*F!$F$21)</f>
        <v>0</v>
      </c>
      <c r="AA41" s="175">
        <f t="shared" si="8"/>
        <v>0</v>
      </c>
      <c r="AB41" s="176">
        <f t="shared" si="7"/>
        <v>-122.02939360517321</v>
      </c>
      <c r="AC41" s="175"/>
      <c r="AD41" s="175"/>
    </row>
    <row r="42" spans="1:30" x14ac:dyDescent="0.3">
      <c r="A42" s="388"/>
      <c r="B42" s="259">
        <f>'Pin Maritime'!B85</f>
        <v>31</v>
      </c>
      <c r="C42" s="222">
        <f>'Pin Maritime'!C85</f>
        <v>39.900378267572421</v>
      </c>
      <c r="D42" s="223">
        <f>'Pin Maritime'!D85</f>
        <v>0.2</v>
      </c>
      <c r="E42" s="218">
        <f>'Pin Maritime'!E85</f>
        <v>0.44800000000000006</v>
      </c>
      <c r="F42" s="218">
        <f>'Pin Maritime'!F85</f>
        <v>0.35200000000000004</v>
      </c>
      <c r="G42" s="224">
        <f>'Pin Maritime'!G85</f>
        <v>0</v>
      </c>
      <c r="H42" s="207">
        <f>IFERROR(VLOOKUP($B$37,Tableau14582[],4,FALSE)*(1+$L$9)^$B42,0)</f>
        <v>42</v>
      </c>
      <c r="I42" s="208">
        <f>IFERROR(VLOOKUP($B$37,Tableau14582[],5,FALSE)*(1+$L$9)^$B42,0)</f>
        <v>19.375</v>
      </c>
      <c r="J42" s="208">
        <f>IFERROR(VLOOKUP($B$37,Tableau14582[],5,FALSE)*(1+$L$9)^$B42,0)</f>
        <v>19.375</v>
      </c>
      <c r="K42" s="209">
        <f>IFERROR(VLOOKUP($B$37,Tableau14582[],6,FALSE)*(1+$L$9)^$B42,0)</f>
        <v>10</v>
      </c>
      <c r="L42" s="260">
        <f t="shared" si="11"/>
        <v>4100.5618745584179</v>
      </c>
      <c r="N42" s="71">
        <v>21</v>
      </c>
      <c r="O42" s="236"/>
      <c r="P42" s="177"/>
      <c r="Q42" s="237">
        <f t="shared" si="10"/>
        <v>272.49999999999994</v>
      </c>
      <c r="R42" s="177">
        <f t="shared" si="4"/>
        <v>21.799999999999997</v>
      </c>
      <c r="S42" s="177">
        <f>$L$11*(1+$L$9)^N42*'Récapitulatif des résultats'!$I$11</f>
        <v>0</v>
      </c>
      <c r="T42" s="238"/>
      <c r="U42" s="177"/>
      <c r="V42" s="246">
        <f t="shared" si="6"/>
        <v>172.47743726264713</v>
      </c>
      <c r="W42" s="185">
        <f>SUM('Pin Laricio'!AQ26*'Pin Laricio'!$F$21,'Pin Maritime'!AQ26*'Pin Maritime'!$F$21,'C'!AQ26*'C'!$F$21,D!AQ26*D!$F$21,E!AQ26*E!$F$21,F!AQ26*F!$F$21)</f>
        <v>0</v>
      </c>
      <c r="X42" s="185">
        <f>SUM('Pin Laricio'!AR26*'Pin Laricio'!$F$21,'Pin Maritime'!AR26*'Pin Maritime'!$F$21,'C'!AR26*'C'!$F$21,D!AR26*D!$F$21,E!AR26*E!$F$21,F!AR26*F!$F$21)</f>
        <v>96.5873648670824</v>
      </c>
      <c r="Y42" s="185">
        <f>SUM('Pin Laricio'!AS26*'Pin Laricio'!$F$21,'Pin Maritime'!AS26*'Pin Maritime'!$F$21,'C'!AS26*'C'!$F$21,D!AS26*D!$F$21,E!AS26*E!$F$21,F!AS26*F!$F$21)</f>
        <v>75.890072395564729</v>
      </c>
      <c r="Z42" s="328">
        <f>SUM('Pin Laricio'!AT26*'Pin Laricio'!$F$21,'Pin Maritime'!AT26*'Pin Maritime'!$F$21,'C'!AT26*'C'!$F$21,D!AT26*D!$F$21,E!AT26*E!$F$21,F!AT26*F!$F$21)</f>
        <v>0</v>
      </c>
      <c r="AA42" s="175">
        <f t="shared" si="8"/>
        <v>3341.7503469637882</v>
      </c>
      <c r="AB42" s="176">
        <f t="shared" si="7"/>
        <v>1209.1899776189898</v>
      </c>
      <c r="AC42" s="175"/>
      <c r="AD42" s="175"/>
    </row>
    <row r="43" spans="1:30" x14ac:dyDescent="0.3">
      <c r="A43" s="388"/>
      <c r="B43" s="259">
        <f>'Pin Maritime'!B86</f>
        <v>36</v>
      </c>
      <c r="C43" s="222">
        <f>'Pin Maritime'!C86</f>
        <v>39.62110327915093</v>
      </c>
      <c r="D43" s="223">
        <f>'Pin Maritime'!D86</f>
        <v>0.3</v>
      </c>
      <c r="E43" s="218">
        <f>'Pin Maritime'!E86</f>
        <v>0.39200000000000002</v>
      </c>
      <c r="F43" s="218">
        <f>'Pin Maritime'!F86</f>
        <v>0.308</v>
      </c>
      <c r="G43" s="224">
        <f>'Pin Maritime'!G86</f>
        <v>0</v>
      </c>
      <c r="H43" s="207">
        <f>IFERROR(VLOOKUP($B$37,Tableau14582[],4,FALSE)*(1+$L$9)^$B43,0)</f>
        <v>42</v>
      </c>
      <c r="I43" s="208">
        <f>IFERROR(VLOOKUP($B$37,Tableau14582[],5,FALSE)*(1+$L$9)^$B43,0)</f>
        <v>19.375</v>
      </c>
      <c r="J43" s="208">
        <f>IFERROR(VLOOKUP($B$37,Tableau14582[],5,FALSE)*(1+$L$9)^$B43,0)</f>
        <v>19.375</v>
      </c>
      <c r="K43" s="209">
        <f>IFERROR(VLOOKUP($B$37,Tableau14582[],6,FALSE)*(1+$L$9)^$B43,0)</f>
        <v>10</v>
      </c>
      <c r="L43" s="260">
        <f t="shared" si="11"/>
        <v>4457.3245925253805</v>
      </c>
      <c r="N43" s="71">
        <v>22</v>
      </c>
      <c r="O43" s="236"/>
      <c r="P43" s="177"/>
      <c r="Q43" s="237">
        <f t="shared" si="10"/>
        <v>272.49999999999994</v>
      </c>
      <c r="R43" s="177">
        <f t="shared" si="4"/>
        <v>21.799999999999997</v>
      </c>
      <c r="S43" s="177">
        <f>$L$11*(1+$L$9)^N43*'Récapitulatif des résultats'!$I$11</f>
        <v>0</v>
      </c>
      <c r="T43" s="238"/>
      <c r="U43" s="177"/>
      <c r="V43" s="246">
        <f t="shared" si="6"/>
        <v>0</v>
      </c>
      <c r="W43" s="185">
        <f>SUM('Pin Laricio'!AQ27*'Pin Laricio'!$F$21,'Pin Maritime'!AQ27*'Pin Maritime'!$F$21,'C'!AQ27*'C'!$F$21,D!AQ27*D!$F$21,E!AQ27*E!$F$21,F!AQ27*F!$F$21)</f>
        <v>0</v>
      </c>
      <c r="X43" s="185">
        <f>SUM('Pin Laricio'!AR27*'Pin Laricio'!$F$21,'Pin Maritime'!AR27*'Pin Maritime'!$F$21,'C'!AR27*'C'!$F$21,D!AR27*D!$F$21,E!AR27*E!$F$21,F!AR27*F!$F$21)</f>
        <v>0</v>
      </c>
      <c r="Y43" s="185">
        <f>SUM('Pin Laricio'!AS27*'Pin Laricio'!$F$21,'Pin Maritime'!AS27*'Pin Maritime'!$F$21,'C'!AS27*'C'!$F$21,D!AS27*D!$F$21,E!AS27*E!$F$21,F!AS27*F!$F$21)</f>
        <v>0</v>
      </c>
      <c r="Z43" s="328">
        <f>SUM('Pin Laricio'!AT27*'Pin Laricio'!$F$21,'Pin Maritime'!AT27*'Pin Maritime'!$F$21,'C'!AT27*'C'!$F$21,D!AT27*D!$F$21,E!AT27*E!$F$21,F!AT27*F!$F$21)</f>
        <v>0</v>
      </c>
      <c r="AA43" s="175">
        <f t="shared" si="8"/>
        <v>0</v>
      </c>
      <c r="AB43" s="176">
        <f t="shared" si="7"/>
        <v>-111.74597065559236</v>
      </c>
      <c r="AC43" s="175"/>
      <c r="AD43" s="175"/>
    </row>
    <row r="44" spans="1:30" x14ac:dyDescent="0.3">
      <c r="A44" s="388"/>
      <c r="B44" s="259">
        <f>'Pin Maritime'!B87</f>
        <v>41</v>
      </c>
      <c r="C44" s="222">
        <f>'Pin Maritime'!C87</f>
        <v>29.026076012024305</v>
      </c>
      <c r="D44" s="223">
        <f>'Pin Maritime'!D87</f>
        <v>0.7</v>
      </c>
      <c r="E44" s="218">
        <f>'Pin Maritime'!E87</f>
        <v>0.16800000000000004</v>
      </c>
      <c r="F44" s="218">
        <f>'Pin Maritime'!F87</f>
        <v>0.13200000000000003</v>
      </c>
      <c r="G44" s="224">
        <f>'Pin Maritime'!G87</f>
        <v>0</v>
      </c>
      <c r="H44" s="207">
        <f>IFERROR(VLOOKUP($B$37,Tableau14582[],4,FALSE)*(1+$L$9)^$B44,0)</f>
        <v>42</v>
      </c>
      <c r="I44" s="208">
        <f>IFERROR(VLOOKUP($B$37,Tableau14582[],5,FALSE)*(1+$L$9)^$B44,0)</f>
        <v>19.375</v>
      </c>
      <c r="J44" s="208">
        <f>IFERROR(VLOOKUP($B$37,Tableau14582[],5,FALSE)*(1+$L$9)^$B44,0)</f>
        <v>19.375</v>
      </c>
      <c r="K44" s="209">
        <f>IFERROR(VLOOKUP($B$37,Tableau14582[],6,FALSE)*(1+$L$9)^$B44,0)</f>
        <v>10</v>
      </c>
      <c r="L44" s="260">
        <f t="shared" si="11"/>
        <v>4394.9470167656445</v>
      </c>
      <c r="N44" s="71">
        <v>23</v>
      </c>
      <c r="O44" s="236"/>
      <c r="P44" s="177"/>
      <c r="Q44" s="237">
        <f t="shared" si="10"/>
        <v>272.49999999999994</v>
      </c>
      <c r="R44" s="177">
        <f t="shared" si="4"/>
        <v>21.799999999999997</v>
      </c>
      <c r="S44" s="177">
        <f>$L$11*(1+$L$9)^N44*'Récapitulatif des résultats'!$I$11</f>
        <v>0</v>
      </c>
      <c r="T44" s="238"/>
      <c r="U44" s="177"/>
      <c r="V44" s="246">
        <f t="shared" si="6"/>
        <v>105.6</v>
      </c>
      <c r="W44" s="185">
        <f>SUM('Pin Laricio'!AQ28*'Pin Laricio'!$F$21,'Pin Maritime'!AQ28*'Pin Maritime'!$F$21,'C'!AQ28*'C'!$F$21,D!AQ28*D!$F$21,E!AQ28*E!$F$21,F!AQ28*F!$F$21)</f>
        <v>0</v>
      </c>
      <c r="X44" s="185">
        <f>SUM('Pin Laricio'!AR28*'Pin Laricio'!$F$21,'Pin Maritime'!AR28*'Pin Maritime'!$F$21,'C'!AR28*'C'!$F$21,D!AR28*D!$F$21,E!AR28*E!$F$21,F!AR28*F!$F$21)</f>
        <v>59.136000000000003</v>
      </c>
      <c r="Y44" s="185">
        <f>SUM('Pin Laricio'!AS28*'Pin Laricio'!$F$21,'Pin Maritime'!AS28*'Pin Maritime'!$F$21,'C'!AS28*'C'!$F$21,D!AS28*D!$F$21,E!AS28*E!$F$21,F!AS28*F!$F$21)</f>
        <v>46.463999999999999</v>
      </c>
      <c r="Z44" s="328">
        <f>SUM('Pin Laricio'!AT28*'Pin Laricio'!$F$21,'Pin Maritime'!AT28*'Pin Maritime'!$F$21,'C'!AT28*'C'!$F$21,D!AT28*D!$F$21,E!AT28*E!$F$21,F!AT28*F!$F$21)</f>
        <v>0</v>
      </c>
      <c r="AA44" s="175">
        <f t="shared" si="8"/>
        <v>2046</v>
      </c>
      <c r="AB44" s="176">
        <f t="shared" si="7"/>
        <v>636.48042243585428</v>
      </c>
      <c r="AC44" s="175"/>
      <c r="AD44" s="175"/>
    </row>
    <row r="45" spans="1:30" x14ac:dyDescent="0.3">
      <c r="A45" s="388"/>
      <c r="B45" s="259">
        <f>'Pin Maritime'!B88</f>
        <v>51</v>
      </c>
      <c r="C45" s="222">
        <f>'Pin Maritime'!C88</f>
        <v>30.297835254581344</v>
      </c>
      <c r="D45" s="223">
        <f>'Pin Maritime'!D88</f>
        <v>0.9</v>
      </c>
      <c r="E45" s="218">
        <f>'Pin Maritime'!E88</f>
        <v>5.5999999999999994E-2</v>
      </c>
      <c r="F45" s="218">
        <f>'Pin Maritime'!F88</f>
        <v>4.3999999999999991E-2</v>
      </c>
      <c r="G45" s="224">
        <f>'Pin Maritime'!G88</f>
        <v>0</v>
      </c>
      <c r="H45" s="207">
        <f>IFERROR(VLOOKUP($B$37,Tableau14582[],4,FALSE)*(1+$L$9)^$B45,0)</f>
        <v>42</v>
      </c>
      <c r="I45" s="208">
        <f>IFERROR(VLOOKUP($B$37,Tableau14582[],5,FALSE)*(1+$L$9)^$B45,0)</f>
        <v>19.375</v>
      </c>
      <c r="J45" s="208">
        <f>IFERROR(VLOOKUP($B$37,Tableau14582[],5,FALSE)*(1+$L$9)^$B45,0)</f>
        <v>19.375</v>
      </c>
      <c r="K45" s="209">
        <f>IFERROR(VLOOKUP($B$37,Tableau14582[],6,FALSE)*(1+$L$9)^$B45,0)</f>
        <v>10</v>
      </c>
      <c r="L45" s="260">
        <f t="shared" si="11"/>
        <v>5177.0289822443829</v>
      </c>
      <c r="N45" s="71">
        <v>24</v>
      </c>
      <c r="O45" s="236"/>
      <c r="P45" s="177"/>
      <c r="Q45" s="237">
        <f t="shared" si="10"/>
        <v>272.49999999999994</v>
      </c>
      <c r="R45" s="177">
        <f t="shared" si="4"/>
        <v>21.799999999999997</v>
      </c>
      <c r="S45" s="177">
        <f>$L$11*(1+$L$9)^N45*'Récapitulatif des résultats'!$I$11</f>
        <v>0</v>
      </c>
      <c r="T45" s="238"/>
      <c r="U45" s="177"/>
      <c r="V45" s="246">
        <f t="shared" si="6"/>
        <v>0</v>
      </c>
      <c r="W45" s="185">
        <f>SUM('Pin Laricio'!AQ29*'Pin Laricio'!$F$21,'Pin Maritime'!AQ29*'Pin Maritime'!$F$21,'C'!AQ29*'C'!$F$21,D!AQ29*D!$F$21,E!AQ29*E!$F$21,F!AQ29*F!$F$21)</f>
        <v>0</v>
      </c>
      <c r="X45" s="185">
        <f>SUM('Pin Laricio'!AR29*'Pin Laricio'!$F$21,'Pin Maritime'!AR29*'Pin Maritime'!$F$21,'C'!AR29*'C'!$F$21,D!AR29*D!$F$21,E!AR29*E!$F$21,F!AR29*F!$F$21)</f>
        <v>0</v>
      </c>
      <c r="Y45" s="185">
        <f>SUM('Pin Laricio'!AS29*'Pin Laricio'!$F$21,'Pin Maritime'!AS29*'Pin Maritime'!$F$21,'C'!AS29*'C'!$F$21,D!AS29*D!$F$21,E!AS29*E!$F$21,F!AS29*F!$F$21)</f>
        <v>0</v>
      </c>
      <c r="Z45" s="328">
        <f>SUM('Pin Laricio'!AT29*'Pin Laricio'!$F$21,'Pin Maritime'!AT29*'Pin Maritime'!$F$21,'C'!AT29*'C'!$F$21,D!AT29*D!$F$21,E!AT29*E!$F$21,F!AT29*F!$F$21)</f>
        <v>0</v>
      </c>
      <c r="AA45" s="175">
        <f t="shared" si="8"/>
        <v>0</v>
      </c>
      <c r="AB45" s="176">
        <f t="shared" si="7"/>
        <v>-102.32913225941931</v>
      </c>
      <c r="AC45" s="175"/>
      <c r="AD45" s="175"/>
    </row>
    <row r="46" spans="1:30" x14ac:dyDescent="0.3">
      <c r="A46" s="388"/>
      <c r="B46" s="259">
        <f>'Pin Maritime'!B89</f>
        <v>61</v>
      </c>
      <c r="C46" s="222">
        <f>'Pin Maritime'!C89</f>
        <v>396.65306261171173</v>
      </c>
      <c r="D46" s="223">
        <f>'Pin Maritime'!D89</f>
        <v>0.7</v>
      </c>
      <c r="E46" s="218">
        <f>'Pin Maritime'!E89</f>
        <v>0.16800000000000004</v>
      </c>
      <c r="F46" s="218">
        <f>'Pin Maritime'!F89</f>
        <v>0.13200000000000003</v>
      </c>
      <c r="G46" s="224">
        <f>'Pin Maritime'!G89</f>
        <v>0</v>
      </c>
      <c r="H46" s="207">
        <f>IFERROR(VLOOKUP($B$37,Tableau14582[],4,FALSE)*(1+$L$9)^$B46,0)</f>
        <v>42</v>
      </c>
      <c r="I46" s="208">
        <f>IFERROR(VLOOKUP($B$37,Tableau14582[],5,FALSE)*(1+$L$9)^$B46,0)</f>
        <v>19.375</v>
      </c>
      <c r="J46" s="208">
        <f>IFERROR(VLOOKUP($B$37,Tableau14582[],5,FALSE)*(1+$L$9)^$B46,0)</f>
        <v>19.375</v>
      </c>
      <c r="K46" s="209">
        <f>IFERROR(VLOOKUP($B$37,Tableau14582[],6,FALSE)*(1+$L$9)^$B46,0)</f>
        <v>10</v>
      </c>
      <c r="L46" s="260">
        <f t="shared" si="11"/>
        <v>60058.727659024065</v>
      </c>
      <c r="N46" s="71">
        <v>25</v>
      </c>
      <c r="O46" s="236"/>
      <c r="P46" s="177"/>
      <c r="Q46" s="237">
        <f t="shared" si="10"/>
        <v>272.49999999999994</v>
      </c>
      <c r="R46" s="177">
        <f t="shared" si="4"/>
        <v>21.799999999999997</v>
      </c>
      <c r="S46" s="177">
        <f>$L$11*(1+$L$9)^N46*'Récapitulatif des résultats'!$I$11</f>
        <v>0</v>
      </c>
      <c r="T46" s="238"/>
      <c r="U46" s="177"/>
      <c r="V46" s="246">
        <f t="shared" si="6"/>
        <v>0</v>
      </c>
      <c r="W46" s="185">
        <f>SUM('Pin Laricio'!AQ30*'Pin Laricio'!$F$21,'Pin Maritime'!AQ30*'Pin Maritime'!$F$21,'C'!AQ30*'C'!$F$21,D!AQ30*D!$F$21,E!AQ30*E!$F$21,F!AQ30*F!$F$21)</f>
        <v>0</v>
      </c>
      <c r="X46" s="185">
        <f>SUM('Pin Laricio'!AR30*'Pin Laricio'!$F$21,'Pin Maritime'!AR30*'Pin Maritime'!$F$21,'C'!AR30*'C'!$F$21,D!AR30*D!$F$21,E!AR30*E!$F$21,F!AR30*F!$F$21)</f>
        <v>0</v>
      </c>
      <c r="Y46" s="185">
        <f>SUM('Pin Laricio'!AS30*'Pin Laricio'!$F$21,'Pin Maritime'!AS30*'Pin Maritime'!$F$21,'C'!AS30*'C'!$F$21,D!AS30*D!$F$21,E!AS30*E!$F$21,F!AS30*F!$F$21)</f>
        <v>0</v>
      </c>
      <c r="Z46" s="328">
        <f>SUM('Pin Laricio'!AT30*'Pin Laricio'!$F$21,'Pin Maritime'!AT30*'Pin Maritime'!$F$21,'C'!AT30*'C'!$F$21,D!AT30*D!$F$21,E!AT30*E!$F$21,F!AT30*F!$F$21)</f>
        <v>0</v>
      </c>
      <c r="AA46" s="175">
        <f t="shared" si="8"/>
        <v>0</v>
      </c>
      <c r="AB46" s="176">
        <f t="shared" si="7"/>
        <v>-97.922614602315136</v>
      </c>
      <c r="AC46" s="175"/>
      <c r="AD46" s="175"/>
    </row>
    <row r="47" spans="1:30" x14ac:dyDescent="0.3">
      <c r="A47" s="388"/>
      <c r="B47" s="259">
        <f>'Pin Maritime'!B90</f>
        <v>1</v>
      </c>
      <c r="C47" s="222">
        <f>'Pin Maritime'!C90</f>
        <v>0</v>
      </c>
      <c r="D47" s="223">
        <f>'Pin Maritime'!D90</f>
        <v>0.8</v>
      </c>
      <c r="E47" s="218">
        <f>'Pin Maritime'!E90</f>
        <v>0.11199999999999999</v>
      </c>
      <c r="F47" s="218">
        <f>'Pin Maritime'!F90</f>
        <v>8.7999999999999981E-2</v>
      </c>
      <c r="G47" s="224">
        <f>'Pin Maritime'!G90</f>
        <v>0</v>
      </c>
      <c r="H47" s="207">
        <f>IFERROR(VLOOKUP($B$37,Tableau14582[],4,FALSE)*(1+$L$9)^$B47,0)</f>
        <v>42</v>
      </c>
      <c r="I47" s="208">
        <f>IFERROR(VLOOKUP($B$37,Tableau14582[],5,FALSE)*(1+$L$9)^$B47,0)</f>
        <v>19.375</v>
      </c>
      <c r="J47" s="208">
        <f>IFERROR(VLOOKUP($B$37,Tableau14582[],5,FALSE)*(1+$L$9)^$B47,0)</f>
        <v>19.375</v>
      </c>
      <c r="K47" s="209">
        <f>IFERROR(VLOOKUP($B$37,Tableau14582[],6,FALSE)*(1+$L$9)^$B47,0)</f>
        <v>10</v>
      </c>
      <c r="L47" s="260">
        <f t="shared" si="11"/>
        <v>0</v>
      </c>
      <c r="N47" s="71">
        <v>26</v>
      </c>
      <c r="O47" s="236"/>
      <c r="P47" s="177"/>
      <c r="Q47" s="237">
        <f t="shared" si="10"/>
        <v>272.49999999999994</v>
      </c>
      <c r="R47" s="177">
        <f t="shared" si="4"/>
        <v>21.799999999999997</v>
      </c>
      <c r="S47" s="177">
        <f>$L$11*(1+$L$9)^N47*'Récapitulatif des résultats'!$I$11</f>
        <v>0</v>
      </c>
      <c r="T47" s="238"/>
      <c r="U47" s="177"/>
      <c r="V47" s="246">
        <f t="shared" si="6"/>
        <v>285.42406546532879</v>
      </c>
      <c r="W47" s="185">
        <f>SUM('Pin Laricio'!AQ31*'Pin Laricio'!$F$21,'Pin Maritime'!AQ31*'Pin Maritime'!$F$21,'C'!AQ31*'C'!$F$21,D!AQ31*D!$F$21,E!AQ31*E!$F$21,F!AQ31*F!$F$21)</f>
        <v>0</v>
      </c>
      <c r="X47" s="185">
        <f>SUM('Pin Laricio'!AR31*'Pin Laricio'!$F$21,'Pin Maritime'!AR31*'Pin Maritime'!$F$21,'C'!AR31*'C'!$F$21,D!AR31*D!$F$21,E!AR31*E!$F$21,F!AR31*F!$F$21)</f>
        <v>159.83747666058414</v>
      </c>
      <c r="Y47" s="185">
        <f>SUM('Pin Laricio'!AS31*'Pin Laricio'!$F$21,'Pin Maritime'!AS31*'Pin Maritime'!$F$21,'C'!AS31*'C'!$F$21,D!AS31*D!$F$21,E!AS31*E!$F$21,F!AS31*F!$F$21)</f>
        <v>125.58658880474468</v>
      </c>
      <c r="Z47" s="328">
        <f>SUM('Pin Laricio'!AT31*'Pin Laricio'!$F$21,'Pin Maritime'!AT31*'Pin Maritime'!$F$21,'C'!AT31*'C'!$F$21,D!AT31*D!$F$21,E!AT31*E!$F$21,F!AT31*F!$F$21)</f>
        <v>0</v>
      </c>
      <c r="AA47" s="175">
        <f t="shared" si="8"/>
        <v>5530.0912683907454</v>
      </c>
      <c r="AB47" s="176">
        <f t="shared" si="7"/>
        <v>1667.0889500600529</v>
      </c>
      <c r="AC47" s="175"/>
      <c r="AD47" s="175"/>
    </row>
    <row r="48" spans="1:30" x14ac:dyDescent="0.3">
      <c r="A48" s="388"/>
      <c r="B48" s="259">
        <f>'Pin Maritime'!B91</f>
        <v>1</v>
      </c>
      <c r="C48" s="222">
        <f>'Pin Maritime'!C91</f>
        <v>0</v>
      </c>
      <c r="D48" s="223">
        <f>'Pin Maritime'!D91</f>
        <v>0.9</v>
      </c>
      <c r="E48" s="218">
        <f>'Pin Maritime'!E91</f>
        <v>5.5999999999999994E-2</v>
      </c>
      <c r="F48" s="218">
        <f>'Pin Maritime'!F91</f>
        <v>4.3999999999999991E-2</v>
      </c>
      <c r="G48" s="224">
        <f>'Pin Maritime'!G91</f>
        <v>0</v>
      </c>
      <c r="H48" s="207">
        <f>IFERROR(VLOOKUP($B$37,Tableau14582[],4,FALSE)*(1+$L$9)^$B48,0)</f>
        <v>42</v>
      </c>
      <c r="I48" s="208">
        <f>IFERROR(VLOOKUP($B$37,Tableau14582[],5,FALSE)*(1+$L$9)^$B48,0)</f>
        <v>19.375</v>
      </c>
      <c r="J48" s="208">
        <f>IFERROR(VLOOKUP($B$37,Tableau14582[],5,FALSE)*(1+$L$9)^$B48,0)</f>
        <v>19.375</v>
      </c>
      <c r="K48" s="209">
        <f>IFERROR(VLOOKUP($B$37,Tableau14582[],6,FALSE)*(1+$L$9)^$B48,0)</f>
        <v>10</v>
      </c>
      <c r="L48" s="260">
        <f t="shared" si="11"/>
        <v>0</v>
      </c>
      <c r="N48" s="71">
        <v>27</v>
      </c>
      <c r="O48" s="236"/>
      <c r="P48" s="177"/>
      <c r="Q48" s="237">
        <f t="shared" si="10"/>
        <v>272.49999999999994</v>
      </c>
      <c r="R48" s="177">
        <f t="shared" si="4"/>
        <v>21.799999999999997</v>
      </c>
      <c r="S48" s="177">
        <f>$L$11*(1+$L$9)^N48*'Récapitulatif des résultats'!$I$11</f>
        <v>0</v>
      </c>
      <c r="T48" s="238"/>
      <c r="U48" s="177"/>
      <c r="V48" s="246">
        <f t="shared" si="6"/>
        <v>0</v>
      </c>
      <c r="W48" s="185">
        <f>SUM('Pin Laricio'!AQ32*'Pin Laricio'!$F$21,'Pin Maritime'!AQ32*'Pin Maritime'!$F$21,'C'!AQ32*'C'!$F$21,D!AQ32*D!$F$21,E!AQ32*E!$F$21,F!AQ32*F!$F$21)</f>
        <v>0</v>
      </c>
      <c r="X48" s="185">
        <f>SUM('Pin Laricio'!AR32*'Pin Laricio'!$F$21,'Pin Maritime'!AR32*'Pin Maritime'!$F$21,'C'!AR32*'C'!$F$21,D!AR32*D!$F$21,E!AR32*E!$F$21,F!AR32*F!$F$21)</f>
        <v>0</v>
      </c>
      <c r="Y48" s="185">
        <f>SUM('Pin Laricio'!AS32*'Pin Laricio'!$F$21,'Pin Maritime'!AS32*'Pin Maritime'!$F$21,'C'!AS32*'C'!$F$21,D!AS32*D!$F$21,E!AS32*E!$F$21,F!AS32*F!$F$21)</f>
        <v>0</v>
      </c>
      <c r="Z48" s="328">
        <f>SUM('Pin Laricio'!AT32*'Pin Laricio'!$F$21,'Pin Maritime'!AT32*'Pin Maritime'!$F$21,'C'!AT32*'C'!$F$21,D!AT32*D!$F$21,E!AT32*E!$F$21,F!AT32*F!$F$21)</f>
        <v>0</v>
      </c>
      <c r="AA48" s="175">
        <f t="shared" si="8"/>
        <v>0</v>
      </c>
      <c r="AB48" s="176">
        <f t="shared" si="7"/>
        <v>-89.670671094814821</v>
      </c>
      <c r="AC48" s="175"/>
      <c r="AD48" s="175"/>
    </row>
    <row r="49" spans="2:30" x14ac:dyDescent="0.3">
      <c r="B49" s="259">
        <f>'Pin Maritime'!B92</f>
        <v>1</v>
      </c>
      <c r="C49" s="222">
        <f>'Pin Maritime'!C92</f>
        <v>0</v>
      </c>
      <c r="D49" s="223">
        <f>'Pin Maritime'!D92</f>
        <v>0.9</v>
      </c>
      <c r="E49" s="218">
        <f>'Pin Maritime'!E92</f>
        <v>5.5999999999999994E-2</v>
      </c>
      <c r="F49" s="218">
        <f>'Pin Maritime'!F92</f>
        <v>4.3999999999999991E-2</v>
      </c>
      <c r="G49" s="224">
        <f>'Pin Maritime'!G92</f>
        <v>0</v>
      </c>
      <c r="H49" s="207">
        <f>IFERROR(VLOOKUP($B$37,Tableau14582[],4,FALSE)*(1+$L$9)^$B49,0)</f>
        <v>42</v>
      </c>
      <c r="I49" s="208">
        <f>IFERROR(VLOOKUP($B$37,Tableau14582[],5,FALSE)*(1+$L$9)^$B49,0)</f>
        <v>19.375</v>
      </c>
      <c r="J49" s="208">
        <f>IFERROR(VLOOKUP($B$37,Tableau14582[],5,FALSE)*(1+$L$9)^$B49,0)</f>
        <v>19.375</v>
      </c>
      <c r="K49" s="209">
        <f>IFERROR(VLOOKUP($B$37,Tableau14582[],6,FALSE)*(1+$L$9)^$B49,0)</f>
        <v>10</v>
      </c>
      <c r="L49" s="260">
        <f t="shared" si="11"/>
        <v>0</v>
      </c>
      <c r="N49" s="71">
        <v>28</v>
      </c>
      <c r="O49" s="236"/>
      <c r="P49" s="177"/>
      <c r="Q49" s="237">
        <f t="shared" si="10"/>
        <v>272.49999999999994</v>
      </c>
      <c r="R49" s="177">
        <f t="shared" si="4"/>
        <v>21.799999999999997</v>
      </c>
      <c r="S49" s="177">
        <f>$L$11*(1+$L$9)^N49*'Récapitulatif des résultats'!$I$11</f>
        <v>0</v>
      </c>
      <c r="T49" s="238"/>
      <c r="U49" s="177"/>
      <c r="V49" s="246">
        <f t="shared" si="6"/>
        <v>0</v>
      </c>
      <c r="W49" s="185">
        <f>SUM('Pin Laricio'!AQ33*'Pin Laricio'!$F$21,'Pin Maritime'!AQ33*'Pin Maritime'!$F$21,'C'!AQ33*'C'!$F$21,D!AQ33*D!$F$21,E!AQ33*E!$F$21,F!AQ33*F!$F$21)</f>
        <v>0</v>
      </c>
      <c r="X49" s="185">
        <f>SUM('Pin Laricio'!AR33*'Pin Laricio'!$F$21,'Pin Maritime'!AR33*'Pin Maritime'!$F$21,'C'!AR33*'C'!$F$21,D!AR33*D!$F$21,E!AR33*E!$F$21,F!AR33*F!$F$21)</f>
        <v>0</v>
      </c>
      <c r="Y49" s="185">
        <f>SUM('Pin Laricio'!AS33*'Pin Laricio'!$F$21,'Pin Maritime'!AS33*'Pin Maritime'!$F$21,'C'!AS33*'C'!$F$21,D!AS33*D!$F$21,E!AS33*E!$F$21,F!AS33*F!$F$21)</f>
        <v>0</v>
      </c>
      <c r="Z49" s="328">
        <f>SUM('Pin Laricio'!AT33*'Pin Laricio'!$F$21,'Pin Maritime'!AT33*'Pin Maritime'!$F$21,'C'!AT33*'C'!$F$21,D!AT33*D!$F$21,E!AT33*E!$F$21,F!AT33*F!$F$21)</f>
        <v>0</v>
      </c>
      <c r="AA49" s="175">
        <f t="shared" si="8"/>
        <v>0</v>
      </c>
      <c r="AB49" s="176">
        <f t="shared" si="7"/>
        <v>-85.809254636186452</v>
      </c>
      <c r="AC49" s="175"/>
      <c r="AD49" s="175"/>
    </row>
    <row r="50" spans="2:30" x14ac:dyDescent="0.3">
      <c r="B50" s="259">
        <f>'Pin Maritime'!B93</f>
        <v>1</v>
      </c>
      <c r="C50" s="222">
        <f>'Pin Maritime'!C93</f>
        <v>0</v>
      </c>
      <c r="D50" s="223">
        <f>'Pin Maritime'!D93</f>
        <v>0.95</v>
      </c>
      <c r="E50" s="218">
        <f>'Pin Maritime'!E93</f>
        <v>2.8000000000000028E-2</v>
      </c>
      <c r="F50" s="218">
        <f>'Pin Maritime'!F93</f>
        <v>2.200000000000002E-2</v>
      </c>
      <c r="G50" s="224">
        <f>'Pin Maritime'!G93</f>
        <v>0</v>
      </c>
      <c r="H50" s="207">
        <f>IFERROR(VLOOKUP($B$37,Tableau14582[],4,FALSE)*(1+$L$9)^$B50,0)</f>
        <v>42</v>
      </c>
      <c r="I50" s="208">
        <f>IFERROR(VLOOKUP($B$37,Tableau14582[],5,FALSE)*(1+$L$9)^$B50,0)</f>
        <v>19.375</v>
      </c>
      <c r="J50" s="208">
        <f>IFERROR(VLOOKUP($B$37,Tableau14582[],5,FALSE)*(1+$L$9)^$B50,0)</f>
        <v>19.375</v>
      </c>
      <c r="K50" s="209">
        <f>IFERROR(VLOOKUP($B$37,Tableau14582[],6,FALSE)*(1+$L$9)^$B50,0)</f>
        <v>10</v>
      </c>
      <c r="L50" s="260">
        <f t="shared" si="11"/>
        <v>0</v>
      </c>
      <c r="N50" s="71">
        <v>29</v>
      </c>
      <c r="O50" s="236"/>
      <c r="P50" s="177"/>
      <c r="Q50" s="237">
        <f t="shared" si="10"/>
        <v>272.49999999999994</v>
      </c>
      <c r="R50" s="177">
        <f t="shared" si="4"/>
        <v>21.799999999999997</v>
      </c>
      <c r="S50" s="177">
        <f>$L$11*(1+$L$9)^N50*'Récapitulatif des résultats'!$I$11</f>
        <v>0</v>
      </c>
      <c r="T50" s="238"/>
      <c r="U50" s="177"/>
      <c r="V50" s="246">
        <f t="shared" si="6"/>
        <v>0</v>
      </c>
      <c r="W50" s="185">
        <f>SUM('Pin Laricio'!AQ34*'Pin Laricio'!$F$21,'Pin Maritime'!AQ34*'Pin Maritime'!$F$21,'C'!AQ34*'C'!$F$21,D!AQ34*D!$F$21,E!AQ34*E!$F$21,F!AQ34*F!$F$21)</f>
        <v>0</v>
      </c>
      <c r="X50" s="185">
        <f>SUM('Pin Laricio'!AR34*'Pin Laricio'!$F$21,'Pin Maritime'!AR34*'Pin Maritime'!$F$21,'C'!AR34*'C'!$F$21,D!AR34*D!$F$21,E!AR34*E!$F$21,F!AR34*F!$F$21)</f>
        <v>0</v>
      </c>
      <c r="Y50" s="185">
        <f>SUM('Pin Laricio'!AS34*'Pin Laricio'!$F$21,'Pin Maritime'!AS34*'Pin Maritime'!$F$21,'C'!AS34*'C'!$F$21,D!AS34*D!$F$21,E!AS34*E!$F$21,F!AS34*F!$F$21)</f>
        <v>0</v>
      </c>
      <c r="Z50" s="328">
        <f>SUM('Pin Laricio'!AT34*'Pin Laricio'!$F$21,'Pin Maritime'!AT34*'Pin Maritime'!$F$21,'C'!AT34*'C'!$F$21,D!AT34*D!$F$21,E!AT34*E!$F$21,F!AT34*F!$F$21)</f>
        <v>0</v>
      </c>
      <c r="AA50" s="175">
        <f t="shared" si="8"/>
        <v>0</v>
      </c>
      <c r="AB50" s="176">
        <f t="shared" si="7"/>
        <v>-82.114119269077932</v>
      </c>
      <c r="AC50" s="175"/>
      <c r="AD50" s="175"/>
    </row>
    <row r="51" spans="2:30" x14ac:dyDescent="0.3">
      <c r="B51" s="261">
        <f>'Pin Maritime'!B94</f>
        <v>60</v>
      </c>
      <c r="C51" s="225">
        <f>'Pin Maritime'!C94</f>
        <v>396.65306261171173</v>
      </c>
      <c r="D51" s="219">
        <f>'Pin Maritime'!D94</f>
        <v>0.95</v>
      </c>
      <c r="E51" s="231">
        <f>'Pin Maritime'!E94</f>
        <v>2.8000000000000028E-2</v>
      </c>
      <c r="F51" s="231">
        <f>'Pin Maritime'!F94</f>
        <v>2.200000000000002E-2</v>
      </c>
      <c r="G51" s="226">
        <f>'Pin Maritime'!G94</f>
        <v>0</v>
      </c>
      <c r="H51" s="210">
        <f>IFERROR(VLOOKUP($B$37,Tableau14582[],4,FALSE)*(1+$L$9)^$B51,0)</f>
        <v>42</v>
      </c>
      <c r="I51" s="211">
        <f>IFERROR(VLOOKUP($B$37,Tableau14582[],5,FALSE)*(1+$L$9)^$B51,0)</f>
        <v>19.375</v>
      </c>
      <c r="J51" s="211">
        <f>IFERROR(VLOOKUP($B$37,Tableau14582[],5,FALSE)*(1+$L$9)^$B51,0)</f>
        <v>19.375</v>
      </c>
      <c r="K51" s="212">
        <f>IFERROR(VLOOKUP($B$37,Tableau14582[],6,FALSE)*(1+$L$9)^$B51,0)</f>
        <v>10</v>
      </c>
      <c r="L51" s="262">
        <f t="shared" si="11"/>
        <v>69706.073866233288</v>
      </c>
      <c r="N51" s="71">
        <v>30</v>
      </c>
      <c r="O51" s="236"/>
      <c r="P51" s="177"/>
      <c r="Q51" s="237">
        <f t="shared" si="10"/>
        <v>272.49999999999994</v>
      </c>
      <c r="R51" s="177">
        <f t="shared" si="4"/>
        <v>21.799999999999997</v>
      </c>
      <c r="S51" s="177">
        <f>$L$11*(1+$L$9)^N51*'Récapitulatif des résultats'!$I$11</f>
        <v>0</v>
      </c>
      <c r="T51" s="238"/>
      <c r="U51" s="177"/>
      <c r="V51" s="246">
        <f t="shared" si="6"/>
        <v>0</v>
      </c>
      <c r="W51" s="185">
        <f>SUM('Pin Laricio'!AQ35*'Pin Laricio'!$F$21,'Pin Maritime'!AQ35*'Pin Maritime'!$F$21,'C'!AQ35*'C'!$F$21,D!AQ35*D!$F$21,E!AQ35*E!$F$21,F!AQ35*F!$F$21)</f>
        <v>0</v>
      </c>
      <c r="X51" s="185">
        <f>SUM('Pin Laricio'!AR35*'Pin Laricio'!$F$21,'Pin Maritime'!AR35*'Pin Maritime'!$F$21,'C'!AR35*'C'!$F$21,D!AR35*D!$F$21,E!AR35*E!$F$21,F!AR35*F!$F$21)</f>
        <v>0</v>
      </c>
      <c r="Y51" s="185">
        <f>SUM('Pin Laricio'!AS35*'Pin Laricio'!$F$21,'Pin Maritime'!AS35*'Pin Maritime'!$F$21,'C'!AS35*'C'!$F$21,D!AS35*D!$F$21,E!AS35*E!$F$21,F!AS35*F!$F$21)</f>
        <v>0</v>
      </c>
      <c r="Z51" s="328">
        <f>SUM('Pin Laricio'!AT35*'Pin Laricio'!$F$21,'Pin Maritime'!AT35*'Pin Maritime'!$F$21,'C'!AT35*'C'!$F$21,D!AT35*D!$F$21,E!AT35*E!$F$21,F!AT35*F!$F$21)</f>
        <v>0</v>
      </c>
      <c r="AA51" s="175">
        <f t="shared" si="8"/>
        <v>0</v>
      </c>
      <c r="AB51" s="176">
        <f t="shared" si="7"/>
        <v>-78.578104563710966</v>
      </c>
      <c r="AC51" s="175"/>
      <c r="AD51" s="175"/>
    </row>
    <row r="52" spans="2:30" x14ac:dyDescent="0.3">
      <c r="B52" s="263"/>
      <c r="C52" s="264"/>
      <c r="D52" s="264"/>
      <c r="E52" s="264"/>
      <c r="F52" s="264"/>
      <c r="G52" s="264"/>
      <c r="H52" s="264"/>
      <c r="I52" s="264"/>
      <c r="J52" s="264"/>
      <c r="K52" s="264"/>
      <c r="L52" s="265"/>
      <c r="N52" s="71">
        <v>31</v>
      </c>
      <c r="O52" s="236"/>
      <c r="P52" s="177"/>
      <c r="Q52" s="237">
        <f t="shared" si="10"/>
        <v>272.49999999999994</v>
      </c>
      <c r="R52" s="177">
        <f t="shared" si="4"/>
        <v>21.799999999999997</v>
      </c>
      <c r="S52" s="177">
        <f>$L$11*(1+$L$9)^N52*'Récapitulatif des résultats'!$I$11</f>
        <v>0</v>
      </c>
      <c r="T52" s="238"/>
      <c r="U52" s="177"/>
      <c r="V52" s="246">
        <f t="shared" si="6"/>
        <v>395.97162655056144</v>
      </c>
      <c r="W52" s="185">
        <f>SUM('Pin Laricio'!AQ36*'Pin Laricio'!$F$21,'Pin Maritime'!AQ36*'Pin Maritime'!$F$21,'C'!AQ36*'C'!$F$21,D!AQ36*D!$F$21,E!AQ36*E!$F$21,F!AQ36*F!$F$21)</f>
        <v>79.194325310112276</v>
      </c>
      <c r="X52" s="185">
        <f>SUM('Pin Laricio'!AR36*'Pin Laricio'!$F$21,'Pin Maritime'!AR36*'Pin Maritime'!$F$21,'C'!AR36*'C'!$F$21,D!AR36*D!$F$21,E!AR36*E!$F$21,F!AR36*F!$F$21)</f>
        <v>177.39528869465153</v>
      </c>
      <c r="Y52" s="185">
        <f>SUM('Pin Laricio'!AS36*'Pin Laricio'!$F$21,'Pin Maritime'!AS36*'Pin Maritime'!$F$21,'C'!AS36*'C'!$F$21,D!AS36*D!$F$21,E!AS36*E!$F$21,F!AS36*F!$F$21)</f>
        <v>139.38201254579764</v>
      </c>
      <c r="Z52" s="328">
        <f>SUM('Pin Laricio'!AT36*'Pin Laricio'!$F$21,'Pin Maritime'!AT36*'Pin Maritime'!$F$21,'C'!AT36*'C'!$F$21,D!AT36*D!$F$21,E!AT36*E!$F$21,F!AT36*F!$F$21)</f>
        <v>0</v>
      </c>
      <c r="AA52" s="175">
        <f t="shared" si="8"/>
        <v>8925.1618745584183</v>
      </c>
      <c r="AB52" s="176">
        <f t="shared" si="7"/>
        <v>2205.2059850199985</v>
      </c>
      <c r="AC52" s="175"/>
      <c r="AD52" s="175"/>
    </row>
    <row r="53" spans="2:30" x14ac:dyDescent="0.3">
      <c r="B53" s="409" t="str">
        <f>'C'!F17</f>
        <v xml:space="preserve">Pin maritime </v>
      </c>
      <c r="C53" s="410">
        <f>'C'!C80</f>
        <v>0</v>
      </c>
      <c r="D53" s="410">
        <f>'C'!D80</f>
        <v>0</v>
      </c>
      <c r="E53" s="410">
        <f>'C'!E80</f>
        <v>0</v>
      </c>
      <c r="F53" s="410">
        <f>'C'!F80</f>
        <v>0</v>
      </c>
      <c r="G53" s="411">
        <f>'C'!G80</f>
        <v>0</v>
      </c>
      <c r="H53" s="395" t="s">
        <v>248</v>
      </c>
      <c r="I53" s="396"/>
      <c r="J53" s="396"/>
      <c r="K53" s="397"/>
      <c r="L53" s="254">
        <f>U5</f>
        <v>0</v>
      </c>
      <c r="N53" s="71">
        <v>32</v>
      </c>
      <c r="O53" s="236"/>
      <c r="P53" s="177"/>
      <c r="Q53" s="237">
        <f t="shared" si="10"/>
        <v>272.49999999999994</v>
      </c>
      <c r="R53" s="177">
        <f t="shared" si="4"/>
        <v>21.799999999999997</v>
      </c>
      <c r="S53" s="177">
        <f>$L$11*(1+$L$9)^N53*'Récapitulatif des résultats'!$I$11</f>
        <v>0</v>
      </c>
      <c r="T53" s="238"/>
      <c r="U53" s="177"/>
      <c r="V53" s="246">
        <f t="shared" si="6"/>
        <v>0</v>
      </c>
      <c r="W53" s="185">
        <f>SUM('Pin Laricio'!AQ37*'Pin Laricio'!$F$21,'Pin Maritime'!AQ37*'Pin Maritime'!$F$21,'C'!AQ37*'C'!$F$21,D!AQ37*D!$F$21,E!AQ37*E!$F$21,F!AQ37*F!$F$21)</f>
        <v>0</v>
      </c>
      <c r="X53" s="185">
        <f>SUM('Pin Laricio'!AR37*'Pin Laricio'!$F$21,'Pin Maritime'!AR37*'Pin Maritime'!$F$21,'C'!AR37*'C'!$F$21,D!AR37*D!$F$21,E!AR37*E!$F$21,F!AR37*F!$F$21)</f>
        <v>0</v>
      </c>
      <c r="Y53" s="185">
        <f>SUM('Pin Laricio'!AS37*'Pin Laricio'!$F$21,'Pin Maritime'!AS37*'Pin Maritime'!$F$21,'C'!AS37*'C'!$F$21,D!AS37*D!$F$21,E!AS37*E!$F$21,F!AS37*F!$F$21)</f>
        <v>0</v>
      </c>
      <c r="Z53" s="328">
        <f>SUM('Pin Laricio'!AT37*'Pin Laricio'!$F$21,'Pin Maritime'!AT37*'Pin Maritime'!$F$21,'C'!AT37*'C'!$F$21,D!AT37*D!$F$21,E!AT37*E!$F$21,F!AT37*F!$F$21)</f>
        <v>0</v>
      </c>
      <c r="AA53" s="175">
        <f t="shared" si="8"/>
        <v>0</v>
      </c>
      <c r="AB53" s="176">
        <f t="shared" si="7"/>
        <v>-71.956323860452827</v>
      </c>
      <c r="AC53" s="175"/>
      <c r="AD53" s="175"/>
    </row>
    <row r="54" spans="2:30" x14ac:dyDescent="0.3">
      <c r="B54" s="266" t="str">
        <f>'C'!B81</f>
        <v>Année</v>
      </c>
      <c r="C54" s="227" t="str">
        <f>'C'!C81</f>
        <v>Volume d'éclaircie</v>
      </c>
      <c r="D54" s="214" t="str">
        <f>'C'!D81</f>
        <v>BO</v>
      </c>
      <c r="E54" s="214" t="str">
        <f>'C'!E81</f>
        <v>BI - panneaux</v>
      </c>
      <c r="F54" s="214" t="str">
        <f>'C'!F81</f>
        <v>BI - papier</v>
      </c>
      <c r="G54" s="215" t="str">
        <f>'C'!G81</f>
        <v>BE</v>
      </c>
      <c r="H54" s="213" t="s">
        <v>78</v>
      </c>
      <c r="I54" s="214" t="s">
        <v>81</v>
      </c>
      <c r="J54" s="214" t="s">
        <v>80</v>
      </c>
      <c r="K54" s="215" t="s">
        <v>79</v>
      </c>
      <c r="L54" s="256" t="s">
        <v>252</v>
      </c>
      <c r="N54" s="71">
        <v>33</v>
      </c>
      <c r="O54" s="236"/>
      <c r="P54" s="177"/>
      <c r="Q54" s="237">
        <f t="shared" si="10"/>
        <v>272.49999999999994</v>
      </c>
      <c r="R54" s="177">
        <f t="shared" si="4"/>
        <v>21.799999999999997</v>
      </c>
      <c r="S54" s="177">
        <f>$L$11*(1+$L$9)^N54*'Récapitulatif des résultats'!$I$11</f>
        <v>0</v>
      </c>
      <c r="T54" s="238"/>
      <c r="U54" s="177"/>
      <c r="V54" s="246">
        <f t="shared" si="6"/>
        <v>0</v>
      </c>
      <c r="W54" s="185">
        <f>SUM('Pin Laricio'!AQ38*'Pin Laricio'!$F$21,'Pin Maritime'!AQ38*'Pin Maritime'!$F$21,'C'!AQ38*'C'!$F$21,D!AQ38*D!$F$21,E!AQ38*E!$F$21,F!AQ38*F!$F$21)</f>
        <v>0</v>
      </c>
      <c r="X54" s="185">
        <f>SUM('Pin Laricio'!AR38*'Pin Laricio'!$F$21,'Pin Maritime'!AR38*'Pin Maritime'!$F$21,'C'!AR38*'C'!$F$21,D!AR38*D!$F$21,E!AR38*E!$F$21,F!AR38*F!$F$21)</f>
        <v>0</v>
      </c>
      <c r="Y54" s="185">
        <f>SUM('Pin Laricio'!AS38*'Pin Laricio'!$F$21,'Pin Maritime'!AS38*'Pin Maritime'!$F$21,'C'!AS38*'C'!$F$21,D!AS38*D!$F$21,E!AS38*E!$F$21,F!AS38*F!$F$21)</f>
        <v>0</v>
      </c>
      <c r="Z54" s="328">
        <f>SUM('Pin Laricio'!AT38*'Pin Laricio'!$F$21,'Pin Maritime'!AT38*'Pin Maritime'!$F$21,'C'!AT38*'C'!$F$21,D!AT38*D!$F$21,E!AT38*E!$F$21,F!AT38*F!$F$21)</f>
        <v>0</v>
      </c>
      <c r="AA54" s="175">
        <f t="shared" si="8"/>
        <v>0</v>
      </c>
      <c r="AB54" s="176">
        <f t="shared" si="7"/>
        <v>-68.857726182251525</v>
      </c>
      <c r="AC54" s="175"/>
      <c r="AD54" s="175"/>
    </row>
    <row r="55" spans="2:30" x14ac:dyDescent="0.3">
      <c r="B55" s="267" t="str">
        <f>'C'!B82</f>
        <v>-</v>
      </c>
      <c r="C55" s="220">
        <f>'C'!C82</f>
        <v>26.765882745274169</v>
      </c>
      <c r="D55" s="217">
        <f>'C'!D82</f>
        <v>0</v>
      </c>
      <c r="E55" s="217">
        <f>'C'!E82</f>
        <v>0.56000000000000005</v>
      </c>
      <c r="F55" s="217">
        <f>'C'!F82</f>
        <v>0.44</v>
      </c>
      <c r="G55" s="221">
        <f>'C'!G82</f>
        <v>0</v>
      </c>
      <c r="H55" s="228">
        <f>IFERROR(VLOOKUP($B$53,Tableau14582[],4,FALSE)*(1+$L$9)^$B55,0)</f>
        <v>0</v>
      </c>
      <c r="I55" s="229">
        <f>IFERROR(VLOOKUP($B$53,Tableau14582[],5,FALSE)*(1+$L$9)^$B55,0)</f>
        <v>0</v>
      </c>
      <c r="J55" s="229">
        <f>IFERROR(VLOOKUP($B$53,Tableau14582[],5,FALSE)*(1+$L$9)^$B55,0)</f>
        <v>0</v>
      </c>
      <c r="K55" s="230">
        <f>IFERROR(VLOOKUP($B$53,Tableau14582[],6,FALSE)*(1+$L$9)^$B55,0)</f>
        <v>0</v>
      </c>
      <c r="L55" s="258">
        <f>(C55*D55*H55+C55*E55*I55+C55*F55*J55+C55*G55*K55)*L$53</f>
        <v>0</v>
      </c>
      <c r="N55" s="71">
        <v>34</v>
      </c>
      <c r="O55" s="236"/>
      <c r="P55" s="177"/>
      <c r="Q55" s="237">
        <f t="shared" si="10"/>
        <v>272.49999999999994</v>
      </c>
      <c r="R55" s="177">
        <f t="shared" si="4"/>
        <v>21.799999999999997</v>
      </c>
      <c r="S55" s="177">
        <f>$L$11*(1+$L$9)^N55*'Récapitulatif des résultats'!$I$11</f>
        <v>0</v>
      </c>
      <c r="T55" s="238"/>
      <c r="U55" s="177"/>
      <c r="V55" s="246">
        <f t="shared" si="6"/>
        <v>0</v>
      </c>
      <c r="W55" s="185">
        <f>SUM('Pin Laricio'!AQ39*'Pin Laricio'!$F$21,'Pin Maritime'!AQ39*'Pin Maritime'!$F$21,'C'!AQ39*'C'!$F$21,D!AQ39*D!$F$21,E!AQ39*E!$F$21,F!AQ39*F!$F$21)</f>
        <v>0</v>
      </c>
      <c r="X55" s="185">
        <f>SUM('Pin Laricio'!AR39*'Pin Laricio'!$F$21,'Pin Maritime'!AR39*'Pin Maritime'!$F$21,'C'!AR39*'C'!$F$21,D!AR39*D!$F$21,E!AR39*E!$F$21,F!AR39*F!$F$21)</f>
        <v>0</v>
      </c>
      <c r="Y55" s="185">
        <f>SUM('Pin Laricio'!AS39*'Pin Laricio'!$F$21,'Pin Maritime'!AS39*'Pin Maritime'!$F$21,'C'!AS39*'C'!$F$21,D!AS39*D!$F$21,E!AS39*E!$F$21,F!AS39*F!$F$21)</f>
        <v>0</v>
      </c>
      <c r="Z55" s="328">
        <f>SUM('Pin Laricio'!AT39*'Pin Laricio'!$F$21,'Pin Maritime'!AT39*'Pin Maritime'!$F$21,'C'!AT39*'C'!$F$21,D!AT39*D!$F$21,E!AT39*E!$F$21,F!AT39*F!$F$21)</f>
        <v>0</v>
      </c>
      <c r="AA55" s="175">
        <f t="shared" si="8"/>
        <v>0</v>
      </c>
      <c r="AB55" s="176">
        <f t="shared" si="7"/>
        <v>-65.892560939953611</v>
      </c>
      <c r="AC55" s="175"/>
      <c r="AD55" s="175"/>
    </row>
    <row r="56" spans="2:30" x14ac:dyDescent="0.3">
      <c r="B56" s="268" t="str">
        <f>'C'!B83</f>
        <v>-</v>
      </c>
      <c r="C56" s="222">
        <f>'C'!C83</f>
        <v>40.111031921545845</v>
      </c>
      <c r="D56" s="223">
        <f>'C'!D83</f>
        <v>0.2</v>
      </c>
      <c r="E56" s="218">
        <f>'C'!E83</f>
        <v>0.44800000000000006</v>
      </c>
      <c r="F56" s="218">
        <f>'C'!F83</f>
        <v>0.35200000000000004</v>
      </c>
      <c r="G56" s="224">
        <f>'C'!G83</f>
        <v>0</v>
      </c>
      <c r="H56" s="207">
        <f>IFERROR(VLOOKUP($B$53,Tableau14582[],4,FALSE)*(1+$L$9)^$B56,0)</f>
        <v>0</v>
      </c>
      <c r="I56" s="208">
        <f>IFERROR(VLOOKUP($B$53,Tableau14582[],5,FALSE)*(1+$L$9)^$B56,0)</f>
        <v>0</v>
      </c>
      <c r="J56" s="208">
        <f>IFERROR(VLOOKUP($B$53,Tableau14582[],5,FALSE)*(1+$L$9)^$B56,0)</f>
        <v>0</v>
      </c>
      <c r="K56" s="209">
        <f>IFERROR(VLOOKUP($B$53,Tableau14582[],6,FALSE)*(1+$L$9)^$B56,0)</f>
        <v>0</v>
      </c>
      <c r="L56" s="260">
        <f t="shared" ref="L56:L67" si="12">(C56*D56*H56+C56*E56*I56+C56*F56*J56+C56*G56*K56)*L$53</f>
        <v>0</v>
      </c>
      <c r="N56" s="71">
        <v>35</v>
      </c>
      <c r="O56" s="236"/>
      <c r="P56" s="177"/>
      <c r="Q56" s="237">
        <f t="shared" si="10"/>
        <v>272.49999999999994</v>
      </c>
      <c r="R56" s="177">
        <f t="shared" si="4"/>
        <v>21.799999999999997</v>
      </c>
      <c r="S56" s="177">
        <f>$L$11*(1+$L$9)^N56*'Récapitulatif des résultats'!$I$11</f>
        <v>0</v>
      </c>
      <c r="T56" s="238"/>
      <c r="U56" s="177"/>
      <c r="V56" s="246">
        <f t="shared" si="6"/>
        <v>0</v>
      </c>
      <c r="W56" s="185">
        <f>SUM('Pin Laricio'!AQ40*'Pin Laricio'!$F$21,'Pin Maritime'!AQ40*'Pin Maritime'!$F$21,'C'!AQ40*'C'!$F$21,D!AQ40*D!$F$21,E!AQ40*E!$F$21,F!AQ40*F!$F$21)</f>
        <v>0</v>
      </c>
      <c r="X56" s="185">
        <f>SUM('Pin Laricio'!AR40*'Pin Laricio'!$F$21,'Pin Maritime'!AR40*'Pin Maritime'!$F$21,'C'!AR40*'C'!$F$21,D!AR40*D!$F$21,E!AR40*E!$F$21,F!AR40*F!$F$21)</f>
        <v>0</v>
      </c>
      <c r="Y56" s="185">
        <f>SUM('Pin Laricio'!AS40*'Pin Laricio'!$F$21,'Pin Maritime'!AS40*'Pin Maritime'!$F$21,'C'!AS40*'C'!$F$21,D!AS40*D!$F$21,E!AS40*E!$F$21,F!AS40*F!$F$21)</f>
        <v>0</v>
      </c>
      <c r="Z56" s="328">
        <f>SUM('Pin Laricio'!AT40*'Pin Laricio'!$F$21,'Pin Maritime'!AT40*'Pin Maritime'!$F$21,'C'!AT40*'C'!$F$21,D!AT40*D!$F$21,E!AT40*E!$F$21,F!AT40*F!$F$21)</f>
        <v>0</v>
      </c>
      <c r="AA56" s="175">
        <f t="shared" si="8"/>
        <v>0</v>
      </c>
      <c r="AB56" s="176">
        <f t="shared" si="7"/>
        <v>-63.055082239190064</v>
      </c>
      <c r="AC56" s="175"/>
      <c r="AD56" s="175"/>
    </row>
    <row r="57" spans="2:30" x14ac:dyDescent="0.3">
      <c r="B57" s="268" t="str">
        <f>'C'!B84</f>
        <v>-</v>
      </c>
      <c r="C57" s="222">
        <f>'C'!C84</f>
        <v>40.284666387285768</v>
      </c>
      <c r="D57" s="223">
        <f>'C'!D84</f>
        <v>0.4</v>
      </c>
      <c r="E57" s="218">
        <f>'C'!E84</f>
        <v>0.33600000000000002</v>
      </c>
      <c r="F57" s="218">
        <f>'C'!F84</f>
        <v>0.26400000000000001</v>
      </c>
      <c r="G57" s="224">
        <f>'C'!G84</f>
        <v>0</v>
      </c>
      <c r="H57" s="207">
        <f>IFERROR(VLOOKUP($B$53,Tableau14582[],4,FALSE)*(1+$L$9)^$B57,0)</f>
        <v>0</v>
      </c>
      <c r="I57" s="208">
        <f>IFERROR(VLOOKUP($B$53,Tableau14582[],5,FALSE)*(1+$L$9)^$B57,0)</f>
        <v>0</v>
      </c>
      <c r="J57" s="208">
        <f>IFERROR(VLOOKUP($B$53,Tableau14582[],5,FALSE)*(1+$L$9)^$B57,0)</f>
        <v>0</v>
      </c>
      <c r="K57" s="209">
        <f>IFERROR(VLOOKUP($B$53,Tableau14582[],6,FALSE)*(1+$L$9)^$B57,0)</f>
        <v>0</v>
      </c>
      <c r="L57" s="260">
        <f t="shared" si="12"/>
        <v>0</v>
      </c>
      <c r="N57" s="71">
        <v>36</v>
      </c>
      <c r="O57" s="236"/>
      <c r="P57" s="177"/>
      <c r="Q57" s="237">
        <f t="shared" si="10"/>
        <v>272.49999999999994</v>
      </c>
      <c r="R57" s="177">
        <f t="shared" si="4"/>
        <v>21.799999999999997</v>
      </c>
      <c r="S57" s="177">
        <f>$L$11*(1+$L$9)^N57*'Récapitulatif des résultats'!$I$11</f>
        <v>0</v>
      </c>
      <c r="T57" s="238"/>
      <c r="U57" s="177"/>
      <c r="V57" s="246">
        <f t="shared" si="6"/>
        <v>440.97074410034895</v>
      </c>
      <c r="W57" s="185">
        <f>SUM('Pin Laricio'!AQ41*'Pin Laricio'!$F$21,'Pin Maritime'!AQ41*'Pin Maritime'!$F$21,'C'!AQ41*'C'!$F$21,D!AQ41*D!$F$21,E!AQ41*E!$F$21,F!AQ41*F!$F$21)</f>
        <v>132.29122323010469</v>
      </c>
      <c r="X57" s="185">
        <f>SUM('Pin Laricio'!AR41*'Pin Laricio'!$F$21,'Pin Maritime'!AR41*'Pin Maritime'!$F$21,'C'!AR41*'C'!$F$21,D!AR41*D!$F$21,E!AR41*E!$F$21,F!AR41*F!$F$21)</f>
        <v>172.86053168733679</v>
      </c>
      <c r="Y57" s="185">
        <f>SUM('Pin Laricio'!AS41*'Pin Laricio'!$F$21,'Pin Maritime'!AS41*'Pin Maritime'!$F$21,'C'!AS41*'C'!$F$21,D!AS41*D!$F$21,E!AS41*E!$F$21,F!AS41*F!$F$21)</f>
        <v>135.81898918290747</v>
      </c>
      <c r="Z57" s="328">
        <f>SUM('Pin Laricio'!AT41*'Pin Laricio'!$F$21,'Pin Maritime'!AT41*'Pin Maritime'!$F$21,'C'!AT41*'C'!$F$21,D!AT41*D!$F$21,E!AT41*E!$F$21,F!AT41*F!$F$21)</f>
        <v>0</v>
      </c>
      <c r="AA57" s="175">
        <f t="shared" si="8"/>
        <v>10562.73709252538</v>
      </c>
      <c r="AB57" s="176">
        <f t="shared" si="7"/>
        <v>2105.3189072021937</v>
      </c>
      <c r="AC57" s="175"/>
      <c r="AD57" s="175"/>
    </row>
    <row r="58" spans="2:30" x14ac:dyDescent="0.3">
      <c r="B58" s="268" t="str">
        <f>'C'!B85</f>
        <v>-</v>
      </c>
      <c r="C58" s="222">
        <f>'C'!C85</f>
        <v>39.900378267572421</v>
      </c>
      <c r="D58" s="223">
        <f>'C'!D85</f>
        <v>0.6</v>
      </c>
      <c r="E58" s="218">
        <f>'C'!E85</f>
        <v>0.22400000000000003</v>
      </c>
      <c r="F58" s="218">
        <f>'C'!F85</f>
        <v>0.17600000000000002</v>
      </c>
      <c r="G58" s="224">
        <f>'C'!G85</f>
        <v>0</v>
      </c>
      <c r="H58" s="207">
        <f>IFERROR(VLOOKUP($B$53,Tableau14582[],4,FALSE)*(1+$L$9)^$B58,0)</f>
        <v>0</v>
      </c>
      <c r="I58" s="208">
        <f>IFERROR(VLOOKUP($B$53,Tableau14582[],5,FALSE)*(1+$L$9)^$B58,0)</f>
        <v>0</v>
      </c>
      <c r="J58" s="208">
        <f>IFERROR(VLOOKUP($B$53,Tableau14582[],5,FALSE)*(1+$L$9)^$B58,0)</f>
        <v>0</v>
      </c>
      <c r="K58" s="209">
        <f>IFERROR(VLOOKUP($B$53,Tableau14582[],6,FALSE)*(1+$L$9)^$B58,0)</f>
        <v>0</v>
      </c>
      <c r="L58" s="260">
        <f t="shared" si="12"/>
        <v>0</v>
      </c>
      <c r="N58" s="71">
        <v>37</v>
      </c>
      <c r="O58" s="236"/>
      <c r="P58" s="177"/>
      <c r="Q58" s="237">
        <f t="shared" si="10"/>
        <v>272.49999999999994</v>
      </c>
      <c r="R58" s="177">
        <f t="shared" si="4"/>
        <v>21.799999999999997</v>
      </c>
      <c r="S58" s="177">
        <f>$L$11*(1+$L$9)^N58*'Récapitulatif des résultats'!$I$11</f>
        <v>0</v>
      </c>
      <c r="T58" s="238"/>
      <c r="U58" s="177"/>
      <c r="V58" s="246">
        <f t="shared" si="6"/>
        <v>0</v>
      </c>
      <c r="W58" s="185">
        <f>SUM('Pin Laricio'!AQ42*'Pin Laricio'!$F$21,'Pin Maritime'!AQ42*'Pin Maritime'!$F$21,'C'!AQ42*'C'!$F$21,D!AQ42*D!$F$21,E!AQ42*E!$F$21,F!AQ42*F!$F$21)</f>
        <v>0</v>
      </c>
      <c r="X58" s="185">
        <f>SUM('Pin Laricio'!AR42*'Pin Laricio'!$F$21,'Pin Maritime'!AR42*'Pin Maritime'!$F$21,'C'!AR42*'C'!$F$21,D!AR42*D!$F$21,E!AR42*E!$F$21,F!AR42*F!$F$21)</f>
        <v>0</v>
      </c>
      <c r="Y58" s="185">
        <f>SUM('Pin Laricio'!AS42*'Pin Laricio'!$F$21,'Pin Maritime'!AS42*'Pin Maritime'!$F$21,'C'!AS42*'C'!$F$21,D!AS42*D!$F$21,E!AS42*E!$F$21,F!AS42*F!$F$21)</f>
        <v>0</v>
      </c>
      <c r="Z58" s="328">
        <f>SUM('Pin Laricio'!AT42*'Pin Laricio'!$F$21,'Pin Maritime'!AT42*'Pin Maritime'!$F$21,'C'!AT42*'C'!$F$21,D!AT42*D!$F$21,E!AT42*E!$F$21,F!AT42*F!$F$21)</f>
        <v>0</v>
      </c>
      <c r="AA58" s="175">
        <f t="shared" si="8"/>
        <v>0</v>
      </c>
      <c r="AB58" s="176">
        <f t="shared" si="7"/>
        <v>-57.74142738416252</v>
      </c>
      <c r="AC58" s="175"/>
      <c r="AD58" s="175"/>
    </row>
    <row r="59" spans="2:30" x14ac:dyDescent="0.3">
      <c r="B59" s="268" t="str">
        <f>'C'!B86</f>
        <v>-</v>
      </c>
      <c r="C59" s="222">
        <f>'C'!C86</f>
        <v>39.62110327915093</v>
      </c>
      <c r="D59" s="223">
        <f>'C'!D86</f>
        <v>0.8</v>
      </c>
      <c r="E59" s="218">
        <f>'C'!E86</f>
        <v>0.11199999999999999</v>
      </c>
      <c r="F59" s="218">
        <f>'C'!F86</f>
        <v>8.7999999999999981E-2</v>
      </c>
      <c r="G59" s="224">
        <f>'C'!G86</f>
        <v>0</v>
      </c>
      <c r="H59" s="207">
        <f>IFERROR(VLOOKUP($B$53,Tableau14582[],4,FALSE)*(1+$L$9)^$B59,0)</f>
        <v>0</v>
      </c>
      <c r="I59" s="208">
        <f>IFERROR(VLOOKUP($B$53,Tableau14582[],5,FALSE)*(1+$L$9)^$B59,0)</f>
        <v>0</v>
      </c>
      <c r="J59" s="208">
        <f>IFERROR(VLOOKUP($B$53,Tableau14582[],5,FALSE)*(1+$L$9)^$B59,0)</f>
        <v>0</v>
      </c>
      <c r="K59" s="209">
        <f>IFERROR(VLOOKUP($B$53,Tableau14582[],6,FALSE)*(1+$L$9)^$B59,0)</f>
        <v>0</v>
      </c>
      <c r="L59" s="260">
        <f t="shared" si="12"/>
        <v>0</v>
      </c>
      <c r="N59" s="71">
        <v>38</v>
      </c>
      <c r="O59" s="236"/>
      <c r="P59" s="177"/>
      <c r="Q59" s="237">
        <f t="shared" ref="Q59:Q90" si="13">$L$13*(1+$L$9)^N59*$L$5</f>
        <v>272.49999999999994</v>
      </c>
      <c r="R59" s="177">
        <f t="shared" si="4"/>
        <v>21.799999999999997</v>
      </c>
      <c r="S59" s="177">
        <f>$L$11*(1+$L$9)^N59*'Récapitulatif des résultats'!$I$11</f>
        <v>0</v>
      </c>
      <c r="T59" s="238"/>
      <c r="U59" s="177"/>
      <c r="V59" s="246">
        <f t="shared" si="6"/>
        <v>0</v>
      </c>
      <c r="W59" s="185">
        <f>SUM('Pin Laricio'!AQ43*'Pin Laricio'!$F$21,'Pin Maritime'!AQ43*'Pin Maritime'!$F$21,'C'!AQ43*'C'!$F$21,D!AQ43*D!$F$21,E!AQ43*E!$F$21,F!AQ43*F!$F$21)</f>
        <v>0</v>
      </c>
      <c r="X59" s="185">
        <f>SUM('Pin Laricio'!AR43*'Pin Laricio'!$F$21,'Pin Maritime'!AR43*'Pin Maritime'!$F$21,'C'!AR43*'C'!$F$21,D!AR43*D!$F$21,E!AR43*E!$F$21,F!AR43*F!$F$21)</f>
        <v>0</v>
      </c>
      <c r="Y59" s="185">
        <f>SUM('Pin Laricio'!AS43*'Pin Laricio'!$F$21,'Pin Maritime'!AS43*'Pin Maritime'!$F$21,'C'!AS43*'C'!$F$21,D!AS43*D!$F$21,E!AS43*E!$F$21,F!AS43*F!$F$21)</f>
        <v>0</v>
      </c>
      <c r="Z59" s="328">
        <f>SUM('Pin Laricio'!AT43*'Pin Laricio'!$F$21,'Pin Maritime'!AT43*'Pin Maritime'!$F$21,'C'!AT43*'C'!$F$21,D!AT43*D!$F$21,E!AT43*E!$F$21,F!AT43*F!$F$21)</f>
        <v>0</v>
      </c>
      <c r="AA59" s="175">
        <f t="shared" si="8"/>
        <v>0</v>
      </c>
      <c r="AB59" s="176">
        <f t="shared" si="7"/>
        <v>-55.254954434605288</v>
      </c>
      <c r="AC59" s="175"/>
      <c r="AD59" s="175"/>
    </row>
    <row r="60" spans="2:30" x14ac:dyDescent="0.3">
      <c r="B60" s="268" t="str">
        <f>'C'!B87</f>
        <v>-</v>
      </c>
      <c r="C60" s="222">
        <f>'C'!C87</f>
        <v>29.026076012024305</v>
      </c>
      <c r="D60" s="223">
        <f>'C'!D87</f>
        <v>0.4</v>
      </c>
      <c r="E60" s="218">
        <f>'C'!E87</f>
        <v>0.33600000000000002</v>
      </c>
      <c r="F60" s="218">
        <f>'C'!F87</f>
        <v>0.26400000000000001</v>
      </c>
      <c r="G60" s="224">
        <f>'C'!G87</f>
        <v>0</v>
      </c>
      <c r="H60" s="207">
        <f>IFERROR(VLOOKUP($B$53,Tableau14582[],4,FALSE)*(1+$L$9)^$B60,0)</f>
        <v>0</v>
      </c>
      <c r="I60" s="208">
        <f>IFERROR(VLOOKUP($B$53,Tableau14582[],5,FALSE)*(1+$L$9)^$B60,0)</f>
        <v>0</v>
      </c>
      <c r="J60" s="208">
        <f>IFERROR(VLOOKUP($B$53,Tableau14582[],5,FALSE)*(1+$L$9)^$B60,0)</f>
        <v>0</v>
      </c>
      <c r="K60" s="209">
        <f>IFERROR(VLOOKUP($B$53,Tableau14582[],6,FALSE)*(1+$L$9)^$B60,0)</f>
        <v>0</v>
      </c>
      <c r="L60" s="260">
        <f t="shared" si="12"/>
        <v>0</v>
      </c>
      <c r="N60" s="71">
        <v>39</v>
      </c>
      <c r="O60" s="236"/>
      <c r="P60" s="177"/>
      <c r="Q60" s="237">
        <f t="shared" si="13"/>
        <v>272.49999999999994</v>
      </c>
      <c r="R60" s="177">
        <f t="shared" si="4"/>
        <v>21.799999999999997</v>
      </c>
      <c r="S60" s="177">
        <f>$L$11*(1+$L$9)^N60*'Récapitulatif des résultats'!$I$11</f>
        <v>0</v>
      </c>
      <c r="T60" s="238"/>
      <c r="U60" s="177"/>
      <c r="V60" s="246">
        <f t="shared" si="6"/>
        <v>0</v>
      </c>
      <c r="W60" s="185">
        <f>SUM('Pin Laricio'!AQ44*'Pin Laricio'!$F$21,'Pin Maritime'!AQ44*'Pin Maritime'!$F$21,'C'!AQ44*'C'!$F$21,D!AQ44*D!$F$21,E!AQ44*E!$F$21,F!AQ44*F!$F$21)</f>
        <v>0</v>
      </c>
      <c r="X60" s="185">
        <f>SUM('Pin Laricio'!AR44*'Pin Laricio'!$F$21,'Pin Maritime'!AR44*'Pin Maritime'!$F$21,'C'!AR44*'C'!$F$21,D!AR44*D!$F$21,E!AR44*E!$F$21,F!AR44*F!$F$21)</f>
        <v>0</v>
      </c>
      <c r="Y60" s="185">
        <f>SUM('Pin Laricio'!AS44*'Pin Laricio'!$F$21,'Pin Maritime'!AS44*'Pin Maritime'!$F$21,'C'!AS44*'C'!$F$21,D!AS44*D!$F$21,E!AS44*E!$F$21,F!AS44*F!$F$21)</f>
        <v>0</v>
      </c>
      <c r="Z60" s="328">
        <f>SUM('Pin Laricio'!AT44*'Pin Laricio'!$F$21,'Pin Maritime'!AT44*'Pin Maritime'!$F$21,'C'!AT44*'C'!$F$21,D!AT44*D!$F$21,E!AT44*E!$F$21,F!AT44*F!$F$21)</f>
        <v>0</v>
      </c>
      <c r="AA60" s="175">
        <f t="shared" si="8"/>
        <v>0</v>
      </c>
      <c r="AB60" s="176">
        <f t="shared" si="7"/>
        <v>-52.875554482875877</v>
      </c>
      <c r="AC60" s="175"/>
      <c r="AD60" s="175"/>
    </row>
    <row r="61" spans="2:30" x14ac:dyDescent="0.3">
      <c r="B61" s="268" t="str">
        <f>'C'!B88</f>
        <v>-</v>
      </c>
      <c r="C61" s="222">
        <f>'C'!C88</f>
        <v>30.297835254581344</v>
      </c>
      <c r="D61" s="223">
        <f>'C'!D88</f>
        <v>0.5</v>
      </c>
      <c r="E61" s="218">
        <f>'C'!E88</f>
        <v>0.28000000000000003</v>
      </c>
      <c r="F61" s="218">
        <f>'C'!F88</f>
        <v>0.22</v>
      </c>
      <c r="G61" s="224">
        <f>'C'!G88</f>
        <v>0</v>
      </c>
      <c r="H61" s="207">
        <f>IFERROR(VLOOKUP($B$53,Tableau14582[],4,FALSE)*(1+$L$9)^$B61,0)</f>
        <v>0</v>
      </c>
      <c r="I61" s="208">
        <f>IFERROR(VLOOKUP($B$53,Tableau14582[],5,FALSE)*(1+$L$9)^$B61,0)</f>
        <v>0</v>
      </c>
      <c r="J61" s="208">
        <f>IFERROR(VLOOKUP($B$53,Tableau14582[],5,FALSE)*(1+$L$9)^$B61,0)</f>
        <v>0</v>
      </c>
      <c r="K61" s="209">
        <f>IFERROR(VLOOKUP($B$53,Tableau14582[],6,FALSE)*(1+$L$9)^$B61,0)</f>
        <v>0</v>
      </c>
      <c r="L61" s="260">
        <f t="shared" si="12"/>
        <v>0</v>
      </c>
      <c r="N61" s="71">
        <v>40</v>
      </c>
      <c r="O61" s="236"/>
      <c r="P61" s="177"/>
      <c r="Q61" s="237">
        <f t="shared" si="13"/>
        <v>272.49999999999994</v>
      </c>
      <c r="R61" s="177">
        <f t="shared" si="4"/>
        <v>21.799999999999997</v>
      </c>
      <c r="S61" s="177">
        <f>$L$11*(1+$L$9)^N61*'Récapitulatif des résultats'!$I$11</f>
        <v>0</v>
      </c>
      <c r="T61" s="238"/>
      <c r="U61" s="177"/>
      <c r="V61" s="246">
        <f t="shared" si="6"/>
        <v>0</v>
      </c>
      <c r="W61" s="185">
        <f>SUM('Pin Laricio'!AQ45*'Pin Laricio'!$F$21,'Pin Maritime'!AQ45*'Pin Maritime'!$F$21,'C'!AQ45*'C'!$F$21,D!AQ45*D!$F$21,E!AQ45*E!$F$21,F!AQ45*F!$F$21)</f>
        <v>0</v>
      </c>
      <c r="X61" s="185">
        <f>SUM('Pin Laricio'!AR45*'Pin Laricio'!$F$21,'Pin Maritime'!AR45*'Pin Maritime'!$F$21,'C'!AR45*'C'!$F$21,D!AR45*D!$F$21,E!AR45*E!$F$21,F!AR45*F!$F$21)</f>
        <v>0</v>
      </c>
      <c r="Y61" s="185">
        <f>SUM('Pin Laricio'!AS45*'Pin Laricio'!$F$21,'Pin Maritime'!AS45*'Pin Maritime'!$F$21,'C'!AS45*'C'!$F$21,D!AS45*D!$F$21,E!AS45*E!$F$21,F!AS45*F!$F$21)</f>
        <v>0</v>
      </c>
      <c r="Z61" s="328">
        <f>SUM('Pin Laricio'!AT45*'Pin Laricio'!$F$21,'Pin Maritime'!AT45*'Pin Maritime'!$F$21,'C'!AT45*'C'!$F$21,D!AT45*D!$F$21,E!AT45*E!$F$21,F!AT45*F!$F$21)</f>
        <v>0</v>
      </c>
      <c r="AA61" s="175">
        <f t="shared" si="8"/>
        <v>0</v>
      </c>
      <c r="AB61" s="176">
        <f t="shared" si="7"/>
        <v>-50.59861673002478</v>
      </c>
      <c r="AC61" s="175"/>
      <c r="AD61" s="175"/>
    </row>
    <row r="62" spans="2:30" x14ac:dyDescent="0.3">
      <c r="B62" s="268" t="str">
        <f>'C'!B89</f>
        <v>-</v>
      </c>
      <c r="C62" s="222">
        <f>'C'!C89</f>
        <v>396.65306261171173</v>
      </c>
      <c r="D62" s="223">
        <f>'C'!D89</f>
        <v>0.6</v>
      </c>
      <c r="E62" s="218">
        <f>'C'!E89</f>
        <v>0.22400000000000003</v>
      </c>
      <c r="F62" s="218">
        <f>'C'!F89</f>
        <v>0.17600000000000002</v>
      </c>
      <c r="G62" s="224">
        <f>'C'!G89</f>
        <v>0</v>
      </c>
      <c r="H62" s="207">
        <f>IFERROR(VLOOKUP($B$53,Tableau14582[],4,FALSE)*(1+$L$9)^$B62,0)</f>
        <v>0</v>
      </c>
      <c r="I62" s="208">
        <f>IFERROR(VLOOKUP($B$53,Tableau14582[],5,FALSE)*(1+$L$9)^$B62,0)</f>
        <v>0</v>
      </c>
      <c r="J62" s="208">
        <f>IFERROR(VLOOKUP($B$53,Tableau14582[],5,FALSE)*(1+$L$9)^$B62,0)</f>
        <v>0</v>
      </c>
      <c r="K62" s="209">
        <f>IFERROR(VLOOKUP($B$53,Tableau14582[],6,FALSE)*(1+$L$9)^$B62,0)</f>
        <v>0</v>
      </c>
      <c r="L62" s="260">
        <f t="shared" si="12"/>
        <v>0</v>
      </c>
      <c r="N62" s="71">
        <v>41</v>
      </c>
      <c r="O62" s="236"/>
      <c r="P62" s="177"/>
      <c r="Q62" s="237">
        <f t="shared" si="13"/>
        <v>272.49999999999994</v>
      </c>
      <c r="R62" s="177">
        <f t="shared" si="4"/>
        <v>21.799999999999997</v>
      </c>
      <c r="S62" s="177">
        <f>$L$11*(1+$L$9)^N62*'Récapitulatif des résultats'!$I$11</f>
        <v>0</v>
      </c>
      <c r="T62" s="238"/>
      <c r="U62" s="177"/>
      <c r="V62" s="246">
        <f t="shared" si="6"/>
        <v>395.41212685170456</v>
      </c>
      <c r="W62" s="185">
        <f>SUM('Pin Laricio'!AQ46*'Pin Laricio'!$F$21,'Pin Maritime'!AQ46*'Pin Maritime'!$F$21,'C'!AQ46*'C'!$F$21,D!AQ46*D!$F$21,E!AQ46*E!$F$21,F!AQ46*F!$F$21)</f>
        <v>195.60848879619317</v>
      </c>
      <c r="X62" s="185">
        <f>SUM('Pin Laricio'!AR46*'Pin Laricio'!$F$21,'Pin Maritime'!AR46*'Pin Maritime'!$F$21,'C'!AR46*'C'!$F$21,D!AR46*D!$F$21,E!AR46*E!$F$21,F!AR46*F!$F$21)</f>
        <v>111.89003731108637</v>
      </c>
      <c r="Y62" s="185">
        <f>SUM('Pin Laricio'!AS46*'Pin Laricio'!$F$21,'Pin Maritime'!AS46*'Pin Maritime'!$F$21,'C'!AS46*'C'!$F$21,D!AS46*D!$F$21,E!AS46*E!$F$21,F!AS46*F!$F$21)</f>
        <v>87.913600744424997</v>
      </c>
      <c r="Z62" s="328">
        <f>SUM('Pin Laricio'!AT46*'Pin Laricio'!$F$21,'Pin Maritime'!AT46*'Pin Maritime'!$F$21,'C'!AT46*'C'!$F$21,D!AT46*D!$F$21,E!AT46*E!$F$21,F!AT46*F!$F$21)</f>
        <v>0</v>
      </c>
      <c r="AA62" s="175">
        <f t="shared" si="8"/>
        <v>10787.872016765645</v>
      </c>
      <c r="AB62" s="176">
        <f t="shared" si="7"/>
        <v>1726.4557001049873</v>
      </c>
      <c r="AC62" s="175"/>
      <c r="AD62" s="175"/>
    </row>
    <row r="63" spans="2:30" x14ac:dyDescent="0.3">
      <c r="B63" s="268">
        <f>'C'!B90</f>
        <v>1</v>
      </c>
      <c r="C63" s="222">
        <f>'C'!C90</f>
        <v>0</v>
      </c>
      <c r="D63" s="223">
        <f>'C'!D90</f>
        <v>0.7</v>
      </c>
      <c r="E63" s="218">
        <f>'C'!E90</f>
        <v>0.16800000000000004</v>
      </c>
      <c r="F63" s="218">
        <f>'C'!F90</f>
        <v>0.13200000000000003</v>
      </c>
      <c r="G63" s="224">
        <f>'C'!G90</f>
        <v>0</v>
      </c>
      <c r="H63" s="207">
        <f>IFERROR(VLOOKUP($B$53,Tableau14582[],4,FALSE)*(1+$L$9)^$B63,0)</f>
        <v>42</v>
      </c>
      <c r="I63" s="208">
        <f>IFERROR(VLOOKUP($B$53,Tableau14582[],5,FALSE)*(1+$L$9)^$B63,0)</f>
        <v>19.375</v>
      </c>
      <c r="J63" s="208">
        <f>IFERROR(VLOOKUP($B$53,Tableau14582[],5,FALSE)*(1+$L$9)^$B63,0)</f>
        <v>19.375</v>
      </c>
      <c r="K63" s="209">
        <f>IFERROR(VLOOKUP($B$53,Tableau14582[],6,FALSE)*(1+$L$9)^$B63,0)</f>
        <v>10</v>
      </c>
      <c r="L63" s="260">
        <f t="shared" si="12"/>
        <v>0</v>
      </c>
      <c r="N63" s="71">
        <v>42</v>
      </c>
      <c r="O63" s="236"/>
      <c r="P63" s="177"/>
      <c r="Q63" s="237">
        <f t="shared" si="13"/>
        <v>272.49999999999994</v>
      </c>
      <c r="R63" s="177">
        <f t="shared" si="4"/>
        <v>21.799999999999997</v>
      </c>
      <c r="S63" s="177">
        <f>$L$11*(1+$L$9)^N63*'Récapitulatif des résultats'!$I$11</f>
        <v>0</v>
      </c>
      <c r="T63" s="238"/>
      <c r="U63" s="177"/>
      <c r="V63" s="246">
        <f t="shared" si="6"/>
        <v>0</v>
      </c>
      <c r="W63" s="185">
        <f>SUM('Pin Laricio'!AQ47*'Pin Laricio'!$F$21,'Pin Maritime'!AQ47*'Pin Maritime'!$F$21,'C'!AQ47*'C'!$F$21,D!AQ47*D!$F$21,E!AQ47*E!$F$21,F!AQ47*F!$F$21)</f>
        <v>0</v>
      </c>
      <c r="X63" s="185">
        <f>SUM('Pin Laricio'!AR47*'Pin Laricio'!$F$21,'Pin Maritime'!AR47*'Pin Maritime'!$F$21,'C'!AR47*'C'!$F$21,D!AR47*D!$F$21,E!AR47*E!$F$21,F!AR47*F!$F$21)</f>
        <v>0</v>
      </c>
      <c r="Y63" s="185">
        <f>SUM('Pin Laricio'!AS47*'Pin Laricio'!$F$21,'Pin Maritime'!AS47*'Pin Maritime'!$F$21,'C'!AS47*'C'!$F$21,D!AS47*D!$F$21,E!AS47*E!$F$21,F!AS47*F!$F$21)</f>
        <v>0</v>
      </c>
      <c r="Z63" s="328">
        <f>SUM('Pin Laricio'!AT47*'Pin Laricio'!$F$21,'Pin Maritime'!AT47*'Pin Maritime'!$F$21,'C'!AT47*'C'!$F$21,D!AT47*D!$F$21,E!AT47*E!$F$21,F!AT47*F!$F$21)</f>
        <v>0</v>
      </c>
      <c r="AA63" s="175">
        <f t="shared" si="8"/>
        <v>0</v>
      </c>
      <c r="AB63" s="176">
        <f t="shared" si="7"/>
        <v>-46.334668830864487</v>
      </c>
      <c r="AC63" s="175"/>
      <c r="AD63" s="175"/>
    </row>
    <row r="64" spans="2:30" x14ac:dyDescent="0.3">
      <c r="B64" s="268">
        <f>'C'!B91</f>
        <v>1</v>
      </c>
      <c r="C64" s="222">
        <f>'C'!C91</f>
        <v>0</v>
      </c>
      <c r="D64" s="223">
        <f>'C'!D91</f>
        <v>0.8</v>
      </c>
      <c r="E64" s="218">
        <f>'C'!E91</f>
        <v>0.11199999999999999</v>
      </c>
      <c r="F64" s="218">
        <f>'C'!F91</f>
        <v>8.7999999999999981E-2</v>
      </c>
      <c r="G64" s="224">
        <f>'C'!G91</f>
        <v>0</v>
      </c>
      <c r="H64" s="207">
        <f>IFERROR(VLOOKUP($B$53,Tableau14582[],4,FALSE)*(1+$L$9)^$B64,0)</f>
        <v>42</v>
      </c>
      <c r="I64" s="208">
        <f>IFERROR(VLOOKUP($B$53,Tableau14582[],5,FALSE)*(1+$L$9)^$B64,0)</f>
        <v>19.375</v>
      </c>
      <c r="J64" s="208">
        <f>IFERROR(VLOOKUP($B$53,Tableau14582[],5,FALSE)*(1+$L$9)^$B64,0)</f>
        <v>19.375</v>
      </c>
      <c r="K64" s="209">
        <f>IFERROR(VLOOKUP($B$53,Tableau14582[],6,FALSE)*(1+$L$9)^$B64,0)</f>
        <v>10</v>
      </c>
      <c r="L64" s="260">
        <f t="shared" si="12"/>
        <v>0</v>
      </c>
      <c r="N64" s="71">
        <v>43</v>
      </c>
      <c r="O64" s="236"/>
      <c r="P64" s="177"/>
      <c r="Q64" s="237">
        <f t="shared" si="13"/>
        <v>272.49999999999994</v>
      </c>
      <c r="R64" s="177">
        <f t="shared" si="4"/>
        <v>21.799999999999997</v>
      </c>
      <c r="S64" s="177">
        <f>$L$11*(1+$L$9)^N64*'Récapitulatif des résultats'!$I$11</f>
        <v>0</v>
      </c>
      <c r="T64" s="238"/>
      <c r="U64" s="177"/>
      <c r="V64" s="246">
        <f t="shared" si="6"/>
        <v>0</v>
      </c>
      <c r="W64" s="185">
        <f>SUM('Pin Laricio'!AQ48*'Pin Laricio'!$F$21,'Pin Maritime'!AQ48*'Pin Maritime'!$F$21,'C'!AQ48*'C'!$F$21,D!AQ48*D!$F$21,E!AQ48*E!$F$21,F!AQ48*F!$F$21)</f>
        <v>0</v>
      </c>
      <c r="X64" s="185">
        <f>SUM('Pin Laricio'!AR48*'Pin Laricio'!$F$21,'Pin Maritime'!AR48*'Pin Maritime'!$F$21,'C'!AR48*'C'!$F$21,D!AR48*D!$F$21,E!AR48*E!$F$21,F!AR48*F!$F$21)</f>
        <v>0</v>
      </c>
      <c r="Y64" s="185">
        <f>SUM('Pin Laricio'!AS48*'Pin Laricio'!$F$21,'Pin Maritime'!AS48*'Pin Maritime'!$F$21,'C'!AS48*'C'!$F$21,D!AS48*D!$F$21,E!AS48*E!$F$21,F!AS48*F!$F$21)</f>
        <v>0</v>
      </c>
      <c r="Z64" s="328">
        <f>SUM('Pin Laricio'!AT48*'Pin Laricio'!$F$21,'Pin Maritime'!AT48*'Pin Maritime'!$F$21,'C'!AT48*'C'!$F$21,D!AT48*D!$F$21,E!AT48*E!$F$21,F!AT48*F!$F$21)</f>
        <v>0</v>
      </c>
      <c r="AA64" s="175">
        <f t="shared" si="8"/>
        <v>0</v>
      </c>
      <c r="AB64" s="176">
        <f t="shared" si="7"/>
        <v>-44.339396010396641</v>
      </c>
      <c r="AC64" s="175"/>
      <c r="AD64" s="175"/>
    </row>
    <row r="65" spans="2:30" x14ac:dyDescent="0.3">
      <c r="B65" s="268">
        <f>'C'!B92</f>
        <v>1</v>
      </c>
      <c r="C65" s="222">
        <f>'C'!C92</f>
        <v>0</v>
      </c>
      <c r="D65" s="223">
        <f>'C'!D92</f>
        <v>0.9</v>
      </c>
      <c r="E65" s="218">
        <f>'C'!E92</f>
        <v>5.5999999999999994E-2</v>
      </c>
      <c r="F65" s="218">
        <f>'C'!F92</f>
        <v>4.3999999999999991E-2</v>
      </c>
      <c r="G65" s="224">
        <f>'C'!G92</f>
        <v>0</v>
      </c>
      <c r="H65" s="207">
        <f>IFERROR(VLOOKUP($B$53,Tableau14582[],4,FALSE)*(1+$L$9)^$B65,0)</f>
        <v>42</v>
      </c>
      <c r="I65" s="208">
        <f>IFERROR(VLOOKUP($B$53,Tableau14582[],5,FALSE)*(1+$L$9)^$B65,0)</f>
        <v>19.375</v>
      </c>
      <c r="J65" s="208">
        <f>IFERROR(VLOOKUP($B$53,Tableau14582[],5,FALSE)*(1+$L$9)^$B65,0)</f>
        <v>19.375</v>
      </c>
      <c r="K65" s="209">
        <f>IFERROR(VLOOKUP($B$53,Tableau14582[],6,FALSE)*(1+$L$9)^$B65,0)</f>
        <v>10</v>
      </c>
      <c r="L65" s="260">
        <f t="shared" si="12"/>
        <v>0</v>
      </c>
      <c r="N65" s="71">
        <v>44</v>
      </c>
      <c r="O65" s="236"/>
      <c r="P65" s="177"/>
      <c r="Q65" s="237">
        <f t="shared" si="13"/>
        <v>272.49999999999994</v>
      </c>
      <c r="R65" s="177">
        <f t="shared" si="4"/>
        <v>21.799999999999997</v>
      </c>
      <c r="S65" s="177">
        <f>$L$11*(1+$L$9)^N65*'Récapitulatif des résultats'!$I$11</f>
        <v>0</v>
      </c>
      <c r="T65" s="238"/>
      <c r="U65" s="177"/>
      <c r="V65" s="246">
        <f t="shared" si="6"/>
        <v>0</v>
      </c>
      <c r="W65" s="185">
        <f>SUM('Pin Laricio'!AQ49*'Pin Laricio'!$F$21,'Pin Maritime'!AQ49*'Pin Maritime'!$F$21,'C'!AQ49*'C'!$F$21,D!AQ49*D!$F$21,E!AQ49*E!$F$21,F!AQ49*F!$F$21)</f>
        <v>0</v>
      </c>
      <c r="X65" s="185">
        <f>SUM('Pin Laricio'!AR49*'Pin Laricio'!$F$21,'Pin Maritime'!AR49*'Pin Maritime'!$F$21,'C'!AR49*'C'!$F$21,D!AR49*D!$F$21,E!AR49*E!$F$21,F!AR49*F!$F$21)</f>
        <v>0</v>
      </c>
      <c r="Y65" s="185">
        <f>SUM('Pin Laricio'!AS49*'Pin Laricio'!$F$21,'Pin Maritime'!AS49*'Pin Maritime'!$F$21,'C'!AS49*'C'!$F$21,D!AS49*D!$F$21,E!AS49*E!$F$21,F!AS49*F!$F$21)</f>
        <v>0</v>
      </c>
      <c r="Z65" s="328">
        <f>SUM('Pin Laricio'!AT49*'Pin Laricio'!$F$21,'Pin Maritime'!AT49*'Pin Maritime'!$F$21,'C'!AT49*'C'!$F$21,D!AT49*D!$F$21,E!AT49*E!$F$21,F!AT49*F!$F$21)</f>
        <v>0</v>
      </c>
      <c r="AA65" s="175">
        <f t="shared" si="8"/>
        <v>0</v>
      </c>
      <c r="AB65" s="176">
        <f t="shared" si="7"/>
        <v>-42.430044029087696</v>
      </c>
      <c r="AC65" s="175"/>
      <c r="AD65" s="175"/>
    </row>
    <row r="66" spans="2:30" x14ac:dyDescent="0.3">
      <c r="B66" s="268">
        <f>'C'!B93</f>
        <v>1</v>
      </c>
      <c r="C66" s="222">
        <f>'C'!C93</f>
        <v>0</v>
      </c>
      <c r="D66" s="223">
        <f>'C'!D93</f>
        <v>0.9</v>
      </c>
      <c r="E66" s="218">
        <f>'C'!E93</f>
        <v>5.5999999999999994E-2</v>
      </c>
      <c r="F66" s="218">
        <f>'C'!F93</f>
        <v>4.3999999999999991E-2</v>
      </c>
      <c r="G66" s="224">
        <f>'C'!G93</f>
        <v>0</v>
      </c>
      <c r="H66" s="207">
        <f>IFERROR(VLOOKUP($B$53,Tableau14582[],4,FALSE)*(1+$L$9)^$B66,0)</f>
        <v>42</v>
      </c>
      <c r="I66" s="208">
        <f>IFERROR(VLOOKUP($B$53,Tableau14582[],5,FALSE)*(1+$L$9)^$B66,0)</f>
        <v>19.375</v>
      </c>
      <c r="J66" s="208">
        <f>IFERROR(VLOOKUP($B$53,Tableau14582[],5,FALSE)*(1+$L$9)^$B66,0)</f>
        <v>19.375</v>
      </c>
      <c r="K66" s="209">
        <f>IFERROR(VLOOKUP($B$53,Tableau14582[],6,FALSE)*(1+$L$9)^$B66,0)</f>
        <v>10</v>
      </c>
      <c r="L66" s="260">
        <f t="shared" si="12"/>
        <v>0</v>
      </c>
      <c r="N66" s="71">
        <v>45</v>
      </c>
      <c r="O66" s="236"/>
      <c r="P66" s="177"/>
      <c r="Q66" s="237">
        <f t="shared" si="13"/>
        <v>272.49999999999994</v>
      </c>
      <c r="R66" s="177">
        <f t="shared" si="4"/>
        <v>21.799999999999997</v>
      </c>
      <c r="S66" s="177">
        <f>$L$11*(1+$L$9)^N66*'Récapitulatif des résultats'!$I$11</f>
        <v>0</v>
      </c>
      <c r="T66" s="238"/>
      <c r="U66" s="177"/>
      <c r="V66" s="246">
        <f t="shared" si="6"/>
        <v>0</v>
      </c>
      <c r="W66" s="185">
        <f>SUM('Pin Laricio'!AQ50*'Pin Laricio'!$F$21,'Pin Maritime'!AQ50*'Pin Maritime'!$F$21,'C'!AQ50*'C'!$F$21,D!AQ50*D!$F$21,E!AQ50*E!$F$21,F!AQ50*F!$F$21)</f>
        <v>0</v>
      </c>
      <c r="X66" s="185">
        <f>SUM('Pin Laricio'!AR50*'Pin Laricio'!$F$21,'Pin Maritime'!AR50*'Pin Maritime'!$F$21,'C'!AR50*'C'!$F$21,D!AR50*D!$F$21,E!AR50*E!$F$21,F!AR50*F!$F$21)</f>
        <v>0</v>
      </c>
      <c r="Y66" s="185">
        <f>SUM('Pin Laricio'!AS50*'Pin Laricio'!$F$21,'Pin Maritime'!AS50*'Pin Maritime'!$F$21,'C'!AS50*'C'!$F$21,D!AS50*D!$F$21,E!AS50*E!$F$21,F!AS50*F!$F$21)</f>
        <v>0</v>
      </c>
      <c r="Z66" s="328">
        <f>SUM('Pin Laricio'!AT50*'Pin Laricio'!$F$21,'Pin Maritime'!AT50*'Pin Maritime'!$F$21,'C'!AT50*'C'!$F$21,D!AT50*D!$F$21,E!AT50*E!$F$21,F!AT50*F!$F$21)</f>
        <v>0</v>
      </c>
      <c r="AA66" s="175">
        <f t="shared" si="8"/>
        <v>0</v>
      </c>
      <c r="AB66" s="176">
        <f t="shared" si="7"/>
        <v>-40.602912946495401</v>
      </c>
      <c r="AC66" s="175"/>
      <c r="AD66" s="175"/>
    </row>
    <row r="67" spans="2:30" x14ac:dyDescent="0.3">
      <c r="B67" s="261">
        <f>'C'!B94</f>
        <v>0</v>
      </c>
      <c r="C67" s="225">
        <f>'C'!C94</f>
        <v>0</v>
      </c>
      <c r="D67" s="219">
        <f>'C'!D94</f>
        <v>0.95</v>
      </c>
      <c r="E67" s="231">
        <f>'C'!E94</f>
        <v>2.8000000000000028E-2</v>
      </c>
      <c r="F67" s="231">
        <f>'C'!F94</f>
        <v>2.200000000000002E-2</v>
      </c>
      <c r="G67" s="226">
        <f>'C'!G94</f>
        <v>0</v>
      </c>
      <c r="H67" s="210">
        <f>IFERROR(VLOOKUP($B$53,Tableau14582[],4,FALSE)*(1+$L$9)^$B67,0)</f>
        <v>42</v>
      </c>
      <c r="I67" s="211">
        <f>IFERROR(VLOOKUP($B$53,Tableau14582[],5,FALSE)*(1+$L$9)^$B67,0)</f>
        <v>19.375</v>
      </c>
      <c r="J67" s="211">
        <f>IFERROR(VLOOKUP($B$53,Tableau14582[],5,FALSE)*(1+$L$9)^$B67,0)</f>
        <v>19.375</v>
      </c>
      <c r="K67" s="212">
        <f>IFERROR(VLOOKUP($B$53,Tableau14582[],6,FALSE)*(1+$L$9)^$B67,0)</f>
        <v>10</v>
      </c>
      <c r="L67" s="262">
        <f t="shared" si="12"/>
        <v>0</v>
      </c>
      <c r="N67" s="71">
        <v>46</v>
      </c>
      <c r="O67" s="236"/>
      <c r="P67" s="177"/>
      <c r="Q67" s="237">
        <f t="shared" si="13"/>
        <v>272.49999999999994</v>
      </c>
      <c r="R67" s="177">
        <f t="shared" si="4"/>
        <v>21.799999999999997</v>
      </c>
      <c r="S67" s="177">
        <f>$L$11*(1+$L$9)^N67*'Récapitulatif des résultats'!$I$11</f>
        <v>0</v>
      </c>
      <c r="T67" s="238"/>
      <c r="U67" s="177"/>
      <c r="V67" s="246">
        <f t="shared" si="6"/>
        <v>349.8</v>
      </c>
      <c r="W67" s="185">
        <f>SUM('Pin Laricio'!AQ51*'Pin Laricio'!$F$21,'Pin Maritime'!AQ51*'Pin Maritime'!$F$21,'C'!AQ51*'C'!$F$21,D!AQ51*D!$F$21,E!AQ51*E!$F$21,F!AQ51*F!$F$21)</f>
        <v>174.89999999999998</v>
      </c>
      <c r="X67" s="185">
        <f>SUM('Pin Laricio'!AR51*'Pin Laricio'!$F$21,'Pin Maritime'!AR51*'Pin Maritime'!$F$21,'C'!AR51*'C'!$F$21,D!AR51*D!$F$21,E!AR51*E!$F$21,F!AR51*F!$F$21)</f>
        <v>97.944000000000003</v>
      </c>
      <c r="Y67" s="185">
        <f>SUM('Pin Laricio'!AS51*'Pin Laricio'!$F$21,'Pin Maritime'!AS51*'Pin Maritime'!$F$21,'C'!AS51*'C'!$F$21,D!AS51*D!$F$21,E!AS51*E!$F$21,F!AS51*F!$F$21)</f>
        <v>76.956000000000003</v>
      </c>
      <c r="Z67" s="328">
        <f>SUM('Pin Laricio'!AT51*'Pin Laricio'!$F$21,'Pin Maritime'!AT51*'Pin Maritime'!$F$21,'C'!AT51*'C'!$F$21,D!AT51*D!$F$21,E!AT51*E!$F$21,F!AT51*F!$F$21)</f>
        <v>0</v>
      </c>
      <c r="AA67" s="175">
        <f t="shared" si="8"/>
        <v>8635.6875</v>
      </c>
      <c r="AB67" s="176">
        <f t="shared" si="7"/>
        <v>1101.2576449038431</v>
      </c>
      <c r="AC67" s="175"/>
      <c r="AD67" s="175"/>
    </row>
    <row r="68" spans="2:30" x14ac:dyDescent="0.3">
      <c r="B68" s="263"/>
      <c r="C68" s="264"/>
      <c r="D68" s="264"/>
      <c r="E68" s="264"/>
      <c r="F68" s="264"/>
      <c r="G68" s="264"/>
      <c r="H68" s="264"/>
      <c r="I68" s="264"/>
      <c r="J68" s="264"/>
      <c r="K68" s="264"/>
      <c r="L68" s="265"/>
      <c r="N68" s="71">
        <v>47</v>
      </c>
      <c r="O68" s="236"/>
      <c r="P68" s="177"/>
      <c r="Q68" s="237">
        <f t="shared" si="13"/>
        <v>272.49999999999994</v>
      </c>
      <c r="R68" s="177">
        <f t="shared" si="4"/>
        <v>21.799999999999997</v>
      </c>
      <c r="S68" s="177">
        <f>$L$11*(1+$L$9)^N68*'Récapitulatif des résultats'!$I$11</f>
        <v>0</v>
      </c>
      <c r="T68" s="238"/>
      <c r="U68" s="177"/>
      <c r="V68" s="246">
        <f t="shared" si="6"/>
        <v>0</v>
      </c>
      <c r="W68" s="185">
        <f>SUM('Pin Laricio'!AQ52*'Pin Laricio'!$F$21,'Pin Maritime'!AQ52*'Pin Maritime'!$F$21,'C'!AQ52*'C'!$F$21,D!AQ52*D!$F$21,E!AQ52*E!$F$21,F!AQ52*F!$F$21)</f>
        <v>0</v>
      </c>
      <c r="X68" s="185">
        <f>SUM('Pin Laricio'!AR52*'Pin Laricio'!$F$21,'Pin Maritime'!AR52*'Pin Maritime'!$F$21,'C'!AR52*'C'!$F$21,D!AR52*D!$F$21,E!AR52*E!$F$21,F!AR52*F!$F$21)</f>
        <v>0</v>
      </c>
      <c r="Y68" s="185">
        <f>SUM('Pin Laricio'!AS52*'Pin Laricio'!$F$21,'Pin Maritime'!AS52*'Pin Maritime'!$F$21,'C'!AS52*'C'!$F$21,D!AS52*D!$F$21,E!AS52*E!$F$21,F!AS52*F!$F$21)</f>
        <v>0</v>
      </c>
      <c r="Z68" s="328">
        <f>SUM('Pin Laricio'!AT52*'Pin Laricio'!$F$21,'Pin Maritime'!AT52*'Pin Maritime'!$F$21,'C'!AT52*'C'!$F$21,D!AT52*D!$F$21,E!AT52*E!$F$21,F!AT52*F!$F$21)</f>
        <v>0</v>
      </c>
      <c r="AA68" s="175">
        <f t="shared" si="8"/>
        <v>0</v>
      </c>
      <c r="AB68" s="176">
        <f t="shared" si="7"/>
        <v>-37.181303492589826</v>
      </c>
      <c r="AC68" s="175"/>
      <c r="AD68" s="175"/>
    </row>
    <row r="69" spans="2:30" x14ac:dyDescent="0.3">
      <c r="B69" s="409" t="str">
        <f>D!F17</f>
        <v xml:space="preserve">Sapin pectiné </v>
      </c>
      <c r="C69" s="410">
        <f>D!C80</f>
        <v>0</v>
      </c>
      <c r="D69" s="410">
        <f>D!D80</f>
        <v>0</v>
      </c>
      <c r="E69" s="410">
        <f>D!E80</f>
        <v>0</v>
      </c>
      <c r="F69" s="410">
        <f>D!F80</f>
        <v>0</v>
      </c>
      <c r="G69" s="411">
        <f>D!G80</f>
        <v>0</v>
      </c>
      <c r="H69" s="395" t="s">
        <v>248</v>
      </c>
      <c r="I69" s="396"/>
      <c r="J69" s="396"/>
      <c r="K69" s="397"/>
      <c r="L69" s="254">
        <f>X5</f>
        <v>0</v>
      </c>
      <c r="N69" s="71">
        <v>48</v>
      </c>
      <c r="O69" s="236"/>
      <c r="P69" s="177"/>
      <c r="Q69" s="237">
        <f t="shared" si="13"/>
        <v>272.49999999999994</v>
      </c>
      <c r="R69" s="177">
        <f t="shared" si="4"/>
        <v>21.799999999999997</v>
      </c>
      <c r="S69" s="177">
        <f>$L$11*(1+$L$9)^N69*'Récapitulatif des résultats'!$I$11</f>
        <v>0</v>
      </c>
      <c r="T69" s="238"/>
      <c r="U69" s="177"/>
      <c r="V69" s="246">
        <f t="shared" si="6"/>
        <v>0</v>
      </c>
      <c r="W69" s="185">
        <f>SUM('Pin Laricio'!AQ53*'Pin Laricio'!$F$21,'Pin Maritime'!AQ53*'Pin Maritime'!$F$21,'C'!AQ53*'C'!$F$21,D!AQ53*D!$F$21,E!AQ53*E!$F$21,F!AQ53*F!$F$21)</f>
        <v>0</v>
      </c>
      <c r="X69" s="185">
        <f>SUM('Pin Laricio'!AR53*'Pin Laricio'!$F$21,'Pin Maritime'!AR53*'Pin Maritime'!$F$21,'C'!AR53*'C'!$F$21,D!AR53*D!$F$21,E!AR53*E!$F$21,F!AR53*F!$F$21)</f>
        <v>0</v>
      </c>
      <c r="Y69" s="185">
        <f>SUM('Pin Laricio'!AS53*'Pin Laricio'!$F$21,'Pin Maritime'!AS53*'Pin Maritime'!$F$21,'C'!AS53*'C'!$F$21,D!AS53*D!$F$21,E!AS53*E!$F$21,F!AS53*F!$F$21)</f>
        <v>0</v>
      </c>
      <c r="Z69" s="328">
        <f>SUM('Pin Laricio'!AT53*'Pin Laricio'!$F$21,'Pin Maritime'!AT53*'Pin Maritime'!$F$21,'C'!AT53*'C'!$F$21,D!AT53*D!$F$21,E!AT53*E!$F$21,F!AT53*F!$F$21)</f>
        <v>0</v>
      </c>
      <c r="AA69" s="175">
        <f t="shared" si="8"/>
        <v>0</v>
      </c>
      <c r="AB69" s="176">
        <f t="shared" si="7"/>
        <v>-35.580194729751049</v>
      </c>
      <c r="AC69" s="175"/>
      <c r="AD69" s="175"/>
    </row>
    <row r="70" spans="2:30" x14ac:dyDescent="0.3">
      <c r="B70" s="266" t="str">
        <f>D!B81</f>
        <v>Année</v>
      </c>
      <c r="C70" s="227" t="str">
        <f>D!C81</f>
        <v>Volume d'éclaircie</v>
      </c>
      <c r="D70" s="214" t="str">
        <f>D!D81</f>
        <v>BO</v>
      </c>
      <c r="E70" s="214" t="str">
        <f>D!E81</f>
        <v>BI - panneaux</v>
      </c>
      <c r="F70" s="214" t="str">
        <f>D!F81</f>
        <v>BI - papier</v>
      </c>
      <c r="G70" s="215" t="str">
        <f>D!G81</f>
        <v>BE</v>
      </c>
      <c r="H70" s="213" t="s">
        <v>78</v>
      </c>
      <c r="I70" s="214" t="s">
        <v>81</v>
      </c>
      <c r="J70" s="214" t="s">
        <v>80</v>
      </c>
      <c r="K70" s="215" t="s">
        <v>79</v>
      </c>
      <c r="L70" s="256" t="s">
        <v>252</v>
      </c>
      <c r="N70" s="71">
        <v>49</v>
      </c>
      <c r="O70" s="236"/>
      <c r="P70" s="177"/>
      <c r="Q70" s="237">
        <f t="shared" si="13"/>
        <v>272.49999999999994</v>
      </c>
      <c r="R70" s="177">
        <f t="shared" si="4"/>
        <v>21.799999999999997</v>
      </c>
      <c r="S70" s="177">
        <f>$L$11*(1+$L$9)^N70*'Récapitulatif des résultats'!$I$11</f>
        <v>0</v>
      </c>
      <c r="T70" s="238"/>
      <c r="U70" s="177"/>
      <c r="V70" s="246">
        <f t="shared" si="6"/>
        <v>0</v>
      </c>
      <c r="W70" s="185">
        <f>SUM('Pin Laricio'!AQ54*'Pin Laricio'!$F$21,'Pin Maritime'!AQ54*'Pin Maritime'!$F$21,'C'!AQ54*'C'!$F$21,D!AQ54*D!$F$21,E!AQ54*E!$F$21,F!AQ54*F!$F$21)</f>
        <v>0</v>
      </c>
      <c r="X70" s="185">
        <f>SUM('Pin Laricio'!AR54*'Pin Laricio'!$F$21,'Pin Maritime'!AR54*'Pin Maritime'!$F$21,'C'!AR54*'C'!$F$21,D!AR54*D!$F$21,E!AR54*E!$F$21,F!AR54*F!$F$21)</f>
        <v>0</v>
      </c>
      <c r="Y70" s="185">
        <f>SUM('Pin Laricio'!AS54*'Pin Laricio'!$F$21,'Pin Maritime'!AS54*'Pin Maritime'!$F$21,'C'!AS54*'C'!$F$21,D!AS54*D!$F$21,E!AS54*E!$F$21,F!AS54*F!$F$21)</f>
        <v>0</v>
      </c>
      <c r="Z70" s="328">
        <f>SUM('Pin Laricio'!AT54*'Pin Laricio'!$F$21,'Pin Maritime'!AT54*'Pin Maritime'!$F$21,'C'!AT54*'C'!$F$21,D!AT54*D!$F$21,E!AT54*E!$F$21,F!AT54*F!$F$21)</f>
        <v>0</v>
      </c>
      <c r="AA70" s="175">
        <f t="shared" si="8"/>
        <v>0</v>
      </c>
      <c r="AB70" s="176">
        <f t="shared" si="7"/>
        <v>-34.04803323421153</v>
      </c>
      <c r="AC70" s="175"/>
      <c r="AD70" s="175"/>
    </row>
    <row r="71" spans="2:30" x14ac:dyDescent="0.3">
      <c r="B71" s="267" t="str">
        <f>D!B82</f>
        <v>-</v>
      </c>
      <c r="C71" s="220">
        <f>D!C82</f>
        <v>0</v>
      </c>
      <c r="D71" s="217">
        <f>D!D82</f>
        <v>0</v>
      </c>
      <c r="E71" s="217">
        <f>D!E82</f>
        <v>0.56000000000000005</v>
      </c>
      <c r="F71" s="217">
        <f>D!F82</f>
        <v>0.44</v>
      </c>
      <c r="G71" s="221">
        <f>D!G82</f>
        <v>0</v>
      </c>
      <c r="H71" s="207">
        <f>IFERROR(VLOOKUP($B$69,Tableau14582[],4,FALSE)*(1+$L$9)^$B71,0)</f>
        <v>0</v>
      </c>
      <c r="I71" s="208">
        <f>IFERROR(VLOOKUP($B$69,Tableau14582[],5,FALSE)*(1+$L$9)^$B71,0)</f>
        <v>0</v>
      </c>
      <c r="J71" s="208">
        <f>IFERROR(VLOOKUP($B$69,Tableau14582[],5,FALSE)*(1+$L$9)^$B71,0)</f>
        <v>0</v>
      </c>
      <c r="K71" s="209">
        <f>IFERROR(VLOOKUP($B$69,Tableau14582[],6,FALSE)*(1+$L$9)^$B71,0)</f>
        <v>0</v>
      </c>
      <c r="L71" s="258">
        <f>(C71*D71*H71+C71*E71*I71+C71*F71*J71+C71*G71*K71)*L$69</f>
        <v>0</v>
      </c>
      <c r="N71" s="71">
        <v>50</v>
      </c>
      <c r="O71" s="236"/>
      <c r="P71" s="177"/>
      <c r="Q71" s="237">
        <f t="shared" si="13"/>
        <v>272.49999999999994</v>
      </c>
      <c r="R71" s="177">
        <f t="shared" si="4"/>
        <v>21.799999999999997</v>
      </c>
      <c r="S71" s="177">
        <f>$L$11*(1+$L$9)^N71*'Récapitulatif des résultats'!$I$11</f>
        <v>0</v>
      </c>
      <c r="T71" s="238"/>
      <c r="U71" s="177"/>
      <c r="V71" s="246">
        <f t="shared" si="6"/>
        <v>0</v>
      </c>
      <c r="W71" s="185">
        <f>SUM('Pin Laricio'!AQ55*'Pin Laricio'!$F$21,'Pin Maritime'!AQ55*'Pin Maritime'!$F$21,'C'!AQ55*'C'!$F$21,D!AQ55*D!$F$21,E!AQ55*E!$F$21,F!AQ55*F!$F$21)</f>
        <v>0</v>
      </c>
      <c r="X71" s="185">
        <f>SUM('Pin Laricio'!AR55*'Pin Laricio'!$F$21,'Pin Maritime'!AR55*'Pin Maritime'!$F$21,'C'!AR55*'C'!$F$21,D!AR55*D!$F$21,E!AR55*E!$F$21,F!AR55*F!$F$21)</f>
        <v>0</v>
      </c>
      <c r="Y71" s="185">
        <f>SUM('Pin Laricio'!AS55*'Pin Laricio'!$F$21,'Pin Maritime'!AS55*'Pin Maritime'!$F$21,'C'!AS55*'C'!$F$21,D!AS55*D!$F$21,E!AS55*E!$F$21,F!AS55*F!$F$21)</f>
        <v>0</v>
      </c>
      <c r="Z71" s="328">
        <f>SUM('Pin Laricio'!AT55*'Pin Laricio'!$F$21,'Pin Maritime'!AT55*'Pin Maritime'!$F$21,'C'!AT55*'C'!$F$21,D!AT55*D!$F$21,E!AT55*E!$F$21,F!AT55*F!$F$21)</f>
        <v>0</v>
      </c>
      <c r="AA71" s="175">
        <f t="shared" si="8"/>
        <v>0</v>
      </c>
      <c r="AB71" s="176">
        <f t="shared" si="7"/>
        <v>-32.58184998489142</v>
      </c>
      <c r="AC71" s="175"/>
      <c r="AD71" s="175"/>
    </row>
    <row r="72" spans="2:30" x14ac:dyDescent="0.3">
      <c r="B72" s="268" t="str">
        <f>D!B83</f>
        <v>-</v>
      </c>
      <c r="C72" s="222">
        <f>D!C83</f>
        <v>88</v>
      </c>
      <c r="D72" s="223">
        <f>D!D83</f>
        <v>0</v>
      </c>
      <c r="E72" s="218">
        <f>D!E83</f>
        <v>0.56000000000000005</v>
      </c>
      <c r="F72" s="218">
        <f>D!F83</f>
        <v>0.44</v>
      </c>
      <c r="G72" s="224">
        <f>D!G83</f>
        <v>0</v>
      </c>
      <c r="H72" s="207">
        <f>IFERROR(VLOOKUP($B$69,Tableau14582[],4,FALSE)*(1+$L$9)^$B72,0)</f>
        <v>0</v>
      </c>
      <c r="I72" s="208">
        <f>IFERROR(VLOOKUP($B$69,Tableau14582[],5,FALSE)*(1+$L$9)^$B72,0)</f>
        <v>0</v>
      </c>
      <c r="J72" s="208">
        <f>IFERROR(VLOOKUP($B$69,Tableau14582[],5,FALSE)*(1+$L$9)^$B72,0)</f>
        <v>0</v>
      </c>
      <c r="K72" s="209">
        <f>IFERROR(VLOOKUP($B$69,Tableau14582[],6,FALSE)*(1+$L$9)^$B72,0)</f>
        <v>0</v>
      </c>
      <c r="L72" s="260">
        <f t="shared" ref="L72:L83" si="14">(C72*D72*H72+C72*E72*I72+C72*F72*J72+C72*G72*K72)*L$69</f>
        <v>0</v>
      </c>
      <c r="N72" s="71">
        <v>51</v>
      </c>
      <c r="O72" s="236"/>
      <c r="P72" s="177"/>
      <c r="Q72" s="237">
        <f t="shared" si="13"/>
        <v>272.49999999999994</v>
      </c>
      <c r="R72" s="177">
        <f t="shared" si="4"/>
        <v>21.799999999999997</v>
      </c>
      <c r="S72" s="177">
        <f>$L$11*(1+$L$9)^N72*'Récapitulatif des résultats'!$I$11</f>
        <v>0</v>
      </c>
      <c r="T72" s="238"/>
      <c r="U72" s="177"/>
      <c r="V72" s="246">
        <f t="shared" si="6"/>
        <v>480.08069159469983</v>
      </c>
      <c r="W72" s="185">
        <f>SUM('Pin Laricio'!AQ56*'Pin Laricio'!$F$21,'Pin Maritime'!AQ56*'Pin Maritime'!$F$21,'C'!AQ56*'C'!$F$21,D!AQ56*D!$F$21,E!AQ56*E!$F$21,F!AQ56*F!$F$21)</f>
        <v>327.13262243522979</v>
      </c>
      <c r="X72" s="185">
        <f>SUM('Pin Laricio'!AR56*'Pin Laricio'!$F$21,'Pin Maritime'!AR56*'Pin Maritime'!$F$21,'C'!AR56*'C'!$F$21,D!AR56*D!$F$21,E!AR56*E!$F$21,F!AR56*F!$F$21)</f>
        <v>85.6509187293032</v>
      </c>
      <c r="Y72" s="185">
        <f>SUM('Pin Laricio'!AS56*'Pin Laricio'!$F$21,'Pin Maritime'!AS56*'Pin Maritime'!$F$21,'C'!AS56*'C'!$F$21,D!AS56*D!$F$21,E!AS56*E!$F$21,F!AS56*F!$F$21)</f>
        <v>67.297150430166795</v>
      </c>
      <c r="Z72" s="328">
        <f>SUM('Pin Laricio'!AT56*'Pin Laricio'!$F$21,'Pin Maritime'!AT56*'Pin Maritime'!$F$21,'C'!AT56*'C'!$F$21,D!AT56*D!$F$21,E!AT56*E!$F$21,F!AT56*F!$F$21)</f>
        <v>0</v>
      </c>
      <c r="AA72" s="175">
        <f t="shared" si="8"/>
        <v>14184.378982244383</v>
      </c>
      <c r="AB72" s="176">
        <f t="shared" si="7"/>
        <v>1471.5462029852035</v>
      </c>
      <c r="AC72" s="175"/>
      <c r="AD72" s="175"/>
    </row>
    <row r="73" spans="2:30" x14ac:dyDescent="0.3">
      <c r="B73" s="268" t="str">
        <f>D!B84</f>
        <v>-</v>
      </c>
      <c r="C73" s="222">
        <f>D!C84</f>
        <v>91</v>
      </c>
      <c r="D73" s="223">
        <f>D!D84</f>
        <v>0</v>
      </c>
      <c r="E73" s="218">
        <f>D!E84</f>
        <v>0.56000000000000005</v>
      </c>
      <c r="F73" s="218">
        <f>D!F84</f>
        <v>0.44</v>
      </c>
      <c r="G73" s="224">
        <f>D!G84</f>
        <v>0</v>
      </c>
      <c r="H73" s="207">
        <f>IFERROR(VLOOKUP($B$69,Tableau14582[],4,FALSE)*(1+$L$9)^$B73,0)</f>
        <v>0</v>
      </c>
      <c r="I73" s="208">
        <f>IFERROR(VLOOKUP($B$69,Tableau14582[],5,FALSE)*(1+$L$9)^$B73,0)</f>
        <v>0</v>
      </c>
      <c r="J73" s="208">
        <f>IFERROR(VLOOKUP($B$69,Tableau14582[],5,FALSE)*(1+$L$9)^$B73,0)</f>
        <v>0</v>
      </c>
      <c r="K73" s="209">
        <f>IFERROR(VLOOKUP($B$69,Tableau14582[],6,FALSE)*(1+$L$9)^$B73,0)</f>
        <v>0</v>
      </c>
      <c r="L73" s="260">
        <f t="shared" si="14"/>
        <v>0</v>
      </c>
      <c r="N73" s="71">
        <v>52</v>
      </c>
      <c r="O73" s="236"/>
      <c r="P73" s="177"/>
      <c r="Q73" s="237">
        <f t="shared" si="13"/>
        <v>272.49999999999994</v>
      </c>
      <c r="R73" s="177">
        <f t="shared" si="4"/>
        <v>21.799999999999997</v>
      </c>
      <c r="S73" s="177">
        <f>$L$11*(1+$L$9)^N73*'Récapitulatif des résultats'!$I$11</f>
        <v>0</v>
      </c>
      <c r="T73" s="238"/>
      <c r="U73" s="177"/>
      <c r="V73" s="246">
        <f t="shared" si="6"/>
        <v>0</v>
      </c>
      <c r="W73" s="185">
        <f>SUM('Pin Laricio'!AQ57*'Pin Laricio'!$F$21,'Pin Maritime'!AQ57*'Pin Maritime'!$F$21,'C'!AQ57*'C'!$F$21,D!AQ57*D!$F$21,E!AQ57*E!$F$21,F!AQ57*F!$F$21)</f>
        <v>0</v>
      </c>
      <c r="X73" s="185">
        <f>SUM('Pin Laricio'!AR57*'Pin Laricio'!$F$21,'Pin Maritime'!AR57*'Pin Maritime'!$F$21,'C'!AR57*'C'!$F$21,D!AR57*D!$F$21,E!AR57*E!$F$21,F!AR57*F!$F$21)</f>
        <v>0</v>
      </c>
      <c r="Y73" s="185">
        <f>SUM('Pin Laricio'!AS57*'Pin Laricio'!$F$21,'Pin Maritime'!AS57*'Pin Maritime'!$F$21,'C'!AS57*'C'!$F$21,D!AS57*D!$F$21,E!AS57*E!$F$21,F!AS57*F!$F$21)</f>
        <v>0</v>
      </c>
      <c r="Z73" s="328">
        <f>SUM('Pin Laricio'!AT57*'Pin Laricio'!$F$21,'Pin Maritime'!AT57*'Pin Maritime'!$F$21,'C'!AT57*'C'!$F$21,D!AT57*D!$F$21,E!AT57*E!$F$21,F!AT57*F!$F$21)</f>
        <v>0</v>
      </c>
      <c r="AA73" s="175">
        <f t="shared" si="8"/>
        <v>0</v>
      </c>
      <c r="AB73" s="176">
        <f t="shared" si="7"/>
        <v>-29.836175897888264</v>
      </c>
      <c r="AC73" s="175"/>
      <c r="AD73" s="175"/>
    </row>
    <row r="74" spans="2:30" x14ac:dyDescent="0.3">
      <c r="B74" s="268" t="str">
        <f>D!B85</f>
        <v>-</v>
      </c>
      <c r="C74" s="222">
        <f>D!C85</f>
        <v>91</v>
      </c>
      <c r="D74" s="223">
        <f>D!D85</f>
        <v>0.2</v>
      </c>
      <c r="E74" s="218">
        <f>D!E85</f>
        <v>0.44800000000000006</v>
      </c>
      <c r="F74" s="218">
        <f>D!F85</f>
        <v>0.35200000000000004</v>
      </c>
      <c r="G74" s="224">
        <f>D!G85</f>
        <v>0</v>
      </c>
      <c r="H74" s="207">
        <f>IFERROR(VLOOKUP($B$69,Tableau14582[],4,FALSE)*(1+$L$9)^$B74,0)</f>
        <v>0</v>
      </c>
      <c r="I74" s="208">
        <f>IFERROR(VLOOKUP($B$69,Tableau14582[],5,FALSE)*(1+$L$9)^$B74,0)</f>
        <v>0</v>
      </c>
      <c r="J74" s="208">
        <f>IFERROR(VLOOKUP($B$69,Tableau14582[],5,FALSE)*(1+$L$9)^$B74,0)</f>
        <v>0</v>
      </c>
      <c r="K74" s="209">
        <f>IFERROR(VLOOKUP($B$69,Tableau14582[],6,FALSE)*(1+$L$9)^$B74,0)</f>
        <v>0</v>
      </c>
      <c r="L74" s="260">
        <f t="shared" si="14"/>
        <v>0</v>
      </c>
      <c r="N74" s="71">
        <v>53</v>
      </c>
      <c r="O74" s="236"/>
      <c r="P74" s="177"/>
      <c r="Q74" s="237">
        <f t="shared" si="13"/>
        <v>272.49999999999994</v>
      </c>
      <c r="R74" s="177">
        <f t="shared" si="4"/>
        <v>21.799999999999997</v>
      </c>
      <c r="S74" s="177">
        <f>$L$11*(1+$L$9)^N74*'Récapitulatif des résultats'!$I$11</f>
        <v>0</v>
      </c>
      <c r="T74" s="238"/>
      <c r="U74" s="177"/>
      <c r="V74" s="246">
        <f t="shared" si="6"/>
        <v>0</v>
      </c>
      <c r="W74" s="185">
        <f>SUM('Pin Laricio'!AQ58*'Pin Laricio'!$F$21,'Pin Maritime'!AQ58*'Pin Maritime'!$F$21,'C'!AQ58*'C'!$F$21,D!AQ58*D!$F$21,E!AQ58*E!$F$21,F!AQ58*F!$F$21)</f>
        <v>0</v>
      </c>
      <c r="X74" s="185">
        <f>SUM('Pin Laricio'!AR58*'Pin Laricio'!$F$21,'Pin Maritime'!AR58*'Pin Maritime'!$F$21,'C'!AR58*'C'!$F$21,D!AR58*D!$F$21,E!AR58*E!$F$21,F!AR58*F!$F$21)</f>
        <v>0</v>
      </c>
      <c r="Y74" s="185">
        <f>SUM('Pin Laricio'!AS58*'Pin Laricio'!$F$21,'Pin Maritime'!AS58*'Pin Maritime'!$F$21,'C'!AS58*'C'!$F$21,D!AS58*D!$F$21,E!AS58*E!$F$21,F!AS58*F!$F$21)</f>
        <v>0</v>
      </c>
      <c r="Z74" s="328">
        <f>SUM('Pin Laricio'!AT58*'Pin Laricio'!$F$21,'Pin Maritime'!AT58*'Pin Maritime'!$F$21,'C'!AT58*'C'!$F$21,D!AT58*D!$F$21,E!AT58*E!$F$21,F!AT58*F!$F$21)</f>
        <v>0</v>
      </c>
      <c r="AA74" s="175">
        <f t="shared" si="8"/>
        <v>0</v>
      </c>
      <c r="AB74" s="176">
        <f t="shared" si="7"/>
        <v>-28.551364495586853</v>
      </c>
      <c r="AC74" s="175"/>
      <c r="AD74" s="175"/>
    </row>
    <row r="75" spans="2:30" x14ac:dyDescent="0.3">
      <c r="B75" s="268" t="str">
        <f>D!B86</f>
        <v>-</v>
      </c>
      <c r="C75" s="222">
        <f>D!C86</f>
        <v>91</v>
      </c>
      <c r="D75" s="223">
        <f>D!D86</f>
        <v>0.3</v>
      </c>
      <c r="E75" s="218">
        <f>D!E86</f>
        <v>0.39200000000000002</v>
      </c>
      <c r="F75" s="218">
        <f>D!F86</f>
        <v>0.308</v>
      </c>
      <c r="G75" s="224">
        <f>D!G86</f>
        <v>0</v>
      </c>
      <c r="H75" s="207">
        <f>IFERROR(VLOOKUP($B$69,Tableau14582[],4,FALSE)*(1+$L$9)^$B75,0)</f>
        <v>0</v>
      </c>
      <c r="I75" s="208">
        <f>IFERROR(VLOOKUP($B$69,Tableau14582[],5,FALSE)*(1+$L$9)^$B75,0)</f>
        <v>0</v>
      </c>
      <c r="J75" s="208">
        <f>IFERROR(VLOOKUP($B$69,Tableau14582[],5,FALSE)*(1+$L$9)^$B75,0)</f>
        <v>0</v>
      </c>
      <c r="K75" s="209">
        <f>IFERROR(VLOOKUP($B$69,Tableau14582[],6,FALSE)*(1+$L$9)^$B75,0)</f>
        <v>0</v>
      </c>
      <c r="L75" s="260">
        <f t="shared" si="14"/>
        <v>0</v>
      </c>
      <c r="N75" s="71">
        <v>54</v>
      </c>
      <c r="O75" s="236"/>
      <c r="P75" s="177"/>
      <c r="Q75" s="237">
        <f t="shared" si="13"/>
        <v>272.49999999999994</v>
      </c>
      <c r="R75" s="177">
        <f t="shared" si="4"/>
        <v>21.799999999999997</v>
      </c>
      <c r="S75" s="177">
        <f>$L$11*(1+$L$9)^N75*'Récapitulatif des résultats'!$I$11</f>
        <v>0</v>
      </c>
      <c r="T75" s="238"/>
      <c r="U75" s="177"/>
      <c r="V75" s="246">
        <f t="shared" si="6"/>
        <v>0</v>
      </c>
      <c r="W75" s="185">
        <f>SUM('Pin Laricio'!AQ59*'Pin Laricio'!$F$21,'Pin Maritime'!AQ59*'Pin Maritime'!$F$21,'C'!AQ59*'C'!$F$21,D!AQ59*D!$F$21,E!AQ59*E!$F$21,F!AQ59*F!$F$21)</f>
        <v>0</v>
      </c>
      <c r="X75" s="185">
        <f>SUM('Pin Laricio'!AR59*'Pin Laricio'!$F$21,'Pin Maritime'!AR59*'Pin Maritime'!$F$21,'C'!AR59*'C'!$F$21,D!AR59*D!$F$21,E!AR59*E!$F$21,F!AR59*F!$F$21)</f>
        <v>0</v>
      </c>
      <c r="Y75" s="185">
        <f>SUM('Pin Laricio'!AS59*'Pin Laricio'!$F$21,'Pin Maritime'!AS59*'Pin Maritime'!$F$21,'C'!AS59*'C'!$F$21,D!AS59*D!$F$21,E!AS59*E!$F$21,F!AS59*F!$F$21)</f>
        <v>0</v>
      </c>
      <c r="Z75" s="328">
        <f>SUM('Pin Laricio'!AT59*'Pin Laricio'!$F$21,'Pin Maritime'!AT59*'Pin Maritime'!$F$21,'C'!AT59*'C'!$F$21,D!AT59*D!$F$21,E!AT59*E!$F$21,F!AT59*F!$F$21)</f>
        <v>0</v>
      </c>
      <c r="AA75" s="175">
        <f t="shared" si="8"/>
        <v>0</v>
      </c>
      <c r="AB75" s="176">
        <f t="shared" si="7"/>
        <v>-27.321879900083125</v>
      </c>
      <c r="AC75" s="175"/>
      <c r="AD75" s="175"/>
    </row>
    <row r="76" spans="2:30" x14ac:dyDescent="0.3">
      <c r="B76" s="268" t="str">
        <f>D!B87</f>
        <v>-</v>
      </c>
      <c r="C76" s="222">
        <f>D!C87</f>
        <v>91</v>
      </c>
      <c r="D76" s="223">
        <f>D!D87</f>
        <v>0.4</v>
      </c>
      <c r="E76" s="218">
        <f>D!E87</f>
        <v>0.33600000000000002</v>
      </c>
      <c r="F76" s="218">
        <f>D!F87</f>
        <v>0.26400000000000001</v>
      </c>
      <c r="G76" s="224">
        <f>D!G87</f>
        <v>0</v>
      </c>
      <c r="H76" s="207">
        <f>IFERROR(VLOOKUP($B$69,Tableau14582[],4,FALSE)*(1+$L$9)^$B76,0)</f>
        <v>0</v>
      </c>
      <c r="I76" s="208">
        <f>IFERROR(VLOOKUP($B$69,Tableau14582[],5,FALSE)*(1+$L$9)^$B76,0)</f>
        <v>0</v>
      </c>
      <c r="J76" s="208">
        <f>IFERROR(VLOOKUP($B$69,Tableau14582[],5,FALSE)*(1+$L$9)^$B76,0)</f>
        <v>0</v>
      </c>
      <c r="K76" s="209">
        <f>IFERROR(VLOOKUP($B$69,Tableau14582[],6,FALSE)*(1+$L$9)^$B76,0)</f>
        <v>0</v>
      </c>
      <c r="L76" s="260">
        <f t="shared" si="14"/>
        <v>0</v>
      </c>
      <c r="N76" s="71">
        <v>55</v>
      </c>
      <c r="O76" s="236"/>
      <c r="P76" s="177"/>
      <c r="Q76" s="237">
        <f t="shared" si="13"/>
        <v>272.49999999999994</v>
      </c>
      <c r="R76" s="177">
        <f t="shared" si="4"/>
        <v>21.799999999999997</v>
      </c>
      <c r="S76" s="177">
        <f>$L$11*(1+$L$9)^N76*'Récapitulatif des résultats'!$I$11</f>
        <v>0</v>
      </c>
      <c r="T76" s="238"/>
      <c r="U76" s="177"/>
      <c r="V76" s="246">
        <f t="shared" si="6"/>
        <v>0</v>
      </c>
      <c r="W76" s="185">
        <f>SUM('Pin Laricio'!AQ60*'Pin Laricio'!$F$21,'Pin Maritime'!AQ60*'Pin Maritime'!$F$21,'C'!AQ60*'C'!$F$21,D!AQ60*D!$F$21,E!AQ60*E!$F$21,F!AQ60*F!$F$21)</f>
        <v>0</v>
      </c>
      <c r="X76" s="185">
        <f>SUM('Pin Laricio'!AR60*'Pin Laricio'!$F$21,'Pin Maritime'!AR60*'Pin Maritime'!$F$21,'C'!AR60*'C'!$F$21,D!AR60*D!$F$21,E!AR60*E!$F$21,F!AR60*F!$F$21)</f>
        <v>0</v>
      </c>
      <c r="Y76" s="185">
        <f>SUM('Pin Laricio'!AS60*'Pin Laricio'!$F$21,'Pin Maritime'!AS60*'Pin Maritime'!$F$21,'C'!AS60*'C'!$F$21,D!AS60*D!$F$21,E!AS60*E!$F$21,F!AS60*F!$F$21)</f>
        <v>0</v>
      </c>
      <c r="Z76" s="328">
        <f>SUM('Pin Laricio'!AT60*'Pin Laricio'!$F$21,'Pin Maritime'!AT60*'Pin Maritime'!$F$21,'C'!AT60*'C'!$F$21,D!AT60*D!$F$21,E!AT60*E!$F$21,F!AT60*F!$F$21)</f>
        <v>0</v>
      </c>
      <c r="AA76" s="175">
        <f t="shared" si="8"/>
        <v>0</v>
      </c>
      <c r="AB76" s="176">
        <f t="shared" si="7"/>
        <v>-26.145339617304419</v>
      </c>
      <c r="AC76" s="175"/>
      <c r="AD76" s="175"/>
    </row>
    <row r="77" spans="2:30" x14ac:dyDescent="0.3">
      <c r="B77" s="268" t="str">
        <f>D!B88</f>
        <v>-</v>
      </c>
      <c r="C77" s="222">
        <f>D!C88</f>
        <v>74</v>
      </c>
      <c r="D77" s="223">
        <f>D!D88</f>
        <v>0.5</v>
      </c>
      <c r="E77" s="218">
        <f>D!E88</f>
        <v>0.28000000000000003</v>
      </c>
      <c r="F77" s="218">
        <f>D!F88</f>
        <v>0.22</v>
      </c>
      <c r="G77" s="224">
        <f>D!G88</f>
        <v>0</v>
      </c>
      <c r="H77" s="207">
        <f>IFERROR(VLOOKUP($B$69,Tableau14582[],4,FALSE)*(1+$L$9)^$B77,0)</f>
        <v>0</v>
      </c>
      <c r="I77" s="208">
        <f>IFERROR(VLOOKUP($B$69,Tableau14582[],5,FALSE)*(1+$L$9)^$B77,0)</f>
        <v>0</v>
      </c>
      <c r="J77" s="208">
        <f>IFERROR(VLOOKUP($B$69,Tableau14582[],5,FALSE)*(1+$L$9)^$B77,0)</f>
        <v>0</v>
      </c>
      <c r="K77" s="209">
        <f>IFERROR(VLOOKUP($B$69,Tableau14582[],6,FALSE)*(1+$L$9)^$B77,0)</f>
        <v>0</v>
      </c>
      <c r="L77" s="260">
        <f t="shared" si="14"/>
        <v>0</v>
      </c>
      <c r="N77" s="71">
        <v>56</v>
      </c>
      <c r="O77" s="236"/>
      <c r="P77" s="177"/>
      <c r="Q77" s="237">
        <f t="shared" si="13"/>
        <v>272.49999999999994</v>
      </c>
      <c r="R77" s="177">
        <f t="shared" si="4"/>
        <v>21.799999999999997</v>
      </c>
      <c r="S77" s="177">
        <f>$L$11*(1+$L$9)^N77*'Récapitulatif des résultats'!$I$11</f>
        <v>0</v>
      </c>
      <c r="T77" s="238"/>
      <c r="U77" s="177"/>
      <c r="V77" s="246">
        <f t="shared" si="6"/>
        <v>0</v>
      </c>
      <c r="W77" s="185">
        <f>SUM('Pin Laricio'!AQ61*'Pin Laricio'!$F$21,'Pin Maritime'!AQ61*'Pin Maritime'!$F$21,'C'!AQ61*'C'!$F$21,D!AQ61*D!$F$21,E!AQ61*E!$F$21,F!AQ61*F!$F$21)</f>
        <v>0</v>
      </c>
      <c r="X77" s="185">
        <f>SUM('Pin Laricio'!AR61*'Pin Laricio'!$F$21,'Pin Maritime'!AR61*'Pin Maritime'!$F$21,'C'!AR61*'C'!$F$21,D!AR61*D!$F$21,E!AR61*E!$F$21,F!AR61*F!$F$21)</f>
        <v>0</v>
      </c>
      <c r="Y77" s="185">
        <f>SUM('Pin Laricio'!AS61*'Pin Laricio'!$F$21,'Pin Maritime'!AS61*'Pin Maritime'!$F$21,'C'!AS61*'C'!$F$21,D!AS61*D!$F$21,E!AS61*E!$F$21,F!AS61*F!$F$21)</f>
        <v>0</v>
      </c>
      <c r="Z77" s="328">
        <f>SUM('Pin Laricio'!AT61*'Pin Laricio'!$F$21,'Pin Maritime'!AT61*'Pin Maritime'!$F$21,'C'!AT61*'C'!$F$21,D!AT61*D!$F$21,E!AT61*E!$F$21,F!AT61*F!$F$21)</f>
        <v>0</v>
      </c>
      <c r="AA77" s="175">
        <f t="shared" si="8"/>
        <v>0</v>
      </c>
      <c r="AB77" s="176">
        <f t="shared" si="7"/>
        <v>-25.019463748616676</v>
      </c>
      <c r="AC77" s="175"/>
      <c r="AD77" s="175"/>
    </row>
    <row r="78" spans="2:30" x14ac:dyDescent="0.3">
      <c r="B78" s="268" t="str">
        <f>D!B89</f>
        <v>-</v>
      </c>
      <c r="C78" s="222">
        <f>D!C89</f>
        <v>63</v>
      </c>
      <c r="D78" s="223">
        <f>D!D89</f>
        <v>0.6</v>
      </c>
      <c r="E78" s="218">
        <f>D!E89</f>
        <v>0.22400000000000003</v>
      </c>
      <c r="F78" s="218">
        <f>D!F89</f>
        <v>0.17600000000000002</v>
      </c>
      <c r="G78" s="224">
        <f>D!G89</f>
        <v>0</v>
      </c>
      <c r="H78" s="207">
        <f>IFERROR(VLOOKUP($B$69,Tableau14582[],4,FALSE)*(1+$L$9)^$B78,0)</f>
        <v>0</v>
      </c>
      <c r="I78" s="208">
        <f>IFERROR(VLOOKUP($B$69,Tableau14582[],5,FALSE)*(1+$L$9)^$B78,0)</f>
        <v>0</v>
      </c>
      <c r="J78" s="208">
        <f>IFERROR(VLOOKUP($B$69,Tableau14582[],5,FALSE)*(1+$L$9)^$B78,0)</f>
        <v>0</v>
      </c>
      <c r="K78" s="209">
        <f>IFERROR(VLOOKUP($B$69,Tableau14582[],6,FALSE)*(1+$L$9)^$B78,0)</f>
        <v>0</v>
      </c>
      <c r="L78" s="260">
        <f t="shared" si="14"/>
        <v>0</v>
      </c>
      <c r="N78" s="71">
        <v>57</v>
      </c>
      <c r="O78" s="236"/>
      <c r="P78" s="177"/>
      <c r="Q78" s="237">
        <f t="shared" si="13"/>
        <v>272.49999999999994</v>
      </c>
      <c r="R78" s="177">
        <f t="shared" si="4"/>
        <v>21.799999999999997</v>
      </c>
      <c r="S78" s="177">
        <f>$L$11*(1+$L$9)^N78*'Récapitulatif des résultats'!$I$11</f>
        <v>0</v>
      </c>
      <c r="T78" s="238"/>
      <c r="U78" s="177"/>
      <c r="V78" s="246">
        <f t="shared" si="6"/>
        <v>0</v>
      </c>
      <c r="W78" s="185">
        <f>SUM('Pin Laricio'!AQ62*'Pin Laricio'!$F$21,'Pin Maritime'!AQ62*'Pin Maritime'!$F$21,'C'!AQ62*'C'!$F$21,D!AQ62*D!$F$21,E!AQ62*E!$F$21,F!AQ62*F!$F$21)</f>
        <v>0</v>
      </c>
      <c r="X78" s="185">
        <f>SUM('Pin Laricio'!AR62*'Pin Laricio'!$F$21,'Pin Maritime'!AR62*'Pin Maritime'!$F$21,'C'!AR62*'C'!$F$21,D!AR62*D!$F$21,E!AR62*E!$F$21,F!AR62*F!$F$21)</f>
        <v>0</v>
      </c>
      <c r="Y78" s="185">
        <f>SUM('Pin Laricio'!AS62*'Pin Laricio'!$F$21,'Pin Maritime'!AS62*'Pin Maritime'!$F$21,'C'!AS62*'C'!$F$21,D!AS62*D!$F$21,E!AS62*E!$F$21,F!AS62*F!$F$21)</f>
        <v>0</v>
      </c>
      <c r="Z78" s="328">
        <f>SUM('Pin Laricio'!AT62*'Pin Laricio'!$F$21,'Pin Maritime'!AT62*'Pin Maritime'!$F$21,'C'!AT62*'C'!$F$21,D!AT62*D!$F$21,E!AT62*E!$F$21,F!AT62*F!$F$21)</f>
        <v>0</v>
      </c>
      <c r="AA78" s="175">
        <f t="shared" si="8"/>
        <v>0</v>
      </c>
      <c r="AB78" s="176">
        <f t="shared" si="7"/>
        <v>-23.942070572838929</v>
      </c>
      <c r="AC78" s="175"/>
      <c r="AD78" s="175"/>
    </row>
    <row r="79" spans="2:30" x14ac:dyDescent="0.3">
      <c r="B79" s="268" t="str">
        <f>D!B90</f>
        <v>-</v>
      </c>
      <c r="C79" s="222">
        <f>D!C90</f>
        <v>55</v>
      </c>
      <c r="D79" s="223">
        <f>D!D90</f>
        <v>0.7</v>
      </c>
      <c r="E79" s="218">
        <f>D!E90</f>
        <v>0.16800000000000004</v>
      </c>
      <c r="F79" s="218">
        <f>D!F90</f>
        <v>0.13200000000000003</v>
      </c>
      <c r="G79" s="224">
        <f>D!G90</f>
        <v>0</v>
      </c>
      <c r="H79" s="207">
        <f>IFERROR(VLOOKUP($B$69,Tableau14582[],4,FALSE)*(1+$L$9)^$B79,0)</f>
        <v>0</v>
      </c>
      <c r="I79" s="208">
        <f>IFERROR(VLOOKUP($B$69,Tableau14582[],5,FALSE)*(1+$L$9)^$B79,0)</f>
        <v>0</v>
      </c>
      <c r="J79" s="208">
        <f>IFERROR(VLOOKUP($B$69,Tableau14582[],5,FALSE)*(1+$L$9)^$B79,0)</f>
        <v>0</v>
      </c>
      <c r="K79" s="209">
        <f>IFERROR(VLOOKUP($B$69,Tableau14582[],6,FALSE)*(1+$L$9)^$B79,0)</f>
        <v>0</v>
      </c>
      <c r="L79" s="260">
        <f t="shared" si="14"/>
        <v>0</v>
      </c>
      <c r="N79" s="71">
        <v>58</v>
      </c>
      <c r="O79" s="236"/>
      <c r="P79" s="177"/>
      <c r="Q79" s="237">
        <f t="shared" si="13"/>
        <v>272.49999999999994</v>
      </c>
      <c r="R79" s="177">
        <f t="shared" si="4"/>
        <v>21.799999999999997</v>
      </c>
      <c r="S79" s="177">
        <f>$L$11*(1+$L$9)^N79*'Récapitulatif des résultats'!$I$11</f>
        <v>0</v>
      </c>
      <c r="T79" s="238"/>
      <c r="U79" s="177"/>
      <c r="V79" s="246">
        <f t="shared" si="6"/>
        <v>0</v>
      </c>
      <c r="W79" s="185">
        <f>SUM('Pin Laricio'!AQ63*'Pin Laricio'!$F$21,'Pin Maritime'!AQ63*'Pin Maritime'!$F$21,'C'!AQ63*'C'!$F$21,D!AQ63*D!$F$21,E!AQ63*E!$F$21,F!AQ63*F!$F$21)</f>
        <v>0</v>
      </c>
      <c r="X79" s="185">
        <f>SUM('Pin Laricio'!AR63*'Pin Laricio'!$F$21,'Pin Maritime'!AR63*'Pin Maritime'!$F$21,'C'!AR63*'C'!$F$21,D!AR63*D!$F$21,E!AR63*E!$F$21,F!AR63*F!$F$21)</f>
        <v>0</v>
      </c>
      <c r="Y79" s="185">
        <f>SUM('Pin Laricio'!AS63*'Pin Laricio'!$F$21,'Pin Maritime'!AS63*'Pin Maritime'!$F$21,'C'!AS63*'C'!$F$21,D!AS63*D!$F$21,E!AS63*E!$F$21,F!AS63*F!$F$21)</f>
        <v>0</v>
      </c>
      <c r="Z79" s="328">
        <f>SUM('Pin Laricio'!AT63*'Pin Laricio'!$F$21,'Pin Maritime'!AT63*'Pin Maritime'!$F$21,'C'!AT63*'C'!$F$21,D!AT63*D!$F$21,E!AT63*E!$F$21,F!AT63*F!$F$21)</f>
        <v>0</v>
      </c>
      <c r="AA79" s="175">
        <f t="shared" si="8"/>
        <v>0</v>
      </c>
      <c r="AB79" s="176">
        <f t="shared" si="7"/>
        <v>-22.911072318506157</v>
      </c>
      <c r="AC79" s="175"/>
      <c r="AD79" s="175"/>
    </row>
    <row r="80" spans="2:30" x14ac:dyDescent="0.3">
      <c r="B80" s="268" t="str">
        <f>D!B91</f>
        <v>-</v>
      </c>
      <c r="C80" s="222">
        <f>D!C91</f>
        <v>48</v>
      </c>
      <c r="D80" s="223">
        <f>D!D91</f>
        <v>0.8</v>
      </c>
      <c r="E80" s="218">
        <f>D!E91</f>
        <v>0.11199999999999999</v>
      </c>
      <c r="F80" s="218">
        <f>D!F91</f>
        <v>8.7999999999999981E-2</v>
      </c>
      <c r="G80" s="224">
        <f>D!G91</f>
        <v>0</v>
      </c>
      <c r="H80" s="207">
        <f>IFERROR(VLOOKUP($B$69,Tableau14582[],4,FALSE)*(1+$L$9)^$B80,0)</f>
        <v>0</v>
      </c>
      <c r="I80" s="208">
        <f>IFERROR(VLOOKUP($B$69,Tableau14582[],5,FALSE)*(1+$L$9)^$B80,0)</f>
        <v>0</v>
      </c>
      <c r="J80" s="208">
        <f>IFERROR(VLOOKUP($B$69,Tableau14582[],5,FALSE)*(1+$L$9)^$B80,0)</f>
        <v>0</v>
      </c>
      <c r="K80" s="209">
        <f>IFERROR(VLOOKUP($B$69,Tableau14582[],6,FALSE)*(1+$L$9)^$B80,0)</f>
        <v>0</v>
      </c>
      <c r="L80" s="260">
        <f t="shared" si="14"/>
        <v>0</v>
      </c>
      <c r="N80" s="71">
        <v>59</v>
      </c>
      <c r="O80" s="236"/>
      <c r="P80" s="177"/>
      <c r="Q80" s="237">
        <f t="shared" si="13"/>
        <v>272.49999999999994</v>
      </c>
      <c r="R80" s="177">
        <f t="shared" si="4"/>
        <v>21.799999999999997</v>
      </c>
      <c r="S80" s="177">
        <f>$L$11*(1+$L$9)^N80*'Récapitulatif des résultats'!$I$11</f>
        <v>0</v>
      </c>
      <c r="T80" s="238"/>
      <c r="U80" s="177"/>
      <c r="V80" s="246">
        <f t="shared" si="6"/>
        <v>514.79999999999995</v>
      </c>
      <c r="W80" s="185">
        <f>SUM('Pin Laricio'!AQ64*'Pin Laricio'!$F$21,'Pin Maritime'!AQ64*'Pin Maritime'!$F$21,'C'!AQ64*'C'!$F$21,D!AQ64*D!$F$21,E!AQ64*E!$F$21,F!AQ64*F!$F$21)</f>
        <v>360.35999999999996</v>
      </c>
      <c r="X80" s="185">
        <f>SUM('Pin Laricio'!AR64*'Pin Laricio'!$F$21,'Pin Maritime'!AR64*'Pin Maritime'!$F$21,'C'!AR64*'C'!$F$21,D!AR64*D!$F$21,E!AR64*E!$F$21,F!AR64*F!$F$21)</f>
        <v>86.486400000000017</v>
      </c>
      <c r="Y80" s="185">
        <f>SUM('Pin Laricio'!AS64*'Pin Laricio'!$F$21,'Pin Maritime'!AS64*'Pin Maritime'!$F$21,'C'!AS64*'C'!$F$21,D!AS64*D!$F$21,E!AS64*E!$F$21,F!AS64*F!$F$21)</f>
        <v>67.953600000000009</v>
      </c>
      <c r="Z80" s="328">
        <f>SUM('Pin Laricio'!AT64*'Pin Laricio'!$F$21,'Pin Maritime'!AT64*'Pin Maritime'!$F$21,'C'!AT64*'C'!$F$21,D!AT64*D!$F$21,E!AT64*E!$F$21,F!AT64*F!$F$21)</f>
        <v>0</v>
      </c>
      <c r="AA80" s="175">
        <f t="shared" si="8"/>
        <v>13803.074999999999</v>
      </c>
      <c r="AB80" s="176">
        <f t="shared" si="7"/>
        <v>1006.3633956153457</v>
      </c>
      <c r="AC80" s="175"/>
      <c r="AD80" s="175"/>
    </row>
    <row r="81" spans="2:30" x14ac:dyDescent="0.3">
      <c r="B81" s="268" t="str">
        <f>D!B92</f>
        <v>-</v>
      </c>
      <c r="C81" s="222">
        <f>D!C92</f>
        <v>43</v>
      </c>
      <c r="D81" s="223">
        <f>D!D92</f>
        <v>0.9</v>
      </c>
      <c r="E81" s="218">
        <f>D!E92</f>
        <v>5.5999999999999994E-2</v>
      </c>
      <c r="F81" s="218">
        <f>D!F92</f>
        <v>4.3999999999999991E-2</v>
      </c>
      <c r="G81" s="224">
        <f>D!G92</f>
        <v>0</v>
      </c>
      <c r="H81" s="207">
        <f>IFERROR(VLOOKUP($B$69,Tableau14582[],4,FALSE)*(1+$L$9)^$B81,0)</f>
        <v>0</v>
      </c>
      <c r="I81" s="208">
        <f>IFERROR(VLOOKUP($B$69,Tableau14582[],5,FALSE)*(1+$L$9)^$B81,0)</f>
        <v>0</v>
      </c>
      <c r="J81" s="208">
        <f>IFERROR(VLOOKUP($B$69,Tableau14582[],5,FALSE)*(1+$L$9)^$B81,0)</f>
        <v>0</v>
      </c>
      <c r="K81" s="209">
        <f>IFERROR(VLOOKUP($B$69,Tableau14582[],6,FALSE)*(1+$L$9)^$B81,0)</f>
        <v>0</v>
      </c>
      <c r="L81" s="260">
        <f t="shared" si="14"/>
        <v>0</v>
      </c>
      <c r="N81" s="71">
        <v>60</v>
      </c>
      <c r="O81" s="236"/>
      <c r="P81" s="177"/>
      <c r="Q81" s="237">
        <f t="shared" si="13"/>
        <v>272.49999999999994</v>
      </c>
      <c r="R81" s="177">
        <f t="shared" si="4"/>
        <v>21.799999999999997</v>
      </c>
      <c r="S81" s="177">
        <f>$L$11*(1+$L$9)^N81*'Récapitulatif des résultats'!$I$11</f>
        <v>0</v>
      </c>
      <c r="T81" s="238"/>
      <c r="U81" s="177"/>
      <c r="V81" s="246">
        <f t="shared" si="6"/>
        <v>1705.6081692303605</v>
      </c>
      <c r="W81" s="185">
        <f>SUM('Pin Laricio'!AQ65*'Pin Laricio'!$F$21,'Pin Maritime'!AQ65*'Pin Maritime'!$F$21,'C'!AQ65*'C'!$F$21,D!AQ65*D!$F$21,E!AQ65*E!$F$21,F!AQ65*F!$F$21)</f>
        <v>1620.3277607688424</v>
      </c>
      <c r="X81" s="185">
        <f>SUM('Pin Laricio'!AR65*'Pin Laricio'!$F$21,'Pin Maritime'!AR65*'Pin Maritime'!$F$21,'C'!AR65*'C'!$F$21,D!AR65*D!$F$21,E!AR65*E!$F$21,F!AR65*F!$F$21)</f>
        <v>47.757028738450138</v>
      </c>
      <c r="Y81" s="185">
        <f>SUM('Pin Laricio'!AS65*'Pin Laricio'!$F$21,'Pin Maritime'!AS65*'Pin Maritime'!$F$21,'C'!AS65*'C'!$F$21,D!AS65*D!$F$21,E!AS65*E!$F$21,F!AS65*F!$F$21)</f>
        <v>37.523379723067968</v>
      </c>
      <c r="Z81" s="328">
        <f>SUM('Pin Laricio'!AT65*'Pin Laricio'!$F$21,'Pin Maritime'!AT65*'Pin Maritime'!$F$21,'C'!AT65*'C'!$F$21,D!AT65*D!$F$21,E!AT65*E!$F$21,F!AT65*F!$F$21)</f>
        <v>0</v>
      </c>
      <c r="AA81" s="175">
        <f t="shared" si="8"/>
        <v>69706.073866233288</v>
      </c>
      <c r="AB81" s="176">
        <f t="shared" si="7"/>
        <v>4948.2965219307471</v>
      </c>
      <c r="AC81" s="175"/>
      <c r="AD81" s="175"/>
    </row>
    <row r="82" spans="2:30" x14ac:dyDescent="0.3">
      <c r="B82" s="268" t="str">
        <f>D!B93</f>
        <v>-</v>
      </c>
      <c r="C82" s="222">
        <f>D!C93</f>
        <v>38</v>
      </c>
      <c r="D82" s="223">
        <f>D!D93</f>
        <v>0.9</v>
      </c>
      <c r="E82" s="218">
        <f>D!E93</f>
        <v>5.5999999999999994E-2</v>
      </c>
      <c r="F82" s="218">
        <f>D!F93</f>
        <v>4.3999999999999991E-2</v>
      </c>
      <c r="G82" s="224">
        <f>D!G93</f>
        <v>0</v>
      </c>
      <c r="H82" s="207">
        <f>IFERROR(VLOOKUP($B$69,Tableau14582[],4,FALSE)*(1+$L$9)^$B82,0)</f>
        <v>0</v>
      </c>
      <c r="I82" s="208">
        <f>IFERROR(VLOOKUP($B$69,Tableau14582[],5,FALSE)*(1+$L$9)^$B82,0)</f>
        <v>0</v>
      </c>
      <c r="J82" s="208">
        <f>IFERROR(VLOOKUP($B$69,Tableau14582[],5,FALSE)*(1+$L$9)^$B82,0)</f>
        <v>0</v>
      </c>
      <c r="K82" s="209">
        <f>IFERROR(VLOOKUP($B$69,Tableau14582[],6,FALSE)*(1+$L$9)^$B82,0)</f>
        <v>0</v>
      </c>
      <c r="L82" s="260">
        <f t="shared" si="14"/>
        <v>0</v>
      </c>
      <c r="N82" s="71">
        <v>61</v>
      </c>
      <c r="O82" s="236"/>
      <c r="P82" s="177"/>
      <c r="Q82" s="237">
        <f t="shared" si="13"/>
        <v>272.49999999999994</v>
      </c>
      <c r="R82" s="177">
        <f t="shared" si="4"/>
        <v>21.799999999999997</v>
      </c>
      <c r="S82" s="177">
        <f>$L$11*(1+$L$9)^N82*'Récapitulatif des résultats'!$I$11</f>
        <v>0</v>
      </c>
      <c r="T82" s="238"/>
      <c r="U82" s="177"/>
      <c r="V82" s="246">
        <f t="shared" si="6"/>
        <v>0</v>
      </c>
      <c r="W82" s="185">
        <f>SUM('Pin Laricio'!AQ66*'Pin Laricio'!$F$21,'Pin Maritime'!AQ66*'Pin Maritime'!$F$21,'C'!AQ66*'C'!$F$21,D!AQ66*D!$F$21,E!AQ66*E!$F$21,F!AQ66*F!$F$21)</f>
        <v>0</v>
      </c>
      <c r="X82" s="185">
        <f>SUM('Pin Laricio'!AR66*'Pin Laricio'!$F$21,'Pin Maritime'!AR66*'Pin Maritime'!$F$21,'C'!AR66*'C'!$F$21,D!AR66*D!$F$21,E!AR66*E!$F$21,F!AR66*F!$F$21)</f>
        <v>0</v>
      </c>
      <c r="Y82" s="185">
        <f>SUM('Pin Laricio'!AS66*'Pin Laricio'!$F$21,'Pin Maritime'!AS66*'Pin Maritime'!$F$21,'C'!AS66*'C'!$F$21,D!AS66*D!$F$21,E!AS66*E!$F$21,F!AS66*F!$F$21)</f>
        <v>0</v>
      </c>
      <c r="Z82" s="328">
        <f>SUM('Pin Laricio'!AT66*'Pin Laricio'!$F$21,'Pin Maritime'!AT66*'Pin Maritime'!$F$21,'C'!AT66*'C'!$F$21,D!AT66*D!$F$21,E!AT66*E!$F$21,F!AT66*F!$F$21)</f>
        <v>0</v>
      </c>
      <c r="AA82" s="175">
        <f t="shared" si="8"/>
        <v>60058.727659024065</v>
      </c>
      <c r="AB82" s="176">
        <f t="shared" si="7"/>
        <v>4077.078256725209</v>
      </c>
      <c r="AC82" s="175"/>
      <c r="AD82" s="175"/>
    </row>
    <row r="83" spans="2:30" x14ac:dyDescent="0.3">
      <c r="B83" s="261">
        <f>D!B94</f>
        <v>0</v>
      </c>
      <c r="C83" s="225">
        <f>D!C94</f>
        <v>0</v>
      </c>
      <c r="D83" s="219">
        <f>D!D94</f>
        <v>0.95</v>
      </c>
      <c r="E83" s="231">
        <f>D!E94</f>
        <v>2.8000000000000028E-2</v>
      </c>
      <c r="F83" s="231">
        <f>D!F94</f>
        <v>2.200000000000002E-2</v>
      </c>
      <c r="G83" s="226">
        <f>D!G94</f>
        <v>0</v>
      </c>
      <c r="H83" s="210">
        <f>IFERROR(VLOOKUP($B$69,Tableau14582[],4,FALSE)*(1+$L$9)^$B83,0)</f>
        <v>37</v>
      </c>
      <c r="I83" s="211">
        <f>IFERROR(VLOOKUP($B$69,Tableau14582[],5,FALSE)*(1+$L$9)^$B83,0)</f>
        <v>19.375</v>
      </c>
      <c r="J83" s="211">
        <f>IFERROR(VLOOKUP($B$69,Tableau14582[],5,FALSE)*(1+$L$9)^$B83,0)</f>
        <v>19.375</v>
      </c>
      <c r="K83" s="212">
        <f>IFERROR(VLOOKUP($B$69,Tableau14582[],6,FALSE)*(1+$L$9)^$B83,0)</f>
        <v>10</v>
      </c>
      <c r="L83" s="262">
        <f t="shared" si="14"/>
        <v>0</v>
      </c>
      <c r="N83" s="71">
        <v>62</v>
      </c>
      <c r="O83" s="236"/>
      <c r="P83" s="177"/>
      <c r="Q83" s="237">
        <f t="shared" si="13"/>
        <v>272.49999999999994</v>
      </c>
      <c r="R83" s="177">
        <f t="shared" si="4"/>
        <v>21.799999999999997</v>
      </c>
      <c r="S83" s="177">
        <f>$L$11*(1+$L$9)^N83*'Récapitulatif des résultats'!$I$11</f>
        <v>0</v>
      </c>
      <c r="T83" s="238"/>
      <c r="U83" s="177"/>
      <c r="V83" s="246">
        <f t="shared" si="6"/>
        <v>0</v>
      </c>
      <c r="W83" s="185">
        <f>SUM('Pin Laricio'!AQ67*'Pin Laricio'!$F$21,'Pin Maritime'!AQ67*'Pin Maritime'!$F$21,'C'!AQ67*'C'!$F$21,D!AQ67*D!$F$21,E!AQ67*E!$F$21,F!AQ67*F!$F$21)</f>
        <v>0</v>
      </c>
      <c r="X83" s="185">
        <f>SUM('Pin Laricio'!AR67*'Pin Laricio'!$F$21,'Pin Maritime'!AR67*'Pin Maritime'!$F$21,'C'!AR67*'C'!$F$21,D!AR67*D!$F$21,E!AR67*E!$F$21,F!AR67*F!$F$21)</f>
        <v>0</v>
      </c>
      <c r="Y83" s="185">
        <f>SUM('Pin Laricio'!AS67*'Pin Laricio'!$F$21,'Pin Maritime'!AS67*'Pin Maritime'!$F$21,'C'!AS67*'C'!$F$21,D!AS67*D!$F$21,E!AS67*E!$F$21,F!AS67*F!$F$21)</f>
        <v>0</v>
      </c>
      <c r="Z83" s="328">
        <f>SUM('Pin Laricio'!AT67*'Pin Laricio'!$F$21,'Pin Maritime'!AT67*'Pin Maritime'!$F$21,'C'!AT67*'C'!$F$21,D!AT67*D!$F$21,E!AT67*E!$F$21,F!AT67*F!$F$21)</f>
        <v>0</v>
      </c>
      <c r="AA83" s="175">
        <f t="shared" si="8"/>
        <v>0</v>
      </c>
      <c r="AB83" s="176">
        <f t="shared" si="7"/>
        <v>-19.212339586567836</v>
      </c>
      <c r="AC83" s="175"/>
      <c r="AD83" s="175"/>
    </row>
    <row r="84" spans="2:30" x14ac:dyDescent="0.3">
      <c r="B84" s="263"/>
      <c r="C84" s="264"/>
      <c r="D84" s="264"/>
      <c r="E84" s="264"/>
      <c r="F84" s="264"/>
      <c r="G84" s="264"/>
      <c r="H84" s="264"/>
      <c r="I84" s="264"/>
      <c r="J84" s="264"/>
      <c r="K84" s="264"/>
      <c r="L84" s="265"/>
      <c r="N84" s="71">
        <v>63</v>
      </c>
      <c r="O84" s="236"/>
      <c r="P84" s="177"/>
      <c r="Q84" s="237">
        <f t="shared" si="13"/>
        <v>272.49999999999994</v>
      </c>
      <c r="R84" s="177">
        <f t="shared" si="4"/>
        <v>21.799999999999997</v>
      </c>
      <c r="S84" s="177">
        <f>$L$11*(1+$L$9)^N84*'Récapitulatif des résultats'!$I$11</f>
        <v>0</v>
      </c>
      <c r="T84" s="238"/>
      <c r="U84" s="177"/>
      <c r="V84" s="246">
        <f t="shared" si="6"/>
        <v>0</v>
      </c>
      <c r="W84" s="185">
        <f>SUM('Pin Laricio'!AQ68*'Pin Laricio'!$F$21,'Pin Maritime'!AQ68*'Pin Maritime'!$F$21,'C'!AQ68*'C'!$F$21,D!AQ68*D!$F$21,E!AQ68*E!$F$21,F!AQ68*F!$F$21)</f>
        <v>0</v>
      </c>
      <c r="X84" s="185">
        <f>SUM('Pin Laricio'!AR68*'Pin Laricio'!$F$21,'Pin Maritime'!AR68*'Pin Maritime'!$F$21,'C'!AR68*'C'!$F$21,D!AR68*D!$F$21,E!AR68*E!$F$21,F!AR68*F!$F$21)</f>
        <v>0</v>
      </c>
      <c r="Y84" s="185">
        <f>SUM('Pin Laricio'!AS68*'Pin Laricio'!$F$21,'Pin Maritime'!AS68*'Pin Maritime'!$F$21,'C'!AS68*'C'!$F$21,D!AS68*D!$F$21,E!AS68*E!$F$21,F!AS68*F!$F$21)</f>
        <v>0</v>
      </c>
      <c r="Z84" s="328">
        <f>SUM('Pin Laricio'!AT68*'Pin Laricio'!$F$21,'Pin Maritime'!AT68*'Pin Maritime'!$F$21,'C'!AT68*'C'!$F$21,D!AT68*D!$F$21,E!AT68*E!$F$21,F!AT68*F!$F$21)</f>
        <v>0</v>
      </c>
      <c r="AA84" s="175">
        <f t="shared" si="8"/>
        <v>0</v>
      </c>
      <c r="AB84" s="176">
        <f t="shared" si="7"/>
        <v>-18.385013958438115</v>
      </c>
      <c r="AC84" s="175"/>
      <c r="AD84" s="175"/>
    </row>
    <row r="85" spans="2:30" x14ac:dyDescent="0.3">
      <c r="B85" s="409" t="str">
        <f>E!F17</f>
        <v xml:space="preserve">Chêne rouvre (sessile) </v>
      </c>
      <c r="C85" s="410">
        <f>E!C80</f>
        <v>0</v>
      </c>
      <c r="D85" s="410">
        <f>E!D80</f>
        <v>0</v>
      </c>
      <c r="E85" s="410">
        <f>E!E80</f>
        <v>0</v>
      </c>
      <c r="F85" s="410">
        <f>E!F80</f>
        <v>0</v>
      </c>
      <c r="G85" s="411">
        <f>E!G80</f>
        <v>0</v>
      </c>
      <c r="H85" s="395" t="s">
        <v>248</v>
      </c>
      <c r="I85" s="396"/>
      <c r="J85" s="396"/>
      <c r="K85" s="397"/>
      <c r="L85" s="254">
        <f>AA5</f>
        <v>0</v>
      </c>
      <c r="N85" s="71">
        <v>64</v>
      </c>
      <c r="O85" s="236"/>
      <c r="P85" s="177"/>
      <c r="Q85" s="237">
        <f t="shared" si="13"/>
        <v>272.49999999999994</v>
      </c>
      <c r="R85" s="177">
        <f t="shared" ref="R85:R148" si="15">$L$10*SUM(O85:Q85)</f>
        <v>21.799999999999997</v>
      </c>
      <c r="S85" s="177">
        <f>$L$11*(1+$L$9)^N85*'Récapitulatif des résultats'!$I$11</f>
        <v>0</v>
      </c>
      <c r="T85" s="238"/>
      <c r="U85" s="177"/>
      <c r="V85" s="246">
        <f t="shared" ref="V85:V148" si="16">SUM(W85:Z85)</f>
        <v>0</v>
      </c>
      <c r="W85" s="185">
        <f>SUM('Pin Laricio'!AQ69*'Pin Laricio'!$F$21,'Pin Maritime'!AQ69*'Pin Maritime'!$F$21,'C'!AQ69*'C'!$F$21,D!AQ69*D!$F$21,E!AQ69*E!$F$21,F!AQ69*F!$F$21)</f>
        <v>0</v>
      </c>
      <c r="X85" s="185">
        <f>SUM('Pin Laricio'!AR69*'Pin Laricio'!$F$21,'Pin Maritime'!AR69*'Pin Maritime'!$F$21,'C'!AR69*'C'!$F$21,D!AR69*D!$F$21,E!AR69*E!$F$21,F!AR69*F!$F$21)</f>
        <v>0</v>
      </c>
      <c r="Y85" s="185">
        <f>SUM('Pin Laricio'!AS69*'Pin Laricio'!$F$21,'Pin Maritime'!AS69*'Pin Maritime'!$F$21,'C'!AS69*'C'!$F$21,D!AS69*D!$F$21,E!AS69*E!$F$21,F!AS69*F!$F$21)</f>
        <v>0</v>
      </c>
      <c r="Z85" s="328">
        <f>SUM('Pin Laricio'!AT69*'Pin Laricio'!$F$21,'Pin Maritime'!AT69*'Pin Maritime'!$F$21,'C'!AT69*'C'!$F$21,D!AT69*D!$F$21,E!AT69*E!$F$21,F!AT69*F!$F$21)</f>
        <v>0</v>
      </c>
      <c r="AA85" s="175">
        <f t="shared" si="8"/>
        <v>0</v>
      </c>
      <c r="AB85" s="176">
        <f t="shared" ref="AB85:AB148" si="17">IF(N85&lt;=$L$4,(AA85-SUM(O85:T85))/((1+4.5%)^N85),)</f>
        <v>-17.59331479276376</v>
      </c>
      <c r="AC85" s="175"/>
      <c r="AD85" s="175"/>
    </row>
    <row r="86" spans="2:30" x14ac:dyDescent="0.3">
      <c r="B86" s="266" t="str">
        <f>E!B81</f>
        <v>Année</v>
      </c>
      <c r="C86" s="227" t="str">
        <f>E!C81</f>
        <v>Volume d'éclaircie</v>
      </c>
      <c r="D86" s="214" t="str">
        <f>E!D81</f>
        <v>BO</v>
      </c>
      <c r="E86" s="214" t="str">
        <f>E!E81</f>
        <v>BI - panneaux</v>
      </c>
      <c r="F86" s="214" t="str">
        <f>E!F81</f>
        <v>BI - papier</v>
      </c>
      <c r="G86" s="215" t="str">
        <f>E!G81</f>
        <v>BE</v>
      </c>
      <c r="H86" s="213" t="s">
        <v>78</v>
      </c>
      <c r="I86" s="214" t="s">
        <v>81</v>
      </c>
      <c r="J86" s="214" t="s">
        <v>80</v>
      </c>
      <c r="K86" s="215" t="s">
        <v>79</v>
      </c>
      <c r="L86" s="256" t="s">
        <v>252</v>
      </c>
      <c r="N86" s="71">
        <v>65</v>
      </c>
      <c r="O86" s="236"/>
      <c r="P86" s="177"/>
      <c r="Q86" s="237">
        <f t="shared" si="13"/>
        <v>272.49999999999994</v>
      </c>
      <c r="R86" s="177">
        <f t="shared" si="15"/>
        <v>21.799999999999997</v>
      </c>
      <c r="S86" s="177">
        <f>$L$11*(1+$L$9)^N86*'Récapitulatif des résultats'!$I$11</f>
        <v>0</v>
      </c>
      <c r="T86" s="238"/>
      <c r="U86" s="177"/>
      <c r="V86" s="246">
        <f t="shared" si="16"/>
        <v>0</v>
      </c>
      <c r="W86" s="185">
        <f>SUM('Pin Laricio'!AQ70*'Pin Laricio'!$F$21,'Pin Maritime'!AQ70*'Pin Maritime'!$F$21,'C'!AQ70*'C'!$F$21,D!AQ70*D!$F$21,E!AQ70*E!$F$21,F!AQ70*F!$F$21)</f>
        <v>0</v>
      </c>
      <c r="X86" s="185">
        <f>SUM('Pin Laricio'!AR70*'Pin Laricio'!$F$21,'Pin Maritime'!AR70*'Pin Maritime'!$F$21,'C'!AR70*'C'!$F$21,D!AR70*D!$F$21,E!AR70*E!$F$21,F!AR70*F!$F$21)</f>
        <v>0</v>
      </c>
      <c r="Y86" s="185">
        <f>SUM('Pin Laricio'!AS70*'Pin Laricio'!$F$21,'Pin Maritime'!AS70*'Pin Maritime'!$F$21,'C'!AS70*'C'!$F$21,D!AS70*D!$F$21,E!AS70*E!$F$21,F!AS70*F!$F$21)</f>
        <v>0</v>
      </c>
      <c r="Z86" s="328">
        <f>SUM('Pin Laricio'!AT70*'Pin Laricio'!$F$21,'Pin Maritime'!AT70*'Pin Maritime'!$F$21,'C'!AT70*'C'!$F$21,D!AT70*D!$F$21,E!AT70*E!$F$21,F!AT70*F!$F$21)</f>
        <v>0</v>
      </c>
      <c r="AA86" s="175">
        <f t="shared" ref="AA86:AA149" si="18">SUMIF(B$23:B$115,N86,L$23:L$115)+U86</f>
        <v>0</v>
      </c>
      <c r="AB86" s="176">
        <f t="shared" si="17"/>
        <v>-16.835707935659098</v>
      </c>
      <c r="AC86" s="175"/>
      <c r="AD86" s="175"/>
    </row>
    <row r="87" spans="2:30" x14ac:dyDescent="0.3">
      <c r="B87" s="257" t="str">
        <f>E!B82</f>
        <v>-</v>
      </c>
      <c r="C87" s="220">
        <f>E!C82</f>
        <v>0</v>
      </c>
      <c r="D87" s="217">
        <f>E!D82</f>
        <v>0</v>
      </c>
      <c r="E87" s="217">
        <f>E!E82</f>
        <v>0</v>
      </c>
      <c r="F87" s="217">
        <f>E!F82</f>
        <v>0</v>
      </c>
      <c r="G87" s="221">
        <f>E!G82</f>
        <v>1</v>
      </c>
      <c r="H87" s="207">
        <f>IFERROR(VLOOKUP($B$85,Tableau14582[],4,FALSE)*(1+$L$9)^$B87,0)</f>
        <v>0</v>
      </c>
      <c r="I87" s="208">
        <f>IFERROR(VLOOKUP($B$85,Tableau14582[],5,FALSE)*(1+$L$9)^$B87,0)</f>
        <v>0</v>
      </c>
      <c r="J87" s="208">
        <f>IFERROR(VLOOKUP($B$85,Tableau14582[],5,FALSE)*(1+$L$9)^$B87,0)</f>
        <v>0</v>
      </c>
      <c r="K87" s="209">
        <f>IFERROR(VLOOKUP($B$85,Tableau14582[],6,FALSE)*(1+$L$9)^$B87,0)</f>
        <v>0</v>
      </c>
      <c r="L87" s="258">
        <f>(C87*D87*H87+C87*E87*I87+C87*F87*J87+C87*G87*K87)*L$85</f>
        <v>0</v>
      </c>
      <c r="N87" s="71">
        <v>66</v>
      </c>
      <c r="O87" s="236"/>
      <c r="P87" s="177"/>
      <c r="Q87" s="237">
        <f t="shared" si="13"/>
        <v>272.49999999999994</v>
      </c>
      <c r="R87" s="177">
        <f t="shared" si="15"/>
        <v>21.799999999999997</v>
      </c>
      <c r="S87" s="177">
        <f>$L$11*(1+$L$9)^N87*'Récapitulatif des résultats'!$I$11</f>
        <v>0</v>
      </c>
      <c r="T87" s="238"/>
      <c r="U87" s="177"/>
      <c r="V87" s="246">
        <f t="shared" si="16"/>
        <v>0</v>
      </c>
      <c r="W87" s="185">
        <f>SUM('Pin Laricio'!AQ71*'Pin Laricio'!$F$21,'Pin Maritime'!AQ71*'Pin Maritime'!$F$21,'C'!AQ71*'C'!$F$21,D!AQ71*D!$F$21,E!AQ71*E!$F$21,F!AQ71*F!$F$21)</f>
        <v>0</v>
      </c>
      <c r="X87" s="185">
        <f>SUM('Pin Laricio'!AR71*'Pin Laricio'!$F$21,'Pin Maritime'!AR71*'Pin Maritime'!$F$21,'C'!AR71*'C'!$F$21,D!AR71*D!$F$21,E!AR71*E!$F$21,F!AR71*F!$F$21)</f>
        <v>0</v>
      </c>
      <c r="Y87" s="185">
        <f>SUM('Pin Laricio'!AS71*'Pin Laricio'!$F$21,'Pin Maritime'!AS71*'Pin Maritime'!$F$21,'C'!AS71*'C'!$F$21,D!AS71*D!$F$21,E!AS71*E!$F$21,F!AS71*F!$F$21)</f>
        <v>0</v>
      </c>
      <c r="Z87" s="328">
        <f>SUM('Pin Laricio'!AT71*'Pin Laricio'!$F$21,'Pin Maritime'!AT71*'Pin Maritime'!$F$21,'C'!AT71*'C'!$F$21,D!AT71*D!$F$21,E!AT71*E!$F$21,F!AT71*F!$F$21)</f>
        <v>0</v>
      </c>
      <c r="AA87" s="175">
        <f t="shared" si="18"/>
        <v>0</v>
      </c>
      <c r="AB87" s="176">
        <f t="shared" si="17"/>
        <v>-16.110725297281437</v>
      </c>
      <c r="AC87" s="175"/>
      <c r="AD87" s="175"/>
    </row>
    <row r="88" spans="2:30" x14ac:dyDescent="0.3">
      <c r="B88" s="259" t="str">
        <f>E!B83</f>
        <v>-</v>
      </c>
      <c r="C88" s="222">
        <f>E!C83</f>
        <v>8</v>
      </c>
      <c r="D88" s="223">
        <f>E!D83</f>
        <v>0.1</v>
      </c>
      <c r="E88" s="218">
        <f>E!E83</f>
        <v>0</v>
      </c>
      <c r="F88" s="218">
        <f>E!F83</f>
        <v>0</v>
      </c>
      <c r="G88" s="224">
        <f>E!G83</f>
        <v>0.9</v>
      </c>
      <c r="H88" s="207">
        <f>IFERROR(VLOOKUP($B$85,Tableau14582[],4,FALSE)*(1+$L$9)^$B88,0)</f>
        <v>0</v>
      </c>
      <c r="I88" s="208">
        <f>IFERROR(VLOOKUP($B$85,Tableau14582[],5,FALSE)*(1+$L$9)^$B88,0)</f>
        <v>0</v>
      </c>
      <c r="J88" s="208">
        <f>IFERROR(VLOOKUP($B$85,Tableau14582[],5,FALSE)*(1+$L$9)^$B88,0)</f>
        <v>0</v>
      </c>
      <c r="K88" s="209">
        <f>IFERROR(VLOOKUP($B$85,Tableau14582[],6,FALSE)*(1+$L$9)^$B88,0)</f>
        <v>0</v>
      </c>
      <c r="L88" s="260">
        <f t="shared" ref="L88:L99" si="19">(C88*D88*H88+C88*E88*I88+C88*F88*J88+C88*G88*K88)*L$85</f>
        <v>0</v>
      </c>
      <c r="N88" s="71">
        <v>67</v>
      </c>
      <c r="O88" s="236"/>
      <c r="P88" s="177"/>
      <c r="Q88" s="237">
        <f t="shared" si="13"/>
        <v>272.49999999999994</v>
      </c>
      <c r="R88" s="177">
        <f t="shared" si="15"/>
        <v>21.799999999999997</v>
      </c>
      <c r="S88" s="177">
        <f>$L$11*(1+$L$9)^N88*'Récapitulatif des résultats'!$I$11</f>
        <v>0</v>
      </c>
      <c r="T88" s="238"/>
      <c r="U88" s="177"/>
      <c r="V88" s="246">
        <f t="shared" si="16"/>
        <v>429</v>
      </c>
      <c r="W88" s="185">
        <f>SUM('Pin Laricio'!AQ72*'Pin Laricio'!$F$21,'Pin Maritime'!AQ72*'Pin Maritime'!$F$21,'C'!AQ72*'C'!$F$21,D!AQ72*D!$F$21,E!AQ72*E!$F$21,F!AQ72*F!$F$21)</f>
        <v>343.2</v>
      </c>
      <c r="X88" s="185">
        <f>SUM('Pin Laricio'!AR72*'Pin Laricio'!$F$21,'Pin Maritime'!AR72*'Pin Maritime'!$F$21,'C'!AR72*'C'!$F$21,D!AR72*D!$F$21,E!AR72*E!$F$21,F!AR72*F!$F$21)</f>
        <v>48.047999999999995</v>
      </c>
      <c r="Y88" s="185">
        <f>SUM('Pin Laricio'!AS72*'Pin Laricio'!$F$21,'Pin Maritime'!AS72*'Pin Maritime'!$F$21,'C'!AS72*'C'!$F$21,D!AS72*D!$F$21,E!AS72*E!$F$21,F!AS72*F!$F$21)</f>
        <v>37.751999999999988</v>
      </c>
      <c r="Z88" s="328">
        <f>SUM('Pin Laricio'!AT72*'Pin Laricio'!$F$21,'Pin Maritime'!AT72*'Pin Maritime'!$F$21,'C'!AT72*'C'!$F$21,D!AT72*D!$F$21,E!AT72*E!$F$21,F!AT72*F!$F$21)</f>
        <v>0</v>
      </c>
      <c r="AA88" s="175">
        <f t="shared" si="18"/>
        <v>11958.375</v>
      </c>
      <c r="AB88" s="176">
        <f t="shared" si="17"/>
        <v>611.02480843161379</v>
      </c>
      <c r="AC88" s="175"/>
      <c r="AD88" s="175"/>
    </row>
    <row r="89" spans="2:30" x14ac:dyDescent="0.3">
      <c r="B89" s="259" t="str">
        <f>E!B84</f>
        <v>-</v>
      </c>
      <c r="C89" s="222">
        <f>E!C84</f>
        <v>21</v>
      </c>
      <c r="D89" s="223">
        <f>E!D84</f>
        <v>0.2</v>
      </c>
      <c r="E89" s="218">
        <f>E!E84</f>
        <v>0</v>
      </c>
      <c r="F89" s="218">
        <f>E!F84</f>
        <v>0</v>
      </c>
      <c r="G89" s="224">
        <f>E!G84</f>
        <v>0.8</v>
      </c>
      <c r="H89" s="207">
        <f>IFERROR(VLOOKUP($B$85,Tableau14582[],4,FALSE)*(1+$L$9)^$B89,0)</f>
        <v>0</v>
      </c>
      <c r="I89" s="208">
        <f>IFERROR(VLOOKUP($B$85,Tableau14582[],5,FALSE)*(1+$L$9)^$B89,0)</f>
        <v>0</v>
      </c>
      <c r="J89" s="208">
        <f>IFERROR(VLOOKUP($B$85,Tableau14582[],5,FALSE)*(1+$L$9)^$B89,0)</f>
        <v>0</v>
      </c>
      <c r="K89" s="209">
        <f>IFERROR(VLOOKUP($B$85,Tableau14582[],6,FALSE)*(1+$L$9)^$B89,0)</f>
        <v>0</v>
      </c>
      <c r="L89" s="260">
        <f t="shared" si="19"/>
        <v>0</v>
      </c>
      <c r="N89" s="71">
        <v>68</v>
      </c>
      <c r="O89" s="236"/>
      <c r="P89" s="177"/>
      <c r="Q89" s="237">
        <f t="shared" si="13"/>
        <v>272.49999999999994</v>
      </c>
      <c r="R89" s="177">
        <f t="shared" si="15"/>
        <v>21.799999999999997</v>
      </c>
      <c r="S89" s="177">
        <f>$L$11*(1+$L$9)^N89*'Récapitulatif des résultats'!$I$11</f>
        <v>0</v>
      </c>
      <c r="T89" s="238"/>
      <c r="U89" s="177"/>
      <c r="V89" s="246">
        <f t="shared" si="16"/>
        <v>0</v>
      </c>
      <c r="W89" s="185">
        <f>SUM('Pin Laricio'!AQ73*'Pin Laricio'!$F$21,'Pin Maritime'!AQ73*'Pin Maritime'!$F$21,'C'!AQ73*'C'!$F$21,D!AQ73*D!$F$21,E!AQ73*E!$F$21,F!AQ73*F!$F$21)</f>
        <v>0</v>
      </c>
      <c r="X89" s="185">
        <f>SUM('Pin Laricio'!AR73*'Pin Laricio'!$F$21,'Pin Maritime'!AR73*'Pin Maritime'!$F$21,'C'!AR73*'C'!$F$21,D!AR73*D!$F$21,E!AR73*E!$F$21,F!AR73*F!$F$21)</f>
        <v>0</v>
      </c>
      <c r="Y89" s="185">
        <f>SUM('Pin Laricio'!AS73*'Pin Laricio'!$F$21,'Pin Maritime'!AS73*'Pin Maritime'!$F$21,'C'!AS73*'C'!$F$21,D!AS73*D!$F$21,E!AS73*E!$F$21,F!AS73*F!$F$21)</f>
        <v>0</v>
      </c>
      <c r="Z89" s="328">
        <f>SUM('Pin Laricio'!AT73*'Pin Laricio'!$F$21,'Pin Maritime'!AT73*'Pin Maritime'!$F$21,'C'!AT73*'C'!$F$21,D!AT73*D!$F$21,E!AT73*E!$F$21,F!AT73*F!$F$21)</f>
        <v>0</v>
      </c>
      <c r="AA89" s="175">
        <f t="shared" si="18"/>
        <v>0</v>
      </c>
      <c r="AB89" s="176">
        <f t="shared" si="17"/>
        <v>-14.75307369087836</v>
      </c>
      <c r="AC89" s="175"/>
      <c r="AD89" s="175"/>
    </row>
    <row r="90" spans="2:30" x14ac:dyDescent="0.3">
      <c r="B90" s="259" t="str">
        <f>E!B85</f>
        <v>-</v>
      </c>
      <c r="C90" s="222">
        <f>E!C85</f>
        <v>21</v>
      </c>
      <c r="D90" s="223">
        <f>E!D85</f>
        <v>0.3</v>
      </c>
      <c r="E90" s="218">
        <f>E!E85</f>
        <v>0</v>
      </c>
      <c r="F90" s="218">
        <f>E!F85</f>
        <v>0</v>
      </c>
      <c r="G90" s="224">
        <f>E!G85</f>
        <v>0.7</v>
      </c>
      <c r="H90" s="207">
        <f>IFERROR(VLOOKUP($B$85,Tableau14582[],4,FALSE)*(1+$L$9)^$B90,0)</f>
        <v>0</v>
      </c>
      <c r="I90" s="208">
        <f>IFERROR(VLOOKUP($B$85,Tableau14582[],5,FALSE)*(1+$L$9)^$B90,0)</f>
        <v>0</v>
      </c>
      <c r="J90" s="208">
        <f>IFERROR(VLOOKUP($B$85,Tableau14582[],5,FALSE)*(1+$L$9)^$B90,0)</f>
        <v>0</v>
      </c>
      <c r="K90" s="209">
        <f>IFERROR(VLOOKUP($B$85,Tableau14582[],6,FALSE)*(1+$L$9)^$B90,0)</f>
        <v>0</v>
      </c>
      <c r="L90" s="260">
        <f t="shared" si="19"/>
        <v>0</v>
      </c>
      <c r="N90" s="71">
        <v>69</v>
      </c>
      <c r="O90" s="236"/>
      <c r="P90" s="177"/>
      <c r="Q90" s="237">
        <f t="shared" si="13"/>
        <v>272.49999999999994</v>
      </c>
      <c r="R90" s="177">
        <f t="shared" si="15"/>
        <v>21.799999999999997</v>
      </c>
      <c r="S90" s="177">
        <f>$L$11*(1+$L$9)^N90*'Récapitulatif des résultats'!$I$11</f>
        <v>0</v>
      </c>
      <c r="T90" s="238"/>
      <c r="U90" s="177"/>
      <c r="V90" s="246">
        <f t="shared" si="16"/>
        <v>0</v>
      </c>
      <c r="W90" s="185">
        <f>SUM('Pin Laricio'!AQ74*'Pin Laricio'!$F$21,'Pin Maritime'!AQ74*'Pin Maritime'!$F$21,'C'!AQ74*'C'!$F$21,D!AQ74*D!$F$21,E!AQ74*E!$F$21,F!AQ74*F!$F$21)</f>
        <v>0</v>
      </c>
      <c r="X90" s="185">
        <f>SUM('Pin Laricio'!AR74*'Pin Laricio'!$F$21,'Pin Maritime'!AR74*'Pin Maritime'!$F$21,'C'!AR74*'C'!$F$21,D!AR74*D!$F$21,E!AR74*E!$F$21,F!AR74*F!$F$21)</f>
        <v>0</v>
      </c>
      <c r="Y90" s="185">
        <f>SUM('Pin Laricio'!AS74*'Pin Laricio'!$F$21,'Pin Maritime'!AS74*'Pin Maritime'!$F$21,'C'!AS74*'C'!$F$21,D!AS74*D!$F$21,E!AS74*E!$F$21,F!AS74*F!$F$21)</f>
        <v>0</v>
      </c>
      <c r="Z90" s="328">
        <f>SUM('Pin Laricio'!AT74*'Pin Laricio'!$F$21,'Pin Maritime'!AT74*'Pin Maritime'!$F$21,'C'!AT74*'C'!$F$21,D!AT74*D!$F$21,E!AT74*E!$F$21,F!AT74*F!$F$21)</f>
        <v>0</v>
      </c>
      <c r="AA90" s="175">
        <f t="shared" si="18"/>
        <v>0</v>
      </c>
      <c r="AB90" s="176">
        <f t="shared" si="17"/>
        <v>-14.117773866869245</v>
      </c>
      <c r="AC90" s="175"/>
      <c r="AD90" s="175"/>
    </row>
    <row r="91" spans="2:30" x14ac:dyDescent="0.3">
      <c r="B91" s="259" t="str">
        <f>E!B86</f>
        <v>-</v>
      </c>
      <c r="C91" s="222">
        <f>E!C86</f>
        <v>21</v>
      </c>
      <c r="D91" s="223">
        <f>E!D86</f>
        <v>0.4</v>
      </c>
      <c r="E91" s="218">
        <f>E!E86</f>
        <v>0</v>
      </c>
      <c r="F91" s="218">
        <f>E!F86</f>
        <v>0</v>
      </c>
      <c r="G91" s="224">
        <f>E!G86</f>
        <v>0.6</v>
      </c>
      <c r="H91" s="207">
        <f>IFERROR(VLOOKUP($B$85,Tableau14582[],4,FALSE)*(1+$L$9)^$B91,0)</f>
        <v>0</v>
      </c>
      <c r="I91" s="208">
        <f>IFERROR(VLOOKUP($B$85,Tableau14582[],5,FALSE)*(1+$L$9)^$B91,0)</f>
        <v>0</v>
      </c>
      <c r="J91" s="208">
        <f>IFERROR(VLOOKUP($B$85,Tableau14582[],5,FALSE)*(1+$L$9)^$B91,0)</f>
        <v>0</v>
      </c>
      <c r="K91" s="209">
        <f>IFERROR(VLOOKUP($B$85,Tableau14582[],6,FALSE)*(1+$L$9)^$B91,0)</f>
        <v>0</v>
      </c>
      <c r="L91" s="260">
        <f t="shared" si="19"/>
        <v>0</v>
      </c>
      <c r="N91" s="71">
        <v>70</v>
      </c>
      <c r="O91" s="236"/>
      <c r="P91" s="177"/>
      <c r="Q91" s="237">
        <f t="shared" ref="Q91:Q122" si="20">$L$13*(1+$L$9)^N91*$L$5</f>
        <v>272.49999999999994</v>
      </c>
      <c r="R91" s="177">
        <f t="shared" si="15"/>
        <v>21.799999999999997</v>
      </c>
      <c r="S91" s="177">
        <f>$L$11*(1+$L$9)^N91*'Récapitulatif des résultats'!$I$11</f>
        <v>0</v>
      </c>
      <c r="T91" s="238"/>
      <c r="U91" s="177"/>
      <c r="V91" s="246">
        <f t="shared" si="16"/>
        <v>2837.9999999999995</v>
      </c>
      <c r="W91" s="185">
        <f>SUM('Pin Laricio'!AQ75*'Pin Laricio'!$F$21,'Pin Maritime'!AQ75*'Pin Maritime'!$F$21,'C'!AQ75*'C'!$F$21,D!AQ75*D!$F$21,E!AQ75*E!$F$21,F!AQ75*F!$F$21)</f>
        <v>2554.1999999999998</v>
      </c>
      <c r="X91" s="185">
        <f>SUM('Pin Laricio'!AR75*'Pin Laricio'!$F$21,'Pin Maritime'!AR75*'Pin Maritime'!$F$21,'C'!AR75*'C'!$F$21,D!AR75*D!$F$21,E!AR75*E!$F$21,F!AR75*F!$F$21)</f>
        <v>158.92799999999997</v>
      </c>
      <c r="Y91" s="185">
        <f>SUM('Pin Laricio'!AS75*'Pin Laricio'!$F$21,'Pin Maritime'!AS75*'Pin Maritime'!$F$21,'C'!AS75*'C'!$F$21,D!AS75*D!$F$21,E!AS75*E!$F$21,F!AS75*F!$F$21)</f>
        <v>124.87199999999996</v>
      </c>
      <c r="Z91" s="328">
        <f>SUM('Pin Laricio'!AT75*'Pin Laricio'!$F$21,'Pin Maritime'!AT75*'Pin Maritime'!$F$21,'C'!AT75*'C'!$F$21,D!AT75*D!$F$21,E!AT75*E!$F$21,F!AT75*F!$F$21)</f>
        <v>0</v>
      </c>
      <c r="AA91" s="175">
        <f t="shared" si="18"/>
        <v>82124.625</v>
      </c>
      <c r="AB91" s="176">
        <f t="shared" si="17"/>
        <v>3756.418275146174</v>
      </c>
      <c r="AC91" s="175"/>
      <c r="AD91" s="175"/>
    </row>
    <row r="92" spans="2:30" x14ac:dyDescent="0.3">
      <c r="B92" s="259" t="str">
        <f>E!B87</f>
        <v>-</v>
      </c>
      <c r="C92" s="222">
        <f>E!C87</f>
        <v>21</v>
      </c>
      <c r="D92" s="223">
        <f>E!D87</f>
        <v>0.5</v>
      </c>
      <c r="E92" s="218">
        <f>E!E87</f>
        <v>0</v>
      </c>
      <c r="F92" s="218">
        <f>E!F87</f>
        <v>0</v>
      </c>
      <c r="G92" s="224">
        <f>E!G87</f>
        <v>0.5</v>
      </c>
      <c r="H92" s="207">
        <f>IFERROR(VLOOKUP($B$85,Tableau14582[],4,FALSE)*(1+$L$9)^$B92,0)</f>
        <v>0</v>
      </c>
      <c r="I92" s="208">
        <f>IFERROR(VLOOKUP($B$85,Tableau14582[],5,FALSE)*(1+$L$9)^$B92,0)</f>
        <v>0</v>
      </c>
      <c r="J92" s="208">
        <f>IFERROR(VLOOKUP($B$85,Tableau14582[],5,FALSE)*(1+$L$9)^$B92,0)</f>
        <v>0</v>
      </c>
      <c r="K92" s="209">
        <f>IFERROR(VLOOKUP($B$85,Tableau14582[],6,FALSE)*(1+$L$9)^$B92,0)</f>
        <v>0</v>
      </c>
      <c r="L92" s="260">
        <f t="shared" si="19"/>
        <v>0</v>
      </c>
      <c r="N92" s="71">
        <v>71</v>
      </c>
      <c r="O92" s="236"/>
      <c r="P92" s="177"/>
      <c r="Q92" s="237">
        <f t="shared" si="20"/>
        <v>272.49999999999994</v>
      </c>
      <c r="R92" s="177">
        <f t="shared" si="15"/>
        <v>21.799999999999997</v>
      </c>
      <c r="S92" s="177">
        <f>$L$11*(1+$L$9)^N92*'Récapitulatif des résultats'!$I$11</f>
        <v>0</v>
      </c>
      <c r="T92" s="238"/>
      <c r="U92" s="177"/>
      <c r="V92" s="246">
        <f t="shared" si="16"/>
        <v>0</v>
      </c>
      <c r="W92" s="185">
        <f>SUM('Pin Laricio'!AQ76*'Pin Laricio'!$F$21,'Pin Maritime'!AQ76*'Pin Maritime'!$F$21,'C'!AQ76*'C'!$F$21,D!AQ76*D!$F$21,E!AQ76*E!$F$21,F!AQ76*F!$F$21)</f>
        <v>0</v>
      </c>
      <c r="X92" s="185">
        <f>SUM('Pin Laricio'!AR76*'Pin Laricio'!$F$21,'Pin Maritime'!AR76*'Pin Maritime'!$F$21,'C'!AR76*'C'!$F$21,D!AR76*D!$F$21,E!AR76*E!$F$21,F!AR76*F!$F$21)</f>
        <v>0</v>
      </c>
      <c r="Y92" s="185">
        <f>SUM('Pin Laricio'!AS76*'Pin Laricio'!$F$21,'Pin Maritime'!AS76*'Pin Maritime'!$F$21,'C'!AS76*'C'!$F$21,D!AS76*D!$F$21,E!AS76*E!$F$21,F!AS76*F!$F$21)</f>
        <v>0</v>
      </c>
      <c r="Z92" s="328">
        <f>SUM('Pin Laricio'!AT76*'Pin Laricio'!$F$21,'Pin Maritime'!AT76*'Pin Maritime'!$F$21,'C'!AT76*'C'!$F$21,D!AT76*D!$F$21,E!AT76*E!$F$21,F!AT76*F!$F$21)</f>
        <v>0</v>
      </c>
      <c r="AA92" s="175">
        <f t="shared" si="18"/>
        <v>0</v>
      </c>
      <c r="AB92" s="176">
        <f t="shared" si="17"/>
        <v>0</v>
      </c>
      <c r="AC92" s="175"/>
      <c r="AD92" s="175"/>
    </row>
    <row r="93" spans="2:30" x14ac:dyDescent="0.3">
      <c r="B93" s="259" t="str">
        <f>E!B88</f>
        <v>-</v>
      </c>
      <c r="C93" s="222">
        <f>E!C88</f>
        <v>21</v>
      </c>
      <c r="D93" s="223">
        <f>E!D88</f>
        <v>0.6</v>
      </c>
      <c r="E93" s="218">
        <f>E!E88</f>
        <v>0</v>
      </c>
      <c r="F93" s="218">
        <f>E!F88</f>
        <v>0</v>
      </c>
      <c r="G93" s="224">
        <f>E!G88</f>
        <v>0.4</v>
      </c>
      <c r="H93" s="207">
        <f>IFERROR(VLOOKUP($B$85,Tableau14582[],4,FALSE)*(1+$L$9)^$B93,0)</f>
        <v>0</v>
      </c>
      <c r="I93" s="208">
        <f>IFERROR(VLOOKUP($B$85,Tableau14582[],5,FALSE)*(1+$L$9)^$B93,0)</f>
        <v>0</v>
      </c>
      <c r="J93" s="208">
        <f>IFERROR(VLOOKUP($B$85,Tableau14582[],5,FALSE)*(1+$L$9)^$B93,0)</f>
        <v>0</v>
      </c>
      <c r="K93" s="209">
        <f>IFERROR(VLOOKUP($B$85,Tableau14582[],6,FALSE)*(1+$L$9)^$B93,0)</f>
        <v>0</v>
      </c>
      <c r="L93" s="260">
        <f t="shared" si="19"/>
        <v>0</v>
      </c>
      <c r="N93" s="71">
        <v>72</v>
      </c>
      <c r="O93" s="236"/>
      <c r="P93" s="177"/>
      <c r="Q93" s="237">
        <f t="shared" si="20"/>
        <v>272.49999999999994</v>
      </c>
      <c r="R93" s="177">
        <f t="shared" si="15"/>
        <v>21.799999999999997</v>
      </c>
      <c r="S93" s="177">
        <f>$L$11*(1+$L$9)^N93*'Récapitulatif des résultats'!$I$11</f>
        <v>0</v>
      </c>
      <c r="T93" s="238"/>
      <c r="U93" s="177"/>
      <c r="V93" s="246">
        <f t="shared" si="16"/>
        <v>0</v>
      </c>
      <c r="W93" s="185">
        <f>SUM('Pin Laricio'!AQ77*'Pin Laricio'!$F$21,'Pin Maritime'!AQ77*'Pin Maritime'!$F$21,'C'!AQ77*'C'!$F$21,D!AQ77*D!$F$21,E!AQ77*E!$F$21,F!AQ77*F!$F$21)</f>
        <v>0</v>
      </c>
      <c r="X93" s="185">
        <f>SUM('Pin Laricio'!AR77*'Pin Laricio'!$F$21,'Pin Maritime'!AR77*'Pin Maritime'!$F$21,'C'!AR77*'C'!$F$21,D!AR77*D!$F$21,E!AR77*E!$F$21,F!AR77*F!$F$21)</f>
        <v>0</v>
      </c>
      <c r="Y93" s="185">
        <f>SUM('Pin Laricio'!AS77*'Pin Laricio'!$F$21,'Pin Maritime'!AS77*'Pin Maritime'!$F$21,'C'!AS77*'C'!$F$21,D!AS77*D!$F$21,E!AS77*E!$F$21,F!AS77*F!$F$21)</f>
        <v>0</v>
      </c>
      <c r="Z93" s="328">
        <f>SUM('Pin Laricio'!AT77*'Pin Laricio'!$F$21,'Pin Maritime'!AT77*'Pin Maritime'!$F$21,'C'!AT77*'C'!$F$21,D!AT77*D!$F$21,E!AT77*E!$F$21,F!AT77*F!$F$21)</f>
        <v>0</v>
      </c>
      <c r="AA93" s="175">
        <f t="shared" si="18"/>
        <v>0</v>
      </c>
      <c r="AB93" s="176">
        <f t="shared" si="17"/>
        <v>0</v>
      </c>
      <c r="AC93" s="175"/>
      <c r="AD93" s="175"/>
    </row>
    <row r="94" spans="2:30" x14ac:dyDescent="0.3">
      <c r="B94" s="259" t="str">
        <f>E!B89</f>
        <v>-</v>
      </c>
      <c r="C94" s="222">
        <f>E!C89</f>
        <v>21</v>
      </c>
      <c r="D94" s="223">
        <f>E!D89</f>
        <v>0.7</v>
      </c>
      <c r="E94" s="218">
        <f>E!E89</f>
        <v>0</v>
      </c>
      <c r="F94" s="218">
        <f>E!F89</f>
        <v>0</v>
      </c>
      <c r="G94" s="224">
        <f>E!G89</f>
        <v>0.30000000000000004</v>
      </c>
      <c r="H94" s="207">
        <f>IFERROR(VLOOKUP($B$85,Tableau14582[],4,FALSE)*(1+$L$9)^$B94,0)</f>
        <v>0</v>
      </c>
      <c r="I94" s="208">
        <f>IFERROR(VLOOKUP($B$85,Tableau14582[],5,FALSE)*(1+$L$9)^$B94,0)</f>
        <v>0</v>
      </c>
      <c r="J94" s="208">
        <f>IFERROR(VLOOKUP($B$85,Tableau14582[],5,FALSE)*(1+$L$9)^$B94,0)</f>
        <v>0</v>
      </c>
      <c r="K94" s="209">
        <f>IFERROR(VLOOKUP($B$85,Tableau14582[],6,FALSE)*(1+$L$9)^$B94,0)</f>
        <v>0</v>
      </c>
      <c r="L94" s="260">
        <f t="shared" si="19"/>
        <v>0</v>
      </c>
      <c r="N94" s="71">
        <v>73</v>
      </c>
      <c r="O94" s="236"/>
      <c r="P94" s="177"/>
      <c r="Q94" s="237">
        <f t="shared" si="20"/>
        <v>272.49999999999994</v>
      </c>
      <c r="R94" s="177">
        <f t="shared" si="15"/>
        <v>21.799999999999997</v>
      </c>
      <c r="S94" s="177">
        <f>$L$11*(1+$L$9)^N94*'Récapitulatif des résultats'!$I$11</f>
        <v>0</v>
      </c>
      <c r="T94" s="238"/>
      <c r="U94" s="177"/>
      <c r="V94" s="246">
        <f t="shared" si="16"/>
        <v>0</v>
      </c>
      <c r="W94" s="185">
        <f>SUM('Pin Laricio'!AQ78*'Pin Laricio'!$F$21,'Pin Maritime'!AQ78*'Pin Maritime'!$F$21,'C'!AQ78*'C'!$F$21,D!AQ78*D!$F$21,E!AQ78*E!$F$21,F!AQ78*F!$F$21)</f>
        <v>0</v>
      </c>
      <c r="X94" s="185">
        <f>SUM('Pin Laricio'!AR78*'Pin Laricio'!$F$21,'Pin Maritime'!AR78*'Pin Maritime'!$F$21,'C'!AR78*'C'!$F$21,D!AR78*D!$F$21,E!AR78*E!$F$21,F!AR78*F!$F$21)</f>
        <v>0</v>
      </c>
      <c r="Y94" s="185">
        <f>SUM('Pin Laricio'!AS78*'Pin Laricio'!$F$21,'Pin Maritime'!AS78*'Pin Maritime'!$F$21,'C'!AS78*'C'!$F$21,D!AS78*D!$F$21,E!AS78*E!$F$21,F!AS78*F!$F$21)</f>
        <v>0</v>
      </c>
      <c r="Z94" s="328">
        <f>SUM('Pin Laricio'!AT78*'Pin Laricio'!$F$21,'Pin Maritime'!AT78*'Pin Maritime'!$F$21,'C'!AT78*'C'!$F$21,D!AT78*D!$F$21,E!AT78*E!$F$21,F!AT78*F!$F$21)</f>
        <v>0</v>
      </c>
      <c r="AA94" s="175">
        <f t="shared" si="18"/>
        <v>0</v>
      </c>
      <c r="AB94" s="176">
        <f t="shared" si="17"/>
        <v>0</v>
      </c>
      <c r="AC94" s="175"/>
      <c r="AD94" s="175"/>
    </row>
    <row r="95" spans="2:30" x14ac:dyDescent="0.3">
      <c r="B95" s="259" t="str">
        <f>E!B90</f>
        <v>-</v>
      </c>
      <c r="C95" s="222">
        <f>E!C90</f>
        <v>21</v>
      </c>
      <c r="D95" s="223">
        <f>E!D90</f>
        <v>0.8</v>
      </c>
      <c r="E95" s="218">
        <f>E!E90</f>
        <v>0</v>
      </c>
      <c r="F95" s="218">
        <f>E!F90</f>
        <v>0</v>
      </c>
      <c r="G95" s="224">
        <f>E!G90</f>
        <v>0.19999999999999996</v>
      </c>
      <c r="H95" s="207">
        <f>IFERROR(VLOOKUP($B$85,Tableau14582[],4,FALSE)*(1+$L$9)^$B95,0)</f>
        <v>0</v>
      </c>
      <c r="I95" s="208">
        <f>IFERROR(VLOOKUP($B$85,Tableau14582[],5,FALSE)*(1+$L$9)^$B95,0)</f>
        <v>0</v>
      </c>
      <c r="J95" s="208">
        <f>IFERROR(VLOOKUP($B$85,Tableau14582[],5,FALSE)*(1+$L$9)^$B95,0)</f>
        <v>0</v>
      </c>
      <c r="K95" s="209">
        <f>IFERROR(VLOOKUP($B$85,Tableau14582[],6,FALSE)*(1+$L$9)^$B95,0)</f>
        <v>0</v>
      </c>
      <c r="L95" s="260">
        <f t="shared" si="19"/>
        <v>0</v>
      </c>
      <c r="N95" s="71">
        <v>74</v>
      </c>
      <c r="O95" s="236"/>
      <c r="P95" s="177"/>
      <c r="Q95" s="237">
        <f t="shared" si="20"/>
        <v>272.49999999999994</v>
      </c>
      <c r="R95" s="177">
        <f t="shared" si="15"/>
        <v>21.799999999999997</v>
      </c>
      <c r="S95" s="177">
        <f>$L$11*(1+$L$9)^N95*'Récapitulatif des résultats'!$I$11</f>
        <v>0</v>
      </c>
      <c r="T95" s="238"/>
      <c r="U95" s="177"/>
      <c r="V95" s="246">
        <f t="shared" si="16"/>
        <v>0</v>
      </c>
      <c r="W95" s="185">
        <f>SUM('Pin Laricio'!AQ79*'Pin Laricio'!$F$21,'Pin Maritime'!AQ79*'Pin Maritime'!$F$21,'C'!AQ79*'C'!$F$21,D!AQ79*D!$F$21,E!AQ79*E!$F$21,F!AQ79*F!$F$21)</f>
        <v>0</v>
      </c>
      <c r="X95" s="185">
        <f>SUM('Pin Laricio'!AR79*'Pin Laricio'!$F$21,'Pin Maritime'!AR79*'Pin Maritime'!$F$21,'C'!AR79*'C'!$F$21,D!AR79*D!$F$21,E!AR79*E!$F$21,F!AR79*F!$F$21)</f>
        <v>0</v>
      </c>
      <c r="Y95" s="185">
        <f>SUM('Pin Laricio'!AS79*'Pin Laricio'!$F$21,'Pin Maritime'!AS79*'Pin Maritime'!$F$21,'C'!AS79*'C'!$F$21,D!AS79*D!$F$21,E!AS79*E!$F$21,F!AS79*F!$F$21)</f>
        <v>0</v>
      </c>
      <c r="Z95" s="328">
        <f>SUM('Pin Laricio'!AT79*'Pin Laricio'!$F$21,'Pin Maritime'!AT79*'Pin Maritime'!$F$21,'C'!AT79*'C'!$F$21,D!AT79*D!$F$21,E!AT79*E!$F$21,F!AT79*F!$F$21)</f>
        <v>0</v>
      </c>
      <c r="AA95" s="175">
        <f t="shared" si="18"/>
        <v>0</v>
      </c>
      <c r="AB95" s="176">
        <f t="shared" si="17"/>
        <v>0</v>
      </c>
      <c r="AC95" s="175"/>
      <c r="AD95" s="175"/>
    </row>
    <row r="96" spans="2:30" x14ac:dyDescent="0.3">
      <c r="B96" s="259" t="str">
        <f>E!B91</f>
        <v>-</v>
      </c>
      <c r="C96" s="222">
        <f>E!C91</f>
        <v>21</v>
      </c>
      <c r="D96" s="223">
        <f>E!D91</f>
        <v>0.7</v>
      </c>
      <c r="E96" s="218">
        <f>E!E91</f>
        <v>0</v>
      </c>
      <c r="F96" s="218">
        <f>E!F91</f>
        <v>0</v>
      </c>
      <c r="G96" s="224">
        <f>E!G91</f>
        <v>0.30000000000000004</v>
      </c>
      <c r="H96" s="207">
        <f>IFERROR(VLOOKUP($B$85,Tableau14582[],4,FALSE)*(1+$L$9)^$B96,0)</f>
        <v>0</v>
      </c>
      <c r="I96" s="208">
        <f>IFERROR(VLOOKUP($B$85,Tableau14582[],5,FALSE)*(1+$L$9)^$B96,0)</f>
        <v>0</v>
      </c>
      <c r="J96" s="208">
        <f>IFERROR(VLOOKUP($B$85,Tableau14582[],5,FALSE)*(1+$L$9)^$B96,0)</f>
        <v>0</v>
      </c>
      <c r="K96" s="209">
        <f>IFERROR(VLOOKUP($B$85,Tableau14582[],6,FALSE)*(1+$L$9)^$B96,0)</f>
        <v>0</v>
      </c>
      <c r="L96" s="260">
        <f t="shared" si="19"/>
        <v>0</v>
      </c>
      <c r="N96" s="71">
        <v>75</v>
      </c>
      <c r="O96" s="236"/>
      <c r="P96" s="177"/>
      <c r="Q96" s="237">
        <f t="shared" si="20"/>
        <v>272.49999999999994</v>
      </c>
      <c r="R96" s="177">
        <f t="shared" si="15"/>
        <v>21.799999999999997</v>
      </c>
      <c r="S96" s="177">
        <f>$L$11*(1+$L$9)^N96*'Récapitulatif des résultats'!$I$11</f>
        <v>0</v>
      </c>
      <c r="T96" s="238"/>
      <c r="U96" s="177"/>
      <c r="V96" s="246">
        <f t="shared" si="16"/>
        <v>0</v>
      </c>
      <c r="W96" s="185">
        <f>SUM('Pin Laricio'!AQ80*'Pin Laricio'!$F$21,'Pin Maritime'!AQ80*'Pin Maritime'!$F$21,'C'!AQ80*'C'!$F$21,D!AQ80*D!$F$21,E!AQ80*E!$F$21,F!AQ80*F!$F$21)</f>
        <v>0</v>
      </c>
      <c r="X96" s="185">
        <f>SUM('Pin Laricio'!AR80*'Pin Laricio'!$F$21,'Pin Maritime'!AR80*'Pin Maritime'!$F$21,'C'!AR80*'C'!$F$21,D!AR80*D!$F$21,E!AR80*E!$F$21,F!AR80*F!$F$21)</f>
        <v>0</v>
      </c>
      <c r="Y96" s="185">
        <f>SUM('Pin Laricio'!AS80*'Pin Laricio'!$F$21,'Pin Maritime'!AS80*'Pin Maritime'!$F$21,'C'!AS80*'C'!$F$21,D!AS80*D!$F$21,E!AS80*E!$F$21,F!AS80*F!$F$21)</f>
        <v>0</v>
      </c>
      <c r="Z96" s="328">
        <f>SUM('Pin Laricio'!AT80*'Pin Laricio'!$F$21,'Pin Maritime'!AT80*'Pin Maritime'!$F$21,'C'!AT80*'C'!$F$21,D!AT80*D!$F$21,E!AT80*E!$F$21,F!AT80*F!$F$21)</f>
        <v>0</v>
      </c>
      <c r="AA96" s="175">
        <f t="shared" si="18"/>
        <v>0</v>
      </c>
      <c r="AB96" s="176">
        <f t="shared" si="17"/>
        <v>0</v>
      </c>
      <c r="AC96" s="175"/>
      <c r="AD96" s="175"/>
    </row>
    <row r="97" spans="2:30" x14ac:dyDescent="0.3">
      <c r="B97" s="259" t="str">
        <f>E!B92</f>
        <v>-</v>
      </c>
      <c r="C97" s="222">
        <f>E!C92</f>
        <v>21</v>
      </c>
      <c r="D97" s="223">
        <f>E!D92</f>
        <v>0.8</v>
      </c>
      <c r="E97" s="218">
        <f>E!E92</f>
        <v>0</v>
      </c>
      <c r="F97" s="218">
        <f>E!F92</f>
        <v>0</v>
      </c>
      <c r="G97" s="224">
        <f>E!G92</f>
        <v>0.19999999999999996</v>
      </c>
      <c r="H97" s="207">
        <f>IFERROR(VLOOKUP($B$85,Tableau14582[],4,FALSE)*(1+$L$9)^$B97,0)</f>
        <v>0</v>
      </c>
      <c r="I97" s="208">
        <f>IFERROR(VLOOKUP($B$85,Tableau14582[],5,FALSE)*(1+$L$9)^$B97,0)</f>
        <v>0</v>
      </c>
      <c r="J97" s="208">
        <f>IFERROR(VLOOKUP($B$85,Tableau14582[],5,FALSE)*(1+$L$9)^$B97,0)</f>
        <v>0</v>
      </c>
      <c r="K97" s="209">
        <f>IFERROR(VLOOKUP($B$85,Tableau14582[],6,FALSE)*(1+$L$9)^$B97,0)</f>
        <v>0</v>
      </c>
      <c r="L97" s="260">
        <f t="shared" si="19"/>
        <v>0</v>
      </c>
      <c r="N97" s="71">
        <v>76</v>
      </c>
      <c r="O97" s="236"/>
      <c r="P97" s="177"/>
      <c r="Q97" s="237">
        <f t="shared" si="20"/>
        <v>272.49999999999994</v>
      </c>
      <c r="R97" s="177">
        <f t="shared" si="15"/>
        <v>21.799999999999997</v>
      </c>
      <c r="S97" s="177">
        <f>$L$11*(1+$L$9)^N97*'Récapitulatif des résultats'!$I$11</f>
        <v>0</v>
      </c>
      <c r="T97" s="238"/>
      <c r="U97" s="177"/>
      <c r="V97" s="246">
        <f t="shared" si="16"/>
        <v>0</v>
      </c>
      <c r="W97" s="185">
        <f>SUM('Pin Laricio'!AQ81*'Pin Laricio'!$F$21,'Pin Maritime'!AQ81*'Pin Maritime'!$F$21,'C'!AQ81*'C'!$F$21,D!AQ81*D!$F$21,E!AQ81*E!$F$21,F!AQ81*F!$F$21)</f>
        <v>0</v>
      </c>
      <c r="X97" s="185">
        <f>SUM('Pin Laricio'!AR81*'Pin Laricio'!$F$21,'Pin Maritime'!AR81*'Pin Maritime'!$F$21,'C'!AR81*'C'!$F$21,D!AR81*D!$F$21,E!AR81*E!$F$21,F!AR81*F!$F$21)</f>
        <v>0</v>
      </c>
      <c r="Y97" s="185">
        <f>SUM('Pin Laricio'!AS81*'Pin Laricio'!$F$21,'Pin Maritime'!AS81*'Pin Maritime'!$F$21,'C'!AS81*'C'!$F$21,D!AS81*D!$F$21,E!AS81*E!$F$21,F!AS81*F!$F$21)</f>
        <v>0</v>
      </c>
      <c r="Z97" s="328">
        <f>SUM('Pin Laricio'!AT81*'Pin Laricio'!$F$21,'Pin Maritime'!AT81*'Pin Maritime'!$F$21,'C'!AT81*'C'!$F$21,D!AT81*D!$F$21,E!AT81*E!$F$21,F!AT81*F!$F$21)</f>
        <v>0</v>
      </c>
      <c r="AA97" s="175">
        <f t="shared" si="18"/>
        <v>0</v>
      </c>
      <c r="AB97" s="176">
        <f t="shared" si="17"/>
        <v>0</v>
      </c>
      <c r="AC97" s="175"/>
      <c r="AD97" s="175"/>
    </row>
    <row r="98" spans="2:30" x14ac:dyDescent="0.3">
      <c r="B98" s="259" t="str">
        <f>E!B93</f>
        <v>-</v>
      </c>
      <c r="C98" s="222">
        <f>E!C93</f>
        <v>21</v>
      </c>
      <c r="D98" s="223">
        <f>E!D93</f>
        <v>0.9</v>
      </c>
      <c r="E98" s="218">
        <f>E!E93</f>
        <v>0</v>
      </c>
      <c r="F98" s="218">
        <f>E!F93</f>
        <v>0</v>
      </c>
      <c r="G98" s="224">
        <f>E!G93</f>
        <v>9.9999999999999978E-2</v>
      </c>
      <c r="H98" s="207">
        <f>IFERROR(VLOOKUP($B$85,Tableau14582[],4,FALSE)*(1+$L$9)^$B98,0)</f>
        <v>0</v>
      </c>
      <c r="I98" s="208">
        <f>IFERROR(VLOOKUP($B$85,Tableau14582[],5,FALSE)*(1+$L$9)^$B98,0)</f>
        <v>0</v>
      </c>
      <c r="J98" s="208">
        <f>IFERROR(VLOOKUP($B$85,Tableau14582[],5,FALSE)*(1+$L$9)^$B98,0)</f>
        <v>0</v>
      </c>
      <c r="K98" s="209">
        <f>IFERROR(VLOOKUP($B$85,Tableau14582[],6,FALSE)*(1+$L$9)^$B98,0)</f>
        <v>0</v>
      </c>
      <c r="L98" s="260">
        <f t="shared" si="19"/>
        <v>0</v>
      </c>
      <c r="N98" s="71">
        <v>77</v>
      </c>
      <c r="O98" s="236"/>
      <c r="P98" s="177"/>
      <c r="Q98" s="237">
        <f t="shared" si="20"/>
        <v>272.49999999999994</v>
      </c>
      <c r="R98" s="177">
        <f t="shared" si="15"/>
        <v>21.799999999999997</v>
      </c>
      <c r="S98" s="177">
        <f>$L$11*(1+$L$9)^N98*'Récapitulatif des résultats'!$I$11</f>
        <v>0</v>
      </c>
      <c r="T98" s="238"/>
      <c r="U98" s="177"/>
      <c r="V98" s="246">
        <f t="shared" si="16"/>
        <v>0</v>
      </c>
      <c r="W98" s="185">
        <f>SUM('Pin Laricio'!AQ82*'Pin Laricio'!$F$21,'Pin Maritime'!AQ82*'Pin Maritime'!$F$21,'C'!AQ82*'C'!$F$21,D!AQ82*D!$F$21,E!AQ82*E!$F$21,F!AQ82*F!$F$21)</f>
        <v>0</v>
      </c>
      <c r="X98" s="185">
        <f>SUM('Pin Laricio'!AR82*'Pin Laricio'!$F$21,'Pin Maritime'!AR82*'Pin Maritime'!$F$21,'C'!AR82*'C'!$F$21,D!AR82*D!$F$21,E!AR82*E!$F$21,F!AR82*F!$F$21)</f>
        <v>0</v>
      </c>
      <c r="Y98" s="185">
        <f>SUM('Pin Laricio'!AS82*'Pin Laricio'!$F$21,'Pin Maritime'!AS82*'Pin Maritime'!$F$21,'C'!AS82*'C'!$F$21,D!AS82*D!$F$21,E!AS82*E!$F$21,F!AS82*F!$F$21)</f>
        <v>0</v>
      </c>
      <c r="Z98" s="328">
        <f>SUM('Pin Laricio'!AT82*'Pin Laricio'!$F$21,'Pin Maritime'!AT82*'Pin Maritime'!$F$21,'C'!AT82*'C'!$F$21,D!AT82*D!$F$21,E!AT82*E!$F$21,F!AT82*F!$F$21)</f>
        <v>0</v>
      </c>
      <c r="AA98" s="175">
        <f t="shared" si="18"/>
        <v>0</v>
      </c>
      <c r="AB98" s="176">
        <f t="shared" si="17"/>
        <v>0</v>
      </c>
      <c r="AC98" s="175"/>
      <c r="AD98" s="175"/>
    </row>
    <row r="99" spans="2:30" x14ac:dyDescent="0.3">
      <c r="B99" s="261">
        <f>E!B94</f>
        <v>0</v>
      </c>
      <c r="C99" s="225">
        <f>E!C94</f>
        <v>0</v>
      </c>
      <c r="D99" s="219">
        <f>E!D94</f>
        <v>0.95</v>
      </c>
      <c r="E99" s="231">
        <f>E!E94</f>
        <v>0</v>
      </c>
      <c r="F99" s="231">
        <f>E!F94</f>
        <v>0</v>
      </c>
      <c r="G99" s="226">
        <f>E!G94</f>
        <v>5.0000000000000044E-2</v>
      </c>
      <c r="H99" s="210">
        <f>IFERROR(VLOOKUP($B$85,Tableau14582[],4,FALSE)*(1+$L$9)^$B99,0)</f>
        <v>150</v>
      </c>
      <c r="I99" s="211">
        <f>IFERROR(VLOOKUP($B$85,Tableau14582[],5,FALSE)*(1+$L$9)^$B99,0)</f>
        <v>13.75</v>
      </c>
      <c r="J99" s="211">
        <f>IFERROR(VLOOKUP($B$85,Tableau14582[],5,FALSE)*(1+$L$9)^$B99,0)</f>
        <v>13.75</v>
      </c>
      <c r="K99" s="212">
        <f>IFERROR(VLOOKUP($B$85,Tableau14582[],6,FALSE)*(1+$L$9)^$B99,0)</f>
        <v>10</v>
      </c>
      <c r="L99" s="262">
        <f t="shared" si="19"/>
        <v>0</v>
      </c>
      <c r="N99" s="71">
        <v>78</v>
      </c>
      <c r="O99" s="236"/>
      <c r="P99" s="177"/>
      <c r="Q99" s="237">
        <f t="shared" si="20"/>
        <v>272.49999999999994</v>
      </c>
      <c r="R99" s="177">
        <f t="shared" si="15"/>
        <v>21.799999999999997</v>
      </c>
      <c r="S99" s="177">
        <f>$L$11*(1+$L$9)^N99*'Récapitulatif des résultats'!$I$11</f>
        <v>0</v>
      </c>
      <c r="T99" s="238"/>
      <c r="U99" s="177"/>
      <c r="V99" s="246">
        <f t="shared" si="16"/>
        <v>0</v>
      </c>
      <c r="W99" s="185">
        <f>SUM('Pin Laricio'!AQ83*'Pin Laricio'!$F$21,'Pin Maritime'!AQ83*'Pin Maritime'!$F$21,'C'!AQ83*'C'!$F$21,D!AQ83*D!$F$21,E!AQ83*E!$F$21,F!AQ83*F!$F$21)</f>
        <v>0</v>
      </c>
      <c r="X99" s="185">
        <f>SUM('Pin Laricio'!AR83*'Pin Laricio'!$F$21,'Pin Maritime'!AR83*'Pin Maritime'!$F$21,'C'!AR83*'C'!$F$21,D!AR83*D!$F$21,E!AR83*E!$F$21,F!AR83*F!$F$21)</f>
        <v>0</v>
      </c>
      <c r="Y99" s="185">
        <f>SUM('Pin Laricio'!AS83*'Pin Laricio'!$F$21,'Pin Maritime'!AS83*'Pin Maritime'!$F$21,'C'!AS83*'C'!$F$21,D!AS83*D!$F$21,E!AS83*E!$F$21,F!AS83*F!$F$21)</f>
        <v>0</v>
      </c>
      <c r="Z99" s="328">
        <f>SUM('Pin Laricio'!AT83*'Pin Laricio'!$F$21,'Pin Maritime'!AT83*'Pin Maritime'!$F$21,'C'!AT83*'C'!$F$21,D!AT83*D!$F$21,E!AT83*E!$F$21,F!AT83*F!$F$21)</f>
        <v>0</v>
      </c>
      <c r="AA99" s="175">
        <f t="shared" si="18"/>
        <v>0</v>
      </c>
      <c r="AB99" s="176">
        <f t="shared" si="17"/>
        <v>0</v>
      </c>
      <c r="AC99" s="175"/>
      <c r="AD99" s="175"/>
    </row>
    <row r="100" spans="2:30" x14ac:dyDescent="0.3">
      <c r="B100" s="263"/>
      <c r="C100" s="264"/>
      <c r="D100" s="264"/>
      <c r="E100" s="264"/>
      <c r="F100" s="264"/>
      <c r="G100" s="264"/>
      <c r="H100" s="264"/>
      <c r="I100" s="264"/>
      <c r="J100" s="264"/>
      <c r="K100" s="264"/>
      <c r="L100" s="265"/>
      <c r="N100" s="71">
        <v>79</v>
      </c>
      <c r="O100" s="236"/>
      <c r="P100" s="177"/>
      <c r="Q100" s="237">
        <f t="shared" si="20"/>
        <v>272.49999999999994</v>
      </c>
      <c r="R100" s="177">
        <f t="shared" si="15"/>
        <v>21.799999999999997</v>
      </c>
      <c r="S100" s="177">
        <f>$L$11*(1+$L$9)^N100*'Récapitulatif des résultats'!$I$11</f>
        <v>0</v>
      </c>
      <c r="T100" s="238"/>
      <c r="U100" s="177"/>
      <c r="V100" s="246">
        <f t="shared" si="16"/>
        <v>0</v>
      </c>
      <c r="W100" s="185">
        <f>SUM('Pin Laricio'!AQ84*'Pin Laricio'!$F$21,'Pin Maritime'!AQ84*'Pin Maritime'!$F$21,'C'!AQ84*'C'!$F$21,D!AQ84*D!$F$21,E!AQ84*E!$F$21,F!AQ84*F!$F$21)</f>
        <v>0</v>
      </c>
      <c r="X100" s="185">
        <f>SUM('Pin Laricio'!AR84*'Pin Laricio'!$F$21,'Pin Maritime'!AR84*'Pin Maritime'!$F$21,'C'!AR84*'C'!$F$21,D!AR84*D!$F$21,E!AR84*E!$F$21,F!AR84*F!$F$21)</f>
        <v>0</v>
      </c>
      <c r="Y100" s="185">
        <f>SUM('Pin Laricio'!AS84*'Pin Laricio'!$F$21,'Pin Maritime'!AS84*'Pin Maritime'!$F$21,'C'!AS84*'C'!$F$21,D!AS84*D!$F$21,E!AS84*E!$F$21,F!AS84*F!$F$21)</f>
        <v>0</v>
      </c>
      <c r="Z100" s="328">
        <f>SUM('Pin Laricio'!AT84*'Pin Laricio'!$F$21,'Pin Maritime'!AT84*'Pin Maritime'!$F$21,'C'!AT84*'C'!$F$21,D!AT84*D!$F$21,E!AT84*E!$F$21,F!AT84*F!$F$21)</f>
        <v>0</v>
      </c>
      <c r="AA100" s="175">
        <f t="shared" si="18"/>
        <v>0</v>
      </c>
      <c r="AB100" s="176">
        <f t="shared" si="17"/>
        <v>0</v>
      </c>
      <c r="AC100" s="175"/>
      <c r="AD100" s="175"/>
    </row>
    <row r="101" spans="2:30" x14ac:dyDescent="0.3">
      <c r="B101" s="409">
        <f>F!F17</f>
        <v>0</v>
      </c>
      <c r="C101" s="410">
        <f>F!C80</f>
        <v>0</v>
      </c>
      <c r="D101" s="410">
        <f>F!D80</f>
        <v>0</v>
      </c>
      <c r="E101" s="410">
        <f>F!E80</f>
        <v>0</v>
      </c>
      <c r="F101" s="410">
        <f>F!F80</f>
        <v>0</v>
      </c>
      <c r="G101" s="411">
        <f>F!G80</f>
        <v>0</v>
      </c>
      <c r="H101" s="395" t="s">
        <v>248</v>
      </c>
      <c r="I101" s="396"/>
      <c r="J101" s="396"/>
      <c r="K101" s="397"/>
      <c r="L101" s="254">
        <f>AD5</f>
        <v>0</v>
      </c>
      <c r="N101" s="71">
        <v>80</v>
      </c>
      <c r="O101" s="236"/>
      <c r="P101" s="177"/>
      <c r="Q101" s="237">
        <f t="shared" si="20"/>
        <v>272.49999999999994</v>
      </c>
      <c r="R101" s="177">
        <f t="shared" si="15"/>
        <v>21.799999999999997</v>
      </c>
      <c r="S101" s="177">
        <f>$L$11*(1+$L$9)^N101*'Récapitulatif des résultats'!$I$11</f>
        <v>0</v>
      </c>
      <c r="T101" s="238"/>
      <c r="U101" s="177"/>
      <c r="V101" s="246">
        <f t="shared" si="16"/>
        <v>0</v>
      </c>
      <c r="W101" s="185">
        <f>SUM('Pin Laricio'!AQ85*'Pin Laricio'!$F$21,'Pin Maritime'!AQ85*'Pin Maritime'!$F$21,'C'!AQ85*'C'!$F$21,D!AQ85*D!$F$21,E!AQ85*E!$F$21,F!AQ85*F!$F$21)</f>
        <v>0</v>
      </c>
      <c r="X101" s="185">
        <f>SUM('Pin Laricio'!AR85*'Pin Laricio'!$F$21,'Pin Maritime'!AR85*'Pin Maritime'!$F$21,'C'!AR85*'C'!$F$21,D!AR85*D!$F$21,E!AR85*E!$F$21,F!AR85*F!$F$21)</f>
        <v>0</v>
      </c>
      <c r="Y101" s="185">
        <f>SUM('Pin Laricio'!AS85*'Pin Laricio'!$F$21,'Pin Maritime'!AS85*'Pin Maritime'!$F$21,'C'!AS85*'C'!$F$21,D!AS85*D!$F$21,E!AS85*E!$F$21,F!AS85*F!$F$21)</f>
        <v>0</v>
      </c>
      <c r="Z101" s="328">
        <f>SUM('Pin Laricio'!AT85*'Pin Laricio'!$F$21,'Pin Maritime'!AT85*'Pin Maritime'!$F$21,'C'!AT85*'C'!$F$21,D!AT85*D!$F$21,E!AT85*E!$F$21,F!AT85*F!$F$21)</f>
        <v>0</v>
      </c>
      <c r="AA101" s="175">
        <f t="shared" si="18"/>
        <v>0</v>
      </c>
      <c r="AB101" s="176">
        <f t="shared" si="17"/>
        <v>0</v>
      </c>
      <c r="AC101" s="175"/>
      <c r="AD101" s="175"/>
    </row>
    <row r="102" spans="2:30" x14ac:dyDescent="0.3">
      <c r="B102" s="266" t="str">
        <f>F!B81</f>
        <v>Année</v>
      </c>
      <c r="C102" s="227" t="str">
        <f>F!C81</f>
        <v>Volume d'éclaircie</v>
      </c>
      <c r="D102" s="214" t="str">
        <f>F!D81</f>
        <v>BO</v>
      </c>
      <c r="E102" s="214" t="str">
        <f>F!E81</f>
        <v>BI - panneaux</v>
      </c>
      <c r="F102" s="214" t="str">
        <f>F!F81</f>
        <v>BI - papier</v>
      </c>
      <c r="G102" s="215" t="str">
        <f>F!G81</f>
        <v>BE</v>
      </c>
      <c r="H102" s="213" t="s">
        <v>78</v>
      </c>
      <c r="I102" s="214" t="s">
        <v>81</v>
      </c>
      <c r="J102" s="214" t="s">
        <v>80</v>
      </c>
      <c r="K102" s="215" t="s">
        <v>79</v>
      </c>
      <c r="L102" s="256" t="s">
        <v>252</v>
      </c>
      <c r="N102" s="71">
        <v>81</v>
      </c>
      <c r="O102" s="236"/>
      <c r="P102" s="177"/>
      <c r="Q102" s="237">
        <f t="shared" si="20"/>
        <v>272.49999999999994</v>
      </c>
      <c r="R102" s="177">
        <f t="shared" si="15"/>
        <v>21.799999999999997</v>
      </c>
      <c r="S102" s="177">
        <f>$L$11*(1+$L$9)^N102*'Récapitulatif des résultats'!$I$11</f>
        <v>0</v>
      </c>
      <c r="T102" s="238"/>
      <c r="U102" s="177"/>
      <c r="V102" s="246">
        <f t="shared" si="16"/>
        <v>0</v>
      </c>
      <c r="W102" s="185">
        <f>SUM('Pin Laricio'!AQ86*'Pin Laricio'!$F$21,'Pin Maritime'!AQ86*'Pin Maritime'!$F$21,'C'!AQ86*'C'!$F$21,D!AQ86*D!$F$21,E!AQ86*E!$F$21,F!AQ86*F!$F$21)</f>
        <v>0</v>
      </c>
      <c r="X102" s="185">
        <f>SUM('Pin Laricio'!AR86*'Pin Laricio'!$F$21,'Pin Maritime'!AR86*'Pin Maritime'!$F$21,'C'!AR86*'C'!$F$21,D!AR86*D!$F$21,E!AR86*E!$F$21,F!AR86*F!$F$21)</f>
        <v>0</v>
      </c>
      <c r="Y102" s="185">
        <f>SUM('Pin Laricio'!AS86*'Pin Laricio'!$F$21,'Pin Maritime'!AS86*'Pin Maritime'!$F$21,'C'!AS86*'C'!$F$21,D!AS86*D!$F$21,E!AS86*E!$F$21,F!AS86*F!$F$21)</f>
        <v>0</v>
      </c>
      <c r="Z102" s="328">
        <f>SUM('Pin Laricio'!AT86*'Pin Laricio'!$F$21,'Pin Maritime'!AT86*'Pin Maritime'!$F$21,'C'!AT86*'C'!$F$21,D!AT86*D!$F$21,E!AT86*E!$F$21,F!AT86*F!$F$21)</f>
        <v>0</v>
      </c>
      <c r="AA102" s="175">
        <f t="shared" si="18"/>
        <v>0</v>
      </c>
      <c r="AB102" s="176">
        <f t="shared" si="17"/>
        <v>0</v>
      </c>
      <c r="AC102" s="175"/>
      <c r="AD102" s="175"/>
    </row>
    <row r="103" spans="2:30" x14ac:dyDescent="0.3">
      <c r="B103" s="267" t="str">
        <f>F!B82</f>
        <v>-</v>
      </c>
      <c r="C103" s="220">
        <f>F!C82</f>
        <v>0</v>
      </c>
      <c r="D103" s="217">
        <f>F!D82</f>
        <v>0</v>
      </c>
      <c r="E103" s="217">
        <f>F!E82</f>
        <v>0</v>
      </c>
      <c r="F103" s="217">
        <f>F!F82</f>
        <v>0</v>
      </c>
      <c r="G103" s="221">
        <f>F!G82</f>
        <v>1</v>
      </c>
      <c r="H103" s="207">
        <f>IFERROR(VLOOKUP($B$101,Tableau14582[],4,FALSE)*(1+$L$9)^$B103,0)</f>
        <v>0</v>
      </c>
      <c r="I103" s="208">
        <f>IFERROR(VLOOKUP($B$101,Tableau14582[],5,FALSE)*(1+$L$9)^$B103,0)</f>
        <v>0</v>
      </c>
      <c r="J103" s="208">
        <f>IFERROR(VLOOKUP($B$101,Tableau14582[],5,FALSE)*(1+$L$9)^$B103,0)</f>
        <v>0</v>
      </c>
      <c r="K103" s="209">
        <f>IFERROR(VLOOKUP($B$101,Tableau14582[],6,FALSE)*(1+$L$9)^$B103,0)</f>
        <v>0</v>
      </c>
      <c r="L103" s="258">
        <f>(C103*D103*H103+C103*E103*I103+C103*F103*J103+C103*G103*K103)*L$101</f>
        <v>0</v>
      </c>
      <c r="N103" s="71">
        <v>82</v>
      </c>
      <c r="O103" s="236"/>
      <c r="P103" s="177"/>
      <c r="Q103" s="237">
        <f t="shared" si="20"/>
        <v>272.49999999999994</v>
      </c>
      <c r="R103" s="177">
        <f t="shared" si="15"/>
        <v>21.799999999999997</v>
      </c>
      <c r="S103" s="177">
        <f>$L$11*(1+$L$9)^N103*'Récapitulatif des résultats'!$I$11</f>
        <v>0</v>
      </c>
      <c r="T103" s="238"/>
      <c r="U103" s="177"/>
      <c r="V103" s="246">
        <f t="shared" si="16"/>
        <v>0</v>
      </c>
      <c r="W103" s="185">
        <f>SUM('Pin Laricio'!AQ87*'Pin Laricio'!$F$21,'Pin Maritime'!AQ87*'Pin Maritime'!$F$21,'C'!AQ87*'C'!$F$21,D!AQ87*D!$F$21,E!AQ87*E!$F$21,F!AQ87*F!$F$21)</f>
        <v>0</v>
      </c>
      <c r="X103" s="185">
        <f>SUM('Pin Laricio'!AR87*'Pin Laricio'!$F$21,'Pin Maritime'!AR87*'Pin Maritime'!$F$21,'C'!AR87*'C'!$F$21,D!AR87*D!$F$21,E!AR87*E!$F$21,F!AR87*F!$F$21)</f>
        <v>0</v>
      </c>
      <c r="Y103" s="185">
        <f>SUM('Pin Laricio'!AS87*'Pin Laricio'!$F$21,'Pin Maritime'!AS87*'Pin Maritime'!$F$21,'C'!AS87*'C'!$F$21,D!AS87*D!$F$21,E!AS87*E!$F$21,F!AS87*F!$F$21)</f>
        <v>0</v>
      </c>
      <c r="Z103" s="328">
        <f>SUM('Pin Laricio'!AT87*'Pin Laricio'!$F$21,'Pin Maritime'!AT87*'Pin Maritime'!$F$21,'C'!AT87*'C'!$F$21,D!AT87*D!$F$21,E!AT87*E!$F$21,F!AT87*F!$F$21)</f>
        <v>0</v>
      </c>
      <c r="AA103" s="175">
        <f t="shared" si="18"/>
        <v>0</v>
      </c>
      <c r="AB103" s="176">
        <f t="shared" si="17"/>
        <v>0</v>
      </c>
      <c r="AC103" s="175"/>
      <c r="AD103" s="175"/>
    </row>
    <row r="104" spans="2:30" x14ac:dyDescent="0.3">
      <c r="B104" s="268" t="str">
        <f>F!B83</f>
        <v>-</v>
      </c>
      <c r="C104" s="222">
        <f>F!C83</f>
        <v>0</v>
      </c>
      <c r="D104" s="223">
        <f>F!D83</f>
        <v>0</v>
      </c>
      <c r="E104" s="218">
        <f>F!E83</f>
        <v>0</v>
      </c>
      <c r="F104" s="218">
        <f>F!F83</f>
        <v>0</v>
      </c>
      <c r="G104" s="224">
        <f>F!G83</f>
        <v>1</v>
      </c>
      <c r="H104" s="207">
        <f>IFERROR(VLOOKUP($B$101,Tableau14582[],4,FALSE)*(1+$L$9)^$B104,0)</f>
        <v>0</v>
      </c>
      <c r="I104" s="208">
        <f>IFERROR(VLOOKUP($B$101,Tableau14582[],5,FALSE)*(1+$L$9)^$B104,0)</f>
        <v>0</v>
      </c>
      <c r="J104" s="208">
        <f>IFERROR(VLOOKUP($B$101,Tableau14582[],5,FALSE)*(1+$L$9)^$B104,0)</f>
        <v>0</v>
      </c>
      <c r="K104" s="209">
        <f>IFERROR(VLOOKUP($B$101,Tableau14582[],6,FALSE)*(1+$L$9)^$B104,0)</f>
        <v>0</v>
      </c>
      <c r="L104" s="260">
        <f t="shared" ref="L104:L115" si="21">(C104*D104*H104+C104*E104*I104+C104*F104*J104+C104*G104*K104)*L$101</f>
        <v>0</v>
      </c>
      <c r="N104" s="71">
        <v>83</v>
      </c>
      <c r="O104" s="236"/>
      <c r="P104" s="177"/>
      <c r="Q104" s="237">
        <f t="shared" si="20"/>
        <v>272.49999999999994</v>
      </c>
      <c r="R104" s="177">
        <f t="shared" si="15"/>
        <v>21.799999999999997</v>
      </c>
      <c r="S104" s="177">
        <f>$L$11*(1+$L$9)^N104*'Récapitulatif des résultats'!$I$11</f>
        <v>0</v>
      </c>
      <c r="T104" s="238"/>
      <c r="U104" s="177"/>
      <c r="V104" s="246">
        <f t="shared" si="16"/>
        <v>0</v>
      </c>
      <c r="W104" s="185">
        <f>SUM('Pin Laricio'!AQ88*'Pin Laricio'!$F$21,'Pin Maritime'!AQ88*'Pin Maritime'!$F$21,'C'!AQ88*'C'!$F$21,D!AQ88*D!$F$21,E!AQ88*E!$F$21,F!AQ88*F!$F$21)</f>
        <v>0</v>
      </c>
      <c r="X104" s="185">
        <f>SUM('Pin Laricio'!AR88*'Pin Laricio'!$F$21,'Pin Maritime'!AR88*'Pin Maritime'!$F$21,'C'!AR88*'C'!$F$21,D!AR88*D!$F$21,E!AR88*E!$F$21,F!AR88*F!$F$21)</f>
        <v>0</v>
      </c>
      <c r="Y104" s="185">
        <f>SUM('Pin Laricio'!AS88*'Pin Laricio'!$F$21,'Pin Maritime'!AS88*'Pin Maritime'!$F$21,'C'!AS88*'C'!$F$21,D!AS88*D!$F$21,E!AS88*E!$F$21,F!AS88*F!$F$21)</f>
        <v>0</v>
      </c>
      <c r="Z104" s="328">
        <f>SUM('Pin Laricio'!AT88*'Pin Laricio'!$F$21,'Pin Maritime'!AT88*'Pin Maritime'!$F$21,'C'!AT88*'C'!$F$21,D!AT88*D!$F$21,E!AT88*E!$F$21,F!AT88*F!$F$21)</f>
        <v>0</v>
      </c>
      <c r="AA104" s="175">
        <f t="shared" si="18"/>
        <v>0</v>
      </c>
      <c r="AB104" s="176">
        <f t="shared" si="17"/>
        <v>0</v>
      </c>
      <c r="AC104" s="175"/>
      <c r="AD104" s="175"/>
    </row>
    <row r="105" spans="2:30" x14ac:dyDescent="0.3">
      <c r="B105" s="268" t="str">
        <f>F!B84</f>
        <v>-</v>
      </c>
      <c r="C105" s="222">
        <f>F!C84</f>
        <v>26</v>
      </c>
      <c r="D105" s="223">
        <f>F!D84</f>
        <v>0</v>
      </c>
      <c r="E105" s="218">
        <f>F!E84</f>
        <v>0</v>
      </c>
      <c r="F105" s="218">
        <f>F!F84</f>
        <v>0</v>
      </c>
      <c r="G105" s="224">
        <f>F!G84</f>
        <v>1</v>
      </c>
      <c r="H105" s="207">
        <f>IFERROR(VLOOKUP($B$101,Tableau14582[],4,FALSE)*(1+$L$9)^$B105,0)</f>
        <v>0</v>
      </c>
      <c r="I105" s="208">
        <f>IFERROR(VLOOKUP($B$101,Tableau14582[],5,FALSE)*(1+$L$9)^$B105,0)</f>
        <v>0</v>
      </c>
      <c r="J105" s="208">
        <f>IFERROR(VLOOKUP($B$101,Tableau14582[],5,FALSE)*(1+$L$9)^$B105,0)</f>
        <v>0</v>
      </c>
      <c r="K105" s="209">
        <f>IFERROR(VLOOKUP($B$101,Tableau14582[],6,FALSE)*(1+$L$9)^$B105,0)</f>
        <v>0</v>
      </c>
      <c r="L105" s="260">
        <f t="shared" si="21"/>
        <v>0</v>
      </c>
      <c r="N105" s="71">
        <v>84</v>
      </c>
      <c r="O105" s="236"/>
      <c r="P105" s="177"/>
      <c r="Q105" s="237">
        <f t="shared" si="20"/>
        <v>272.49999999999994</v>
      </c>
      <c r="R105" s="177">
        <f t="shared" si="15"/>
        <v>21.799999999999997</v>
      </c>
      <c r="S105" s="177">
        <f>$L$11*(1+$L$9)^N105*'Récapitulatif des résultats'!$I$11</f>
        <v>0</v>
      </c>
      <c r="T105" s="238"/>
      <c r="U105" s="177"/>
      <c r="V105" s="246">
        <f t="shared" si="16"/>
        <v>0</v>
      </c>
      <c r="W105" s="185">
        <f>SUM('Pin Laricio'!AQ89*'Pin Laricio'!$F$21,'Pin Maritime'!AQ89*'Pin Maritime'!$F$21,'C'!AQ89*'C'!$F$21,D!AQ89*D!$F$21,E!AQ89*E!$F$21,F!AQ89*F!$F$21)</f>
        <v>0</v>
      </c>
      <c r="X105" s="185">
        <f>SUM('Pin Laricio'!AR89*'Pin Laricio'!$F$21,'Pin Maritime'!AR89*'Pin Maritime'!$F$21,'C'!AR89*'C'!$F$21,D!AR89*D!$F$21,E!AR89*E!$F$21,F!AR89*F!$F$21)</f>
        <v>0</v>
      </c>
      <c r="Y105" s="185">
        <f>SUM('Pin Laricio'!AS89*'Pin Laricio'!$F$21,'Pin Maritime'!AS89*'Pin Maritime'!$F$21,'C'!AS89*'C'!$F$21,D!AS89*D!$F$21,E!AS89*E!$F$21,F!AS89*F!$F$21)</f>
        <v>0</v>
      </c>
      <c r="Z105" s="328">
        <f>SUM('Pin Laricio'!AT89*'Pin Laricio'!$F$21,'Pin Maritime'!AT89*'Pin Maritime'!$F$21,'C'!AT89*'C'!$F$21,D!AT89*D!$F$21,E!AT89*E!$F$21,F!AT89*F!$F$21)</f>
        <v>0</v>
      </c>
      <c r="AA105" s="175">
        <f t="shared" si="18"/>
        <v>0</v>
      </c>
      <c r="AB105" s="176">
        <f t="shared" si="17"/>
        <v>0</v>
      </c>
      <c r="AC105" s="175"/>
      <c r="AD105" s="175"/>
    </row>
    <row r="106" spans="2:30" x14ac:dyDescent="0.3">
      <c r="B106" s="268" t="str">
        <f>F!B85</f>
        <v>-</v>
      </c>
      <c r="C106" s="222">
        <f>F!C85</f>
        <v>23.400000000000006</v>
      </c>
      <c r="D106" s="223">
        <f>F!D85</f>
        <v>0</v>
      </c>
      <c r="E106" s="218">
        <f>F!E85</f>
        <v>0</v>
      </c>
      <c r="F106" s="218">
        <f>F!F85</f>
        <v>0</v>
      </c>
      <c r="G106" s="224">
        <f>F!G85</f>
        <v>1</v>
      </c>
      <c r="H106" s="207">
        <f>IFERROR(VLOOKUP($B$101,Tableau14582[],4,FALSE)*(1+$L$9)^$B106,0)</f>
        <v>0</v>
      </c>
      <c r="I106" s="208">
        <f>IFERROR(VLOOKUP($B$101,Tableau14582[],5,FALSE)*(1+$L$9)^$B106,0)</f>
        <v>0</v>
      </c>
      <c r="J106" s="208">
        <f>IFERROR(VLOOKUP($B$101,Tableau14582[],5,FALSE)*(1+$L$9)^$B106,0)</f>
        <v>0</v>
      </c>
      <c r="K106" s="209">
        <f>IFERROR(VLOOKUP($B$101,Tableau14582[],6,FALSE)*(1+$L$9)^$B106,0)</f>
        <v>0</v>
      </c>
      <c r="L106" s="260">
        <f t="shared" si="21"/>
        <v>0</v>
      </c>
      <c r="N106" s="71">
        <v>85</v>
      </c>
      <c r="O106" s="236"/>
      <c r="P106" s="177"/>
      <c r="Q106" s="237">
        <f t="shared" si="20"/>
        <v>272.49999999999994</v>
      </c>
      <c r="R106" s="177">
        <f t="shared" si="15"/>
        <v>21.799999999999997</v>
      </c>
      <c r="S106" s="177">
        <f>$L$11*(1+$L$9)^N106*'Récapitulatif des résultats'!$I$11</f>
        <v>0</v>
      </c>
      <c r="T106" s="238"/>
      <c r="U106" s="177"/>
      <c r="V106" s="246">
        <f t="shared" si="16"/>
        <v>0</v>
      </c>
      <c r="W106" s="185">
        <f>SUM('Pin Laricio'!AQ90*'Pin Laricio'!$F$21,'Pin Maritime'!AQ90*'Pin Maritime'!$F$21,'C'!AQ90*'C'!$F$21,D!AQ90*D!$F$21,E!AQ90*E!$F$21,F!AQ90*F!$F$21)</f>
        <v>0</v>
      </c>
      <c r="X106" s="185">
        <f>SUM('Pin Laricio'!AR90*'Pin Laricio'!$F$21,'Pin Maritime'!AR90*'Pin Maritime'!$F$21,'C'!AR90*'C'!$F$21,D!AR90*D!$F$21,E!AR90*E!$F$21,F!AR90*F!$F$21)</f>
        <v>0</v>
      </c>
      <c r="Y106" s="185">
        <f>SUM('Pin Laricio'!AS90*'Pin Laricio'!$F$21,'Pin Maritime'!AS90*'Pin Maritime'!$F$21,'C'!AS90*'C'!$F$21,D!AS90*D!$F$21,E!AS90*E!$F$21,F!AS90*F!$F$21)</f>
        <v>0</v>
      </c>
      <c r="Z106" s="328">
        <f>SUM('Pin Laricio'!AT90*'Pin Laricio'!$F$21,'Pin Maritime'!AT90*'Pin Maritime'!$F$21,'C'!AT90*'C'!$F$21,D!AT90*D!$F$21,E!AT90*E!$F$21,F!AT90*F!$F$21)</f>
        <v>0</v>
      </c>
      <c r="AA106" s="175">
        <f t="shared" si="18"/>
        <v>0</v>
      </c>
      <c r="AB106" s="176">
        <f t="shared" si="17"/>
        <v>0</v>
      </c>
      <c r="AC106" s="175"/>
      <c r="AD106" s="175"/>
    </row>
    <row r="107" spans="2:30" x14ac:dyDescent="0.3">
      <c r="B107" s="268" t="str">
        <f>F!B86</f>
        <v>-</v>
      </c>
      <c r="C107" s="222">
        <f>F!C86</f>
        <v>20.400000000000006</v>
      </c>
      <c r="D107" s="223">
        <f>F!D86</f>
        <v>0</v>
      </c>
      <c r="E107" s="218">
        <f>F!E86</f>
        <v>0</v>
      </c>
      <c r="F107" s="218">
        <f>F!F86</f>
        <v>0</v>
      </c>
      <c r="G107" s="224">
        <f>F!G86</f>
        <v>1</v>
      </c>
      <c r="H107" s="207">
        <f>IFERROR(VLOOKUP($B$101,Tableau14582[],4,FALSE)*(1+$L$9)^$B107,0)</f>
        <v>0</v>
      </c>
      <c r="I107" s="208">
        <f>IFERROR(VLOOKUP($B$101,Tableau14582[],5,FALSE)*(1+$L$9)^$B107,0)</f>
        <v>0</v>
      </c>
      <c r="J107" s="208">
        <f>IFERROR(VLOOKUP($B$101,Tableau14582[],5,FALSE)*(1+$L$9)^$B107,0)</f>
        <v>0</v>
      </c>
      <c r="K107" s="209">
        <f>IFERROR(VLOOKUP($B$101,Tableau14582[],6,FALSE)*(1+$L$9)^$B107,0)</f>
        <v>0</v>
      </c>
      <c r="L107" s="260">
        <f t="shared" si="21"/>
        <v>0</v>
      </c>
      <c r="N107" s="71">
        <v>86</v>
      </c>
      <c r="O107" s="236"/>
      <c r="P107" s="177"/>
      <c r="Q107" s="237">
        <f t="shared" si="20"/>
        <v>272.49999999999994</v>
      </c>
      <c r="R107" s="177">
        <f t="shared" si="15"/>
        <v>21.799999999999997</v>
      </c>
      <c r="S107" s="177">
        <f>$L$11*(1+$L$9)^N107*'Récapitulatif des résultats'!$I$11</f>
        <v>0</v>
      </c>
      <c r="T107" s="238"/>
      <c r="U107" s="177"/>
      <c r="V107" s="246">
        <f t="shared" si="16"/>
        <v>0</v>
      </c>
      <c r="W107" s="185">
        <f>SUM('Pin Laricio'!AQ91*'Pin Laricio'!$F$21,'Pin Maritime'!AQ91*'Pin Maritime'!$F$21,'C'!AQ91*'C'!$F$21,D!AQ91*D!$F$21,E!AQ91*E!$F$21,F!AQ91*F!$F$21)</f>
        <v>0</v>
      </c>
      <c r="X107" s="185">
        <f>SUM('Pin Laricio'!AR91*'Pin Laricio'!$F$21,'Pin Maritime'!AR91*'Pin Maritime'!$F$21,'C'!AR91*'C'!$F$21,D!AR91*D!$F$21,E!AR91*E!$F$21,F!AR91*F!$F$21)</f>
        <v>0</v>
      </c>
      <c r="Y107" s="185">
        <f>SUM('Pin Laricio'!AS91*'Pin Laricio'!$F$21,'Pin Maritime'!AS91*'Pin Maritime'!$F$21,'C'!AS91*'C'!$F$21,D!AS91*D!$F$21,E!AS91*E!$F$21,F!AS91*F!$F$21)</f>
        <v>0</v>
      </c>
      <c r="Z107" s="328">
        <f>SUM('Pin Laricio'!AT91*'Pin Laricio'!$F$21,'Pin Maritime'!AT91*'Pin Maritime'!$F$21,'C'!AT91*'C'!$F$21,D!AT91*D!$F$21,E!AT91*E!$F$21,F!AT91*F!$F$21)</f>
        <v>0</v>
      </c>
      <c r="AA107" s="175">
        <f t="shared" si="18"/>
        <v>0</v>
      </c>
      <c r="AB107" s="176">
        <f t="shared" si="17"/>
        <v>0</v>
      </c>
      <c r="AC107" s="175"/>
      <c r="AD107" s="175"/>
    </row>
    <row r="108" spans="2:30" x14ac:dyDescent="0.3">
      <c r="B108" s="268" t="str">
        <f>F!B87</f>
        <v>-</v>
      </c>
      <c r="C108" s="222">
        <f>F!C87</f>
        <v>18.199999999999989</v>
      </c>
      <c r="D108" s="223">
        <f>F!D87</f>
        <v>0.2</v>
      </c>
      <c r="E108" s="218">
        <f>F!E87</f>
        <v>0</v>
      </c>
      <c r="F108" s="218">
        <f>F!F87</f>
        <v>0</v>
      </c>
      <c r="G108" s="224">
        <f>F!G87</f>
        <v>0.8</v>
      </c>
      <c r="H108" s="207">
        <f>IFERROR(VLOOKUP($B$101,Tableau14582[],4,FALSE)*(1+$L$9)^$B108,0)</f>
        <v>0</v>
      </c>
      <c r="I108" s="208">
        <f>IFERROR(VLOOKUP($B$101,Tableau14582[],5,FALSE)*(1+$L$9)^$B108,0)</f>
        <v>0</v>
      </c>
      <c r="J108" s="208">
        <f>IFERROR(VLOOKUP($B$101,Tableau14582[],5,FALSE)*(1+$L$9)^$B108,0)</f>
        <v>0</v>
      </c>
      <c r="K108" s="209">
        <f>IFERROR(VLOOKUP($B$101,Tableau14582[],6,FALSE)*(1+$L$9)^$B108,0)</f>
        <v>0</v>
      </c>
      <c r="L108" s="260">
        <f t="shared" si="21"/>
        <v>0</v>
      </c>
      <c r="N108" s="71">
        <v>87</v>
      </c>
      <c r="O108" s="236"/>
      <c r="P108" s="177"/>
      <c r="Q108" s="237">
        <f t="shared" si="20"/>
        <v>272.49999999999994</v>
      </c>
      <c r="R108" s="177">
        <f t="shared" si="15"/>
        <v>21.799999999999997</v>
      </c>
      <c r="S108" s="177">
        <f>$L$11*(1+$L$9)^N108*'Récapitulatif des résultats'!$I$11</f>
        <v>0</v>
      </c>
      <c r="T108" s="238"/>
      <c r="U108" s="177"/>
      <c r="V108" s="246">
        <f t="shared" si="16"/>
        <v>0</v>
      </c>
      <c r="W108" s="185">
        <f>SUM('Pin Laricio'!AQ92*'Pin Laricio'!$F$21,'Pin Maritime'!AQ92*'Pin Maritime'!$F$21,'C'!AQ92*'C'!$F$21,D!AQ92*D!$F$21,E!AQ92*E!$F$21,F!AQ92*F!$F$21)</f>
        <v>0</v>
      </c>
      <c r="X108" s="185">
        <f>SUM('Pin Laricio'!AR92*'Pin Laricio'!$F$21,'Pin Maritime'!AR92*'Pin Maritime'!$F$21,'C'!AR92*'C'!$F$21,D!AR92*D!$F$21,E!AR92*E!$F$21,F!AR92*F!$F$21)</f>
        <v>0</v>
      </c>
      <c r="Y108" s="185">
        <f>SUM('Pin Laricio'!AS92*'Pin Laricio'!$F$21,'Pin Maritime'!AS92*'Pin Maritime'!$F$21,'C'!AS92*'C'!$F$21,D!AS92*D!$F$21,E!AS92*E!$F$21,F!AS92*F!$F$21)</f>
        <v>0</v>
      </c>
      <c r="Z108" s="328">
        <f>SUM('Pin Laricio'!AT92*'Pin Laricio'!$F$21,'Pin Maritime'!AT92*'Pin Maritime'!$F$21,'C'!AT92*'C'!$F$21,D!AT92*D!$F$21,E!AT92*E!$F$21,F!AT92*F!$F$21)</f>
        <v>0</v>
      </c>
      <c r="AA108" s="175">
        <f t="shared" si="18"/>
        <v>0</v>
      </c>
      <c r="AB108" s="176">
        <f t="shared" si="17"/>
        <v>0</v>
      </c>
      <c r="AC108" s="175"/>
      <c r="AD108" s="175"/>
    </row>
    <row r="109" spans="2:30" x14ac:dyDescent="0.3">
      <c r="B109" s="268" t="str">
        <f>F!B88</f>
        <v>-</v>
      </c>
      <c r="C109" s="222">
        <f>F!C88</f>
        <v>16.100000000000023</v>
      </c>
      <c r="D109" s="223">
        <f>F!D88</f>
        <v>0.3</v>
      </c>
      <c r="E109" s="218">
        <f>F!E88</f>
        <v>0</v>
      </c>
      <c r="F109" s="218">
        <f>F!F88</f>
        <v>0</v>
      </c>
      <c r="G109" s="224">
        <f>F!G88</f>
        <v>0.7</v>
      </c>
      <c r="H109" s="207">
        <f>IFERROR(VLOOKUP($B$101,Tableau14582[],4,FALSE)*(1+$L$9)^$B109,0)</f>
        <v>0</v>
      </c>
      <c r="I109" s="208">
        <f>IFERROR(VLOOKUP($B$101,Tableau14582[],5,FALSE)*(1+$L$9)^$B109,0)</f>
        <v>0</v>
      </c>
      <c r="J109" s="208">
        <f>IFERROR(VLOOKUP($B$101,Tableau14582[],5,FALSE)*(1+$L$9)^$B109,0)</f>
        <v>0</v>
      </c>
      <c r="K109" s="209">
        <f>IFERROR(VLOOKUP($B$101,Tableau14582[],6,FALSE)*(1+$L$9)^$B109,0)</f>
        <v>0</v>
      </c>
      <c r="L109" s="260">
        <f t="shared" si="21"/>
        <v>0</v>
      </c>
      <c r="N109" s="71">
        <v>88</v>
      </c>
      <c r="O109" s="236"/>
      <c r="P109" s="177"/>
      <c r="Q109" s="237">
        <f t="shared" si="20"/>
        <v>272.49999999999994</v>
      </c>
      <c r="R109" s="177">
        <f t="shared" si="15"/>
        <v>21.799999999999997</v>
      </c>
      <c r="S109" s="177">
        <f>$L$11*(1+$L$9)^N109*'Récapitulatif des résultats'!$I$11</f>
        <v>0</v>
      </c>
      <c r="T109" s="238"/>
      <c r="U109" s="177"/>
      <c r="V109" s="246">
        <f t="shared" si="16"/>
        <v>0</v>
      </c>
      <c r="W109" s="185">
        <f>SUM('Pin Laricio'!AQ93*'Pin Laricio'!$F$21,'Pin Maritime'!AQ93*'Pin Maritime'!$F$21,'C'!AQ93*'C'!$F$21,D!AQ93*D!$F$21,E!AQ93*E!$F$21,F!AQ93*F!$F$21)</f>
        <v>0</v>
      </c>
      <c r="X109" s="185">
        <f>SUM('Pin Laricio'!AR93*'Pin Laricio'!$F$21,'Pin Maritime'!AR93*'Pin Maritime'!$F$21,'C'!AR93*'C'!$F$21,D!AR93*D!$F$21,E!AR93*E!$F$21,F!AR93*F!$F$21)</f>
        <v>0</v>
      </c>
      <c r="Y109" s="185">
        <f>SUM('Pin Laricio'!AS93*'Pin Laricio'!$F$21,'Pin Maritime'!AS93*'Pin Maritime'!$F$21,'C'!AS93*'C'!$F$21,D!AS93*D!$F$21,E!AS93*E!$F$21,F!AS93*F!$F$21)</f>
        <v>0</v>
      </c>
      <c r="Z109" s="328">
        <f>SUM('Pin Laricio'!AT93*'Pin Laricio'!$F$21,'Pin Maritime'!AT93*'Pin Maritime'!$F$21,'C'!AT93*'C'!$F$21,D!AT93*D!$F$21,E!AT93*E!$F$21,F!AT93*F!$F$21)</f>
        <v>0</v>
      </c>
      <c r="AA109" s="175">
        <f t="shared" si="18"/>
        <v>0</v>
      </c>
      <c r="AB109" s="176">
        <f t="shared" si="17"/>
        <v>0</v>
      </c>
      <c r="AC109" s="175"/>
      <c r="AD109" s="175"/>
    </row>
    <row r="110" spans="2:30" x14ac:dyDescent="0.3">
      <c r="B110" s="268" t="str">
        <f>F!B89</f>
        <v>-</v>
      </c>
      <c r="C110" s="222">
        <f>F!C89</f>
        <v>14.399999999999977</v>
      </c>
      <c r="D110" s="223">
        <f>F!D89</f>
        <v>0.4</v>
      </c>
      <c r="E110" s="218">
        <f>F!E89</f>
        <v>0</v>
      </c>
      <c r="F110" s="218">
        <f>F!F89</f>
        <v>0</v>
      </c>
      <c r="G110" s="224">
        <f>F!G89</f>
        <v>0.6</v>
      </c>
      <c r="H110" s="207">
        <f>IFERROR(VLOOKUP($B$101,Tableau14582[],4,FALSE)*(1+$L$9)^$B110,0)</f>
        <v>0</v>
      </c>
      <c r="I110" s="208">
        <f>IFERROR(VLOOKUP($B$101,Tableau14582[],5,FALSE)*(1+$L$9)^$B110,0)</f>
        <v>0</v>
      </c>
      <c r="J110" s="208">
        <f>IFERROR(VLOOKUP($B$101,Tableau14582[],5,FALSE)*(1+$L$9)^$B110,0)</f>
        <v>0</v>
      </c>
      <c r="K110" s="209">
        <f>IFERROR(VLOOKUP($B$101,Tableau14582[],6,FALSE)*(1+$L$9)^$B110,0)</f>
        <v>0</v>
      </c>
      <c r="L110" s="260">
        <f t="shared" si="21"/>
        <v>0</v>
      </c>
      <c r="N110" s="71">
        <v>89</v>
      </c>
      <c r="O110" s="236"/>
      <c r="P110" s="177"/>
      <c r="Q110" s="237">
        <f t="shared" si="20"/>
        <v>272.49999999999994</v>
      </c>
      <c r="R110" s="177">
        <f t="shared" si="15"/>
        <v>21.799999999999997</v>
      </c>
      <c r="S110" s="177">
        <f>$L$11*(1+$L$9)^N110*'Récapitulatif des résultats'!$I$11</f>
        <v>0</v>
      </c>
      <c r="T110" s="238"/>
      <c r="U110" s="177"/>
      <c r="V110" s="246">
        <f t="shared" si="16"/>
        <v>0</v>
      </c>
      <c r="W110" s="185">
        <f>SUM('Pin Laricio'!AQ94*'Pin Laricio'!$F$21,'Pin Maritime'!AQ94*'Pin Maritime'!$F$21,'C'!AQ94*'C'!$F$21,D!AQ94*D!$F$21,E!AQ94*E!$F$21,F!AQ94*F!$F$21)</f>
        <v>0</v>
      </c>
      <c r="X110" s="185">
        <f>SUM('Pin Laricio'!AR94*'Pin Laricio'!$F$21,'Pin Maritime'!AR94*'Pin Maritime'!$F$21,'C'!AR94*'C'!$F$21,D!AR94*D!$F$21,E!AR94*E!$F$21,F!AR94*F!$F$21)</f>
        <v>0</v>
      </c>
      <c r="Y110" s="185">
        <f>SUM('Pin Laricio'!AS94*'Pin Laricio'!$F$21,'Pin Maritime'!AS94*'Pin Maritime'!$F$21,'C'!AS94*'C'!$F$21,D!AS94*D!$F$21,E!AS94*E!$F$21,F!AS94*F!$F$21)</f>
        <v>0</v>
      </c>
      <c r="Z110" s="328">
        <f>SUM('Pin Laricio'!AT94*'Pin Laricio'!$F$21,'Pin Maritime'!AT94*'Pin Maritime'!$F$21,'C'!AT94*'C'!$F$21,D!AT94*D!$F$21,E!AT94*E!$F$21,F!AT94*F!$F$21)</f>
        <v>0</v>
      </c>
      <c r="AA110" s="175">
        <f t="shared" si="18"/>
        <v>0</v>
      </c>
      <c r="AB110" s="176">
        <f t="shared" si="17"/>
        <v>0</v>
      </c>
      <c r="AC110" s="175"/>
      <c r="AD110" s="175"/>
    </row>
    <row r="111" spans="2:30" x14ac:dyDescent="0.3">
      <c r="B111" s="268" t="str">
        <f>F!B90</f>
        <v>-</v>
      </c>
      <c r="C111" s="222">
        <f>F!C90</f>
        <v>12.899999999999977</v>
      </c>
      <c r="D111" s="223">
        <f>F!D90</f>
        <v>0.5</v>
      </c>
      <c r="E111" s="218">
        <f>F!E90</f>
        <v>0</v>
      </c>
      <c r="F111" s="218">
        <f>F!F90</f>
        <v>0</v>
      </c>
      <c r="G111" s="224">
        <f>F!G90</f>
        <v>0.5</v>
      </c>
      <c r="H111" s="207">
        <f>IFERROR(VLOOKUP($B$101,Tableau14582[],4,FALSE)*(1+$L$9)^$B111,0)</f>
        <v>0</v>
      </c>
      <c r="I111" s="208">
        <f>IFERROR(VLOOKUP($B$101,Tableau14582[],5,FALSE)*(1+$L$9)^$B111,0)</f>
        <v>0</v>
      </c>
      <c r="J111" s="208">
        <f>IFERROR(VLOOKUP($B$101,Tableau14582[],5,FALSE)*(1+$L$9)^$B111,0)</f>
        <v>0</v>
      </c>
      <c r="K111" s="209">
        <f>IFERROR(VLOOKUP($B$101,Tableau14582[],6,FALSE)*(1+$L$9)^$B111,0)</f>
        <v>0</v>
      </c>
      <c r="L111" s="260">
        <f t="shared" si="21"/>
        <v>0</v>
      </c>
      <c r="N111" s="71">
        <v>90</v>
      </c>
      <c r="O111" s="236"/>
      <c r="P111" s="177"/>
      <c r="Q111" s="237">
        <f t="shared" si="20"/>
        <v>272.49999999999994</v>
      </c>
      <c r="R111" s="177">
        <f t="shared" si="15"/>
        <v>21.799999999999997</v>
      </c>
      <c r="S111" s="177">
        <f>$L$11*(1+$L$9)^N111*'Récapitulatif des résultats'!$I$11</f>
        <v>0</v>
      </c>
      <c r="T111" s="238"/>
      <c r="U111" s="177"/>
      <c r="V111" s="246">
        <f t="shared" si="16"/>
        <v>0</v>
      </c>
      <c r="W111" s="185">
        <f>SUM('Pin Laricio'!AQ95*'Pin Laricio'!$F$21,'Pin Maritime'!AQ95*'Pin Maritime'!$F$21,'C'!AQ95*'C'!$F$21,D!AQ95*D!$F$21,E!AQ95*E!$F$21,F!AQ95*F!$F$21)</f>
        <v>0</v>
      </c>
      <c r="X111" s="185">
        <f>SUM('Pin Laricio'!AR95*'Pin Laricio'!$F$21,'Pin Maritime'!AR95*'Pin Maritime'!$F$21,'C'!AR95*'C'!$F$21,D!AR95*D!$F$21,E!AR95*E!$F$21,F!AR95*F!$F$21)</f>
        <v>0</v>
      </c>
      <c r="Y111" s="185">
        <f>SUM('Pin Laricio'!AS95*'Pin Laricio'!$F$21,'Pin Maritime'!AS95*'Pin Maritime'!$F$21,'C'!AS95*'C'!$F$21,D!AS95*D!$F$21,E!AS95*E!$F$21,F!AS95*F!$F$21)</f>
        <v>0</v>
      </c>
      <c r="Z111" s="328">
        <f>SUM('Pin Laricio'!AT95*'Pin Laricio'!$F$21,'Pin Maritime'!AT95*'Pin Maritime'!$F$21,'C'!AT95*'C'!$F$21,D!AT95*D!$F$21,E!AT95*E!$F$21,F!AT95*F!$F$21)</f>
        <v>0</v>
      </c>
      <c r="AA111" s="175">
        <f t="shared" si="18"/>
        <v>0</v>
      </c>
      <c r="AB111" s="176">
        <f t="shared" si="17"/>
        <v>0</v>
      </c>
      <c r="AC111" s="175"/>
      <c r="AD111" s="175"/>
    </row>
    <row r="112" spans="2:30" x14ac:dyDescent="0.3">
      <c r="B112" s="268" t="str">
        <f>F!B91</f>
        <v>-</v>
      </c>
      <c r="C112" s="222">
        <f>F!C91</f>
        <v>11.5</v>
      </c>
      <c r="D112" s="223">
        <f>F!D91</f>
        <v>0.6</v>
      </c>
      <c r="E112" s="218">
        <f>F!E91</f>
        <v>0</v>
      </c>
      <c r="F112" s="218">
        <f>F!F91</f>
        <v>0</v>
      </c>
      <c r="G112" s="224">
        <f>F!G91</f>
        <v>0.4</v>
      </c>
      <c r="H112" s="207">
        <f>IFERROR(VLOOKUP($B$101,Tableau14582[],4,FALSE)*(1+$L$9)^$B112,0)</f>
        <v>0</v>
      </c>
      <c r="I112" s="208">
        <f>IFERROR(VLOOKUP($B$101,Tableau14582[],5,FALSE)*(1+$L$9)^$B112,0)</f>
        <v>0</v>
      </c>
      <c r="J112" s="208">
        <f>IFERROR(VLOOKUP($B$101,Tableau14582[],5,FALSE)*(1+$L$9)^$B112,0)</f>
        <v>0</v>
      </c>
      <c r="K112" s="209">
        <f>IFERROR(VLOOKUP($B$101,Tableau14582[],6,FALSE)*(1+$L$9)^$B112,0)</f>
        <v>0</v>
      </c>
      <c r="L112" s="260">
        <f t="shared" si="21"/>
        <v>0</v>
      </c>
      <c r="N112" s="71">
        <v>91</v>
      </c>
      <c r="O112" s="236"/>
      <c r="P112" s="177"/>
      <c r="Q112" s="237">
        <f t="shared" si="20"/>
        <v>272.49999999999994</v>
      </c>
      <c r="R112" s="177">
        <f t="shared" si="15"/>
        <v>21.799999999999997</v>
      </c>
      <c r="S112" s="177">
        <f>$L$11*(1+$L$9)^N112*'Récapitulatif des résultats'!$I$11</f>
        <v>0</v>
      </c>
      <c r="T112" s="238"/>
      <c r="U112" s="177"/>
      <c r="V112" s="246">
        <f t="shared" si="16"/>
        <v>0</v>
      </c>
      <c r="W112" s="185">
        <f>SUM('Pin Laricio'!AQ96*'Pin Laricio'!$F$21,'Pin Maritime'!AQ96*'Pin Maritime'!$F$21,'C'!AQ96*'C'!$F$21,D!AQ96*D!$F$21,E!AQ96*E!$F$21,F!AQ96*F!$F$21)</f>
        <v>0</v>
      </c>
      <c r="X112" s="185">
        <f>SUM('Pin Laricio'!AR96*'Pin Laricio'!$F$21,'Pin Maritime'!AR96*'Pin Maritime'!$F$21,'C'!AR96*'C'!$F$21,D!AR96*D!$F$21,E!AR96*E!$F$21,F!AR96*F!$F$21)</f>
        <v>0</v>
      </c>
      <c r="Y112" s="185">
        <f>SUM('Pin Laricio'!AS96*'Pin Laricio'!$F$21,'Pin Maritime'!AS96*'Pin Maritime'!$F$21,'C'!AS96*'C'!$F$21,D!AS96*D!$F$21,E!AS96*E!$F$21,F!AS96*F!$F$21)</f>
        <v>0</v>
      </c>
      <c r="Z112" s="328">
        <f>SUM('Pin Laricio'!AT96*'Pin Laricio'!$F$21,'Pin Maritime'!AT96*'Pin Maritime'!$F$21,'C'!AT96*'C'!$F$21,D!AT96*D!$F$21,E!AT96*E!$F$21,F!AT96*F!$F$21)</f>
        <v>0</v>
      </c>
      <c r="AA112" s="175">
        <f t="shared" si="18"/>
        <v>0</v>
      </c>
      <c r="AB112" s="176">
        <f t="shared" si="17"/>
        <v>0</v>
      </c>
      <c r="AC112" s="175"/>
      <c r="AD112" s="175"/>
    </row>
    <row r="113" spans="2:30" x14ac:dyDescent="0.3">
      <c r="B113" s="268" t="str">
        <f>F!B92</f>
        <v>-</v>
      </c>
      <c r="C113" s="222">
        <f>F!C92</f>
        <v>10.5</v>
      </c>
      <c r="D113" s="223">
        <f>F!D92</f>
        <v>0.7</v>
      </c>
      <c r="E113" s="218">
        <f>F!E92</f>
        <v>0</v>
      </c>
      <c r="F113" s="218">
        <f>F!F92</f>
        <v>0</v>
      </c>
      <c r="G113" s="224">
        <f>F!G92</f>
        <v>0.30000000000000004</v>
      </c>
      <c r="H113" s="207">
        <f>IFERROR(VLOOKUP($B$101,Tableau14582[],4,FALSE)*(1+$L$9)^$B113,0)</f>
        <v>0</v>
      </c>
      <c r="I113" s="208">
        <f>IFERROR(VLOOKUP($B$101,Tableau14582[],5,FALSE)*(1+$L$9)^$B113,0)</f>
        <v>0</v>
      </c>
      <c r="J113" s="208">
        <f>IFERROR(VLOOKUP($B$101,Tableau14582[],5,FALSE)*(1+$L$9)^$B113,0)</f>
        <v>0</v>
      </c>
      <c r="K113" s="209">
        <f>IFERROR(VLOOKUP($B$101,Tableau14582[],6,FALSE)*(1+$L$9)^$B113,0)</f>
        <v>0</v>
      </c>
      <c r="L113" s="260">
        <f t="shared" si="21"/>
        <v>0</v>
      </c>
      <c r="N113" s="71">
        <v>92</v>
      </c>
      <c r="O113" s="236"/>
      <c r="P113" s="177"/>
      <c r="Q113" s="237">
        <f t="shared" si="20"/>
        <v>272.49999999999994</v>
      </c>
      <c r="R113" s="177">
        <f t="shared" si="15"/>
        <v>21.799999999999997</v>
      </c>
      <c r="S113" s="177">
        <f>$L$11*(1+$L$9)^N113*'Récapitulatif des résultats'!$I$11</f>
        <v>0</v>
      </c>
      <c r="T113" s="238"/>
      <c r="U113" s="177"/>
      <c r="V113" s="246">
        <f t="shared" si="16"/>
        <v>0</v>
      </c>
      <c r="W113" s="185">
        <f>SUM('Pin Laricio'!AQ97*'Pin Laricio'!$F$21,'Pin Maritime'!AQ97*'Pin Maritime'!$F$21,'C'!AQ97*'C'!$F$21,D!AQ97*D!$F$21,E!AQ97*E!$F$21,F!AQ97*F!$F$21)</f>
        <v>0</v>
      </c>
      <c r="X113" s="185">
        <f>SUM('Pin Laricio'!AR97*'Pin Laricio'!$F$21,'Pin Maritime'!AR97*'Pin Maritime'!$F$21,'C'!AR97*'C'!$F$21,D!AR97*D!$F$21,E!AR97*E!$F$21,F!AR97*F!$F$21)</f>
        <v>0</v>
      </c>
      <c r="Y113" s="185">
        <f>SUM('Pin Laricio'!AS97*'Pin Laricio'!$F$21,'Pin Maritime'!AS97*'Pin Maritime'!$F$21,'C'!AS97*'C'!$F$21,D!AS97*D!$F$21,E!AS97*E!$F$21,F!AS97*F!$F$21)</f>
        <v>0</v>
      </c>
      <c r="Z113" s="328">
        <f>SUM('Pin Laricio'!AT97*'Pin Laricio'!$F$21,'Pin Maritime'!AT97*'Pin Maritime'!$F$21,'C'!AT97*'C'!$F$21,D!AT97*D!$F$21,E!AT97*E!$F$21,F!AT97*F!$F$21)</f>
        <v>0</v>
      </c>
      <c r="AA113" s="175">
        <f t="shared" si="18"/>
        <v>0</v>
      </c>
      <c r="AB113" s="176">
        <f t="shared" si="17"/>
        <v>0</v>
      </c>
      <c r="AC113" s="175"/>
      <c r="AD113" s="175"/>
    </row>
    <row r="114" spans="2:30" x14ac:dyDescent="0.3">
      <c r="B114" s="268" t="str">
        <f>F!B93</f>
        <v>-</v>
      </c>
      <c r="C114" s="222">
        <f>F!C93</f>
        <v>9.3999999999999773</v>
      </c>
      <c r="D114" s="223">
        <f>F!D93</f>
        <v>0.8</v>
      </c>
      <c r="E114" s="218">
        <f>F!E93</f>
        <v>0</v>
      </c>
      <c r="F114" s="218">
        <f>F!F93</f>
        <v>0</v>
      </c>
      <c r="G114" s="224">
        <f>F!G93</f>
        <v>0.19999999999999996</v>
      </c>
      <c r="H114" s="207">
        <f>IFERROR(VLOOKUP($B$101,Tableau14582[],4,FALSE)*(1+$L$9)^$B114,0)</f>
        <v>0</v>
      </c>
      <c r="I114" s="208">
        <f>IFERROR(VLOOKUP($B$101,Tableau14582[],5,FALSE)*(1+$L$9)^$B114,0)</f>
        <v>0</v>
      </c>
      <c r="J114" s="208">
        <f>IFERROR(VLOOKUP($B$101,Tableau14582[],5,FALSE)*(1+$L$9)^$B114,0)</f>
        <v>0</v>
      </c>
      <c r="K114" s="209">
        <f>IFERROR(VLOOKUP($B$101,Tableau14582[],6,FALSE)*(1+$L$9)^$B114,0)</f>
        <v>0</v>
      </c>
      <c r="L114" s="260">
        <f t="shared" si="21"/>
        <v>0</v>
      </c>
      <c r="N114" s="71">
        <v>93</v>
      </c>
      <c r="O114" s="236"/>
      <c r="P114" s="177"/>
      <c r="Q114" s="237">
        <f t="shared" si="20"/>
        <v>272.49999999999994</v>
      </c>
      <c r="R114" s="177">
        <f t="shared" si="15"/>
        <v>21.799999999999997</v>
      </c>
      <c r="S114" s="177">
        <f>$L$11*(1+$L$9)^N114*'Récapitulatif des résultats'!$I$11</f>
        <v>0</v>
      </c>
      <c r="T114" s="238"/>
      <c r="U114" s="177"/>
      <c r="V114" s="246">
        <f t="shared" si="16"/>
        <v>0</v>
      </c>
      <c r="W114" s="185">
        <f>SUM('Pin Laricio'!AQ98*'Pin Laricio'!$F$21,'Pin Maritime'!AQ98*'Pin Maritime'!$F$21,'C'!AQ98*'C'!$F$21,D!AQ98*D!$F$21,E!AQ98*E!$F$21,F!AQ98*F!$F$21)</f>
        <v>0</v>
      </c>
      <c r="X114" s="185">
        <f>SUM('Pin Laricio'!AR98*'Pin Laricio'!$F$21,'Pin Maritime'!AR98*'Pin Maritime'!$F$21,'C'!AR98*'C'!$F$21,D!AR98*D!$F$21,E!AR98*E!$F$21,F!AR98*F!$F$21)</f>
        <v>0</v>
      </c>
      <c r="Y114" s="185">
        <f>SUM('Pin Laricio'!AS98*'Pin Laricio'!$F$21,'Pin Maritime'!AS98*'Pin Maritime'!$F$21,'C'!AS98*'C'!$F$21,D!AS98*D!$F$21,E!AS98*E!$F$21,F!AS98*F!$F$21)</f>
        <v>0</v>
      </c>
      <c r="Z114" s="328">
        <f>SUM('Pin Laricio'!AT98*'Pin Laricio'!$F$21,'Pin Maritime'!AT98*'Pin Maritime'!$F$21,'C'!AT98*'C'!$F$21,D!AT98*D!$F$21,E!AT98*E!$F$21,F!AT98*F!$F$21)</f>
        <v>0</v>
      </c>
      <c r="AA114" s="175">
        <f t="shared" si="18"/>
        <v>0</v>
      </c>
      <c r="AB114" s="176">
        <f t="shared" si="17"/>
        <v>0</v>
      </c>
      <c r="AC114" s="175"/>
      <c r="AD114" s="175"/>
    </row>
    <row r="115" spans="2:30" ht="15" thickBot="1" x14ac:dyDescent="0.35">
      <c r="B115" s="269">
        <f>F!B94</f>
        <v>0</v>
      </c>
      <c r="C115" s="270">
        <f>F!C94</f>
        <v>0</v>
      </c>
      <c r="D115" s="271">
        <f>F!D94</f>
        <v>0.95</v>
      </c>
      <c r="E115" s="271">
        <f>F!E94</f>
        <v>0</v>
      </c>
      <c r="F115" s="272">
        <f>F!F94</f>
        <v>0</v>
      </c>
      <c r="G115" s="273">
        <f>F!G94</f>
        <v>5.0000000000000044E-2</v>
      </c>
      <c r="H115" s="274">
        <f>IFERROR(VLOOKUP($B$101,Tableau14582[],4,FALSE)*(1+$L$9)^$B115,0)</f>
        <v>0</v>
      </c>
      <c r="I115" s="275">
        <f>IFERROR(VLOOKUP($B$101,Tableau14582[],5,FALSE)*(1+$L$9)^$B115,0)</f>
        <v>0</v>
      </c>
      <c r="J115" s="275">
        <f>IFERROR(VLOOKUP($B$101,Tableau14582[],5,FALSE)*(1+$L$9)^$B115,0)</f>
        <v>0</v>
      </c>
      <c r="K115" s="276">
        <f>IFERROR(VLOOKUP($B$101,Tableau14582[],6,FALSE)*(1+$L$9)^$B115,0)</f>
        <v>0</v>
      </c>
      <c r="L115" s="277">
        <f t="shared" si="21"/>
        <v>0</v>
      </c>
      <c r="N115" s="71">
        <v>94</v>
      </c>
      <c r="O115" s="236"/>
      <c r="P115" s="177"/>
      <c r="Q115" s="237">
        <f t="shared" si="20"/>
        <v>272.49999999999994</v>
      </c>
      <c r="R115" s="177">
        <f t="shared" si="15"/>
        <v>21.799999999999997</v>
      </c>
      <c r="S115" s="177">
        <f>$L$11*(1+$L$9)^N115*'Récapitulatif des résultats'!$I$11</f>
        <v>0</v>
      </c>
      <c r="T115" s="238"/>
      <c r="U115" s="177"/>
      <c r="V115" s="246">
        <f t="shared" si="16"/>
        <v>0</v>
      </c>
      <c r="W115" s="185">
        <f>SUM('Pin Laricio'!AQ99*'Pin Laricio'!$F$21,'Pin Maritime'!AQ99*'Pin Maritime'!$F$21,'C'!AQ99*'C'!$F$21,D!AQ99*D!$F$21,E!AQ99*E!$F$21,F!AQ99*F!$F$21)</f>
        <v>0</v>
      </c>
      <c r="X115" s="185">
        <f>SUM('Pin Laricio'!AR99*'Pin Laricio'!$F$21,'Pin Maritime'!AR99*'Pin Maritime'!$F$21,'C'!AR99*'C'!$F$21,D!AR99*D!$F$21,E!AR99*E!$F$21,F!AR99*F!$F$21)</f>
        <v>0</v>
      </c>
      <c r="Y115" s="185">
        <f>SUM('Pin Laricio'!AS99*'Pin Laricio'!$F$21,'Pin Maritime'!AS99*'Pin Maritime'!$F$21,'C'!AS99*'C'!$F$21,D!AS99*D!$F$21,E!AS99*E!$F$21,F!AS99*F!$F$21)</f>
        <v>0</v>
      </c>
      <c r="Z115" s="328">
        <f>SUM('Pin Laricio'!AT99*'Pin Laricio'!$F$21,'Pin Maritime'!AT99*'Pin Maritime'!$F$21,'C'!AT99*'C'!$F$21,D!AT99*D!$F$21,E!AT99*E!$F$21,F!AT99*F!$F$21)</f>
        <v>0</v>
      </c>
      <c r="AA115" s="175">
        <f t="shared" si="18"/>
        <v>0</v>
      </c>
      <c r="AB115" s="176">
        <f t="shared" si="17"/>
        <v>0</v>
      </c>
      <c r="AC115" s="175"/>
      <c r="AD115" s="175"/>
    </row>
    <row r="116" spans="2:30" x14ac:dyDescent="0.3">
      <c r="N116" s="71">
        <v>95</v>
      </c>
      <c r="O116" s="236"/>
      <c r="P116" s="177"/>
      <c r="Q116" s="237">
        <f t="shared" si="20"/>
        <v>272.49999999999994</v>
      </c>
      <c r="R116" s="177">
        <f t="shared" si="15"/>
        <v>21.799999999999997</v>
      </c>
      <c r="S116" s="177">
        <f>$L$11*(1+$L$9)^N116*'Récapitulatif des résultats'!$I$11</f>
        <v>0</v>
      </c>
      <c r="T116" s="238"/>
      <c r="U116" s="177"/>
      <c r="V116" s="246">
        <f t="shared" si="16"/>
        <v>0</v>
      </c>
      <c r="W116" s="185">
        <f>SUM('Pin Laricio'!AQ100*'Pin Laricio'!$F$21,'Pin Maritime'!AQ100*'Pin Maritime'!$F$21,'C'!AQ100*'C'!$F$21,D!AQ100*D!$F$21,E!AQ100*E!$F$21,F!AQ100*F!$F$21)</f>
        <v>0</v>
      </c>
      <c r="X116" s="185">
        <f>SUM('Pin Laricio'!AR100*'Pin Laricio'!$F$21,'Pin Maritime'!AR100*'Pin Maritime'!$F$21,'C'!AR100*'C'!$F$21,D!AR100*D!$F$21,E!AR100*E!$F$21,F!AR100*F!$F$21)</f>
        <v>0</v>
      </c>
      <c r="Y116" s="185">
        <f>SUM('Pin Laricio'!AS100*'Pin Laricio'!$F$21,'Pin Maritime'!AS100*'Pin Maritime'!$F$21,'C'!AS100*'C'!$F$21,D!AS100*D!$F$21,E!AS100*E!$F$21,F!AS100*F!$F$21)</f>
        <v>0</v>
      </c>
      <c r="Z116" s="328">
        <f>SUM('Pin Laricio'!AT100*'Pin Laricio'!$F$21,'Pin Maritime'!AT100*'Pin Maritime'!$F$21,'C'!AT100*'C'!$F$21,D!AT100*D!$F$21,E!AT100*E!$F$21,F!AT100*F!$F$21)</f>
        <v>0</v>
      </c>
      <c r="AA116" s="175">
        <f t="shared" si="18"/>
        <v>0</v>
      </c>
      <c r="AB116" s="176">
        <f t="shared" si="17"/>
        <v>0</v>
      </c>
      <c r="AC116" s="175"/>
      <c r="AD116" s="175"/>
    </row>
    <row r="117" spans="2:30" x14ac:dyDescent="0.3">
      <c r="M117"/>
      <c r="N117" s="71">
        <v>96</v>
      </c>
      <c r="O117" s="236"/>
      <c r="P117" s="177"/>
      <c r="Q117" s="237">
        <f t="shared" si="20"/>
        <v>272.49999999999994</v>
      </c>
      <c r="R117" s="177">
        <f t="shared" si="15"/>
        <v>21.799999999999997</v>
      </c>
      <c r="S117" s="177">
        <f>$L$11*(1+$L$9)^N117*'Récapitulatif des résultats'!$I$11</f>
        <v>0</v>
      </c>
      <c r="T117" s="238"/>
      <c r="U117" s="177"/>
      <c r="V117" s="246">
        <f t="shared" si="16"/>
        <v>0</v>
      </c>
      <c r="W117" s="185">
        <f>SUM('Pin Laricio'!AQ101*'Pin Laricio'!$F$21,'Pin Maritime'!AQ101*'Pin Maritime'!$F$21,'C'!AQ101*'C'!$F$21,D!AQ101*D!$F$21,E!AQ101*E!$F$21,F!AQ101*F!$F$21)</f>
        <v>0</v>
      </c>
      <c r="X117" s="185">
        <f>SUM('Pin Laricio'!AR101*'Pin Laricio'!$F$21,'Pin Maritime'!AR101*'Pin Maritime'!$F$21,'C'!AR101*'C'!$F$21,D!AR101*D!$F$21,E!AR101*E!$F$21,F!AR101*F!$F$21)</f>
        <v>0</v>
      </c>
      <c r="Y117" s="185">
        <f>SUM('Pin Laricio'!AS101*'Pin Laricio'!$F$21,'Pin Maritime'!AS101*'Pin Maritime'!$F$21,'C'!AS101*'C'!$F$21,D!AS101*D!$F$21,E!AS101*E!$F$21,F!AS101*F!$F$21)</f>
        <v>0</v>
      </c>
      <c r="Z117" s="328">
        <f>SUM('Pin Laricio'!AT101*'Pin Laricio'!$F$21,'Pin Maritime'!AT101*'Pin Maritime'!$F$21,'C'!AT101*'C'!$F$21,D!AT101*D!$F$21,E!AT101*E!$F$21,F!AT101*F!$F$21)</f>
        <v>0</v>
      </c>
      <c r="AA117" s="175">
        <f t="shared" si="18"/>
        <v>0</v>
      </c>
      <c r="AB117" s="176">
        <f t="shared" si="17"/>
        <v>0</v>
      </c>
      <c r="AC117" s="175"/>
      <c r="AD117" s="175"/>
    </row>
    <row r="118" spans="2:30" x14ac:dyDescent="0.3">
      <c r="B118" s="3" t="s">
        <v>5</v>
      </c>
      <c r="C118" s="3" t="s">
        <v>6</v>
      </c>
      <c r="D118" s="188" t="s">
        <v>227</v>
      </c>
      <c r="E118" s="204" t="s">
        <v>234</v>
      </c>
      <c r="F118" s="204" t="s">
        <v>235</v>
      </c>
      <c r="G118" s="204" t="s">
        <v>236</v>
      </c>
      <c r="H118" t="s">
        <v>239</v>
      </c>
      <c r="I118" t="s">
        <v>245</v>
      </c>
      <c r="J118" t="s">
        <v>246</v>
      </c>
      <c r="K118" t="s">
        <v>247</v>
      </c>
      <c r="L118" s="253" t="s">
        <v>251</v>
      </c>
      <c r="M118" t="s">
        <v>249</v>
      </c>
      <c r="N118" s="71">
        <v>97</v>
      </c>
      <c r="O118" s="236"/>
      <c r="P118" s="177"/>
      <c r="Q118" s="237">
        <f t="shared" si="20"/>
        <v>272.49999999999994</v>
      </c>
      <c r="R118" s="177">
        <f t="shared" si="15"/>
        <v>21.799999999999997</v>
      </c>
      <c r="S118" s="177">
        <f>$L$11*(1+$L$9)^N118*'Récapitulatif des résultats'!$I$11</f>
        <v>0</v>
      </c>
      <c r="T118" s="238"/>
      <c r="U118" s="177"/>
      <c r="V118" s="246">
        <f t="shared" si="16"/>
        <v>0</v>
      </c>
      <c r="W118" s="185">
        <f>SUM('Pin Laricio'!AQ102*'Pin Laricio'!$F$21,'Pin Maritime'!AQ102*'Pin Maritime'!$F$21,'C'!AQ102*'C'!$F$21,D!AQ102*D!$F$21,E!AQ102*E!$F$21,F!AQ102*F!$F$21)</f>
        <v>0</v>
      </c>
      <c r="X118" s="185">
        <f>SUM('Pin Laricio'!AR102*'Pin Laricio'!$F$21,'Pin Maritime'!AR102*'Pin Maritime'!$F$21,'C'!AR102*'C'!$F$21,D!AR102*D!$F$21,E!AR102*E!$F$21,F!AR102*F!$F$21)</f>
        <v>0</v>
      </c>
      <c r="Y118" s="185">
        <f>SUM('Pin Laricio'!AS102*'Pin Laricio'!$F$21,'Pin Maritime'!AS102*'Pin Maritime'!$F$21,'C'!AS102*'C'!$F$21,D!AS102*D!$F$21,E!AS102*E!$F$21,F!AS102*F!$F$21)</f>
        <v>0</v>
      </c>
      <c r="Z118" s="328">
        <f>SUM('Pin Laricio'!AT102*'Pin Laricio'!$F$21,'Pin Maritime'!AT102*'Pin Maritime'!$F$21,'C'!AT102*'C'!$F$21,D!AT102*D!$F$21,E!AT102*E!$F$21,F!AT102*F!$F$21)</f>
        <v>0</v>
      </c>
      <c r="AA118" s="175">
        <f t="shared" si="18"/>
        <v>0</v>
      </c>
      <c r="AB118" s="176">
        <f t="shared" si="17"/>
        <v>0</v>
      </c>
      <c r="AC118" s="175"/>
      <c r="AD118" s="175"/>
    </row>
    <row r="119" spans="2:30" x14ac:dyDescent="0.3">
      <c r="B119" s="166" t="s">
        <v>7</v>
      </c>
      <c r="C119" s="4">
        <v>0.62</v>
      </c>
      <c r="D119" s="188" t="s">
        <v>228</v>
      </c>
      <c r="E119" s="205">
        <v>300</v>
      </c>
      <c r="F119" s="251">
        <f>IF(Tableau14582[[#This Row],[Type]]="Feuillus",11*1.25,15.5*1.25)</f>
        <v>13.75</v>
      </c>
      <c r="G119" s="205">
        <v>10</v>
      </c>
      <c r="M119"/>
      <c r="N119" s="71">
        <v>98</v>
      </c>
      <c r="O119" s="236"/>
      <c r="P119" s="177"/>
      <c r="Q119" s="237">
        <f t="shared" si="20"/>
        <v>272.49999999999994</v>
      </c>
      <c r="R119" s="177">
        <f t="shared" si="15"/>
        <v>21.799999999999997</v>
      </c>
      <c r="S119" s="177">
        <f>$L$11*(1+$L$9)^N119*'Récapitulatif des résultats'!$I$11</f>
        <v>0</v>
      </c>
      <c r="T119" s="238"/>
      <c r="U119" s="177"/>
      <c r="V119" s="246">
        <f t="shared" si="16"/>
        <v>0</v>
      </c>
      <c r="W119" s="185">
        <f>SUM('Pin Laricio'!AQ103*'Pin Laricio'!$F$21,'Pin Maritime'!AQ103*'Pin Maritime'!$F$21,'C'!AQ103*'C'!$F$21,D!AQ103*D!$F$21,E!AQ103*E!$F$21,F!AQ103*F!$F$21)</f>
        <v>0</v>
      </c>
      <c r="X119" s="185">
        <f>SUM('Pin Laricio'!AR103*'Pin Laricio'!$F$21,'Pin Maritime'!AR103*'Pin Maritime'!$F$21,'C'!AR103*'C'!$F$21,D!AR103*D!$F$21,E!AR103*E!$F$21,F!AR103*F!$F$21)</f>
        <v>0</v>
      </c>
      <c r="Y119" s="185">
        <f>SUM('Pin Laricio'!AS103*'Pin Laricio'!$F$21,'Pin Maritime'!AS103*'Pin Maritime'!$F$21,'C'!AS103*'C'!$F$21,D!AS103*D!$F$21,E!AS103*E!$F$21,F!AS103*F!$F$21)</f>
        <v>0</v>
      </c>
      <c r="Z119" s="328">
        <f>SUM('Pin Laricio'!AT103*'Pin Laricio'!$F$21,'Pin Maritime'!AT103*'Pin Maritime'!$F$21,'C'!AT103*'C'!$F$21,D!AT103*D!$F$21,E!AT103*E!$F$21,F!AT103*F!$F$21)</f>
        <v>0</v>
      </c>
      <c r="AA119" s="175">
        <f t="shared" si="18"/>
        <v>0</v>
      </c>
      <c r="AB119" s="176">
        <f t="shared" si="17"/>
        <v>0</v>
      </c>
      <c r="AC119" s="175"/>
      <c r="AD119" s="175"/>
    </row>
    <row r="120" spans="2:30" x14ac:dyDescent="0.3">
      <c r="B120" s="166" t="s">
        <v>4</v>
      </c>
      <c r="C120" s="4">
        <v>0.64</v>
      </c>
      <c r="D120" s="188" t="s">
        <v>228</v>
      </c>
      <c r="E120" s="252" t="s">
        <v>250</v>
      </c>
      <c r="F120" s="251">
        <f>IF(Tableau14582[[#This Row],[Type]]="Feuillus",11*1.25,15.5*1.25)</f>
        <v>13.75</v>
      </c>
      <c r="G120" s="205">
        <v>10</v>
      </c>
      <c r="M120"/>
      <c r="N120" s="71">
        <v>99</v>
      </c>
      <c r="O120" s="236"/>
      <c r="P120" s="177"/>
      <c r="Q120" s="237">
        <f t="shared" si="20"/>
        <v>272.49999999999994</v>
      </c>
      <c r="R120" s="177">
        <f t="shared" si="15"/>
        <v>21.799999999999997</v>
      </c>
      <c r="S120" s="177">
        <f>$L$11*(1+$L$9)^N120*'Récapitulatif des résultats'!$I$11</f>
        <v>0</v>
      </c>
      <c r="T120" s="238"/>
      <c r="U120" s="177"/>
      <c r="V120" s="246">
        <f t="shared" si="16"/>
        <v>0</v>
      </c>
      <c r="W120" s="185">
        <f>SUM('Pin Laricio'!AQ104*'Pin Laricio'!$F$21,'Pin Maritime'!AQ104*'Pin Maritime'!$F$21,'C'!AQ104*'C'!$F$21,D!AQ104*D!$F$21,E!AQ104*E!$F$21,F!AQ104*F!$F$21)</f>
        <v>0</v>
      </c>
      <c r="X120" s="185">
        <f>SUM('Pin Laricio'!AR104*'Pin Laricio'!$F$21,'Pin Maritime'!AR104*'Pin Maritime'!$F$21,'C'!AR104*'C'!$F$21,D!AR104*D!$F$21,E!AR104*E!$F$21,F!AR104*F!$F$21)</f>
        <v>0</v>
      </c>
      <c r="Y120" s="185">
        <f>SUM('Pin Laricio'!AS104*'Pin Laricio'!$F$21,'Pin Maritime'!AS104*'Pin Maritime'!$F$21,'C'!AS104*'C'!$F$21,D!AS104*D!$F$21,E!AS104*E!$F$21,F!AS104*F!$F$21)</f>
        <v>0</v>
      </c>
      <c r="Z120" s="328">
        <f>SUM('Pin Laricio'!AT104*'Pin Laricio'!$F$21,'Pin Maritime'!AT104*'Pin Maritime'!$F$21,'C'!AT104*'C'!$F$21,D!AT104*D!$F$21,E!AT104*E!$F$21,F!AT104*F!$F$21)</f>
        <v>0</v>
      </c>
      <c r="AA120" s="175">
        <f t="shared" si="18"/>
        <v>0</v>
      </c>
      <c r="AB120" s="176">
        <f t="shared" si="17"/>
        <v>0</v>
      </c>
      <c r="AC120" s="175"/>
      <c r="AD120" s="175"/>
    </row>
    <row r="121" spans="2:30" x14ac:dyDescent="0.3">
      <c r="B121" s="166" t="s">
        <v>8</v>
      </c>
      <c r="C121" s="4">
        <v>0.42</v>
      </c>
      <c r="D121" s="188" t="s">
        <v>228</v>
      </c>
      <c r="E121" s="205">
        <v>40</v>
      </c>
      <c r="F121" s="251">
        <f>IF(Tableau14582[[#This Row],[Type]]="Feuillus",11*1.25,15.5*1.25)</f>
        <v>13.75</v>
      </c>
      <c r="G121" s="205">
        <v>10</v>
      </c>
      <c r="M121"/>
      <c r="N121" s="71">
        <v>100</v>
      </c>
      <c r="O121" s="236"/>
      <c r="P121" s="177"/>
      <c r="Q121" s="237">
        <f t="shared" si="20"/>
        <v>272.49999999999994</v>
      </c>
      <c r="R121" s="177">
        <f t="shared" si="15"/>
        <v>21.799999999999997</v>
      </c>
      <c r="S121" s="177">
        <f>$L$11*(1+$L$9)^N121*'Récapitulatif des résultats'!$I$11</f>
        <v>0</v>
      </c>
      <c r="T121" s="238"/>
      <c r="U121" s="177"/>
      <c r="V121" s="246">
        <f t="shared" si="16"/>
        <v>0</v>
      </c>
      <c r="W121" s="185">
        <f>SUM('Pin Laricio'!AQ105*'Pin Laricio'!$F$21,'Pin Maritime'!AQ105*'Pin Maritime'!$F$21,'C'!AQ105*'C'!$F$21,D!AQ105*D!$F$21,E!AQ105*E!$F$21,F!AQ105*F!$F$21)</f>
        <v>0</v>
      </c>
      <c r="X121" s="185">
        <f>SUM('Pin Laricio'!AR105*'Pin Laricio'!$F$21,'Pin Maritime'!AR105*'Pin Maritime'!$F$21,'C'!AR105*'C'!$F$21,D!AR105*D!$F$21,E!AR105*E!$F$21,F!AR105*F!$F$21)</f>
        <v>0</v>
      </c>
      <c r="Y121" s="185">
        <f>SUM('Pin Laricio'!AS105*'Pin Laricio'!$F$21,'Pin Maritime'!AS105*'Pin Maritime'!$F$21,'C'!AS105*'C'!$F$21,D!AS105*D!$F$21,E!AS105*E!$F$21,F!AS105*F!$F$21)</f>
        <v>0</v>
      </c>
      <c r="Z121" s="328">
        <f>SUM('Pin Laricio'!AT105*'Pin Laricio'!$F$21,'Pin Maritime'!AT105*'Pin Maritime'!$F$21,'C'!AT105*'C'!$F$21,D!AT105*D!$F$21,E!AT105*E!$F$21,F!AT105*F!$F$21)</f>
        <v>0</v>
      </c>
      <c r="AA121" s="175">
        <f t="shared" si="18"/>
        <v>0</v>
      </c>
      <c r="AB121" s="176">
        <f t="shared" si="17"/>
        <v>0</v>
      </c>
      <c r="AC121" s="175"/>
      <c r="AD121" s="175"/>
    </row>
    <row r="122" spans="2:30" x14ac:dyDescent="0.3">
      <c r="B122" s="166" t="s">
        <v>9</v>
      </c>
      <c r="C122" s="4">
        <v>0.42</v>
      </c>
      <c r="D122" s="188" t="s">
        <v>228</v>
      </c>
      <c r="E122" s="205">
        <v>40</v>
      </c>
      <c r="F122" s="251">
        <f>IF(Tableau14582[[#This Row],[Type]]="Feuillus",11*1.25,15.5*1.25)</f>
        <v>13.75</v>
      </c>
      <c r="G122" s="205">
        <v>10</v>
      </c>
      <c r="M122"/>
      <c r="N122" s="71">
        <v>101</v>
      </c>
      <c r="O122" s="236"/>
      <c r="P122" s="177"/>
      <c r="Q122" s="237">
        <f t="shared" si="20"/>
        <v>272.49999999999994</v>
      </c>
      <c r="R122" s="177">
        <f t="shared" si="15"/>
        <v>21.799999999999997</v>
      </c>
      <c r="S122" s="177">
        <f>$L$11*(1+$L$9)^N122*'Récapitulatif des résultats'!$I$11</f>
        <v>0</v>
      </c>
      <c r="T122" s="238"/>
      <c r="U122" s="177"/>
      <c r="V122" s="246">
        <f t="shared" si="16"/>
        <v>0</v>
      </c>
      <c r="W122" s="185">
        <f>SUM('Pin Laricio'!AQ106*'Pin Laricio'!$F$21,'Pin Maritime'!AQ106*'Pin Maritime'!$F$21,'C'!AQ106*'C'!$F$21,D!AQ106*D!$F$21,E!AQ106*E!$F$21,F!AQ106*F!$F$21)</f>
        <v>0</v>
      </c>
      <c r="X122" s="185">
        <f>SUM('Pin Laricio'!AR106*'Pin Laricio'!$F$21,'Pin Maritime'!AR106*'Pin Maritime'!$F$21,'C'!AR106*'C'!$F$21,D!AR106*D!$F$21,E!AR106*E!$F$21,F!AR106*F!$F$21)</f>
        <v>0</v>
      </c>
      <c r="Y122" s="185">
        <f>SUM('Pin Laricio'!AS106*'Pin Laricio'!$F$21,'Pin Maritime'!AS106*'Pin Maritime'!$F$21,'C'!AS106*'C'!$F$21,D!AS106*D!$F$21,E!AS106*E!$F$21,F!AS106*F!$F$21)</f>
        <v>0</v>
      </c>
      <c r="Z122" s="328">
        <f>SUM('Pin Laricio'!AT106*'Pin Laricio'!$F$21,'Pin Maritime'!AT106*'Pin Maritime'!$F$21,'C'!AT106*'C'!$F$21,D!AT106*D!$F$21,E!AT106*E!$F$21,F!AT106*F!$F$21)</f>
        <v>0</v>
      </c>
      <c r="AA122" s="175">
        <f t="shared" si="18"/>
        <v>0</v>
      </c>
      <c r="AB122" s="176">
        <f t="shared" si="17"/>
        <v>0</v>
      </c>
      <c r="AC122" s="175"/>
      <c r="AD122" s="175"/>
    </row>
    <row r="123" spans="2:30" x14ac:dyDescent="0.3">
      <c r="B123" s="166" t="s">
        <v>10</v>
      </c>
      <c r="C123" s="4">
        <v>0.52</v>
      </c>
      <c r="D123" s="188" t="s">
        <v>228</v>
      </c>
      <c r="E123" s="205">
        <v>40</v>
      </c>
      <c r="F123" s="251">
        <f>IF(Tableau14582[[#This Row],[Type]]="Feuillus",11*1.25,15.5*1.25)</f>
        <v>13.75</v>
      </c>
      <c r="G123" s="205">
        <v>10</v>
      </c>
      <c r="M123"/>
      <c r="N123" s="71">
        <v>102</v>
      </c>
      <c r="O123" s="236"/>
      <c r="P123" s="177"/>
      <c r="Q123" s="237">
        <f t="shared" ref="Q123:Q154" si="22">$L$13*(1+$L$9)^N123*$L$5</f>
        <v>272.49999999999994</v>
      </c>
      <c r="R123" s="177">
        <f t="shared" si="15"/>
        <v>21.799999999999997</v>
      </c>
      <c r="S123" s="177">
        <f>$L$11*(1+$L$9)^N123*'Récapitulatif des résultats'!$I$11</f>
        <v>0</v>
      </c>
      <c r="T123" s="238"/>
      <c r="U123" s="177"/>
      <c r="V123" s="246">
        <f t="shared" si="16"/>
        <v>0</v>
      </c>
      <c r="W123" s="185">
        <f>SUM('Pin Laricio'!AQ107*'Pin Laricio'!$F$21,'Pin Maritime'!AQ107*'Pin Maritime'!$F$21,'C'!AQ107*'C'!$F$21,D!AQ107*D!$F$21,E!AQ107*E!$F$21,F!AQ107*F!$F$21)</f>
        <v>0</v>
      </c>
      <c r="X123" s="185">
        <f>SUM('Pin Laricio'!AR107*'Pin Laricio'!$F$21,'Pin Maritime'!AR107*'Pin Maritime'!$F$21,'C'!AR107*'C'!$F$21,D!AR107*D!$F$21,E!AR107*E!$F$21,F!AR107*F!$F$21)</f>
        <v>0</v>
      </c>
      <c r="Y123" s="185">
        <f>SUM('Pin Laricio'!AS107*'Pin Laricio'!$F$21,'Pin Maritime'!AS107*'Pin Maritime'!$F$21,'C'!AS107*'C'!$F$21,D!AS107*D!$F$21,E!AS107*E!$F$21,F!AS107*F!$F$21)</f>
        <v>0</v>
      </c>
      <c r="Z123" s="328">
        <f>SUM('Pin Laricio'!AT107*'Pin Laricio'!$F$21,'Pin Maritime'!AT107*'Pin Maritime'!$F$21,'C'!AT107*'C'!$F$21,D!AT107*D!$F$21,E!AT107*E!$F$21,F!AT107*F!$F$21)</f>
        <v>0</v>
      </c>
      <c r="AA123" s="175">
        <f t="shared" si="18"/>
        <v>0</v>
      </c>
      <c r="AB123" s="176">
        <f t="shared" si="17"/>
        <v>0</v>
      </c>
      <c r="AC123" s="175"/>
      <c r="AD123" s="175"/>
    </row>
    <row r="124" spans="2:30" x14ac:dyDescent="0.3">
      <c r="B124" s="166" t="s">
        <v>11</v>
      </c>
      <c r="C124" s="4">
        <v>0.36</v>
      </c>
      <c r="D124" s="188" t="s">
        <v>229</v>
      </c>
      <c r="E124" s="252">
        <v>30</v>
      </c>
      <c r="F124" s="251">
        <f>IF(Tableau14582[[#This Row],[Type]]="Feuillus",11*1.25,15.5*1.25)</f>
        <v>19.375</v>
      </c>
      <c r="G124" s="205">
        <v>10</v>
      </c>
      <c r="M124"/>
      <c r="N124" s="71">
        <v>103</v>
      </c>
      <c r="O124" s="236"/>
      <c r="P124" s="177"/>
      <c r="Q124" s="237">
        <f t="shared" si="22"/>
        <v>272.49999999999994</v>
      </c>
      <c r="R124" s="177">
        <f t="shared" si="15"/>
        <v>21.799999999999997</v>
      </c>
      <c r="S124" s="177">
        <f>$L$11*(1+$L$9)^N124*'Récapitulatif des résultats'!$I$11</f>
        <v>0</v>
      </c>
      <c r="T124" s="238"/>
      <c r="U124" s="177"/>
      <c r="V124" s="246">
        <f t="shared" si="16"/>
        <v>0</v>
      </c>
      <c r="W124" s="185">
        <f>SUM('Pin Laricio'!AQ108*'Pin Laricio'!$F$21,'Pin Maritime'!AQ108*'Pin Maritime'!$F$21,'C'!AQ108*'C'!$F$21,D!AQ108*D!$F$21,E!AQ108*E!$F$21,F!AQ108*F!$F$21)</f>
        <v>0</v>
      </c>
      <c r="X124" s="185">
        <f>SUM('Pin Laricio'!AR108*'Pin Laricio'!$F$21,'Pin Maritime'!AR108*'Pin Maritime'!$F$21,'C'!AR108*'C'!$F$21,D!AR108*D!$F$21,E!AR108*E!$F$21,F!AR108*F!$F$21)</f>
        <v>0</v>
      </c>
      <c r="Y124" s="185">
        <f>SUM('Pin Laricio'!AS108*'Pin Laricio'!$F$21,'Pin Maritime'!AS108*'Pin Maritime'!$F$21,'C'!AS108*'C'!$F$21,D!AS108*D!$F$21,E!AS108*E!$F$21,F!AS108*F!$F$21)</f>
        <v>0</v>
      </c>
      <c r="Z124" s="328">
        <f>SUM('Pin Laricio'!AT108*'Pin Laricio'!$F$21,'Pin Maritime'!AT108*'Pin Maritime'!$F$21,'C'!AT108*'C'!$F$21,D!AT108*D!$F$21,E!AT108*E!$F$21,F!AT108*F!$F$21)</f>
        <v>0</v>
      </c>
      <c r="AA124" s="175">
        <f t="shared" si="18"/>
        <v>0</v>
      </c>
      <c r="AB124" s="176">
        <f t="shared" si="17"/>
        <v>0</v>
      </c>
      <c r="AC124" s="175"/>
      <c r="AD124" s="175"/>
    </row>
    <row r="125" spans="2:30" x14ac:dyDescent="0.3">
      <c r="B125" s="166" t="s">
        <v>12</v>
      </c>
      <c r="C125" s="4">
        <v>0.61</v>
      </c>
      <c r="D125" s="188" t="s">
        <v>228</v>
      </c>
      <c r="E125" s="205">
        <v>50</v>
      </c>
      <c r="F125" s="251">
        <f>IF(Tableau14582[[#This Row],[Type]]="Feuillus",11*1.25,15.5*1.25)</f>
        <v>13.75</v>
      </c>
      <c r="G125" s="205">
        <v>10</v>
      </c>
      <c r="M125"/>
      <c r="N125" s="71">
        <v>104</v>
      </c>
      <c r="O125" s="236"/>
      <c r="P125" s="177"/>
      <c r="Q125" s="237">
        <f t="shared" si="22"/>
        <v>272.49999999999994</v>
      </c>
      <c r="R125" s="177">
        <f t="shared" si="15"/>
        <v>21.799999999999997</v>
      </c>
      <c r="S125" s="177">
        <f>$L$11*(1+$L$9)^N125*'Récapitulatif des résultats'!$I$11</f>
        <v>0</v>
      </c>
      <c r="T125" s="238"/>
      <c r="U125" s="177"/>
      <c r="V125" s="246">
        <f t="shared" si="16"/>
        <v>0</v>
      </c>
      <c r="W125" s="185">
        <f>SUM('Pin Laricio'!AQ109*'Pin Laricio'!$F$21,'Pin Maritime'!AQ109*'Pin Maritime'!$F$21,'C'!AQ109*'C'!$F$21,D!AQ109*D!$F$21,E!AQ109*E!$F$21,F!AQ109*F!$F$21)</f>
        <v>0</v>
      </c>
      <c r="X125" s="185">
        <f>SUM('Pin Laricio'!AR109*'Pin Laricio'!$F$21,'Pin Maritime'!AR109*'Pin Maritime'!$F$21,'C'!AR109*'C'!$F$21,D!AR109*D!$F$21,E!AR109*E!$F$21,F!AR109*F!$F$21)</f>
        <v>0</v>
      </c>
      <c r="Y125" s="185">
        <f>SUM('Pin Laricio'!AS109*'Pin Laricio'!$F$21,'Pin Maritime'!AS109*'Pin Maritime'!$F$21,'C'!AS109*'C'!$F$21,D!AS109*D!$F$21,E!AS109*E!$F$21,F!AS109*F!$F$21)</f>
        <v>0</v>
      </c>
      <c r="Z125" s="328">
        <f>SUM('Pin Laricio'!AT109*'Pin Laricio'!$F$21,'Pin Maritime'!AT109*'Pin Maritime'!$F$21,'C'!AT109*'C'!$F$21,D!AT109*D!$F$21,E!AT109*E!$F$21,F!AT109*F!$F$21)</f>
        <v>0</v>
      </c>
      <c r="AA125" s="175">
        <f t="shared" si="18"/>
        <v>0</v>
      </c>
      <c r="AB125" s="176">
        <f t="shared" si="17"/>
        <v>0</v>
      </c>
      <c r="AC125" s="175"/>
      <c r="AD125" s="175"/>
    </row>
    <row r="126" spans="2:30" x14ac:dyDescent="0.3">
      <c r="B126" s="166" t="s">
        <v>13</v>
      </c>
      <c r="C126" s="4">
        <v>0.66</v>
      </c>
      <c r="D126" s="188" t="s">
        <v>228</v>
      </c>
      <c r="E126" s="205">
        <v>50</v>
      </c>
      <c r="F126" s="251">
        <f>IF(Tableau14582[[#This Row],[Type]]="Feuillus",11*1.25,15.5*1.25)</f>
        <v>13.75</v>
      </c>
      <c r="G126" s="205">
        <v>10</v>
      </c>
      <c r="M126"/>
      <c r="N126" s="71">
        <v>105</v>
      </c>
      <c r="O126" s="236"/>
      <c r="P126" s="177"/>
      <c r="Q126" s="237">
        <f t="shared" si="22"/>
        <v>272.49999999999994</v>
      </c>
      <c r="R126" s="177">
        <f t="shared" si="15"/>
        <v>21.799999999999997</v>
      </c>
      <c r="S126" s="177">
        <f>$L$11*(1+$L$9)^N126*'Récapitulatif des résultats'!$I$11</f>
        <v>0</v>
      </c>
      <c r="T126" s="238"/>
      <c r="U126" s="177"/>
      <c r="V126" s="246">
        <f t="shared" si="16"/>
        <v>0</v>
      </c>
      <c r="W126" s="185">
        <f>SUM('Pin Laricio'!AQ110*'Pin Laricio'!$F$21,'Pin Maritime'!AQ110*'Pin Maritime'!$F$21,'C'!AQ110*'C'!$F$21,D!AQ110*D!$F$21,E!AQ110*E!$F$21,F!AQ110*F!$F$21)</f>
        <v>0</v>
      </c>
      <c r="X126" s="185">
        <f>SUM('Pin Laricio'!AR110*'Pin Laricio'!$F$21,'Pin Maritime'!AR110*'Pin Maritime'!$F$21,'C'!AR110*'C'!$F$21,D!AR110*D!$F$21,E!AR110*E!$F$21,F!AR110*F!$F$21)</f>
        <v>0</v>
      </c>
      <c r="Y126" s="185">
        <f>SUM('Pin Laricio'!AS110*'Pin Laricio'!$F$21,'Pin Maritime'!AS110*'Pin Maritime'!$F$21,'C'!AS110*'C'!$F$21,D!AS110*D!$F$21,E!AS110*E!$F$21,F!AS110*F!$F$21)</f>
        <v>0</v>
      </c>
      <c r="Z126" s="328">
        <f>SUM('Pin Laricio'!AT110*'Pin Laricio'!$F$21,'Pin Maritime'!AT110*'Pin Maritime'!$F$21,'C'!AT110*'C'!$F$21,D!AT110*D!$F$21,E!AT110*E!$F$21,F!AT110*F!$F$21)</f>
        <v>0</v>
      </c>
      <c r="AA126" s="175">
        <f t="shared" si="18"/>
        <v>0</v>
      </c>
      <c r="AB126" s="176">
        <f t="shared" si="17"/>
        <v>0</v>
      </c>
      <c r="AC126" s="175"/>
      <c r="AD126" s="175"/>
    </row>
    <row r="127" spans="2:30" x14ac:dyDescent="0.3">
      <c r="B127" s="167" t="s">
        <v>14</v>
      </c>
      <c r="C127" s="134">
        <v>0.47</v>
      </c>
      <c r="D127" s="188" t="s">
        <v>228</v>
      </c>
      <c r="E127" s="205">
        <v>100</v>
      </c>
      <c r="F127" s="251">
        <f>IF(Tableau14582[[#This Row],[Type]]="Feuillus",11*1.25,15.5*1.25)</f>
        <v>13.75</v>
      </c>
      <c r="G127" s="205">
        <v>10</v>
      </c>
      <c r="M127"/>
      <c r="N127" s="71">
        <v>106</v>
      </c>
      <c r="O127" s="236"/>
      <c r="P127" s="177"/>
      <c r="Q127" s="237">
        <f t="shared" si="22"/>
        <v>272.49999999999994</v>
      </c>
      <c r="R127" s="177">
        <f t="shared" si="15"/>
        <v>21.799999999999997</v>
      </c>
      <c r="S127" s="177">
        <f>$L$11*(1+$L$9)^N127*'Récapitulatif des résultats'!$I$11</f>
        <v>0</v>
      </c>
      <c r="T127" s="238"/>
      <c r="U127" s="177"/>
      <c r="V127" s="246">
        <f t="shared" si="16"/>
        <v>0</v>
      </c>
      <c r="W127" s="185">
        <f>SUM('Pin Laricio'!AQ111*'Pin Laricio'!$F$21,'Pin Maritime'!AQ111*'Pin Maritime'!$F$21,'C'!AQ111*'C'!$F$21,D!AQ111*D!$F$21,E!AQ111*E!$F$21,F!AQ111*F!$F$21)</f>
        <v>0</v>
      </c>
      <c r="X127" s="185">
        <f>SUM('Pin Laricio'!AR111*'Pin Laricio'!$F$21,'Pin Maritime'!AR111*'Pin Maritime'!$F$21,'C'!AR111*'C'!$F$21,D!AR111*D!$F$21,E!AR111*E!$F$21,F!AR111*F!$F$21)</f>
        <v>0</v>
      </c>
      <c r="Y127" s="185">
        <f>SUM('Pin Laricio'!AS111*'Pin Laricio'!$F$21,'Pin Maritime'!AS111*'Pin Maritime'!$F$21,'C'!AS111*'C'!$F$21,D!AS111*D!$F$21,E!AS111*E!$F$21,F!AS111*F!$F$21)</f>
        <v>0</v>
      </c>
      <c r="Z127" s="328">
        <f>SUM('Pin Laricio'!AT111*'Pin Laricio'!$F$21,'Pin Maritime'!AT111*'Pin Maritime'!$F$21,'C'!AT111*'C'!$F$21,D!AT111*D!$F$21,E!AT111*E!$F$21,F!AT111*F!$F$21)</f>
        <v>0</v>
      </c>
      <c r="AA127" s="175">
        <f t="shared" si="18"/>
        <v>0</v>
      </c>
      <c r="AB127" s="176">
        <f t="shared" si="17"/>
        <v>0</v>
      </c>
      <c r="AC127" s="175"/>
      <c r="AD127" s="175"/>
    </row>
    <row r="128" spans="2:30" x14ac:dyDescent="0.3">
      <c r="B128" s="166" t="s">
        <v>15</v>
      </c>
      <c r="C128" s="4">
        <v>0.67</v>
      </c>
      <c r="D128" s="188" t="s">
        <v>228</v>
      </c>
      <c r="E128" s="205">
        <v>150</v>
      </c>
      <c r="F128" s="251">
        <f>IF(Tableau14582[[#This Row],[Type]]="Feuillus",11*1.25,15.5*1.25)</f>
        <v>13.75</v>
      </c>
      <c r="G128" s="205">
        <v>10</v>
      </c>
      <c r="M128"/>
      <c r="N128" s="71">
        <v>107</v>
      </c>
      <c r="O128" s="236"/>
      <c r="P128" s="177"/>
      <c r="Q128" s="237">
        <f t="shared" si="22"/>
        <v>272.49999999999994</v>
      </c>
      <c r="R128" s="177">
        <f t="shared" si="15"/>
        <v>21.799999999999997</v>
      </c>
      <c r="S128" s="177">
        <f>$L$11*(1+$L$9)^N128*'Récapitulatif des résultats'!$I$11</f>
        <v>0</v>
      </c>
      <c r="T128" s="238"/>
      <c r="U128" s="177"/>
      <c r="V128" s="246">
        <f t="shared" si="16"/>
        <v>0</v>
      </c>
      <c r="W128" s="185">
        <f>SUM('Pin Laricio'!AQ112*'Pin Laricio'!$F$21,'Pin Maritime'!AQ112*'Pin Maritime'!$F$21,'C'!AQ112*'C'!$F$21,D!AQ112*D!$F$21,E!AQ112*E!$F$21,F!AQ112*F!$F$21)</f>
        <v>0</v>
      </c>
      <c r="X128" s="185">
        <f>SUM('Pin Laricio'!AR112*'Pin Laricio'!$F$21,'Pin Maritime'!AR112*'Pin Maritime'!$F$21,'C'!AR112*'C'!$F$21,D!AR112*D!$F$21,E!AR112*E!$F$21,F!AR112*F!$F$21)</f>
        <v>0</v>
      </c>
      <c r="Y128" s="185">
        <f>SUM('Pin Laricio'!AS112*'Pin Laricio'!$F$21,'Pin Maritime'!AS112*'Pin Maritime'!$F$21,'C'!AS112*'C'!$F$21,D!AS112*D!$F$21,E!AS112*E!$F$21,F!AS112*F!$F$21)</f>
        <v>0</v>
      </c>
      <c r="Z128" s="328">
        <f>SUM('Pin Laricio'!AT112*'Pin Laricio'!$F$21,'Pin Maritime'!AT112*'Pin Maritime'!$F$21,'C'!AT112*'C'!$F$21,D!AT112*D!$F$21,E!AT112*E!$F$21,F!AT112*F!$F$21)</f>
        <v>0</v>
      </c>
      <c r="AA128" s="175">
        <f t="shared" si="18"/>
        <v>0</v>
      </c>
      <c r="AB128" s="176">
        <f t="shared" si="17"/>
        <v>0</v>
      </c>
      <c r="AC128" s="175"/>
      <c r="AD128" s="175"/>
    </row>
    <row r="129" spans="2:30" x14ac:dyDescent="0.3">
      <c r="B129" s="166" t="s">
        <v>16</v>
      </c>
      <c r="C129" s="4">
        <v>0.7</v>
      </c>
      <c r="D129" s="188" t="s">
        <v>228</v>
      </c>
      <c r="E129" s="205">
        <v>150</v>
      </c>
      <c r="F129" s="251">
        <f>IF(Tableau14582[[#This Row],[Type]]="Feuillus",11*1.25,15.5*1.25)</f>
        <v>13.75</v>
      </c>
      <c r="G129" s="205">
        <v>10</v>
      </c>
      <c r="M129"/>
      <c r="N129" s="71">
        <v>108</v>
      </c>
      <c r="O129" s="236"/>
      <c r="P129" s="177"/>
      <c r="Q129" s="237">
        <f t="shared" si="22"/>
        <v>272.49999999999994</v>
      </c>
      <c r="R129" s="177">
        <f t="shared" si="15"/>
        <v>21.799999999999997</v>
      </c>
      <c r="S129" s="177">
        <f>$L$11*(1+$L$9)^N129*'Récapitulatif des résultats'!$I$11</f>
        <v>0</v>
      </c>
      <c r="T129" s="238"/>
      <c r="U129" s="177"/>
      <c r="V129" s="246">
        <f t="shared" si="16"/>
        <v>0</v>
      </c>
      <c r="W129" s="185">
        <f>SUM('Pin Laricio'!AQ113*'Pin Laricio'!$F$21,'Pin Maritime'!AQ113*'Pin Maritime'!$F$21,'C'!AQ113*'C'!$F$21,D!AQ113*D!$F$21,E!AQ113*E!$F$21,F!AQ113*F!$F$21)</f>
        <v>0</v>
      </c>
      <c r="X129" s="185">
        <f>SUM('Pin Laricio'!AR113*'Pin Laricio'!$F$21,'Pin Maritime'!AR113*'Pin Maritime'!$F$21,'C'!AR113*'C'!$F$21,D!AR113*D!$F$21,E!AR113*E!$F$21,F!AR113*F!$F$21)</f>
        <v>0</v>
      </c>
      <c r="Y129" s="185">
        <f>SUM('Pin Laricio'!AS113*'Pin Laricio'!$F$21,'Pin Maritime'!AS113*'Pin Maritime'!$F$21,'C'!AS113*'C'!$F$21,D!AS113*D!$F$21,E!AS113*E!$F$21,F!AS113*F!$F$21)</f>
        <v>0</v>
      </c>
      <c r="Z129" s="328">
        <f>SUM('Pin Laricio'!AT113*'Pin Laricio'!$F$21,'Pin Maritime'!AT113*'Pin Maritime'!$F$21,'C'!AT113*'C'!$F$21,D!AT113*D!$F$21,E!AT113*E!$F$21,F!AT113*F!$F$21)</f>
        <v>0</v>
      </c>
      <c r="AA129" s="175">
        <f t="shared" si="18"/>
        <v>0</v>
      </c>
      <c r="AB129" s="176">
        <f t="shared" si="17"/>
        <v>0</v>
      </c>
      <c r="AC129" s="175"/>
      <c r="AD129" s="175"/>
    </row>
    <row r="130" spans="2:30" x14ac:dyDescent="0.3">
      <c r="B130" s="166" t="s">
        <v>17</v>
      </c>
      <c r="C130" s="4">
        <v>0.54</v>
      </c>
      <c r="D130" s="188" t="s">
        <v>228</v>
      </c>
      <c r="E130" s="205">
        <v>150</v>
      </c>
      <c r="F130" s="251">
        <f>IF(Tableau14582[[#This Row],[Type]]="Feuillus",11*1.25,15.5*1.25)</f>
        <v>13.75</v>
      </c>
      <c r="G130" s="205">
        <v>10</v>
      </c>
      <c r="M130"/>
      <c r="N130" s="71">
        <v>109</v>
      </c>
      <c r="O130" s="236"/>
      <c r="P130" s="177"/>
      <c r="Q130" s="237">
        <f t="shared" si="22"/>
        <v>272.49999999999994</v>
      </c>
      <c r="R130" s="177">
        <f t="shared" si="15"/>
        <v>21.799999999999997</v>
      </c>
      <c r="S130" s="177">
        <f>$L$11*(1+$L$9)^N130*'Récapitulatif des résultats'!$I$11</f>
        <v>0</v>
      </c>
      <c r="T130" s="238"/>
      <c r="U130" s="177"/>
      <c r="V130" s="246">
        <f t="shared" si="16"/>
        <v>0</v>
      </c>
      <c r="W130" s="185">
        <f>SUM('Pin Laricio'!AQ114*'Pin Laricio'!$F$21,'Pin Maritime'!AQ114*'Pin Maritime'!$F$21,'C'!AQ114*'C'!$F$21,D!AQ114*D!$F$21,E!AQ114*E!$F$21,F!AQ114*F!$F$21)</f>
        <v>0</v>
      </c>
      <c r="X130" s="185">
        <f>SUM('Pin Laricio'!AR114*'Pin Laricio'!$F$21,'Pin Maritime'!AR114*'Pin Maritime'!$F$21,'C'!AR114*'C'!$F$21,D!AR114*D!$F$21,E!AR114*E!$F$21,F!AR114*F!$F$21)</f>
        <v>0</v>
      </c>
      <c r="Y130" s="185">
        <f>SUM('Pin Laricio'!AS114*'Pin Laricio'!$F$21,'Pin Maritime'!AS114*'Pin Maritime'!$F$21,'C'!AS114*'C'!$F$21,D!AS114*D!$F$21,E!AS114*E!$F$21,F!AS114*F!$F$21)</f>
        <v>0</v>
      </c>
      <c r="Z130" s="328">
        <f>SUM('Pin Laricio'!AT114*'Pin Laricio'!$F$21,'Pin Maritime'!AT114*'Pin Maritime'!$F$21,'C'!AT114*'C'!$F$21,D!AT114*D!$F$21,E!AT114*E!$F$21,F!AT114*F!$F$21)</f>
        <v>0</v>
      </c>
      <c r="AA130" s="175">
        <f t="shared" si="18"/>
        <v>0</v>
      </c>
      <c r="AB130" s="176">
        <f t="shared" si="17"/>
        <v>0</v>
      </c>
      <c r="AC130" s="175"/>
      <c r="AD130" s="175"/>
    </row>
    <row r="131" spans="2:30" x14ac:dyDescent="0.3">
      <c r="B131" s="166" t="s">
        <v>18</v>
      </c>
      <c r="C131" s="4">
        <v>0.65</v>
      </c>
      <c r="D131" s="188" t="s">
        <v>228</v>
      </c>
      <c r="E131" s="205">
        <v>150</v>
      </c>
      <c r="F131" s="251">
        <f>IF(Tableau14582[[#This Row],[Type]]="Feuillus",11*1.25,15.5*1.25)</f>
        <v>13.75</v>
      </c>
      <c r="G131" s="205">
        <v>10</v>
      </c>
      <c r="M131"/>
      <c r="N131" s="71">
        <v>110</v>
      </c>
      <c r="O131" s="236"/>
      <c r="P131" s="177"/>
      <c r="Q131" s="237">
        <f t="shared" si="22"/>
        <v>272.49999999999994</v>
      </c>
      <c r="R131" s="177">
        <f t="shared" si="15"/>
        <v>21.799999999999997</v>
      </c>
      <c r="S131" s="177">
        <f>$L$11*(1+$L$9)^N131*'Récapitulatif des résultats'!$I$11</f>
        <v>0</v>
      </c>
      <c r="T131" s="238"/>
      <c r="U131" s="177"/>
      <c r="V131" s="246">
        <f t="shared" si="16"/>
        <v>0</v>
      </c>
      <c r="W131" s="185">
        <f>SUM('Pin Laricio'!AQ115*'Pin Laricio'!$F$21,'Pin Maritime'!AQ115*'Pin Maritime'!$F$21,'C'!AQ115*'C'!$F$21,D!AQ115*D!$F$21,E!AQ115*E!$F$21,F!AQ115*F!$F$21)</f>
        <v>0</v>
      </c>
      <c r="X131" s="185">
        <f>SUM('Pin Laricio'!AR115*'Pin Laricio'!$F$21,'Pin Maritime'!AR115*'Pin Maritime'!$F$21,'C'!AR115*'C'!$F$21,D!AR115*D!$F$21,E!AR115*E!$F$21,F!AR115*F!$F$21)</f>
        <v>0</v>
      </c>
      <c r="Y131" s="185">
        <f>SUM('Pin Laricio'!AS115*'Pin Laricio'!$F$21,'Pin Maritime'!AS115*'Pin Maritime'!$F$21,'C'!AS115*'C'!$F$21,D!AS115*D!$F$21,E!AS115*E!$F$21,F!AS115*F!$F$21)</f>
        <v>0</v>
      </c>
      <c r="Z131" s="328">
        <f>SUM('Pin Laricio'!AT115*'Pin Laricio'!$F$21,'Pin Maritime'!AT115*'Pin Maritime'!$F$21,'C'!AT115*'C'!$F$21,D!AT115*D!$F$21,E!AT115*E!$F$21,F!AT115*F!$F$21)</f>
        <v>0</v>
      </c>
      <c r="AA131" s="175">
        <f t="shared" si="18"/>
        <v>0</v>
      </c>
      <c r="AB131" s="176">
        <f t="shared" si="17"/>
        <v>0</v>
      </c>
      <c r="AC131" s="175"/>
      <c r="AD131" s="175"/>
    </row>
    <row r="132" spans="2:30" x14ac:dyDescent="0.3">
      <c r="B132" s="166" t="s">
        <v>19</v>
      </c>
      <c r="C132" s="4">
        <v>0.56000000000000005</v>
      </c>
      <c r="D132" s="188" t="s">
        <v>228</v>
      </c>
      <c r="E132" s="205">
        <v>150</v>
      </c>
      <c r="F132" s="251">
        <f>IF(Tableau14582[[#This Row],[Type]]="Feuillus",11*1.25,15.5*1.25)</f>
        <v>13.75</v>
      </c>
      <c r="G132" s="205">
        <v>10</v>
      </c>
      <c r="M132"/>
      <c r="N132" s="71">
        <v>111</v>
      </c>
      <c r="O132" s="236"/>
      <c r="P132" s="177"/>
      <c r="Q132" s="237">
        <f t="shared" si="22"/>
        <v>272.49999999999994</v>
      </c>
      <c r="R132" s="177">
        <f t="shared" si="15"/>
        <v>21.799999999999997</v>
      </c>
      <c r="S132" s="177">
        <f>$L$11*(1+$L$9)^N132*'Récapitulatif des résultats'!$I$11</f>
        <v>0</v>
      </c>
      <c r="T132" s="238"/>
      <c r="U132" s="177"/>
      <c r="V132" s="246">
        <f t="shared" si="16"/>
        <v>0</v>
      </c>
      <c r="W132" s="185">
        <f>SUM('Pin Laricio'!AQ116*'Pin Laricio'!$F$21,'Pin Maritime'!AQ116*'Pin Maritime'!$F$21,'C'!AQ116*'C'!$F$21,D!AQ116*D!$F$21,E!AQ116*E!$F$21,F!AQ116*F!$F$21)</f>
        <v>0</v>
      </c>
      <c r="X132" s="185">
        <f>SUM('Pin Laricio'!AR116*'Pin Laricio'!$F$21,'Pin Maritime'!AR116*'Pin Maritime'!$F$21,'C'!AR116*'C'!$F$21,D!AR116*D!$F$21,E!AR116*E!$F$21,F!AR116*F!$F$21)</f>
        <v>0</v>
      </c>
      <c r="Y132" s="185">
        <f>SUM('Pin Laricio'!AS116*'Pin Laricio'!$F$21,'Pin Maritime'!AS116*'Pin Maritime'!$F$21,'C'!AS116*'C'!$F$21,D!AS116*D!$F$21,E!AS116*E!$F$21,F!AS116*F!$F$21)</f>
        <v>0</v>
      </c>
      <c r="Z132" s="328">
        <f>SUM('Pin Laricio'!AT116*'Pin Laricio'!$F$21,'Pin Maritime'!AT116*'Pin Maritime'!$F$21,'C'!AT116*'C'!$F$21,D!AT116*D!$F$21,E!AT116*E!$F$21,F!AT116*F!$F$21)</f>
        <v>0</v>
      </c>
      <c r="AA132" s="175">
        <f t="shared" si="18"/>
        <v>0</v>
      </c>
      <c r="AB132" s="176">
        <f t="shared" si="17"/>
        <v>0</v>
      </c>
      <c r="AC132" s="175"/>
      <c r="AD132" s="175"/>
    </row>
    <row r="133" spans="2:30" x14ac:dyDescent="0.3">
      <c r="B133" s="166" t="s">
        <v>20</v>
      </c>
      <c r="C133" s="4">
        <v>0.57999999999999996</v>
      </c>
      <c r="D133" s="188" t="s">
        <v>228</v>
      </c>
      <c r="E133" s="205">
        <v>150</v>
      </c>
      <c r="F133" s="251">
        <f>IF(Tableau14582[[#This Row],[Type]]="Feuillus",11*1.25,15.5*1.25)</f>
        <v>13.75</v>
      </c>
      <c r="G133" s="205">
        <v>10</v>
      </c>
      <c r="M133"/>
      <c r="N133" s="71">
        <v>112</v>
      </c>
      <c r="O133" s="236"/>
      <c r="P133" s="177"/>
      <c r="Q133" s="237">
        <f t="shared" si="22"/>
        <v>272.49999999999994</v>
      </c>
      <c r="R133" s="177">
        <f t="shared" si="15"/>
        <v>21.799999999999997</v>
      </c>
      <c r="S133" s="177">
        <f>$L$11*(1+$L$9)^N133*'Récapitulatif des résultats'!$I$11</f>
        <v>0</v>
      </c>
      <c r="T133" s="238"/>
      <c r="U133" s="177"/>
      <c r="V133" s="246">
        <f t="shared" si="16"/>
        <v>0</v>
      </c>
      <c r="W133" s="185">
        <f>SUM('Pin Laricio'!AQ117*'Pin Laricio'!$F$21,'Pin Maritime'!AQ117*'Pin Maritime'!$F$21,'C'!AQ117*'C'!$F$21,D!AQ117*D!$F$21,E!AQ117*E!$F$21,F!AQ117*F!$F$21)</f>
        <v>0</v>
      </c>
      <c r="X133" s="185">
        <f>SUM('Pin Laricio'!AR117*'Pin Laricio'!$F$21,'Pin Maritime'!AR117*'Pin Maritime'!$F$21,'C'!AR117*'C'!$F$21,D!AR117*D!$F$21,E!AR117*E!$F$21,F!AR117*F!$F$21)</f>
        <v>0</v>
      </c>
      <c r="Y133" s="185">
        <f>SUM('Pin Laricio'!AS117*'Pin Laricio'!$F$21,'Pin Maritime'!AS117*'Pin Maritime'!$F$21,'C'!AS117*'C'!$F$21,D!AS117*D!$F$21,E!AS117*E!$F$21,F!AS117*F!$F$21)</f>
        <v>0</v>
      </c>
      <c r="Z133" s="328">
        <f>SUM('Pin Laricio'!AT117*'Pin Laricio'!$F$21,'Pin Maritime'!AT117*'Pin Maritime'!$F$21,'C'!AT117*'C'!$F$21,D!AT117*D!$F$21,E!AT117*E!$F$21,F!AT117*F!$F$21)</f>
        <v>0</v>
      </c>
      <c r="AA133" s="175">
        <f t="shared" si="18"/>
        <v>0</v>
      </c>
      <c r="AB133" s="176">
        <f t="shared" si="17"/>
        <v>0</v>
      </c>
      <c r="AC133" s="175"/>
      <c r="AD133" s="175"/>
    </row>
    <row r="134" spans="2:30" x14ac:dyDescent="0.3">
      <c r="B134" s="166" t="s">
        <v>21</v>
      </c>
      <c r="C134" s="4">
        <v>0.64</v>
      </c>
      <c r="D134" s="188" t="s">
        <v>228</v>
      </c>
      <c r="E134" s="205">
        <v>150</v>
      </c>
      <c r="F134" s="251">
        <f>IF(Tableau14582[[#This Row],[Type]]="Feuillus",11*1.25,15.5*1.25)</f>
        <v>13.75</v>
      </c>
      <c r="G134" s="205">
        <v>10</v>
      </c>
      <c r="M134"/>
      <c r="N134" s="71">
        <v>113</v>
      </c>
      <c r="O134" s="236"/>
      <c r="P134" s="177"/>
      <c r="Q134" s="237">
        <f t="shared" si="22"/>
        <v>272.49999999999994</v>
      </c>
      <c r="R134" s="177">
        <f t="shared" si="15"/>
        <v>21.799999999999997</v>
      </c>
      <c r="S134" s="177">
        <f>$L$11*(1+$L$9)^N134*'Récapitulatif des résultats'!$I$11</f>
        <v>0</v>
      </c>
      <c r="T134" s="238"/>
      <c r="U134" s="177"/>
      <c r="V134" s="246">
        <f t="shared" si="16"/>
        <v>0</v>
      </c>
      <c r="W134" s="185">
        <f>SUM('Pin Laricio'!AQ118*'Pin Laricio'!$F$21,'Pin Maritime'!AQ118*'Pin Maritime'!$F$21,'C'!AQ118*'C'!$F$21,D!AQ118*D!$F$21,E!AQ118*E!$F$21,F!AQ118*F!$F$21)</f>
        <v>0</v>
      </c>
      <c r="X134" s="185">
        <f>SUM('Pin Laricio'!AR118*'Pin Laricio'!$F$21,'Pin Maritime'!AR118*'Pin Maritime'!$F$21,'C'!AR118*'C'!$F$21,D!AR118*D!$F$21,E!AR118*E!$F$21,F!AR118*F!$F$21)</f>
        <v>0</v>
      </c>
      <c r="Y134" s="185">
        <f>SUM('Pin Laricio'!AS118*'Pin Laricio'!$F$21,'Pin Maritime'!AS118*'Pin Maritime'!$F$21,'C'!AS118*'C'!$F$21,D!AS118*D!$F$21,E!AS118*E!$F$21,F!AS118*F!$F$21)</f>
        <v>0</v>
      </c>
      <c r="Z134" s="328">
        <f>SUM('Pin Laricio'!AT118*'Pin Laricio'!$F$21,'Pin Maritime'!AT118*'Pin Maritime'!$F$21,'C'!AT118*'C'!$F$21,D!AT118*D!$F$21,E!AT118*E!$F$21,F!AT118*F!$F$21)</f>
        <v>0</v>
      </c>
      <c r="AA134" s="175">
        <f t="shared" si="18"/>
        <v>0</v>
      </c>
      <c r="AB134" s="176">
        <f t="shared" si="17"/>
        <v>0</v>
      </c>
      <c r="AC134" s="175"/>
      <c r="AD134" s="175"/>
    </row>
    <row r="135" spans="2:30" x14ac:dyDescent="0.3">
      <c r="B135" s="166" t="s">
        <v>22</v>
      </c>
      <c r="C135" s="4">
        <v>0.73</v>
      </c>
      <c r="D135" s="188" t="s">
        <v>228</v>
      </c>
      <c r="E135" s="205">
        <v>150</v>
      </c>
      <c r="F135" s="251">
        <f>IF(Tableau14582[[#This Row],[Type]]="Feuillus",11*1.25,15.5*1.25)</f>
        <v>13.75</v>
      </c>
      <c r="G135" s="205">
        <v>10</v>
      </c>
      <c r="M135"/>
      <c r="N135" s="71">
        <v>114</v>
      </c>
      <c r="O135" s="236"/>
      <c r="P135" s="177"/>
      <c r="Q135" s="237">
        <f t="shared" si="22"/>
        <v>272.49999999999994</v>
      </c>
      <c r="R135" s="177">
        <f t="shared" si="15"/>
        <v>21.799999999999997</v>
      </c>
      <c r="S135" s="177">
        <f>$L$11*(1+$L$9)^N135*'Récapitulatif des résultats'!$I$11</f>
        <v>0</v>
      </c>
      <c r="T135" s="238"/>
      <c r="U135" s="177"/>
      <c r="V135" s="246">
        <f t="shared" si="16"/>
        <v>0</v>
      </c>
      <c r="W135" s="185">
        <f>SUM('Pin Laricio'!AQ119*'Pin Laricio'!$F$21,'Pin Maritime'!AQ119*'Pin Maritime'!$F$21,'C'!AQ119*'C'!$F$21,D!AQ119*D!$F$21,E!AQ119*E!$F$21,F!AQ119*F!$F$21)</f>
        <v>0</v>
      </c>
      <c r="X135" s="185">
        <f>SUM('Pin Laricio'!AR119*'Pin Laricio'!$F$21,'Pin Maritime'!AR119*'Pin Maritime'!$F$21,'C'!AR119*'C'!$F$21,D!AR119*D!$F$21,E!AR119*E!$F$21,F!AR119*F!$F$21)</f>
        <v>0</v>
      </c>
      <c r="Y135" s="185">
        <f>SUM('Pin Laricio'!AS119*'Pin Laricio'!$F$21,'Pin Maritime'!AS119*'Pin Maritime'!$F$21,'C'!AS119*'C'!$F$21,D!AS119*D!$F$21,E!AS119*E!$F$21,F!AS119*F!$F$21)</f>
        <v>0</v>
      </c>
      <c r="Z135" s="328">
        <f>SUM('Pin Laricio'!AT119*'Pin Laricio'!$F$21,'Pin Maritime'!AT119*'Pin Maritime'!$F$21,'C'!AT119*'C'!$F$21,D!AT119*D!$F$21,E!AT119*E!$F$21,F!AT119*F!$F$21)</f>
        <v>0</v>
      </c>
      <c r="AA135" s="175">
        <f t="shared" si="18"/>
        <v>0</v>
      </c>
      <c r="AB135" s="176">
        <f t="shared" si="17"/>
        <v>0</v>
      </c>
      <c r="AC135" s="175"/>
      <c r="AD135" s="175"/>
    </row>
    <row r="136" spans="2:30" x14ac:dyDescent="0.3">
      <c r="B136" s="166" t="s">
        <v>23</v>
      </c>
      <c r="C136" s="4">
        <v>0.56000000000000005</v>
      </c>
      <c r="D136" s="188" t="s">
        <v>228</v>
      </c>
      <c r="E136" s="205">
        <v>150</v>
      </c>
      <c r="F136" s="251">
        <f>IF(Tableau14582[[#This Row],[Type]]="Feuillus",11*1.25,15.5*1.25)</f>
        <v>13.75</v>
      </c>
      <c r="G136" s="205">
        <v>10</v>
      </c>
      <c r="M136"/>
      <c r="N136" s="71">
        <v>115</v>
      </c>
      <c r="O136" s="236"/>
      <c r="P136" s="177"/>
      <c r="Q136" s="237">
        <f t="shared" si="22"/>
        <v>272.49999999999994</v>
      </c>
      <c r="R136" s="177">
        <f t="shared" si="15"/>
        <v>21.799999999999997</v>
      </c>
      <c r="S136" s="177">
        <f>$L$11*(1+$L$9)^N136*'Récapitulatif des résultats'!$I$11</f>
        <v>0</v>
      </c>
      <c r="T136" s="238"/>
      <c r="U136" s="177"/>
      <c r="V136" s="246">
        <f t="shared" si="16"/>
        <v>0</v>
      </c>
      <c r="W136" s="185">
        <f>SUM('Pin Laricio'!AQ120*'Pin Laricio'!$F$21,'Pin Maritime'!AQ120*'Pin Maritime'!$F$21,'C'!AQ120*'C'!$F$21,D!AQ120*D!$F$21,E!AQ120*E!$F$21,F!AQ120*F!$F$21)</f>
        <v>0</v>
      </c>
      <c r="X136" s="185">
        <f>SUM('Pin Laricio'!AR120*'Pin Laricio'!$F$21,'Pin Maritime'!AR120*'Pin Maritime'!$F$21,'C'!AR120*'C'!$F$21,D!AR120*D!$F$21,E!AR120*E!$F$21,F!AR120*F!$F$21)</f>
        <v>0</v>
      </c>
      <c r="Y136" s="185">
        <f>SUM('Pin Laricio'!AS120*'Pin Laricio'!$F$21,'Pin Maritime'!AS120*'Pin Maritime'!$F$21,'C'!AS120*'C'!$F$21,D!AS120*D!$F$21,E!AS120*E!$F$21,F!AS120*F!$F$21)</f>
        <v>0</v>
      </c>
      <c r="Z136" s="328">
        <f>SUM('Pin Laricio'!AT120*'Pin Laricio'!$F$21,'Pin Maritime'!AT120*'Pin Maritime'!$F$21,'C'!AT120*'C'!$F$21,D!AT120*D!$F$21,E!AT120*E!$F$21,F!AT120*F!$F$21)</f>
        <v>0</v>
      </c>
      <c r="AA136" s="175">
        <f t="shared" si="18"/>
        <v>0</v>
      </c>
      <c r="AB136" s="176">
        <f t="shared" si="17"/>
        <v>0</v>
      </c>
      <c r="AC136" s="175"/>
      <c r="AD136" s="175"/>
    </row>
    <row r="137" spans="2:30" x14ac:dyDescent="0.3">
      <c r="B137" s="166" t="s">
        <v>24</v>
      </c>
      <c r="C137" s="4">
        <v>0.74</v>
      </c>
      <c r="D137" s="188" t="s">
        <v>228</v>
      </c>
      <c r="E137" s="205">
        <v>300</v>
      </c>
      <c r="F137" s="251">
        <f>IF(Tableau14582[[#This Row],[Type]]="Feuillus",11*1.25,15.5*1.25)</f>
        <v>13.75</v>
      </c>
      <c r="G137" s="205">
        <v>10</v>
      </c>
      <c r="M137"/>
      <c r="N137" s="71">
        <v>116</v>
      </c>
      <c r="O137" s="236"/>
      <c r="P137" s="177"/>
      <c r="Q137" s="237">
        <f t="shared" si="22"/>
        <v>272.49999999999994</v>
      </c>
      <c r="R137" s="177">
        <f t="shared" si="15"/>
        <v>21.799999999999997</v>
      </c>
      <c r="S137" s="177">
        <f>$L$11*(1+$L$9)^N137*'Récapitulatif des résultats'!$I$11</f>
        <v>0</v>
      </c>
      <c r="T137" s="238"/>
      <c r="U137" s="177"/>
      <c r="V137" s="246">
        <f t="shared" si="16"/>
        <v>0</v>
      </c>
      <c r="W137" s="185">
        <f>SUM('Pin Laricio'!AQ121*'Pin Laricio'!$F$21,'Pin Maritime'!AQ121*'Pin Maritime'!$F$21,'C'!AQ121*'C'!$F$21,D!AQ121*D!$F$21,E!AQ121*E!$F$21,F!AQ121*F!$F$21)</f>
        <v>0</v>
      </c>
      <c r="X137" s="185">
        <f>SUM('Pin Laricio'!AR121*'Pin Laricio'!$F$21,'Pin Maritime'!AR121*'Pin Maritime'!$F$21,'C'!AR121*'C'!$F$21,D!AR121*D!$F$21,E!AR121*E!$F$21,F!AR121*F!$F$21)</f>
        <v>0</v>
      </c>
      <c r="Y137" s="185">
        <f>SUM('Pin Laricio'!AS121*'Pin Laricio'!$F$21,'Pin Maritime'!AS121*'Pin Maritime'!$F$21,'C'!AS121*'C'!$F$21,D!AS121*D!$F$21,E!AS121*E!$F$21,F!AS121*F!$F$21)</f>
        <v>0</v>
      </c>
      <c r="Z137" s="328">
        <f>SUM('Pin Laricio'!AT121*'Pin Laricio'!$F$21,'Pin Maritime'!AT121*'Pin Maritime'!$F$21,'C'!AT121*'C'!$F$21,D!AT121*D!$F$21,E!AT121*E!$F$21,F!AT121*F!$F$21)</f>
        <v>0</v>
      </c>
      <c r="AA137" s="175">
        <f t="shared" si="18"/>
        <v>0</v>
      </c>
      <c r="AB137" s="176">
        <f t="shared" si="17"/>
        <v>0</v>
      </c>
      <c r="AC137" s="175"/>
      <c r="AD137" s="175"/>
    </row>
    <row r="138" spans="2:30" x14ac:dyDescent="0.3">
      <c r="B138" s="166" t="s">
        <v>25</v>
      </c>
      <c r="C138" s="4">
        <v>0.4</v>
      </c>
      <c r="D138" s="188" t="s">
        <v>229</v>
      </c>
      <c r="E138" s="252">
        <v>30</v>
      </c>
      <c r="F138" s="251">
        <f>IF(Tableau14582[[#This Row],[Type]]="Feuillus",11*1.25,15.5*1.25)</f>
        <v>19.375</v>
      </c>
      <c r="G138" s="205">
        <v>10</v>
      </c>
      <c r="M138"/>
      <c r="N138" s="71">
        <v>117</v>
      </c>
      <c r="O138" s="236"/>
      <c r="P138" s="177"/>
      <c r="Q138" s="237">
        <f t="shared" si="22"/>
        <v>272.49999999999994</v>
      </c>
      <c r="R138" s="177">
        <f t="shared" si="15"/>
        <v>21.799999999999997</v>
      </c>
      <c r="S138" s="177">
        <f>$L$11*(1+$L$9)^N138*'Récapitulatif des résultats'!$I$11</f>
        <v>0</v>
      </c>
      <c r="T138" s="238"/>
      <c r="U138" s="177"/>
      <c r="V138" s="246">
        <f t="shared" si="16"/>
        <v>0</v>
      </c>
      <c r="W138" s="185">
        <f>SUM('Pin Laricio'!AQ122*'Pin Laricio'!$F$21,'Pin Maritime'!AQ122*'Pin Maritime'!$F$21,'C'!AQ122*'C'!$F$21,D!AQ122*D!$F$21,E!AQ122*E!$F$21,F!AQ122*F!$F$21)</f>
        <v>0</v>
      </c>
      <c r="X138" s="185">
        <f>SUM('Pin Laricio'!AR122*'Pin Laricio'!$F$21,'Pin Maritime'!AR122*'Pin Maritime'!$F$21,'C'!AR122*'C'!$F$21,D!AR122*D!$F$21,E!AR122*E!$F$21,F!AR122*F!$F$21)</f>
        <v>0</v>
      </c>
      <c r="Y138" s="185">
        <f>SUM('Pin Laricio'!AS122*'Pin Laricio'!$F$21,'Pin Maritime'!AS122*'Pin Maritime'!$F$21,'C'!AS122*'C'!$F$21,D!AS122*D!$F$21,E!AS122*E!$F$21,F!AS122*F!$F$21)</f>
        <v>0</v>
      </c>
      <c r="Z138" s="328">
        <f>SUM('Pin Laricio'!AT122*'Pin Laricio'!$F$21,'Pin Maritime'!AT122*'Pin Maritime'!$F$21,'C'!AT122*'C'!$F$21,D!AT122*D!$F$21,E!AT122*E!$F$21,F!AT122*F!$F$21)</f>
        <v>0</v>
      </c>
      <c r="AA138" s="175">
        <f t="shared" si="18"/>
        <v>0</v>
      </c>
      <c r="AB138" s="176">
        <f t="shared" si="17"/>
        <v>0</v>
      </c>
      <c r="AC138" s="175"/>
      <c r="AD138" s="175"/>
    </row>
    <row r="139" spans="2:30" x14ac:dyDescent="0.3">
      <c r="B139" s="166" t="s">
        <v>26</v>
      </c>
      <c r="C139" s="4">
        <v>0.6</v>
      </c>
      <c r="D139" s="188" t="s">
        <v>228</v>
      </c>
      <c r="E139" s="205">
        <v>300</v>
      </c>
      <c r="F139" s="251">
        <f>IF(Tableau14582[[#This Row],[Type]]="Feuillus",11*1.25,15.5*1.25)</f>
        <v>13.75</v>
      </c>
      <c r="G139" s="205">
        <v>10</v>
      </c>
      <c r="M139"/>
      <c r="N139" s="71">
        <v>118</v>
      </c>
      <c r="O139" s="236"/>
      <c r="P139" s="177"/>
      <c r="Q139" s="237">
        <f t="shared" si="22"/>
        <v>272.49999999999994</v>
      </c>
      <c r="R139" s="177">
        <f t="shared" si="15"/>
        <v>21.799999999999997</v>
      </c>
      <c r="S139" s="177">
        <f>$L$11*(1+$L$9)^N139*'Récapitulatif des résultats'!$I$11</f>
        <v>0</v>
      </c>
      <c r="T139" s="238"/>
      <c r="U139" s="177"/>
      <c r="V139" s="246">
        <f t="shared" si="16"/>
        <v>0</v>
      </c>
      <c r="W139" s="185">
        <f>SUM('Pin Laricio'!AQ123*'Pin Laricio'!$F$21,'Pin Maritime'!AQ123*'Pin Maritime'!$F$21,'C'!AQ123*'C'!$F$21,D!AQ123*D!$F$21,E!AQ123*E!$F$21,F!AQ123*F!$F$21)</f>
        <v>0</v>
      </c>
      <c r="X139" s="185">
        <f>SUM('Pin Laricio'!AR123*'Pin Laricio'!$F$21,'Pin Maritime'!AR123*'Pin Maritime'!$F$21,'C'!AR123*'C'!$F$21,D!AR123*D!$F$21,E!AR123*E!$F$21,F!AR123*F!$F$21)</f>
        <v>0</v>
      </c>
      <c r="Y139" s="185">
        <f>SUM('Pin Laricio'!AS123*'Pin Laricio'!$F$21,'Pin Maritime'!AS123*'Pin Maritime'!$F$21,'C'!AS123*'C'!$F$21,D!AS123*D!$F$21,E!AS123*E!$F$21,F!AS123*F!$F$21)</f>
        <v>0</v>
      </c>
      <c r="Z139" s="328">
        <f>SUM('Pin Laricio'!AT123*'Pin Laricio'!$F$21,'Pin Maritime'!AT123*'Pin Maritime'!$F$21,'C'!AT123*'C'!$F$21,D!AT123*D!$F$21,E!AT123*E!$F$21,F!AT123*F!$F$21)</f>
        <v>0</v>
      </c>
      <c r="AA139" s="175">
        <f t="shared" si="18"/>
        <v>0</v>
      </c>
      <c r="AB139" s="176">
        <f t="shared" si="17"/>
        <v>0</v>
      </c>
      <c r="AC139" s="175"/>
      <c r="AD139" s="175"/>
    </row>
    <row r="140" spans="2:30" x14ac:dyDescent="0.3">
      <c r="B140" s="166" t="s">
        <v>27</v>
      </c>
      <c r="C140" s="4">
        <v>0.43</v>
      </c>
      <c r="D140" s="188" t="s">
        <v>229</v>
      </c>
      <c r="E140" s="205">
        <v>59</v>
      </c>
      <c r="F140" s="251">
        <f>IF(Tableau14582[[#This Row],[Type]]="Feuillus",11*1.25,15.5*1.25)</f>
        <v>19.375</v>
      </c>
      <c r="G140" s="205">
        <v>10</v>
      </c>
      <c r="M140"/>
      <c r="N140" s="71">
        <v>119</v>
      </c>
      <c r="O140" s="236"/>
      <c r="P140" s="177"/>
      <c r="Q140" s="237">
        <f t="shared" si="22"/>
        <v>272.49999999999994</v>
      </c>
      <c r="R140" s="177">
        <f t="shared" si="15"/>
        <v>21.799999999999997</v>
      </c>
      <c r="S140" s="177">
        <f>$L$11*(1+$L$9)^N140*'Récapitulatif des résultats'!$I$11</f>
        <v>0</v>
      </c>
      <c r="T140" s="238"/>
      <c r="U140" s="177"/>
      <c r="V140" s="246">
        <f t="shared" si="16"/>
        <v>0</v>
      </c>
      <c r="W140" s="185">
        <f>SUM('Pin Laricio'!AQ124*'Pin Laricio'!$F$21,'Pin Maritime'!AQ124*'Pin Maritime'!$F$21,'C'!AQ124*'C'!$F$21,D!AQ124*D!$F$21,E!AQ124*E!$F$21,F!AQ124*F!$F$21)</f>
        <v>0</v>
      </c>
      <c r="X140" s="185">
        <f>SUM('Pin Laricio'!AR124*'Pin Laricio'!$F$21,'Pin Maritime'!AR124*'Pin Maritime'!$F$21,'C'!AR124*'C'!$F$21,D!AR124*D!$F$21,E!AR124*E!$F$21,F!AR124*F!$F$21)</f>
        <v>0</v>
      </c>
      <c r="Y140" s="185">
        <f>SUM('Pin Laricio'!AS124*'Pin Laricio'!$F$21,'Pin Maritime'!AS124*'Pin Maritime'!$F$21,'C'!AS124*'C'!$F$21,D!AS124*D!$F$21,E!AS124*E!$F$21,F!AS124*F!$F$21)</f>
        <v>0</v>
      </c>
      <c r="Z140" s="328">
        <f>SUM('Pin Laricio'!AT124*'Pin Laricio'!$F$21,'Pin Maritime'!AT124*'Pin Maritime'!$F$21,'C'!AT124*'C'!$F$21,D!AT124*D!$F$21,E!AT124*E!$F$21,F!AT124*F!$F$21)</f>
        <v>0</v>
      </c>
      <c r="AA140" s="175">
        <f t="shared" si="18"/>
        <v>0</v>
      </c>
      <c r="AB140" s="176">
        <f t="shared" si="17"/>
        <v>0</v>
      </c>
      <c r="AC140" s="175"/>
      <c r="AD140" s="175"/>
    </row>
    <row r="141" spans="2:30" x14ac:dyDescent="0.3">
      <c r="B141" s="166" t="s">
        <v>28</v>
      </c>
      <c r="C141" s="4">
        <v>0.37</v>
      </c>
      <c r="D141" s="188" t="s">
        <v>229</v>
      </c>
      <c r="E141" s="252">
        <v>36</v>
      </c>
      <c r="F141" s="251">
        <f>IF(Tableau14582[[#This Row],[Type]]="Feuillus",11*1.25,15.5*1.25)</f>
        <v>19.375</v>
      </c>
      <c r="G141" s="205">
        <v>10</v>
      </c>
      <c r="M141"/>
      <c r="N141" s="71">
        <v>120</v>
      </c>
      <c r="O141" s="236"/>
      <c r="P141" s="177"/>
      <c r="Q141" s="237">
        <f t="shared" si="22"/>
        <v>272.49999999999994</v>
      </c>
      <c r="R141" s="177">
        <f t="shared" si="15"/>
        <v>21.799999999999997</v>
      </c>
      <c r="S141" s="177">
        <f>$L$11*(1+$L$9)^N141*'Récapitulatif des résultats'!$I$11</f>
        <v>0</v>
      </c>
      <c r="T141" s="238"/>
      <c r="U141" s="177"/>
      <c r="V141" s="246">
        <f t="shared" si="16"/>
        <v>0</v>
      </c>
      <c r="W141" s="185">
        <f>SUM('Pin Laricio'!AQ125*'Pin Laricio'!$F$21,'Pin Maritime'!AQ125*'Pin Maritime'!$F$21,'C'!AQ125*'C'!$F$21,D!AQ125*D!$F$21,E!AQ125*E!$F$21,F!AQ125*F!$F$21)</f>
        <v>0</v>
      </c>
      <c r="X141" s="185">
        <f>SUM('Pin Laricio'!AR125*'Pin Laricio'!$F$21,'Pin Maritime'!AR125*'Pin Maritime'!$F$21,'C'!AR125*'C'!$F$21,D!AR125*D!$F$21,E!AR125*E!$F$21,F!AR125*F!$F$21)</f>
        <v>0</v>
      </c>
      <c r="Y141" s="185">
        <f>SUM('Pin Laricio'!AS125*'Pin Laricio'!$F$21,'Pin Maritime'!AS125*'Pin Maritime'!$F$21,'C'!AS125*'C'!$F$21,D!AS125*D!$F$21,E!AS125*E!$F$21,F!AS125*F!$F$21)</f>
        <v>0</v>
      </c>
      <c r="Z141" s="328">
        <f>SUM('Pin Laricio'!AT125*'Pin Laricio'!$F$21,'Pin Maritime'!AT125*'Pin Maritime'!$F$21,'C'!AT125*'C'!$F$21,D!AT125*D!$F$21,E!AT125*E!$F$21,F!AT125*F!$F$21)</f>
        <v>0</v>
      </c>
      <c r="AA141" s="175">
        <f t="shared" si="18"/>
        <v>0</v>
      </c>
      <c r="AB141" s="176">
        <f t="shared" si="17"/>
        <v>0</v>
      </c>
      <c r="AC141" s="175"/>
      <c r="AD141" s="175"/>
    </row>
    <row r="142" spans="2:30" x14ac:dyDescent="0.3">
      <c r="B142" s="166" t="s">
        <v>29</v>
      </c>
      <c r="C142" s="4">
        <v>0.36</v>
      </c>
      <c r="D142" s="188" t="s">
        <v>229</v>
      </c>
      <c r="E142" s="205">
        <v>47</v>
      </c>
      <c r="F142" s="251">
        <f>IF(Tableau14582[[#This Row],[Type]]="Feuillus",11*1.25,15.5*1.25)</f>
        <v>19.375</v>
      </c>
      <c r="G142" s="205">
        <v>10</v>
      </c>
      <c r="M142"/>
      <c r="N142" s="71">
        <v>121</v>
      </c>
      <c r="O142" s="236"/>
      <c r="P142" s="177"/>
      <c r="Q142" s="237">
        <f t="shared" si="22"/>
        <v>272.49999999999994</v>
      </c>
      <c r="R142" s="177">
        <f t="shared" si="15"/>
        <v>21.799999999999997</v>
      </c>
      <c r="S142" s="177">
        <f>$L$11*(1+$L$9)^N142*'Récapitulatif des résultats'!$I$11</f>
        <v>0</v>
      </c>
      <c r="T142" s="238"/>
      <c r="U142" s="177"/>
      <c r="V142" s="246">
        <f t="shared" si="16"/>
        <v>0</v>
      </c>
      <c r="W142" s="185">
        <f>SUM('Pin Laricio'!AQ126*'Pin Laricio'!$F$21,'Pin Maritime'!AQ126*'Pin Maritime'!$F$21,'C'!AQ126*'C'!$F$21,D!AQ126*D!$F$21,E!AQ126*E!$F$21,F!AQ126*F!$F$21)</f>
        <v>0</v>
      </c>
      <c r="X142" s="185">
        <f>SUM('Pin Laricio'!AR126*'Pin Laricio'!$F$21,'Pin Maritime'!AR126*'Pin Maritime'!$F$21,'C'!AR126*'C'!$F$21,D!AR126*D!$F$21,E!AR126*E!$F$21,F!AR126*F!$F$21)</f>
        <v>0</v>
      </c>
      <c r="Y142" s="185">
        <f>SUM('Pin Laricio'!AS126*'Pin Laricio'!$F$21,'Pin Maritime'!AS126*'Pin Maritime'!$F$21,'C'!AS126*'C'!$F$21,D!AS126*D!$F$21,E!AS126*E!$F$21,F!AS126*F!$F$21)</f>
        <v>0</v>
      </c>
      <c r="Z142" s="328">
        <f>SUM('Pin Laricio'!AT126*'Pin Laricio'!$F$21,'Pin Maritime'!AT126*'Pin Maritime'!$F$21,'C'!AT126*'C'!$F$21,D!AT126*D!$F$21,E!AT126*E!$F$21,F!AT126*F!$F$21)</f>
        <v>0</v>
      </c>
      <c r="AA142" s="175">
        <f t="shared" si="18"/>
        <v>0</v>
      </c>
      <c r="AB142" s="176">
        <f t="shared" si="17"/>
        <v>0</v>
      </c>
      <c r="AC142" s="175"/>
      <c r="AD142" s="175"/>
    </row>
    <row r="143" spans="2:30" x14ac:dyDescent="0.3">
      <c r="B143" s="166" t="s">
        <v>30</v>
      </c>
      <c r="C143" s="4">
        <v>0.51</v>
      </c>
      <c r="D143" s="188" t="s">
        <v>228</v>
      </c>
      <c r="E143" s="205">
        <v>60</v>
      </c>
      <c r="F143" s="251">
        <f>IF(Tableau14582[[#This Row],[Type]]="Feuillus",11*1.25,15.5*1.25)</f>
        <v>13.75</v>
      </c>
      <c r="G143" s="205">
        <v>10</v>
      </c>
      <c r="M143"/>
      <c r="N143" s="71">
        <v>122</v>
      </c>
      <c r="O143" s="236"/>
      <c r="P143" s="177"/>
      <c r="Q143" s="237">
        <f t="shared" si="22"/>
        <v>272.49999999999994</v>
      </c>
      <c r="R143" s="177">
        <f t="shared" si="15"/>
        <v>21.799999999999997</v>
      </c>
      <c r="S143" s="177">
        <f>$L$11*(1+$L$9)^N143*'Récapitulatif des résultats'!$I$11</f>
        <v>0</v>
      </c>
      <c r="T143" s="238"/>
      <c r="U143" s="177"/>
      <c r="V143" s="246">
        <f t="shared" si="16"/>
        <v>0</v>
      </c>
      <c r="W143" s="185">
        <f>SUM('Pin Laricio'!AQ127*'Pin Laricio'!$F$21,'Pin Maritime'!AQ127*'Pin Maritime'!$F$21,'C'!AQ127*'C'!$F$21,D!AQ127*D!$F$21,E!AQ127*E!$F$21,F!AQ127*F!$F$21)</f>
        <v>0</v>
      </c>
      <c r="X143" s="185">
        <f>SUM('Pin Laricio'!AR127*'Pin Laricio'!$F$21,'Pin Maritime'!AR127*'Pin Maritime'!$F$21,'C'!AR127*'C'!$F$21,D!AR127*D!$F$21,E!AR127*E!$F$21,F!AR127*F!$F$21)</f>
        <v>0</v>
      </c>
      <c r="Y143" s="185">
        <f>SUM('Pin Laricio'!AS127*'Pin Laricio'!$F$21,'Pin Maritime'!AS127*'Pin Maritime'!$F$21,'C'!AS127*'C'!$F$21,D!AS127*D!$F$21,E!AS127*E!$F$21,F!AS127*F!$F$21)</f>
        <v>0</v>
      </c>
      <c r="Z143" s="328">
        <f>SUM('Pin Laricio'!AT127*'Pin Laricio'!$F$21,'Pin Maritime'!AT127*'Pin Maritime'!$F$21,'C'!AT127*'C'!$F$21,D!AT127*D!$F$21,E!AT127*E!$F$21,F!AT127*F!$F$21)</f>
        <v>0</v>
      </c>
      <c r="AA143" s="175">
        <f t="shared" si="18"/>
        <v>0</v>
      </c>
      <c r="AB143" s="176">
        <f t="shared" si="17"/>
        <v>0</v>
      </c>
      <c r="AC143" s="175"/>
      <c r="AD143" s="175"/>
    </row>
    <row r="144" spans="2:30" x14ac:dyDescent="0.3">
      <c r="B144" s="166" t="s">
        <v>31</v>
      </c>
      <c r="C144" s="4">
        <v>0.56000000000000005</v>
      </c>
      <c r="D144" s="188" t="s">
        <v>228</v>
      </c>
      <c r="E144" s="205">
        <v>60</v>
      </c>
      <c r="F144" s="251">
        <f>IF(Tableau14582[[#This Row],[Type]]="Feuillus",11*1.25,15.5*1.25)</f>
        <v>13.75</v>
      </c>
      <c r="G144" s="205">
        <v>10</v>
      </c>
      <c r="M144"/>
      <c r="N144" s="71">
        <v>123</v>
      </c>
      <c r="O144" s="236"/>
      <c r="P144" s="177"/>
      <c r="Q144" s="237">
        <f t="shared" si="22"/>
        <v>272.49999999999994</v>
      </c>
      <c r="R144" s="177">
        <f t="shared" si="15"/>
        <v>21.799999999999997</v>
      </c>
      <c r="S144" s="177">
        <f>$L$11*(1+$L$9)^N144*'Récapitulatif des résultats'!$I$11</f>
        <v>0</v>
      </c>
      <c r="T144" s="238"/>
      <c r="U144" s="177"/>
      <c r="V144" s="246">
        <f t="shared" si="16"/>
        <v>0</v>
      </c>
      <c r="W144" s="185">
        <f>SUM('Pin Laricio'!AQ128*'Pin Laricio'!$F$21,'Pin Maritime'!AQ128*'Pin Maritime'!$F$21,'C'!AQ128*'C'!$F$21,D!AQ128*D!$F$21,E!AQ128*E!$F$21,F!AQ128*F!$F$21)</f>
        <v>0</v>
      </c>
      <c r="X144" s="185">
        <f>SUM('Pin Laricio'!AR128*'Pin Laricio'!$F$21,'Pin Maritime'!AR128*'Pin Maritime'!$F$21,'C'!AR128*'C'!$F$21,D!AR128*D!$F$21,E!AR128*E!$F$21,F!AR128*F!$F$21)</f>
        <v>0</v>
      </c>
      <c r="Y144" s="185">
        <f>SUM('Pin Laricio'!AS128*'Pin Laricio'!$F$21,'Pin Maritime'!AS128*'Pin Maritime'!$F$21,'C'!AS128*'C'!$F$21,D!AS128*D!$F$21,E!AS128*E!$F$21,F!AS128*F!$F$21)</f>
        <v>0</v>
      </c>
      <c r="Z144" s="328">
        <f>SUM('Pin Laricio'!AT128*'Pin Laricio'!$F$21,'Pin Maritime'!AT128*'Pin Maritime'!$F$21,'C'!AT128*'C'!$F$21,D!AT128*D!$F$21,E!AT128*E!$F$21,F!AT128*F!$F$21)</f>
        <v>0</v>
      </c>
      <c r="AA144" s="175">
        <f t="shared" si="18"/>
        <v>0</v>
      </c>
      <c r="AB144" s="176">
        <f t="shared" si="17"/>
        <v>0</v>
      </c>
      <c r="AC144" s="175"/>
      <c r="AD144" s="175"/>
    </row>
    <row r="145" spans="2:30" x14ac:dyDescent="0.3">
      <c r="B145" s="166" t="s">
        <v>32</v>
      </c>
      <c r="C145" s="4">
        <v>0.56000000000000005</v>
      </c>
      <c r="D145" s="188" t="s">
        <v>228</v>
      </c>
      <c r="E145" s="252" t="s">
        <v>250</v>
      </c>
      <c r="F145" s="251">
        <f>IF(Tableau14582[[#This Row],[Type]]="Feuillus",11*1.25,15.5*1.25)</f>
        <v>13.75</v>
      </c>
      <c r="G145" s="205">
        <v>10</v>
      </c>
      <c r="M145"/>
      <c r="N145" s="71">
        <v>124</v>
      </c>
      <c r="O145" s="236"/>
      <c r="P145" s="177"/>
      <c r="Q145" s="237">
        <f t="shared" si="22"/>
        <v>272.49999999999994</v>
      </c>
      <c r="R145" s="177">
        <f t="shared" si="15"/>
        <v>21.799999999999997</v>
      </c>
      <c r="S145" s="177">
        <f>$L$11*(1+$L$9)^N145*'Récapitulatif des résultats'!$I$11</f>
        <v>0</v>
      </c>
      <c r="T145" s="238"/>
      <c r="U145" s="177"/>
      <c r="V145" s="246">
        <f t="shared" si="16"/>
        <v>0</v>
      </c>
      <c r="W145" s="185">
        <f>SUM('Pin Laricio'!AQ129*'Pin Laricio'!$F$21,'Pin Maritime'!AQ129*'Pin Maritime'!$F$21,'C'!AQ129*'C'!$F$21,D!AQ129*D!$F$21,E!AQ129*E!$F$21,F!AQ129*F!$F$21)</f>
        <v>0</v>
      </c>
      <c r="X145" s="185">
        <f>SUM('Pin Laricio'!AR129*'Pin Laricio'!$F$21,'Pin Maritime'!AR129*'Pin Maritime'!$F$21,'C'!AR129*'C'!$F$21,D!AR129*D!$F$21,E!AR129*E!$F$21,F!AR129*F!$F$21)</f>
        <v>0</v>
      </c>
      <c r="Y145" s="185">
        <f>SUM('Pin Laricio'!AS129*'Pin Laricio'!$F$21,'Pin Maritime'!AS129*'Pin Maritime'!$F$21,'C'!AS129*'C'!$F$21,D!AS129*D!$F$21,E!AS129*E!$F$21,F!AS129*F!$F$21)</f>
        <v>0</v>
      </c>
      <c r="Z145" s="328">
        <f>SUM('Pin Laricio'!AT129*'Pin Laricio'!$F$21,'Pin Maritime'!AT129*'Pin Maritime'!$F$21,'C'!AT129*'C'!$F$21,D!AT129*D!$F$21,E!AT129*E!$F$21,F!AT129*F!$F$21)</f>
        <v>0</v>
      </c>
      <c r="AA145" s="175">
        <f t="shared" si="18"/>
        <v>0</v>
      </c>
      <c r="AB145" s="176">
        <f t="shared" si="17"/>
        <v>0</v>
      </c>
      <c r="AC145" s="175"/>
      <c r="AD145" s="175"/>
    </row>
    <row r="146" spans="2:30" x14ac:dyDescent="0.3">
      <c r="B146" s="166" t="s">
        <v>33</v>
      </c>
      <c r="C146" s="4">
        <v>0.48</v>
      </c>
      <c r="D146" s="188" t="s">
        <v>228</v>
      </c>
      <c r="E146" s="205">
        <v>300</v>
      </c>
      <c r="F146" s="251">
        <f>IF(Tableau14582[[#This Row],[Type]]="Feuillus",11*1.25,15.5*1.25)</f>
        <v>13.75</v>
      </c>
      <c r="G146" s="205">
        <v>10</v>
      </c>
      <c r="M146"/>
      <c r="N146" s="71">
        <v>125</v>
      </c>
      <c r="O146" s="236"/>
      <c r="P146" s="177"/>
      <c r="Q146" s="237">
        <f t="shared" si="22"/>
        <v>272.49999999999994</v>
      </c>
      <c r="R146" s="177">
        <f t="shared" si="15"/>
        <v>21.799999999999997</v>
      </c>
      <c r="S146" s="177">
        <f>$L$11*(1+$L$9)^N146*'Récapitulatif des résultats'!$I$11</f>
        <v>0</v>
      </c>
      <c r="T146" s="238"/>
      <c r="U146" s="177"/>
      <c r="V146" s="246">
        <f t="shared" si="16"/>
        <v>0</v>
      </c>
      <c r="W146" s="185">
        <f>SUM('Pin Laricio'!AQ130*'Pin Laricio'!$F$21,'Pin Maritime'!AQ130*'Pin Maritime'!$F$21,'C'!AQ130*'C'!$F$21,D!AQ130*D!$F$21,E!AQ130*E!$F$21,F!AQ130*F!$F$21)</f>
        <v>0</v>
      </c>
      <c r="X146" s="185">
        <f>SUM('Pin Laricio'!AR130*'Pin Laricio'!$F$21,'Pin Maritime'!AR130*'Pin Maritime'!$F$21,'C'!AR130*'C'!$F$21,D!AR130*D!$F$21,E!AR130*E!$F$21,F!AR130*F!$F$21)</f>
        <v>0</v>
      </c>
      <c r="Y146" s="185">
        <f>SUM('Pin Laricio'!AS130*'Pin Laricio'!$F$21,'Pin Maritime'!AS130*'Pin Maritime'!$F$21,'C'!AS130*'C'!$F$21,D!AS130*D!$F$21,E!AS130*E!$F$21,F!AS130*F!$F$21)</f>
        <v>0</v>
      </c>
      <c r="Z146" s="328">
        <f>SUM('Pin Laricio'!AT130*'Pin Laricio'!$F$21,'Pin Maritime'!AT130*'Pin Maritime'!$F$21,'C'!AT130*'C'!$F$21,D!AT130*D!$F$21,E!AT130*E!$F$21,F!AT130*F!$F$21)</f>
        <v>0</v>
      </c>
      <c r="AA146" s="175">
        <f t="shared" si="18"/>
        <v>0</v>
      </c>
      <c r="AB146" s="176">
        <f t="shared" si="17"/>
        <v>0</v>
      </c>
      <c r="AC146" s="175"/>
      <c r="AD146" s="175"/>
    </row>
    <row r="147" spans="2:30" x14ac:dyDescent="0.3">
      <c r="B147" s="166" t="s">
        <v>34</v>
      </c>
      <c r="C147" s="4">
        <v>0.55000000000000004</v>
      </c>
      <c r="D147" s="188" t="s">
        <v>228</v>
      </c>
      <c r="E147" s="205">
        <v>45</v>
      </c>
      <c r="F147" s="251">
        <f>IF(Tableau14582[[#This Row],[Type]]="Feuillus",11*1.25,15.5*1.25)</f>
        <v>13.75</v>
      </c>
      <c r="G147" s="205">
        <v>10</v>
      </c>
      <c r="M147"/>
      <c r="N147" s="71">
        <v>126</v>
      </c>
      <c r="O147" s="236"/>
      <c r="P147" s="177"/>
      <c r="Q147" s="237">
        <f t="shared" si="22"/>
        <v>272.49999999999994</v>
      </c>
      <c r="R147" s="177">
        <f t="shared" si="15"/>
        <v>21.799999999999997</v>
      </c>
      <c r="S147" s="177">
        <f>$L$11*(1+$L$9)^N147*'Récapitulatif des résultats'!$I$11</f>
        <v>0</v>
      </c>
      <c r="T147" s="238"/>
      <c r="U147" s="177"/>
      <c r="V147" s="246">
        <f t="shared" si="16"/>
        <v>0</v>
      </c>
      <c r="W147" s="185">
        <f>SUM('Pin Laricio'!AQ131*'Pin Laricio'!$F$21,'Pin Maritime'!AQ131*'Pin Maritime'!$F$21,'C'!AQ131*'C'!$F$21,D!AQ131*D!$F$21,E!AQ131*E!$F$21,F!AQ131*F!$F$21)</f>
        <v>0</v>
      </c>
      <c r="X147" s="185">
        <f>SUM('Pin Laricio'!AR131*'Pin Laricio'!$F$21,'Pin Maritime'!AR131*'Pin Maritime'!$F$21,'C'!AR131*'C'!$F$21,D!AR131*D!$F$21,E!AR131*E!$F$21,F!AR131*F!$F$21)</f>
        <v>0</v>
      </c>
      <c r="Y147" s="185">
        <f>SUM('Pin Laricio'!AS131*'Pin Laricio'!$F$21,'Pin Maritime'!AS131*'Pin Maritime'!$F$21,'C'!AS131*'C'!$F$21,D!AS131*D!$F$21,E!AS131*E!$F$21,F!AS131*F!$F$21)</f>
        <v>0</v>
      </c>
      <c r="Z147" s="328">
        <f>SUM('Pin Laricio'!AT131*'Pin Laricio'!$F$21,'Pin Maritime'!AT131*'Pin Maritime'!$F$21,'C'!AT131*'C'!$F$21,D!AT131*D!$F$21,E!AT131*E!$F$21,F!AT131*F!$F$21)</f>
        <v>0</v>
      </c>
      <c r="AA147" s="175">
        <f t="shared" si="18"/>
        <v>0</v>
      </c>
      <c r="AB147" s="176">
        <f t="shared" si="17"/>
        <v>0</v>
      </c>
      <c r="AC147" s="175"/>
      <c r="AD147" s="175"/>
    </row>
    <row r="148" spans="2:30" x14ac:dyDescent="0.3">
      <c r="B148" s="166" t="s">
        <v>35</v>
      </c>
      <c r="C148" s="4">
        <v>0.56000000000000005</v>
      </c>
      <c r="D148" s="188" t="s">
        <v>228</v>
      </c>
      <c r="E148" s="205">
        <v>90</v>
      </c>
      <c r="F148" s="251">
        <f>IF(Tableau14582[[#This Row],[Type]]="Feuillus",11*1.25,15.5*1.25)</f>
        <v>13.75</v>
      </c>
      <c r="G148" s="205">
        <v>10</v>
      </c>
      <c r="M148"/>
      <c r="N148" s="71">
        <v>127</v>
      </c>
      <c r="O148" s="236"/>
      <c r="P148" s="177"/>
      <c r="Q148" s="237">
        <f t="shared" si="22"/>
        <v>272.49999999999994</v>
      </c>
      <c r="R148" s="177">
        <f t="shared" si="15"/>
        <v>21.799999999999997</v>
      </c>
      <c r="S148" s="177">
        <f>$L$11*(1+$L$9)^N148*'Récapitulatif des résultats'!$I$11</f>
        <v>0</v>
      </c>
      <c r="T148" s="238"/>
      <c r="U148" s="177"/>
      <c r="V148" s="246">
        <f t="shared" si="16"/>
        <v>0</v>
      </c>
      <c r="W148" s="185">
        <f>SUM('Pin Laricio'!AQ132*'Pin Laricio'!$F$21,'Pin Maritime'!AQ132*'Pin Maritime'!$F$21,'C'!AQ132*'C'!$F$21,D!AQ132*D!$F$21,E!AQ132*E!$F$21,F!AQ132*F!$F$21)</f>
        <v>0</v>
      </c>
      <c r="X148" s="185">
        <f>SUM('Pin Laricio'!AR132*'Pin Laricio'!$F$21,'Pin Maritime'!AR132*'Pin Maritime'!$F$21,'C'!AR132*'C'!$F$21,D!AR132*D!$F$21,E!AR132*E!$F$21,F!AR132*F!$F$21)</f>
        <v>0</v>
      </c>
      <c r="Y148" s="185">
        <f>SUM('Pin Laricio'!AS132*'Pin Laricio'!$F$21,'Pin Maritime'!AS132*'Pin Maritime'!$F$21,'C'!AS132*'C'!$F$21,D!AS132*D!$F$21,E!AS132*E!$F$21,F!AS132*F!$F$21)</f>
        <v>0</v>
      </c>
      <c r="Z148" s="328">
        <f>SUM('Pin Laricio'!AT132*'Pin Laricio'!$F$21,'Pin Maritime'!AT132*'Pin Maritime'!$F$21,'C'!AT132*'C'!$F$21,D!AT132*D!$F$21,E!AT132*E!$F$21,F!AT132*F!$F$21)</f>
        <v>0</v>
      </c>
      <c r="AA148" s="175">
        <f t="shared" si="18"/>
        <v>0</v>
      </c>
      <c r="AB148" s="176">
        <f t="shared" si="17"/>
        <v>0</v>
      </c>
      <c r="AC148" s="175"/>
      <c r="AD148" s="175"/>
    </row>
    <row r="149" spans="2:30" x14ac:dyDescent="0.3">
      <c r="B149" s="166" t="s">
        <v>36</v>
      </c>
      <c r="C149" s="4">
        <v>0.57999999999999996</v>
      </c>
      <c r="D149" s="188" t="s">
        <v>228</v>
      </c>
      <c r="E149" s="205">
        <v>300</v>
      </c>
      <c r="F149" s="251">
        <f>IF(Tableau14582[[#This Row],[Type]]="Feuillus",11*1.25,15.5*1.25)</f>
        <v>13.75</v>
      </c>
      <c r="G149" s="205">
        <v>10</v>
      </c>
      <c r="M149"/>
      <c r="N149" s="71">
        <v>128</v>
      </c>
      <c r="O149" s="236"/>
      <c r="P149" s="177"/>
      <c r="Q149" s="237">
        <f t="shared" si="22"/>
        <v>272.49999999999994</v>
      </c>
      <c r="R149" s="177">
        <f t="shared" ref="R149:R212" si="23">$L$10*SUM(O149:Q149)</f>
        <v>21.799999999999997</v>
      </c>
      <c r="S149" s="177">
        <f>$L$11*(1+$L$9)^N149*'Récapitulatif des résultats'!$I$11</f>
        <v>0</v>
      </c>
      <c r="T149" s="238"/>
      <c r="U149" s="177"/>
      <c r="V149" s="246">
        <f t="shared" ref="V149:V212" si="24">SUM(W149:Z149)</f>
        <v>0</v>
      </c>
      <c r="W149" s="185">
        <f>SUM('Pin Laricio'!AQ133*'Pin Laricio'!$F$21,'Pin Maritime'!AQ133*'Pin Maritime'!$F$21,'C'!AQ133*'C'!$F$21,D!AQ133*D!$F$21,E!AQ133*E!$F$21,F!AQ133*F!$F$21)</f>
        <v>0</v>
      </c>
      <c r="X149" s="185">
        <f>SUM('Pin Laricio'!AR133*'Pin Laricio'!$F$21,'Pin Maritime'!AR133*'Pin Maritime'!$F$21,'C'!AR133*'C'!$F$21,D!AR133*D!$F$21,E!AR133*E!$F$21,F!AR133*F!$F$21)</f>
        <v>0</v>
      </c>
      <c r="Y149" s="185">
        <f>SUM('Pin Laricio'!AS133*'Pin Laricio'!$F$21,'Pin Maritime'!AS133*'Pin Maritime'!$F$21,'C'!AS133*'C'!$F$21,D!AS133*D!$F$21,E!AS133*E!$F$21,F!AS133*F!$F$21)</f>
        <v>0</v>
      </c>
      <c r="Z149" s="328">
        <f>SUM('Pin Laricio'!AT133*'Pin Laricio'!$F$21,'Pin Maritime'!AT133*'Pin Maritime'!$F$21,'C'!AT133*'C'!$F$21,D!AT133*D!$F$21,E!AT133*E!$F$21,F!AT133*F!$F$21)</f>
        <v>0</v>
      </c>
      <c r="AA149" s="175">
        <f t="shared" si="18"/>
        <v>0</v>
      </c>
      <c r="AB149" s="176">
        <f t="shared" ref="AB149:AB212" si="25">IF(N149&lt;=$L$4,(AA149-SUM(O149:T149))/((1+4.5%)^N149),)</f>
        <v>0</v>
      </c>
      <c r="AC149" s="175"/>
      <c r="AD149" s="175"/>
    </row>
    <row r="150" spans="2:30" x14ac:dyDescent="0.3">
      <c r="B150" s="166" t="s">
        <v>37</v>
      </c>
      <c r="C150" s="4">
        <v>0.57999999999999996</v>
      </c>
      <c r="D150" s="188" t="s">
        <v>229</v>
      </c>
      <c r="E150" s="205">
        <v>25</v>
      </c>
      <c r="F150" s="251">
        <f>IF(Tableau14582[[#This Row],[Type]]="Feuillus",11*1.25,15.5*1.25)</f>
        <v>19.375</v>
      </c>
      <c r="G150" s="205">
        <v>10</v>
      </c>
      <c r="M150"/>
      <c r="N150" s="71">
        <v>129</v>
      </c>
      <c r="O150" s="236"/>
      <c r="P150" s="177"/>
      <c r="Q150" s="237">
        <f t="shared" si="22"/>
        <v>272.49999999999994</v>
      </c>
      <c r="R150" s="177">
        <f t="shared" si="23"/>
        <v>21.799999999999997</v>
      </c>
      <c r="S150" s="177">
        <f>$L$11*(1+$L$9)^N150*'Récapitulatif des résultats'!$I$11</f>
        <v>0</v>
      </c>
      <c r="T150" s="238"/>
      <c r="U150" s="177"/>
      <c r="V150" s="246">
        <f t="shared" si="24"/>
        <v>0</v>
      </c>
      <c r="W150" s="185">
        <f>SUM('Pin Laricio'!AQ134*'Pin Laricio'!$F$21,'Pin Maritime'!AQ134*'Pin Maritime'!$F$21,'C'!AQ134*'C'!$F$21,D!AQ134*D!$F$21,E!AQ134*E!$F$21,F!AQ134*F!$F$21)</f>
        <v>0</v>
      </c>
      <c r="X150" s="185">
        <f>SUM('Pin Laricio'!AR134*'Pin Laricio'!$F$21,'Pin Maritime'!AR134*'Pin Maritime'!$F$21,'C'!AR134*'C'!$F$21,D!AR134*D!$F$21,E!AR134*E!$F$21,F!AR134*F!$F$21)</f>
        <v>0</v>
      </c>
      <c r="Y150" s="185">
        <f>SUM('Pin Laricio'!AS134*'Pin Laricio'!$F$21,'Pin Maritime'!AS134*'Pin Maritime'!$F$21,'C'!AS134*'C'!$F$21,D!AS134*D!$F$21,E!AS134*E!$F$21,F!AS134*F!$F$21)</f>
        <v>0</v>
      </c>
      <c r="Z150" s="328">
        <f>SUM('Pin Laricio'!AT134*'Pin Laricio'!$F$21,'Pin Maritime'!AT134*'Pin Maritime'!$F$21,'C'!AT134*'C'!$F$21,D!AT134*D!$F$21,E!AT134*E!$F$21,F!AT134*F!$F$21)</f>
        <v>0</v>
      </c>
      <c r="AA150" s="175">
        <f t="shared" ref="AA150:AA213" si="26">SUMIF(B$23:B$115,N150,L$23:L$115)+U150</f>
        <v>0</v>
      </c>
      <c r="AB150" s="176">
        <f t="shared" si="25"/>
        <v>0</v>
      </c>
      <c r="AC150" s="175"/>
      <c r="AD150" s="175"/>
    </row>
    <row r="151" spans="2:30" x14ac:dyDescent="0.3">
      <c r="B151" s="166" t="s">
        <v>38</v>
      </c>
      <c r="C151" s="4">
        <v>0.48</v>
      </c>
      <c r="D151" s="188" t="s">
        <v>229</v>
      </c>
      <c r="E151" s="205">
        <v>50</v>
      </c>
      <c r="F151" s="251">
        <f>IF(Tableau14582[[#This Row],[Type]]="Feuillus",11*1.25,15.5*1.25)</f>
        <v>19.375</v>
      </c>
      <c r="G151" s="205">
        <v>10</v>
      </c>
      <c r="M151"/>
      <c r="N151" s="71">
        <v>130</v>
      </c>
      <c r="O151" s="236"/>
      <c r="P151" s="177"/>
      <c r="Q151" s="237">
        <f t="shared" si="22"/>
        <v>272.49999999999994</v>
      </c>
      <c r="R151" s="177">
        <f t="shared" si="23"/>
        <v>21.799999999999997</v>
      </c>
      <c r="S151" s="177">
        <f>$L$11*(1+$L$9)^N151*'Récapitulatif des résultats'!$I$11</f>
        <v>0</v>
      </c>
      <c r="T151" s="238"/>
      <c r="U151" s="177"/>
      <c r="V151" s="246">
        <f t="shared" si="24"/>
        <v>0</v>
      </c>
      <c r="W151" s="185">
        <f>SUM('Pin Laricio'!AQ135*'Pin Laricio'!$F$21,'Pin Maritime'!AQ135*'Pin Maritime'!$F$21,'C'!AQ135*'C'!$F$21,D!AQ135*D!$F$21,E!AQ135*E!$F$21,F!AQ135*F!$F$21)</f>
        <v>0</v>
      </c>
      <c r="X151" s="185">
        <f>SUM('Pin Laricio'!AR135*'Pin Laricio'!$F$21,'Pin Maritime'!AR135*'Pin Maritime'!$F$21,'C'!AR135*'C'!$F$21,D!AR135*D!$F$21,E!AR135*E!$F$21,F!AR135*F!$F$21)</f>
        <v>0</v>
      </c>
      <c r="Y151" s="185">
        <f>SUM('Pin Laricio'!AS135*'Pin Laricio'!$F$21,'Pin Maritime'!AS135*'Pin Maritime'!$F$21,'C'!AS135*'C'!$F$21,D!AS135*D!$F$21,E!AS135*E!$F$21,F!AS135*F!$F$21)</f>
        <v>0</v>
      </c>
      <c r="Z151" s="328">
        <f>SUM('Pin Laricio'!AT135*'Pin Laricio'!$F$21,'Pin Maritime'!AT135*'Pin Maritime'!$F$21,'C'!AT135*'C'!$F$21,D!AT135*D!$F$21,E!AT135*E!$F$21,F!AT135*F!$F$21)</f>
        <v>0</v>
      </c>
      <c r="AA151" s="175">
        <f t="shared" si="26"/>
        <v>0</v>
      </c>
      <c r="AB151" s="176">
        <f t="shared" si="25"/>
        <v>0</v>
      </c>
      <c r="AC151" s="175"/>
      <c r="AD151" s="175"/>
    </row>
    <row r="152" spans="2:30" x14ac:dyDescent="0.3">
      <c r="B152" s="166" t="s">
        <v>39</v>
      </c>
      <c r="C152" s="4">
        <v>0.42</v>
      </c>
      <c r="D152" s="188" t="s">
        <v>229</v>
      </c>
      <c r="E152" s="205">
        <v>50</v>
      </c>
      <c r="F152" s="251">
        <f>IF(Tableau14582[[#This Row],[Type]]="Feuillus",11*1.25,15.5*1.25)</f>
        <v>19.375</v>
      </c>
      <c r="G152" s="205">
        <v>10</v>
      </c>
      <c r="M152"/>
      <c r="N152" s="71">
        <v>131</v>
      </c>
      <c r="O152" s="236"/>
      <c r="P152" s="177"/>
      <c r="Q152" s="237">
        <f t="shared" si="22"/>
        <v>272.49999999999994</v>
      </c>
      <c r="R152" s="177">
        <f t="shared" si="23"/>
        <v>21.799999999999997</v>
      </c>
      <c r="S152" s="177">
        <f>$L$11*(1+$L$9)^N152*'Récapitulatif des résultats'!$I$11</f>
        <v>0</v>
      </c>
      <c r="T152" s="238"/>
      <c r="U152" s="177"/>
      <c r="V152" s="246">
        <f t="shared" si="24"/>
        <v>0</v>
      </c>
      <c r="W152" s="185">
        <f>SUM('Pin Laricio'!AQ136*'Pin Laricio'!$F$21,'Pin Maritime'!AQ136*'Pin Maritime'!$F$21,'C'!AQ136*'C'!$F$21,D!AQ136*D!$F$21,E!AQ136*E!$F$21,F!AQ136*F!$F$21)</f>
        <v>0</v>
      </c>
      <c r="X152" s="185">
        <f>SUM('Pin Laricio'!AR136*'Pin Laricio'!$F$21,'Pin Maritime'!AR136*'Pin Maritime'!$F$21,'C'!AR136*'C'!$F$21,D!AR136*D!$F$21,E!AR136*E!$F$21,F!AR136*F!$F$21)</f>
        <v>0</v>
      </c>
      <c r="Y152" s="185">
        <f>SUM('Pin Laricio'!AS136*'Pin Laricio'!$F$21,'Pin Maritime'!AS136*'Pin Maritime'!$F$21,'C'!AS136*'C'!$F$21,D!AS136*D!$F$21,E!AS136*E!$F$21,F!AS136*F!$F$21)</f>
        <v>0</v>
      </c>
      <c r="Z152" s="328">
        <f>SUM('Pin Laricio'!AT136*'Pin Laricio'!$F$21,'Pin Maritime'!AT136*'Pin Maritime'!$F$21,'C'!AT136*'C'!$F$21,D!AT136*D!$F$21,E!AT136*E!$F$21,F!AT136*F!$F$21)</f>
        <v>0</v>
      </c>
      <c r="AA152" s="175">
        <f t="shared" si="26"/>
        <v>0</v>
      </c>
      <c r="AB152" s="176">
        <f t="shared" si="25"/>
        <v>0</v>
      </c>
      <c r="AC152" s="175"/>
      <c r="AD152" s="175"/>
    </row>
    <row r="153" spans="2:30" x14ac:dyDescent="0.3">
      <c r="B153" s="166" t="s">
        <v>40</v>
      </c>
      <c r="C153" s="4">
        <v>0.5</v>
      </c>
      <c r="D153" s="188" t="s">
        <v>228</v>
      </c>
      <c r="E153" s="205">
        <v>80</v>
      </c>
      <c r="F153" s="251">
        <f>IF(Tableau14582[[#This Row],[Type]]="Feuillus",11*1.25,15.5*1.25)</f>
        <v>13.75</v>
      </c>
      <c r="G153" s="205">
        <v>10</v>
      </c>
      <c r="M153"/>
      <c r="N153" s="71">
        <v>132</v>
      </c>
      <c r="O153" s="236"/>
      <c r="P153" s="177"/>
      <c r="Q153" s="237">
        <f t="shared" si="22"/>
        <v>272.49999999999994</v>
      </c>
      <c r="R153" s="177">
        <f t="shared" si="23"/>
        <v>21.799999999999997</v>
      </c>
      <c r="S153" s="177">
        <f>$L$11*(1+$L$9)^N153*'Récapitulatif des résultats'!$I$11</f>
        <v>0</v>
      </c>
      <c r="T153" s="238"/>
      <c r="U153" s="177"/>
      <c r="V153" s="246">
        <f t="shared" si="24"/>
        <v>0</v>
      </c>
      <c r="W153" s="185">
        <f>SUM('Pin Laricio'!AQ137*'Pin Laricio'!$F$21,'Pin Maritime'!AQ137*'Pin Maritime'!$F$21,'C'!AQ137*'C'!$F$21,D!AQ137*D!$F$21,E!AQ137*E!$F$21,F!AQ137*F!$F$21)</f>
        <v>0</v>
      </c>
      <c r="X153" s="185">
        <f>SUM('Pin Laricio'!AR137*'Pin Laricio'!$F$21,'Pin Maritime'!AR137*'Pin Maritime'!$F$21,'C'!AR137*'C'!$F$21,D!AR137*D!$F$21,E!AR137*E!$F$21,F!AR137*F!$F$21)</f>
        <v>0</v>
      </c>
      <c r="Y153" s="185">
        <f>SUM('Pin Laricio'!AS137*'Pin Laricio'!$F$21,'Pin Maritime'!AS137*'Pin Maritime'!$F$21,'C'!AS137*'C'!$F$21,D!AS137*D!$F$21,E!AS137*E!$F$21,F!AS137*F!$F$21)</f>
        <v>0</v>
      </c>
      <c r="Z153" s="328">
        <f>SUM('Pin Laricio'!AT137*'Pin Laricio'!$F$21,'Pin Maritime'!AT137*'Pin Maritime'!$F$21,'C'!AT137*'C'!$F$21,D!AT137*D!$F$21,E!AT137*E!$F$21,F!AT137*F!$F$21)</f>
        <v>0</v>
      </c>
      <c r="AA153" s="175">
        <f t="shared" si="26"/>
        <v>0</v>
      </c>
      <c r="AB153" s="176">
        <f t="shared" si="25"/>
        <v>0</v>
      </c>
      <c r="AC153" s="175"/>
      <c r="AD153" s="175"/>
    </row>
    <row r="154" spans="2:30" x14ac:dyDescent="0.3">
      <c r="B154" s="166" t="s">
        <v>41</v>
      </c>
      <c r="C154" s="4">
        <v>0.55000000000000004</v>
      </c>
      <c r="D154" s="188" t="s">
        <v>228</v>
      </c>
      <c r="E154" s="252" t="s">
        <v>250</v>
      </c>
      <c r="F154" s="251">
        <f>IF(Tableau14582[[#This Row],[Type]]="Feuillus",11*1.25,15.5*1.25)</f>
        <v>13.75</v>
      </c>
      <c r="G154" s="205">
        <v>10</v>
      </c>
      <c r="M154"/>
      <c r="N154" s="71">
        <v>133</v>
      </c>
      <c r="O154" s="236"/>
      <c r="P154" s="177"/>
      <c r="Q154" s="237">
        <f t="shared" si="22"/>
        <v>272.49999999999994</v>
      </c>
      <c r="R154" s="177">
        <f t="shared" si="23"/>
        <v>21.799999999999997</v>
      </c>
      <c r="S154" s="177">
        <f>$L$11*(1+$L$9)^N154*'Récapitulatif des résultats'!$I$11</f>
        <v>0</v>
      </c>
      <c r="T154" s="238"/>
      <c r="U154" s="177"/>
      <c r="V154" s="246">
        <f t="shared" si="24"/>
        <v>0</v>
      </c>
      <c r="W154" s="185">
        <f>SUM('Pin Laricio'!AQ138*'Pin Laricio'!$F$21,'Pin Maritime'!AQ138*'Pin Maritime'!$F$21,'C'!AQ138*'C'!$F$21,D!AQ138*D!$F$21,E!AQ138*E!$F$21,F!AQ138*F!$F$21)</f>
        <v>0</v>
      </c>
      <c r="X154" s="185">
        <f>SUM('Pin Laricio'!AR138*'Pin Laricio'!$F$21,'Pin Maritime'!AR138*'Pin Maritime'!$F$21,'C'!AR138*'C'!$F$21,D!AR138*D!$F$21,E!AR138*E!$F$21,F!AR138*F!$F$21)</f>
        <v>0</v>
      </c>
      <c r="Y154" s="185">
        <f>SUM('Pin Laricio'!AS138*'Pin Laricio'!$F$21,'Pin Maritime'!AS138*'Pin Maritime'!$F$21,'C'!AS138*'C'!$F$21,D!AS138*D!$F$21,E!AS138*E!$F$21,F!AS138*F!$F$21)</f>
        <v>0</v>
      </c>
      <c r="Z154" s="328">
        <f>SUM('Pin Laricio'!AT138*'Pin Laricio'!$F$21,'Pin Maritime'!AT138*'Pin Maritime'!$F$21,'C'!AT138*'C'!$F$21,D!AT138*D!$F$21,E!AT138*E!$F$21,F!AT138*F!$F$21)</f>
        <v>0</v>
      </c>
      <c r="AA154" s="175">
        <f t="shared" si="26"/>
        <v>0</v>
      </c>
      <c r="AB154" s="176">
        <f t="shared" si="25"/>
        <v>0</v>
      </c>
      <c r="AC154" s="175"/>
      <c r="AD154" s="175"/>
    </row>
    <row r="155" spans="2:30" x14ac:dyDescent="0.3">
      <c r="B155" s="166" t="s">
        <v>42</v>
      </c>
      <c r="C155" s="4">
        <v>0.53</v>
      </c>
      <c r="D155" s="188" t="s">
        <v>228</v>
      </c>
      <c r="E155" s="252" t="s">
        <v>250</v>
      </c>
      <c r="F155" s="251">
        <f>IF(Tableau14582[[#This Row],[Type]]="Feuillus",11*1.25,15.5*1.25)</f>
        <v>13.75</v>
      </c>
      <c r="G155" s="205">
        <v>10</v>
      </c>
      <c r="M155"/>
      <c r="N155" s="71">
        <v>134</v>
      </c>
      <c r="O155" s="236"/>
      <c r="P155" s="177"/>
      <c r="Q155" s="237">
        <f t="shared" ref="Q155:Q186" si="27">$L$13*(1+$L$9)^N155*$L$5</f>
        <v>272.49999999999994</v>
      </c>
      <c r="R155" s="177">
        <f t="shared" si="23"/>
        <v>21.799999999999997</v>
      </c>
      <c r="S155" s="177">
        <f>$L$11*(1+$L$9)^N155*'Récapitulatif des résultats'!$I$11</f>
        <v>0</v>
      </c>
      <c r="T155" s="238"/>
      <c r="U155" s="177"/>
      <c r="V155" s="246">
        <f t="shared" si="24"/>
        <v>0</v>
      </c>
      <c r="W155" s="185">
        <f>SUM('Pin Laricio'!AQ139*'Pin Laricio'!$F$21,'Pin Maritime'!AQ139*'Pin Maritime'!$F$21,'C'!AQ139*'C'!$F$21,D!AQ139*D!$F$21,E!AQ139*E!$F$21,F!AQ139*F!$F$21)</f>
        <v>0</v>
      </c>
      <c r="X155" s="185">
        <f>SUM('Pin Laricio'!AR139*'Pin Laricio'!$F$21,'Pin Maritime'!AR139*'Pin Maritime'!$F$21,'C'!AR139*'C'!$F$21,D!AR139*D!$F$21,E!AR139*E!$F$21,F!AR139*F!$F$21)</f>
        <v>0</v>
      </c>
      <c r="Y155" s="185">
        <f>SUM('Pin Laricio'!AS139*'Pin Laricio'!$F$21,'Pin Maritime'!AS139*'Pin Maritime'!$F$21,'C'!AS139*'C'!$F$21,D!AS139*D!$F$21,E!AS139*E!$F$21,F!AS139*F!$F$21)</f>
        <v>0</v>
      </c>
      <c r="Z155" s="328">
        <f>SUM('Pin Laricio'!AT139*'Pin Laricio'!$F$21,'Pin Maritime'!AT139*'Pin Maritime'!$F$21,'C'!AT139*'C'!$F$21,D!AT139*D!$F$21,E!AT139*E!$F$21,F!AT139*F!$F$21)</f>
        <v>0</v>
      </c>
      <c r="AA155" s="175">
        <f t="shared" si="26"/>
        <v>0</v>
      </c>
      <c r="AB155" s="176">
        <f t="shared" si="25"/>
        <v>0</v>
      </c>
      <c r="AC155" s="175"/>
      <c r="AD155" s="175"/>
    </row>
    <row r="156" spans="2:30" x14ac:dyDescent="0.3">
      <c r="B156" s="166" t="s">
        <v>43</v>
      </c>
      <c r="C156" s="4">
        <v>0.52</v>
      </c>
      <c r="D156" s="188" t="s">
        <v>228</v>
      </c>
      <c r="E156" s="252" t="s">
        <v>250</v>
      </c>
      <c r="F156" s="251">
        <f>IF(Tableau14582[[#This Row],[Type]]="Feuillus",11*1.25,15.5*1.25)</f>
        <v>13.75</v>
      </c>
      <c r="G156" s="205">
        <v>10</v>
      </c>
      <c r="M156"/>
      <c r="N156" s="71">
        <v>135</v>
      </c>
      <c r="O156" s="236"/>
      <c r="P156" s="177"/>
      <c r="Q156" s="237">
        <f t="shared" si="27"/>
        <v>272.49999999999994</v>
      </c>
      <c r="R156" s="177">
        <f t="shared" si="23"/>
        <v>21.799999999999997</v>
      </c>
      <c r="S156" s="177">
        <f>$L$11*(1+$L$9)^N156*'Récapitulatif des résultats'!$I$11</f>
        <v>0</v>
      </c>
      <c r="T156" s="238"/>
      <c r="U156" s="177"/>
      <c r="V156" s="246">
        <f t="shared" si="24"/>
        <v>0</v>
      </c>
      <c r="W156" s="185">
        <f>SUM('Pin Laricio'!AQ140*'Pin Laricio'!$F$21,'Pin Maritime'!AQ140*'Pin Maritime'!$F$21,'C'!AQ140*'C'!$F$21,D!AQ140*D!$F$21,E!AQ140*E!$F$21,F!AQ140*F!$F$21)</f>
        <v>0</v>
      </c>
      <c r="X156" s="185">
        <f>SUM('Pin Laricio'!AR140*'Pin Laricio'!$F$21,'Pin Maritime'!AR140*'Pin Maritime'!$F$21,'C'!AR140*'C'!$F$21,D!AR140*D!$F$21,E!AR140*E!$F$21,F!AR140*F!$F$21)</f>
        <v>0</v>
      </c>
      <c r="Y156" s="185">
        <f>SUM('Pin Laricio'!AS140*'Pin Laricio'!$F$21,'Pin Maritime'!AS140*'Pin Maritime'!$F$21,'C'!AS140*'C'!$F$21,D!AS140*D!$F$21,E!AS140*E!$F$21,F!AS140*F!$F$21)</f>
        <v>0</v>
      </c>
      <c r="Z156" s="328">
        <f>SUM('Pin Laricio'!AT140*'Pin Laricio'!$F$21,'Pin Maritime'!AT140*'Pin Maritime'!$F$21,'C'!AT140*'C'!$F$21,D!AT140*D!$F$21,E!AT140*E!$F$21,F!AT140*F!$F$21)</f>
        <v>0</v>
      </c>
      <c r="AA156" s="175">
        <f t="shared" si="26"/>
        <v>0</v>
      </c>
      <c r="AB156" s="176">
        <f t="shared" si="25"/>
        <v>0</v>
      </c>
      <c r="AC156" s="175"/>
      <c r="AD156" s="175"/>
    </row>
    <row r="157" spans="2:30" x14ac:dyDescent="0.3">
      <c r="B157" s="166" t="s">
        <v>44</v>
      </c>
      <c r="C157" s="4">
        <v>0.52</v>
      </c>
      <c r="D157" s="188" t="s">
        <v>228</v>
      </c>
      <c r="E157" s="205">
        <v>300</v>
      </c>
      <c r="F157" s="251">
        <f>IF(Tableau14582[[#This Row],[Type]]="Feuillus",11*1.25,15.5*1.25)</f>
        <v>13.75</v>
      </c>
      <c r="G157" s="205">
        <v>10</v>
      </c>
      <c r="M157"/>
      <c r="N157" s="71">
        <v>136</v>
      </c>
      <c r="O157" s="236"/>
      <c r="P157" s="177"/>
      <c r="Q157" s="237">
        <f t="shared" si="27"/>
        <v>272.49999999999994</v>
      </c>
      <c r="R157" s="177">
        <f t="shared" si="23"/>
        <v>21.799999999999997</v>
      </c>
      <c r="S157" s="177">
        <f>$L$11*(1+$L$9)^N157*'Récapitulatif des résultats'!$I$11</f>
        <v>0</v>
      </c>
      <c r="T157" s="238"/>
      <c r="U157" s="177"/>
      <c r="V157" s="246">
        <f t="shared" si="24"/>
        <v>0</v>
      </c>
      <c r="W157" s="185">
        <f>SUM('Pin Laricio'!AQ141*'Pin Laricio'!$F$21,'Pin Maritime'!AQ141*'Pin Maritime'!$F$21,'C'!AQ141*'C'!$F$21,D!AQ141*D!$F$21,E!AQ141*E!$F$21,F!AQ141*F!$F$21)</f>
        <v>0</v>
      </c>
      <c r="X157" s="185">
        <f>SUM('Pin Laricio'!AR141*'Pin Laricio'!$F$21,'Pin Maritime'!AR141*'Pin Maritime'!$F$21,'C'!AR141*'C'!$F$21,D!AR141*D!$F$21,E!AR141*E!$F$21,F!AR141*F!$F$21)</f>
        <v>0</v>
      </c>
      <c r="Y157" s="185">
        <f>SUM('Pin Laricio'!AS141*'Pin Laricio'!$F$21,'Pin Maritime'!AS141*'Pin Maritime'!$F$21,'C'!AS141*'C'!$F$21,D!AS141*D!$F$21,E!AS141*E!$F$21,F!AS141*F!$F$21)</f>
        <v>0</v>
      </c>
      <c r="Z157" s="328">
        <f>SUM('Pin Laricio'!AT141*'Pin Laricio'!$F$21,'Pin Maritime'!AT141*'Pin Maritime'!$F$21,'C'!AT141*'C'!$F$21,D!AT141*D!$F$21,E!AT141*E!$F$21,F!AT141*F!$F$21)</f>
        <v>0</v>
      </c>
      <c r="AA157" s="175">
        <f t="shared" si="26"/>
        <v>0</v>
      </c>
      <c r="AB157" s="176">
        <f t="shared" si="25"/>
        <v>0</v>
      </c>
      <c r="AC157" s="175"/>
      <c r="AD157" s="175"/>
    </row>
    <row r="158" spans="2:30" x14ac:dyDescent="0.3">
      <c r="B158" s="166" t="s">
        <v>45</v>
      </c>
      <c r="C158" s="4">
        <v>0.75</v>
      </c>
      <c r="D158" s="188" t="s">
        <v>228</v>
      </c>
      <c r="E158" s="252" t="s">
        <v>250</v>
      </c>
      <c r="F158" s="251">
        <f>IF(Tableau14582[[#This Row],[Type]]="Feuillus",11*1.25,15.5*1.25)</f>
        <v>13.75</v>
      </c>
      <c r="G158" s="205">
        <v>10</v>
      </c>
      <c r="M158"/>
      <c r="N158" s="71">
        <v>137</v>
      </c>
      <c r="O158" s="236"/>
      <c r="P158" s="177"/>
      <c r="Q158" s="237">
        <f t="shared" si="27"/>
        <v>272.49999999999994</v>
      </c>
      <c r="R158" s="177">
        <f t="shared" si="23"/>
        <v>21.799999999999997</v>
      </c>
      <c r="S158" s="177">
        <f>$L$11*(1+$L$9)^N158*'Récapitulatif des résultats'!$I$11</f>
        <v>0</v>
      </c>
      <c r="T158" s="238"/>
      <c r="U158" s="177"/>
      <c r="V158" s="246">
        <f t="shared" si="24"/>
        <v>0</v>
      </c>
      <c r="W158" s="185">
        <f>SUM('Pin Laricio'!AQ142*'Pin Laricio'!$F$21,'Pin Maritime'!AQ142*'Pin Maritime'!$F$21,'C'!AQ142*'C'!$F$21,D!AQ142*D!$F$21,E!AQ142*E!$F$21,F!AQ142*F!$F$21)</f>
        <v>0</v>
      </c>
      <c r="X158" s="185">
        <f>SUM('Pin Laricio'!AR142*'Pin Laricio'!$F$21,'Pin Maritime'!AR142*'Pin Maritime'!$F$21,'C'!AR142*'C'!$F$21,D!AR142*D!$F$21,E!AR142*E!$F$21,F!AR142*F!$F$21)</f>
        <v>0</v>
      </c>
      <c r="Y158" s="185">
        <f>SUM('Pin Laricio'!AS142*'Pin Laricio'!$F$21,'Pin Maritime'!AS142*'Pin Maritime'!$F$21,'C'!AS142*'C'!$F$21,D!AS142*D!$F$21,E!AS142*E!$F$21,F!AS142*F!$F$21)</f>
        <v>0</v>
      </c>
      <c r="Z158" s="328">
        <f>SUM('Pin Laricio'!AT142*'Pin Laricio'!$F$21,'Pin Maritime'!AT142*'Pin Maritime'!$F$21,'C'!AT142*'C'!$F$21,D!AT142*D!$F$21,E!AT142*E!$F$21,F!AT142*F!$F$21)</f>
        <v>0</v>
      </c>
      <c r="AA158" s="175">
        <f t="shared" si="26"/>
        <v>0</v>
      </c>
      <c r="AB158" s="176">
        <f t="shared" si="25"/>
        <v>0</v>
      </c>
      <c r="AC158" s="175"/>
      <c r="AD158" s="175"/>
    </row>
    <row r="159" spans="2:30" x14ac:dyDescent="0.3">
      <c r="B159" s="166" t="s">
        <v>46</v>
      </c>
      <c r="C159" s="4">
        <v>0.52</v>
      </c>
      <c r="D159" s="188" t="s">
        <v>228</v>
      </c>
      <c r="E159" s="205">
        <v>50</v>
      </c>
      <c r="F159" s="251">
        <f>IF(Tableau14582[[#This Row],[Type]]="Feuillus",11*1.25,15.5*1.25)</f>
        <v>13.75</v>
      </c>
      <c r="G159" s="205">
        <v>10</v>
      </c>
      <c r="M159"/>
      <c r="N159" s="71">
        <v>138</v>
      </c>
      <c r="O159" s="236"/>
      <c r="P159" s="177"/>
      <c r="Q159" s="237">
        <f t="shared" si="27"/>
        <v>272.49999999999994</v>
      </c>
      <c r="R159" s="177">
        <f t="shared" si="23"/>
        <v>21.799999999999997</v>
      </c>
      <c r="S159" s="177">
        <f>$L$11*(1+$L$9)^N159*'Récapitulatif des résultats'!$I$11</f>
        <v>0</v>
      </c>
      <c r="T159" s="238"/>
      <c r="U159" s="177"/>
      <c r="V159" s="246">
        <f t="shared" si="24"/>
        <v>0</v>
      </c>
      <c r="W159" s="185">
        <f>SUM('Pin Laricio'!AQ143*'Pin Laricio'!$F$21,'Pin Maritime'!AQ143*'Pin Maritime'!$F$21,'C'!AQ143*'C'!$F$21,D!AQ143*D!$F$21,E!AQ143*E!$F$21,F!AQ143*F!$F$21)</f>
        <v>0</v>
      </c>
      <c r="X159" s="185">
        <f>SUM('Pin Laricio'!AR143*'Pin Laricio'!$F$21,'Pin Maritime'!AR143*'Pin Maritime'!$F$21,'C'!AR143*'C'!$F$21,D!AR143*D!$F$21,E!AR143*E!$F$21,F!AR143*F!$F$21)</f>
        <v>0</v>
      </c>
      <c r="Y159" s="185">
        <f>SUM('Pin Laricio'!AS143*'Pin Laricio'!$F$21,'Pin Maritime'!AS143*'Pin Maritime'!$F$21,'C'!AS143*'C'!$F$21,D!AS143*D!$F$21,E!AS143*E!$F$21,F!AS143*F!$F$21)</f>
        <v>0</v>
      </c>
      <c r="Z159" s="328">
        <f>SUM('Pin Laricio'!AT143*'Pin Laricio'!$F$21,'Pin Maritime'!AT143*'Pin Maritime'!$F$21,'C'!AT143*'C'!$F$21,D!AT143*D!$F$21,E!AT143*E!$F$21,F!AT143*F!$F$21)</f>
        <v>0</v>
      </c>
      <c r="AA159" s="175">
        <f t="shared" si="26"/>
        <v>0</v>
      </c>
      <c r="AB159" s="176">
        <f t="shared" si="25"/>
        <v>0</v>
      </c>
      <c r="AC159" s="175"/>
      <c r="AD159" s="175"/>
    </row>
    <row r="160" spans="2:30" x14ac:dyDescent="0.3">
      <c r="B160" s="166" t="s">
        <v>47</v>
      </c>
      <c r="C160" s="4">
        <v>0.35</v>
      </c>
      <c r="D160" s="188" t="s">
        <v>230</v>
      </c>
      <c r="E160" s="205">
        <v>42</v>
      </c>
      <c r="F160" s="251">
        <f>IF(Tableau14582[[#This Row],[Type]]="Feuillus",11*1.25,15.5*1.25)</f>
        <v>19.375</v>
      </c>
      <c r="G160" s="205">
        <v>10</v>
      </c>
      <c r="M160"/>
      <c r="N160" s="71">
        <v>139</v>
      </c>
      <c r="O160" s="236"/>
      <c r="P160" s="177"/>
      <c r="Q160" s="237">
        <f t="shared" si="27"/>
        <v>272.49999999999994</v>
      </c>
      <c r="R160" s="177">
        <f t="shared" si="23"/>
        <v>21.799999999999997</v>
      </c>
      <c r="S160" s="177">
        <f>$L$11*(1+$L$9)^N160*'Récapitulatif des résultats'!$I$11</f>
        <v>0</v>
      </c>
      <c r="T160" s="238"/>
      <c r="U160" s="177"/>
      <c r="V160" s="246">
        <f t="shared" si="24"/>
        <v>0</v>
      </c>
      <c r="W160" s="185">
        <f>SUM('Pin Laricio'!AQ144*'Pin Laricio'!$F$21,'Pin Maritime'!AQ144*'Pin Maritime'!$F$21,'C'!AQ144*'C'!$F$21,D!AQ144*D!$F$21,E!AQ144*E!$F$21,F!AQ144*F!$F$21)</f>
        <v>0</v>
      </c>
      <c r="X160" s="185">
        <f>SUM('Pin Laricio'!AR144*'Pin Laricio'!$F$21,'Pin Maritime'!AR144*'Pin Maritime'!$F$21,'C'!AR144*'C'!$F$21,D!AR144*D!$F$21,E!AR144*E!$F$21,F!AR144*F!$F$21)</f>
        <v>0</v>
      </c>
      <c r="Y160" s="185">
        <f>SUM('Pin Laricio'!AS144*'Pin Laricio'!$F$21,'Pin Maritime'!AS144*'Pin Maritime'!$F$21,'C'!AS144*'C'!$F$21,D!AS144*D!$F$21,E!AS144*E!$F$21,F!AS144*F!$F$21)</f>
        <v>0</v>
      </c>
      <c r="Z160" s="328">
        <f>SUM('Pin Laricio'!AT144*'Pin Laricio'!$F$21,'Pin Maritime'!AT144*'Pin Maritime'!$F$21,'C'!AT144*'C'!$F$21,D!AT144*D!$F$21,E!AT144*E!$F$21,F!AT144*F!$F$21)</f>
        <v>0</v>
      </c>
      <c r="AA160" s="175">
        <f t="shared" si="26"/>
        <v>0</v>
      </c>
      <c r="AB160" s="176">
        <f t="shared" si="25"/>
        <v>0</v>
      </c>
      <c r="AC160" s="175"/>
      <c r="AD160" s="175"/>
    </row>
    <row r="161" spans="2:30" x14ac:dyDescent="0.3">
      <c r="B161" s="166" t="s">
        <v>48</v>
      </c>
      <c r="C161" s="4">
        <v>0.37</v>
      </c>
      <c r="D161" s="188" t="s">
        <v>228</v>
      </c>
      <c r="E161" s="205">
        <v>17.5</v>
      </c>
      <c r="F161" s="251">
        <f>IF(Tableau14582[[#This Row],[Type]]="Feuillus",11*1.25,15.5*1.25)</f>
        <v>13.75</v>
      </c>
      <c r="G161" s="205">
        <v>10</v>
      </c>
      <c r="M161"/>
      <c r="N161" s="71">
        <v>140</v>
      </c>
      <c r="O161" s="236"/>
      <c r="P161" s="177"/>
      <c r="Q161" s="237">
        <f t="shared" si="27"/>
        <v>272.49999999999994</v>
      </c>
      <c r="R161" s="177">
        <f t="shared" si="23"/>
        <v>21.799999999999997</v>
      </c>
      <c r="S161" s="177">
        <f>$L$11*(1+$L$9)^N161*'Récapitulatif des résultats'!$I$11</f>
        <v>0</v>
      </c>
      <c r="T161" s="238"/>
      <c r="U161" s="177"/>
      <c r="V161" s="246">
        <f t="shared" si="24"/>
        <v>0</v>
      </c>
      <c r="W161" s="185">
        <f>SUM('Pin Laricio'!AQ145*'Pin Laricio'!$F$21,'Pin Maritime'!AQ145*'Pin Maritime'!$F$21,'C'!AQ145*'C'!$F$21,D!AQ145*D!$F$21,E!AQ145*E!$F$21,F!AQ145*F!$F$21)</f>
        <v>0</v>
      </c>
      <c r="X161" s="185">
        <f>SUM('Pin Laricio'!AR145*'Pin Laricio'!$F$21,'Pin Maritime'!AR145*'Pin Maritime'!$F$21,'C'!AR145*'C'!$F$21,D!AR145*D!$F$21,E!AR145*E!$F$21,F!AR145*F!$F$21)</f>
        <v>0</v>
      </c>
      <c r="Y161" s="185">
        <f>SUM('Pin Laricio'!AS145*'Pin Laricio'!$F$21,'Pin Maritime'!AS145*'Pin Maritime'!$F$21,'C'!AS145*'C'!$F$21,D!AS145*D!$F$21,E!AS145*E!$F$21,F!AS145*F!$F$21)</f>
        <v>0</v>
      </c>
      <c r="Z161" s="328">
        <f>SUM('Pin Laricio'!AT145*'Pin Laricio'!$F$21,'Pin Maritime'!AT145*'Pin Maritime'!$F$21,'C'!AT145*'C'!$F$21,D!AT145*D!$F$21,E!AT145*E!$F$21,F!AT145*F!$F$21)</f>
        <v>0</v>
      </c>
      <c r="AA161" s="175">
        <f t="shared" si="26"/>
        <v>0</v>
      </c>
      <c r="AB161" s="176">
        <f t="shared" si="25"/>
        <v>0</v>
      </c>
      <c r="AC161" s="175"/>
      <c r="AD161" s="175"/>
    </row>
    <row r="162" spans="2:30" x14ac:dyDescent="0.3">
      <c r="B162" s="166" t="s">
        <v>49</v>
      </c>
      <c r="C162" s="4">
        <v>0.45</v>
      </c>
      <c r="D162" s="188" t="s">
        <v>229</v>
      </c>
      <c r="E162" s="205">
        <v>30</v>
      </c>
      <c r="F162" s="251">
        <f>IF(Tableau14582[[#This Row],[Type]]="Feuillus",11*1.25,15.5*1.25)</f>
        <v>19.375</v>
      </c>
      <c r="G162" s="205">
        <v>10</v>
      </c>
      <c r="M162"/>
      <c r="N162" s="71">
        <v>141</v>
      </c>
      <c r="O162" s="236"/>
      <c r="P162" s="177"/>
      <c r="Q162" s="237">
        <f t="shared" si="27"/>
        <v>272.49999999999994</v>
      </c>
      <c r="R162" s="177">
        <f t="shared" si="23"/>
        <v>21.799999999999997</v>
      </c>
      <c r="S162" s="177">
        <f>$L$11*(1+$L$9)^N162*'Récapitulatif des résultats'!$I$11</f>
        <v>0</v>
      </c>
      <c r="T162" s="238"/>
      <c r="U162" s="177"/>
      <c r="V162" s="246">
        <f t="shared" si="24"/>
        <v>0</v>
      </c>
      <c r="W162" s="185">
        <f>SUM('Pin Laricio'!AQ146*'Pin Laricio'!$F$21,'Pin Maritime'!AQ146*'Pin Maritime'!$F$21,'C'!AQ146*'C'!$F$21,D!AQ146*D!$F$21,E!AQ146*E!$F$21,F!AQ146*F!$F$21)</f>
        <v>0</v>
      </c>
      <c r="X162" s="185">
        <f>SUM('Pin Laricio'!AR146*'Pin Laricio'!$F$21,'Pin Maritime'!AR146*'Pin Maritime'!$F$21,'C'!AR146*'C'!$F$21,D!AR146*D!$F$21,E!AR146*E!$F$21,F!AR146*F!$F$21)</f>
        <v>0</v>
      </c>
      <c r="Y162" s="185">
        <f>SUM('Pin Laricio'!AS146*'Pin Laricio'!$F$21,'Pin Maritime'!AS146*'Pin Maritime'!$F$21,'C'!AS146*'C'!$F$21,D!AS146*D!$F$21,E!AS146*E!$F$21,F!AS146*F!$F$21)</f>
        <v>0</v>
      </c>
      <c r="Z162" s="328">
        <f>SUM('Pin Laricio'!AT146*'Pin Laricio'!$F$21,'Pin Maritime'!AT146*'Pin Maritime'!$F$21,'C'!AT146*'C'!$F$21,D!AT146*D!$F$21,E!AT146*E!$F$21,F!AT146*F!$F$21)</f>
        <v>0</v>
      </c>
      <c r="AA162" s="175">
        <f t="shared" si="26"/>
        <v>0</v>
      </c>
      <c r="AB162" s="176">
        <f t="shared" si="25"/>
        <v>0</v>
      </c>
      <c r="AC162" s="175"/>
      <c r="AD162" s="175"/>
    </row>
    <row r="163" spans="2:30" x14ac:dyDescent="0.3">
      <c r="B163" s="166" t="s">
        <v>50</v>
      </c>
      <c r="C163" s="4">
        <v>0.39</v>
      </c>
      <c r="D163" s="188" t="s">
        <v>229</v>
      </c>
      <c r="E163" s="205">
        <v>30</v>
      </c>
      <c r="F163" s="251">
        <f>IF(Tableau14582[[#This Row],[Type]]="Feuillus",11*1.25,15.5*1.25)</f>
        <v>19.375</v>
      </c>
      <c r="G163" s="205">
        <v>10</v>
      </c>
      <c r="M163"/>
      <c r="N163" s="71">
        <v>142</v>
      </c>
      <c r="O163" s="236"/>
      <c r="P163" s="177"/>
      <c r="Q163" s="237">
        <f t="shared" si="27"/>
        <v>272.49999999999994</v>
      </c>
      <c r="R163" s="177">
        <f t="shared" si="23"/>
        <v>21.799999999999997</v>
      </c>
      <c r="S163" s="177">
        <f>$L$11*(1+$L$9)^N163*'Récapitulatif des résultats'!$I$11</f>
        <v>0</v>
      </c>
      <c r="T163" s="238"/>
      <c r="U163" s="177"/>
      <c r="V163" s="246">
        <f t="shared" si="24"/>
        <v>0</v>
      </c>
      <c r="W163" s="185">
        <f>SUM('Pin Laricio'!AQ147*'Pin Laricio'!$F$21,'Pin Maritime'!AQ147*'Pin Maritime'!$F$21,'C'!AQ147*'C'!$F$21,D!AQ147*D!$F$21,E!AQ147*E!$F$21,F!AQ147*F!$F$21)</f>
        <v>0</v>
      </c>
      <c r="X163" s="185">
        <f>SUM('Pin Laricio'!AR147*'Pin Laricio'!$F$21,'Pin Maritime'!AR147*'Pin Maritime'!$F$21,'C'!AR147*'C'!$F$21,D!AR147*D!$F$21,E!AR147*E!$F$21,F!AR147*F!$F$21)</f>
        <v>0</v>
      </c>
      <c r="Y163" s="185">
        <f>SUM('Pin Laricio'!AS147*'Pin Laricio'!$F$21,'Pin Maritime'!AS147*'Pin Maritime'!$F$21,'C'!AS147*'C'!$F$21,D!AS147*D!$F$21,E!AS147*E!$F$21,F!AS147*F!$F$21)</f>
        <v>0</v>
      </c>
      <c r="Z163" s="328">
        <f>SUM('Pin Laricio'!AT147*'Pin Laricio'!$F$21,'Pin Maritime'!AT147*'Pin Maritime'!$F$21,'C'!AT147*'C'!$F$21,D!AT147*D!$F$21,E!AT147*E!$F$21,F!AT147*F!$F$21)</f>
        <v>0</v>
      </c>
      <c r="AA163" s="175">
        <f t="shared" si="26"/>
        <v>0</v>
      </c>
      <c r="AB163" s="176">
        <f t="shared" si="25"/>
        <v>0</v>
      </c>
      <c r="AC163" s="175"/>
      <c r="AD163" s="175"/>
    </row>
    <row r="164" spans="2:30" x14ac:dyDescent="0.3">
      <c r="B164" s="166" t="s">
        <v>51</v>
      </c>
      <c r="C164" s="4">
        <v>0.44</v>
      </c>
      <c r="D164" s="188" t="s">
        <v>229</v>
      </c>
      <c r="E164" s="205">
        <v>30</v>
      </c>
      <c r="F164" s="251">
        <f>IF(Tableau14582[[#This Row],[Type]]="Feuillus",11*1.25,15.5*1.25)</f>
        <v>19.375</v>
      </c>
      <c r="G164" s="205">
        <v>10</v>
      </c>
      <c r="M164"/>
      <c r="N164" s="71">
        <v>143</v>
      </c>
      <c r="O164" s="236"/>
      <c r="P164" s="177"/>
      <c r="Q164" s="237">
        <f t="shared" si="27"/>
        <v>272.49999999999994</v>
      </c>
      <c r="R164" s="177">
        <f t="shared" si="23"/>
        <v>21.799999999999997</v>
      </c>
      <c r="S164" s="177">
        <f>$L$11*(1+$L$9)^N164*'Récapitulatif des résultats'!$I$11</f>
        <v>0</v>
      </c>
      <c r="T164" s="238"/>
      <c r="U164" s="177"/>
      <c r="V164" s="246">
        <f t="shared" si="24"/>
        <v>0</v>
      </c>
      <c r="W164" s="185">
        <f>SUM('Pin Laricio'!AQ148*'Pin Laricio'!$F$21,'Pin Maritime'!AQ148*'Pin Maritime'!$F$21,'C'!AQ148*'C'!$F$21,D!AQ148*D!$F$21,E!AQ148*E!$F$21,F!AQ148*F!$F$21)</f>
        <v>0</v>
      </c>
      <c r="X164" s="185">
        <f>SUM('Pin Laricio'!AR148*'Pin Laricio'!$F$21,'Pin Maritime'!AR148*'Pin Maritime'!$F$21,'C'!AR148*'C'!$F$21,D!AR148*D!$F$21,E!AR148*E!$F$21,F!AR148*F!$F$21)</f>
        <v>0</v>
      </c>
      <c r="Y164" s="185">
        <f>SUM('Pin Laricio'!AS148*'Pin Laricio'!$F$21,'Pin Maritime'!AS148*'Pin Maritime'!$F$21,'C'!AS148*'C'!$F$21,D!AS148*D!$F$21,E!AS148*E!$F$21,F!AS148*F!$F$21)</f>
        <v>0</v>
      </c>
      <c r="Z164" s="328">
        <f>SUM('Pin Laricio'!AT148*'Pin Laricio'!$F$21,'Pin Maritime'!AT148*'Pin Maritime'!$F$21,'C'!AT148*'C'!$F$21,D!AT148*D!$F$21,E!AT148*E!$F$21,F!AT148*F!$F$21)</f>
        <v>0</v>
      </c>
      <c r="AA164" s="175">
        <f t="shared" si="26"/>
        <v>0</v>
      </c>
      <c r="AB164" s="176">
        <f t="shared" si="25"/>
        <v>0</v>
      </c>
      <c r="AC164" s="175"/>
      <c r="AD164" s="175"/>
    </row>
    <row r="165" spans="2:30" x14ac:dyDescent="0.3">
      <c r="B165" s="166" t="s">
        <v>52</v>
      </c>
      <c r="C165" s="4">
        <v>0.46</v>
      </c>
      <c r="D165" s="188" t="s">
        <v>229</v>
      </c>
      <c r="E165" s="205">
        <v>30</v>
      </c>
      <c r="F165" s="251">
        <f>IF(Tableau14582[[#This Row],[Type]]="Feuillus",11*1.25,15.5*1.25)</f>
        <v>19.375</v>
      </c>
      <c r="G165" s="205">
        <v>10</v>
      </c>
      <c r="M165"/>
      <c r="N165" s="71">
        <v>144</v>
      </c>
      <c r="O165" s="236"/>
      <c r="P165" s="177"/>
      <c r="Q165" s="237">
        <f t="shared" si="27"/>
        <v>272.49999999999994</v>
      </c>
      <c r="R165" s="177">
        <f t="shared" si="23"/>
        <v>21.799999999999997</v>
      </c>
      <c r="S165" s="177">
        <f>$L$11*(1+$L$9)^N165*'Récapitulatif des résultats'!$I$11</f>
        <v>0</v>
      </c>
      <c r="T165" s="238"/>
      <c r="U165" s="177"/>
      <c r="V165" s="246">
        <f t="shared" si="24"/>
        <v>0</v>
      </c>
      <c r="W165" s="185">
        <f>SUM('Pin Laricio'!AQ149*'Pin Laricio'!$F$21,'Pin Maritime'!AQ149*'Pin Maritime'!$F$21,'C'!AQ149*'C'!$F$21,D!AQ149*D!$F$21,E!AQ149*E!$F$21,F!AQ149*F!$F$21)</f>
        <v>0</v>
      </c>
      <c r="X165" s="185">
        <f>SUM('Pin Laricio'!AR149*'Pin Laricio'!$F$21,'Pin Maritime'!AR149*'Pin Maritime'!$F$21,'C'!AR149*'C'!$F$21,D!AR149*D!$F$21,E!AR149*E!$F$21,F!AR149*F!$F$21)</f>
        <v>0</v>
      </c>
      <c r="Y165" s="185">
        <f>SUM('Pin Laricio'!AS149*'Pin Laricio'!$F$21,'Pin Maritime'!AS149*'Pin Maritime'!$F$21,'C'!AS149*'C'!$F$21,D!AS149*D!$F$21,E!AS149*E!$F$21,F!AS149*F!$F$21)</f>
        <v>0</v>
      </c>
      <c r="Z165" s="328">
        <f>SUM('Pin Laricio'!AT149*'Pin Laricio'!$F$21,'Pin Maritime'!AT149*'Pin Maritime'!$F$21,'C'!AT149*'C'!$F$21,D!AT149*D!$F$21,E!AT149*E!$F$21,F!AT149*F!$F$21)</f>
        <v>0</v>
      </c>
      <c r="AA165" s="175">
        <f t="shared" si="26"/>
        <v>0</v>
      </c>
      <c r="AB165" s="176">
        <f t="shared" si="25"/>
        <v>0</v>
      </c>
      <c r="AC165" s="175"/>
      <c r="AD165" s="175"/>
    </row>
    <row r="166" spans="2:30" ht="27.6" x14ac:dyDescent="0.3">
      <c r="B166" s="166" t="s">
        <v>53</v>
      </c>
      <c r="C166" s="4">
        <v>0.46</v>
      </c>
      <c r="D166" s="188" t="s">
        <v>231</v>
      </c>
      <c r="E166" s="205">
        <v>42</v>
      </c>
      <c r="F166" s="251">
        <f>IF(Tableau14582[[#This Row],[Type]]="Feuillus",11*1.25,15.5*1.25)</f>
        <v>19.375</v>
      </c>
      <c r="G166" s="205">
        <v>10</v>
      </c>
      <c r="M166"/>
      <c r="N166" s="71">
        <v>145</v>
      </c>
      <c r="O166" s="236"/>
      <c r="P166" s="177"/>
      <c r="Q166" s="237">
        <f t="shared" si="27"/>
        <v>272.49999999999994</v>
      </c>
      <c r="R166" s="177">
        <f t="shared" si="23"/>
        <v>21.799999999999997</v>
      </c>
      <c r="S166" s="177">
        <f>$L$11*(1+$L$9)^N166*'Récapitulatif des résultats'!$I$11</f>
        <v>0</v>
      </c>
      <c r="T166" s="238"/>
      <c r="U166" s="177"/>
      <c r="V166" s="246">
        <f t="shared" si="24"/>
        <v>0</v>
      </c>
      <c r="W166" s="185">
        <f>SUM('Pin Laricio'!AQ150*'Pin Laricio'!$F$21,'Pin Maritime'!AQ150*'Pin Maritime'!$F$21,'C'!AQ150*'C'!$F$21,D!AQ150*D!$F$21,E!AQ150*E!$F$21,F!AQ150*F!$F$21)</f>
        <v>0</v>
      </c>
      <c r="X166" s="185">
        <f>SUM('Pin Laricio'!AR150*'Pin Laricio'!$F$21,'Pin Maritime'!AR150*'Pin Maritime'!$F$21,'C'!AR150*'C'!$F$21,D!AR150*D!$F$21,E!AR150*E!$F$21,F!AR150*F!$F$21)</f>
        <v>0</v>
      </c>
      <c r="Y166" s="185">
        <f>SUM('Pin Laricio'!AS150*'Pin Laricio'!$F$21,'Pin Maritime'!AS150*'Pin Maritime'!$F$21,'C'!AS150*'C'!$F$21,D!AS150*D!$F$21,E!AS150*E!$F$21,F!AS150*F!$F$21)</f>
        <v>0</v>
      </c>
      <c r="Z166" s="328">
        <f>SUM('Pin Laricio'!AT150*'Pin Laricio'!$F$21,'Pin Maritime'!AT150*'Pin Maritime'!$F$21,'C'!AT150*'C'!$F$21,D!AT150*D!$F$21,E!AT150*E!$F$21,F!AT150*F!$F$21)</f>
        <v>0</v>
      </c>
      <c r="AA166" s="175">
        <f t="shared" si="26"/>
        <v>0</v>
      </c>
      <c r="AB166" s="176">
        <f t="shared" si="25"/>
        <v>0</v>
      </c>
      <c r="AC166" s="175"/>
      <c r="AD166" s="175"/>
    </row>
    <row r="167" spans="2:30" x14ac:dyDescent="0.3">
      <c r="B167" s="166" t="s">
        <v>54</v>
      </c>
      <c r="C167" s="4">
        <v>0.44</v>
      </c>
      <c r="D167" s="188" t="s">
        <v>229</v>
      </c>
      <c r="E167" s="205">
        <v>30</v>
      </c>
      <c r="F167" s="251">
        <f>IF(Tableau14582[[#This Row],[Type]]="Feuillus",11*1.25,15.5*1.25)</f>
        <v>19.375</v>
      </c>
      <c r="G167" s="205">
        <v>10</v>
      </c>
      <c r="M167"/>
      <c r="N167" s="71">
        <v>146</v>
      </c>
      <c r="O167" s="236"/>
      <c r="P167" s="177"/>
      <c r="Q167" s="237">
        <f t="shared" si="27"/>
        <v>272.49999999999994</v>
      </c>
      <c r="R167" s="177">
        <f t="shared" si="23"/>
        <v>21.799999999999997</v>
      </c>
      <c r="S167" s="177">
        <f>$L$11*(1+$L$9)^N167*'Récapitulatif des résultats'!$I$11</f>
        <v>0</v>
      </c>
      <c r="T167" s="238"/>
      <c r="U167" s="177"/>
      <c r="V167" s="246">
        <f t="shared" si="24"/>
        <v>0</v>
      </c>
      <c r="W167" s="185">
        <f>SUM('Pin Laricio'!AQ151*'Pin Laricio'!$F$21,'Pin Maritime'!AQ151*'Pin Maritime'!$F$21,'C'!AQ151*'C'!$F$21,D!AQ151*D!$F$21,E!AQ151*E!$F$21,F!AQ151*F!$F$21)</f>
        <v>0</v>
      </c>
      <c r="X167" s="185">
        <f>SUM('Pin Laricio'!AR151*'Pin Laricio'!$F$21,'Pin Maritime'!AR151*'Pin Maritime'!$F$21,'C'!AR151*'C'!$F$21,D!AR151*D!$F$21,E!AR151*E!$F$21,F!AR151*F!$F$21)</f>
        <v>0</v>
      </c>
      <c r="Y167" s="185">
        <f>SUM('Pin Laricio'!AS151*'Pin Laricio'!$F$21,'Pin Maritime'!AS151*'Pin Maritime'!$F$21,'C'!AS151*'C'!$F$21,D!AS151*D!$F$21,E!AS151*E!$F$21,F!AS151*F!$F$21)</f>
        <v>0</v>
      </c>
      <c r="Z167" s="328">
        <f>SUM('Pin Laricio'!AT151*'Pin Laricio'!$F$21,'Pin Maritime'!AT151*'Pin Maritime'!$F$21,'C'!AT151*'C'!$F$21,D!AT151*D!$F$21,E!AT151*E!$F$21,F!AT151*F!$F$21)</f>
        <v>0</v>
      </c>
      <c r="AA167" s="175">
        <f t="shared" si="26"/>
        <v>0</v>
      </c>
      <c r="AB167" s="176">
        <f t="shared" si="25"/>
        <v>0</v>
      </c>
      <c r="AC167" s="175"/>
      <c r="AD167" s="175"/>
    </row>
    <row r="168" spans="2:30" x14ac:dyDescent="0.3">
      <c r="B168" s="166" t="s">
        <v>55</v>
      </c>
      <c r="C168" s="4">
        <v>0.46</v>
      </c>
      <c r="D168" s="188" t="s">
        <v>229</v>
      </c>
      <c r="E168" s="205">
        <v>30</v>
      </c>
      <c r="F168" s="251">
        <f>IF(Tableau14582[[#This Row],[Type]]="Feuillus",11*1.25,15.5*1.25)</f>
        <v>19.375</v>
      </c>
      <c r="G168" s="205">
        <v>10</v>
      </c>
      <c r="M168"/>
      <c r="N168" s="71">
        <v>147</v>
      </c>
      <c r="O168" s="236"/>
      <c r="P168" s="177"/>
      <c r="Q168" s="237">
        <f t="shared" si="27"/>
        <v>272.49999999999994</v>
      </c>
      <c r="R168" s="177">
        <f t="shared" si="23"/>
        <v>21.799999999999997</v>
      </c>
      <c r="S168" s="177">
        <f>$L$11*(1+$L$9)^N168*'Récapitulatif des résultats'!$I$11</f>
        <v>0</v>
      </c>
      <c r="T168" s="238"/>
      <c r="U168" s="177"/>
      <c r="V168" s="246">
        <f t="shared" si="24"/>
        <v>0</v>
      </c>
      <c r="W168" s="185">
        <f>SUM('Pin Laricio'!AQ152*'Pin Laricio'!$F$21,'Pin Maritime'!AQ152*'Pin Maritime'!$F$21,'C'!AQ152*'C'!$F$21,D!AQ152*D!$F$21,E!AQ152*E!$F$21,F!AQ152*F!$F$21)</f>
        <v>0</v>
      </c>
      <c r="X168" s="185">
        <f>SUM('Pin Laricio'!AR152*'Pin Laricio'!$F$21,'Pin Maritime'!AR152*'Pin Maritime'!$F$21,'C'!AR152*'C'!$F$21,D!AR152*D!$F$21,E!AR152*E!$F$21,F!AR152*F!$F$21)</f>
        <v>0</v>
      </c>
      <c r="Y168" s="185">
        <f>SUM('Pin Laricio'!AS152*'Pin Laricio'!$F$21,'Pin Maritime'!AS152*'Pin Maritime'!$F$21,'C'!AS152*'C'!$F$21,D!AS152*D!$F$21,E!AS152*E!$F$21,F!AS152*F!$F$21)</f>
        <v>0</v>
      </c>
      <c r="Z168" s="328">
        <f>SUM('Pin Laricio'!AT152*'Pin Laricio'!$F$21,'Pin Maritime'!AT152*'Pin Maritime'!$F$21,'C'!AT152*'C'!$F$21,D!AT152*D!$F$21,E!AT152*E!$F$21,F!AT152*F!$F$21)</f>
        <v>0</v>
      </c>
      <c r="AA168" s="175">
        <f t="shared" si="26"/>
        <v>0</v>
      </c>
      <c r="AB168" s="176">
        <f t="shared" si="25"/>
        <v>0</v>
      </c>
      <c r="AC168" s="175"/>
      <c r="AD168" s="175"/>
    </row>
    <row r="169" spans="2:30" x14ac:dyDescent="0.3">
      <c r="B169" s="166" t="s">
        <v>56</v>
      </c>
      <c r="C169" s="4">
        <v>0.48</v>
      </c>
      <c r="D169" s="188" t="s">
        <v>229</v>
      </c>
      <c r="E169" s="205">
        <v>30</v>
      </c>
      <c r="F169" s="251">
        <f>IF(Tableau14582[[#This Row],[Type]]="Feuillus",11*1.25,15.5*1.25)</f>
        <v>19.375</v>
      </c>
      <c r="G169" s="205">
        <v>10</v>
      </c>
      <c r="M169"/>
      <c r="N169" s="71">
        <v>148</v>
      </c>
      <c r="O169" s="236"/>
      <c r="P169" s="177"/>
      <c r="Q169" s="237">
        <f t="shared" si="27"/>
        <v>272.49999999999994</v>
      </c>
      <c r="R169" s="177">
        <f t="shared" si="23"/>
        <v>21.799999999999997</v>
      </c>
      <c r="S169" s="177">
        <f>$L$11*(1+$L$9)^N169*'Récapitulatif des résultats'!$I$11</f>
        <v>0</v>
      </c>
      <c r="T169" s="238"/>
      <c r="U169" s="177"/>
      <c r="V169" s="246">
        <f t="shared" si="24"/>
        <v>0</v>
      </c>
      <c r="W169" s="185">
        <f>SUM('Pin Laricio'!AQ153*'Pin Laricio'!$F$21,'Pin Maritime'!AQ153*'Pin Maritime'!$F$21,'C'!AQ153*'C'!$F$21,D!AQ153*D!$F$21,E!AQ153*E!$F$21,F!AQ153*F!$F$21)</f>
        <v>0</v>
      </c>
      <c r="X169" s="185">
        <f>SUM('Pin Laricio'!AR153*'Pin Laricio'!$F$21,'Pin Maritime'!AR153*'Pin Maritime'!$F$21,'C'!AR153*'C'!$F$21,D!AR153*D!$F$21,E!AR153*E!$F$21,F!AR153*F!$F$21)</f>
        <v>0</v>
      </c>
      <c r="Y169" s="185">
        <f>SUM('Pin Laricio'!AS153*'Pin Laricio'!$F$21,'Pin Maritime'!AS153*'Pin Maritime'!$F$21,'C'!AS153*'C'!$F$21,D!AS153*D!$F$21,E!AS153*E!$F$21,F!AS153*F!$F$21)</f>
        <v>0</v>
      </c>
      <c r="Z169" s="328">
        <f>SUM('Pin Laricio'!AT153*'Pin Laricio'!$F$21,'Pin Maritime'!AT153*'Pin Maritime'!$F$21,'C'!AT153*'C'!$F$21,D!AT153*D!$F$21,E!AT153*E!$F$21,F!AT153*F!$F$21)</f>
        <v>0</v>
      </c>
      <c r="AA169" s="175">
        <f t="shared" si="26"/>
        <v>0</v>
      </c>
      <c r="AB169" s="176">
        <f t="shared" si="25"/>
        <v>0</v>
      </c>
      <c r="AC169" s="175"/>
      <c r="AD169" s="175"/>
    </row>
    <row r="170" spans="2:30" x14ac:dyDescent="0.3">
      <c r="B170" s="166" t="s">
        <v>57</v>
      </c>
      <c r="C170" s="4">
        <v>0.44</v>
      </c>
      <c r="D170" s="188" t="s">
        <v>229</v>
      </c>
      <c r="E170" s="205">
        <v>30</v>
      </c>
      <c r="F170" s="251">
        <f>IF(Tableau14582[[#This Row],[Type]]="Feuillus",11*1.25,15.5*1.25)</f>
        <v>19.375</v>
      </c>
      <c r="G170" s="205">
        <v>10</v>
      </c>
      <c r="M170"/>
      <c r="N170" s="71">
        <v>149</v>
      </c>
      <c r="O170" s="236"/>
      <c r="P170" s="177"/>
      <c r="Q170" s="237">
        <f t="shared" si="27"/>
        <v>272.49999999999994</v>
      </c>
      <c r="R170" s="177">
        <f t="shared" si="23"/>
        <v>21.799999999999997</v>
      </c>
      <c r="S170" s="177">
        <f>$L$11*(1+$L$9)^N170*'Récapitulatif des résultats'!$I$11</f>
        <v>0</v>
      </c>
      <c r="T170" s="238"/>
      <c r="U170" s="177"/>
      <c r="V170" s="246">
        <f t="shared" si="24"/>
        <v>0</v>
      </c>
      <c r="W170" s="185">
        <f>SUM('Pin Laricio'!AQ154*'Pin Laricio'!$F$21,'Pin Maritime'!AQ154*'Pin Maritime'!$F$21,'C'!AQ154*'C'!$F$21,D!AQ154*D!$F$21,E!AQ154*E!$F$21,F!AQ154*F!$F$21)</f>
        <v>0</v>
      </c>
      <c r="X170" s="185">
        <f>SUM('Pin Laricio'!AR154*'Pin Laricio'!$F$21,'Pin Maritime'!AR154*'Pin Maritime'!$F$21,'C'!AR154*'C'!$F$21,D!AR154*D!$F$21,E!AR154*E!$F$21,F!AR154*F!$F$21)</f>
        <v>0</v>
      </c>
      <c r="Y170" s="185">
        <f>SUM('Pin Laricio'!AS154*'Pin Laricio'!$F$21,'Pin Maritime'!AS154*'Pin Maritime'!$F$21,'C'!AS154*'C'!$F$21,D!AS154*D!$F$21,E!AS154*E!$F$21,F!AS154*F!$F$21)</f>
        <v>0</v>
      </c>
      <c r="Z170" s="328">
        <f>SUM('Pin Laricio'!AT154*'Pin Laricio'!$F$21,'Pin Maritime'!AT154*'Pin Maritime'!$F$21,'C'!AT154*'C'!$F$21,D!AT154*D!$F$21,E!AT154*E!$F$21,F!AT154*F!$F$21)</f>
        <v>0</v>
      </c>
      <c r="AA170" s="175">
        <f t="shared" si="26"/>
        <v>0</v>
      </c>
      <c r="AB170" s="176">
        <f t="shared" si="25"/>
        <v>0</v>
      </c>
      <c r="AC170" s="175"/>
      <c r="AD170" s="175"/>
    </row>
    <row r="171" spans="2:30" x14ac:dyDescent="0.3">
      <c r="B171" s="166" t="s">
        <v>58</v>
      </c>
      <c r="C171" s="4">
        <v>0.34</v>
      </c>
      <c r="D171" s="188" t="s">
        <v>229</v>
      </c>
      <c r="E171" s="205">
        <v>30</v>
      </c>
      <c r="F171" s="251">
        <f>IF(Tableau14582[[#This Row],[Type]]="Feuillus",11*1.25,15.5*1.25)</f>
        <v>19.375</v>
      </c>
      <c r="G171" s="205">
        <v>10</v>
      </c>
      <c r="M171"/>
      <c r="N171" s="71">
        <v>150</v>
      </c>
      <c r="O171" s="236"/>
      <c r="P171" s="177"/>
      <c r="Q171" s="237">
        <f t="shared" si="27"/>
        <v>272.49999999999994</v>
      </c>
      <c r="R171" s="177">
        <f t="shared" si="23"/>
        <v>21.799999999999997</v>
      </c>
      <c r="S171" s="177">
        <f>$L$11*(1+$L$9)^N171*'Récapitulatif des résultats'!$I$11</f>
        <v>0</v>
      </c>
      <c r="T171" s="238"/>
      <c r="U171" s="177"/>
      <c r="V171" s="246">
        <f t="shared" si="24"/>
        <v>0</v>
      </c>
      <c r="W171" s="185">
        <f>SUM('Pin Laricio'!AQ155*'Pin Laricio'!$F$21,'Pin Maritime'!AQ155*'Pin Maritime'!$F$21,'C'!AQ155*'C'!$F$21,D!AQ155*D!$F$21,E!AQ155*E!$F$21,F!AQ155*F!$F$21)</f>
        <v>0</v>
      </c>
      <c r="X171" s="185">
        <f>SUM('Pin Laricio'!AR155*'Pin Laricio'!$F$21,'Pin Maritime'!AR155*'Pin Maritime'!$F$21,'C'!AR155*'C'!$F$21,D!AR155*D!$F$21,E!AR155*E!$F$21,F!AR155*F!$F$21)</f>
        <v>0</v>
      </c>
      <c r="Y171" s="185">
        <f>SUM('Pin Laricio'!AS155*'Pin Laricio'!$F$21,'Pin Maritime'!AS155*'Pin Maritime'!$F$21,'C'!AS155*'C'!$F$21,D!AS155*D!$F$21,E!AS155*E!$F$21,F!AS155*F!$F$21)</f>
        <v>0</v>
      </c>
      <c r="Z171" s="328">
        <f>SUM('Pin Laricio'!AT155*'Pin Laricio'!$F$21,'Pin Maritime'!AT155*'Pin Maritime'!$F$21,'C'!AT155*'C'!$F$21,D!AT155*D!$F$21,E!AT155*E!$F$21,F!AT155*F!$F$21)</f>
        <v>0</v>
      </c>
      <c r="AA171" s="175">
        <f t="shared" si="26"/>
        <v>0</v>
      </c>
      <c r="AB171" s="176">
        <f t="shared" si="25"/>
        <v>0</v>
      </c>
      <c r="AC171" s="175"/>
      <c r="AD171" s="175"/>
    </row>
    <row r="172" spans="2:30" x14ac:dyDescent="0.3">
      <c r="B172" s="166" t="s">
        <v>59</v>
      </c>
      <c r="C172" s="4">
        <v>0.5</v>
      </c>
      <c r="D172" s="188" t="s">
        <v>228</v>
      </c>
      <c r="E172" s="205">
        <v>50</v>
      </c>
      <c r="F172" s="251">
        <f>IF(Tableau14582[[#This Row],[Type]]="Feuillus",11*1.25,15.5*1.25)</f>
        <v>13.75</v>
      </c>
      <c r="G172" s="205">
        <v>10</v>
      </c>
      <c r="M172"/>
      <c r="N172" s="71">
        <v>151</v>
      </c>
      <c r="O172" s="236"/>
      <c r="P172" s="177"/>
      <c r="Q172" s="237">
        <f t="shared" si="27"/>
        <v>272.49999999999994</v>
      </c>
      <c r="R172" s="177">
        <f t="shared" si="23"/>
        <v>21.799999999999997</v>
      </c>
      <c r="S172" s="177">
        <f>$L$11*(1+$L$9)^N172*'Récapitulatif des résultats'!$I$11</f>
        <v>0</v>
      </c>
      <c r="T172" s="238"/>
      <c r="U172" s="177"/>
      <c r="V172" s="246">
        <f t="shared" si="24"/>
        <v>0</v>
      </c>
      <c r="W172" s="185">
        <f>SUM('Pin Laricio'!AQ156*'Pin Laricio'!$F$21,'Pin Maritime'!AQ156*'Pin Maritime'!$F$21,'C'!AQ156*'C'!$F$21,D!AQ156*D!$F$21,E!AQ156*E!$F$21,F!AQ156*F!$F$21)</f>
        <v>0</v>
      </c>
      <c r="X172" s="185">
        <f>SUM('Pin Laricio'!AR156*'Pin Laricio'!$F$21,'Pin Maritime'!AR156*'Pin Maritime'!$F$21,'C'!AR156*'C'!$F$21,D!AR156*D!$F$21,E!AR156*E!$F$21,F!AR156*F!$F$21)</f>
        <v>0</v>
      </c>
      <c r="Y172" s="185">
        <f>SUM('Pin Laricio'!AS156*'Pin Laricio'!$F$21,'Pin Maritime'!AS156*'Pin Maritime'!$F$21,'C'!AS156*'C'!$F$21,D!AS156*D!$F$21,E!AS156*E!$F$21,F!AS156*F!$F$21)</f>
        <v>0</v>
      </c>
      <c r="Z172" s="328">
        <f>SUM('Pin Laricio'!AT156*'Pin Laricio'!$F$21,'Pin Maritime'!AT156*'Pin Maritime'!$F$21,'C'!AT156*'C'!$F$21,D!AT156*D!$F$21,E!AT156*E!$F$21,F!AT156*F!$F$21)</f>
        <v>0</v>
      </c>
      <c r="AA172" s="175">
        <f t="shared" si="26"/>
        <v>0</v>
      </c>
      <c r="AB172" s="176">
        <f t="shared" si="25"/>
        <v>0</v>
      </c>
      <c r="AC172" s="175"/>
      <c r="AD172" s="175"/>
    </row>
    <row r="173" spans="2:30" x14ac:dyDescent="0.3">
      <c r="B173" s="166" t="s">
        <v>60</v>
      </c>
      <c r="C173" s="4">
        <v>0.57999999999999996</v>
      </c>
      <c r="D173" s="188" t="s">
        <v>228</v>
      </c>
      <c r="E173" s="205">
        <v>70</v>
      </c>
      <c r="F173" s="251">
        <f>IF(Tableau14582[[#This Row],[Type]]="Feuillus",11*1.25,15.5*1.25)</f>
        <v>13.75</v>
      </c>
      <c r="G173" s="205">
        <v>10</v>
      </c>
      <c r="M173"/>
      <c r="N173" s="71">
        <v>152</v>
      </c>
      <c r="O173" s="236"/>
      <c r="P173" s="177"/>
      <c r="Q173" s="237">
        <f t="shared" si="27"/>
        <v>272.49999999999994</v>
      </c>
      <c r="R173" s="177">
        <f t="shared" si="23"/>
        <v>21.799999999999997</v>
      </c>
      <c r="S173" s="177">
        <f>$L$11*(1+$L$9)^N173*'Récapitulatif des résultats'!$I$11</f>
        <v>0</v>
      </c>
      <c r="T173" s="238"/>
      <c r="U173" s="177"/>
      <c r="V173" s="246">
        <f t="shared" si="24"/>
        <v>0</v>
      </c>
      <c r="W173" s="185">
        <f>SUM('Pin Laricio'!AQ157*'Pin Laricio'!$F$21,'Pin Maritime'!AQ157*'Pin Maritime'!$F$21,'C'!AQ157*'C'!$F$21,D!AQ157*D!$F$21,E!AQ157*E!$F$21,F!AQ157*F!$F$21)</f>
        <v>0</v>
      </c>
      <c r="X173" s="185">
        <f>SUM('Pin Laricio'!AR157*'Pin Laricio'!$F$21,'Pin Maritime'!AR157*'Pin Maritime'!$F$21,'C'!AR157*'C'!$F$21,D!AR157*D!$F$21,E!AR157*E!$F$21,F!AR157*F!$F$21)</f>
        <v>0</v>
      </c>
      <c r="Y173" s="185">
        <f>SUM('Pin Laricio'!AS157*'Pin Laricio'!$F$21,'Pin Maritime'!AS157*'Pin Maritime'!$F$21,'C'!AS157*'C'!$F$21,D!AS157*D!$F$21,E!AS157*E!$F$21,F!AS157*F!$F$21)</f>
        <v>0</v>
      </c>
      <c r="Z173" s="328">
        <f>SUM('Pin Laricio'!AT157*'Pin Laricio'!$F$21,'Pin Maritime'!AT157*'Pin Maritime'!$F$21,'C'!AT157*'C'!$F$21,D!AT157*D!$F$21,E!AT157*E!$F$21,F!AT157*F!$F$21)</f>
        <v>0</v>
      </c>
      <c r="AA173" s="175">
        <f t="shared" si="26"/>
        <v>0</v>
      </c>
      <c r="AB173" s="176">
        <f t="shared" si="25"/>
        <v>0</v>
      </c>
      <c r="AC173" s="175"/>
      <c r="AD173" s="175"/>
    </row>
    <row r="174" spans="2:30" x14ac:dyDescent="0.3">
      <c r="B174" s="166" t="s">
        <v>61</v>
      </c>
      <c r="C174" s="4">
        <v>0.37</v>
      </c>
      <c r="D174" s="188" t="s">
        <v>229</v>
      </c>
      <c r="E174" s="205">
        <v>44</v>
      </c>
      <c r="F174" s="251">
        <f>IF(Tableau14582[[#This Row],[Type]]="Feuillus",11*1.25,15.5*1.25)</f>
        <v>19.375</v>
      </c>
      <c r="G174" s="205">
        <v>10</v>
      </c>
      <c r="M174"/>
      <c r="N174" s="71">
        <v>153</v>
      </c>
      <c r="O174" s="236"/>
      <c r="P174" s="177"/>
      <c r="Q174" s="237">
        <f t="shared" si="27"/>
        <v>272.49999999999994</v>
      </c>
      <c r="R174" s="177">
        <f t="shared" si="23"/>
        <v>21.799999999999997</v>
      </c>
      <c r="S174" s="177">
        <f>$L$11*(1+$L$9)^N174*'Récapitulatif des résultats'!$I$11</f>
        <v>0</v>
      </c>
      <c r="T174" s="238"/>
      <c r="U174" s="177"/>
      <c r="V174" s="246">
        <f t="shared" si="24"/>
        <v>0</v>
      </c>
      <c r="W174" s="185">
        <f>SUM('Pin Laricio'!AQ158*'Pin Laricio'!$F$21,'Pin Maritime'!AQ158*'Pin Maritime'!$F$21,'C'!AQ158*'C'!$F$21,D!AQ158*D!$F$21,E!AQ158*E!$F$21,F!AQ158*F!$F$21)</f>
        <v>0</v>
      </c>
      <c r="X174" s="185">
        <f>SUM('Pin Laricio'!AR158*'Pin Laricio'!$F$21,'Pin Maritime'!AR158*'Pin Maritime'!$F$21,'C'!AR158*'C'!$F$21,D!AR158*D!$F$21,E!AR158*E!$F$21,F!AR158*F!$F$21)</f>
        <v>0</v>
      </c>
      <c r="Y174" s="185">
        <f>SUM('Pin Laricio'!AS158*'Pin Laricio'!$F$21,'Pin Maritime'!AS158*'Pin Maritime'!$F$21,'C'!AS158*'C'!$F$21,D!AS158*D!$F$21,E!AS158*E!$F$21,F!AS158*F!$F$21)</f>
        <v>0</v>
      </c>
      <c r="Z174" s="328">
        <f>SUM('Pin Laricio'!AT158*'Pin Laricio'!$F$21,'Pin Maritime'!AT158*'Pin Maritime'!$F$21,'C'!AT158*'C'!$F$21,D!AT158*D!$F$21,E!AT158*E!$F$21,F!AT158*F!$F$21)</f>
        <v>0</v>
      </c>
      <c r="AA174" s="175">
        <f t="shared" si="26"/>
        <v>0</v>
      </c>
      <c r="AB174" s="176">
        <f t="shared" si="25"/>
        <v>0</v>
      </c>
      <c r="AC174" s="175"/>
      <c r="AD174" s="175"/>
    </row>
    <row r="175" spans="2:30" x14ac:dyDescent="0.3">
      <c r="B175" s="166" t="s">
        <v>62</v>
      </c>
      <c r="C175" s="4">
        <v>0.37</v>
      </c>
      <c r="D175" s="188" t="s">
        <v>229</v>
      </c>
      <c r="E175" s="205">
        <v>44</v>
      </c>
      <c r="F175" s="251">
        <f>IF(Tableau14582[[#This Row],[Type]]="Feuillus",11*1.25,15.5*1.25)</f>
        <v>19.375</v>
      </c>
      <c r="G175" s="205">
        <v>10</v>
      </c>
      <c r="M175"/>
      <c r="N175" s="71">
        <v>154</v>
      </c>
      <c r="O175" s="236"/>
      <c r="P175" s="177"/>
      <c r="Q175" s="237">
        <f t="shared" si="27"/>
        <v>272.49999999999994</v>
      </c>
      <c r="R175" s="177">
        <f t="shared" si="23"/>
        <v>21.799999999999997</v>
      </c>
      <c r="S175" s="177">
        <f>$L$11*(1+$L$9)^N175*'Récapitulatif des résultats'!$I$11</f>
        <v>0</v>
      </c>
      <c r="T175" s="238"/>
      <c r="U175" s="177"/>
      <c r="V175" s="246">
        <f t="shared" si="24"/>
        <v>0</v>
      </c>
      <c r="W175" s="185">
        <f>SUM('Pin Laricio'!AQ159*'Pin Laricio'!$F$21,'Pin Maritime'!AQ159*'Pin Maritime'!$F$21,'C'!AQ159*'C'!$F$21,D!AQ159*D!$F$21,E!AQ159*E!$F$21,F!AQ159*F!$F$21)</f>
        <v>0</v>
      </c>
      <c r="X175" s="185">
        <f>SUM('Pin Laricio'!AR159*'Pin Laricio'!$F$21,'Pin Maritime'!AR159*'Pin Maritime'!$F$21,'C'!AR159*'C'!$F$21,D!AR159*D!$F$21,E!AR159*E!$F$21,F!AR159*F!$F$21)</f>
        <v>0</v>
      </c>
      <c r="Y175" s="185">
        <f>SUM('Pin Laricio'!AS159*'Pin Laricio'!$F$21,'Pin Maritime'!AS159*'Pin Maritime'!$F$21,'C'!AS159*'C'!$F$21,D!AS159*D!$F$21,E!AS159*E!$F$21,F!AS159*F!$F$21)</f>
        <v>0</v>
      </c>
      <c r="Z175" s="328">
        <f>SUM('Pin Laricio'!AT159*'Pin Laricio'!$F$21,'Pin Maritime'!AT159*'Pin Maritime'!$F$21,'C'!AT159*'C'!$F$21,D!AT159*D!$F$21,E!AT159*E!$F$21,F!AT159*F!$F$21)</f>
        <v>0</v>
      </c>
      <c r="AA175" s="175">
        <f t="shared" si="26"/>
        <v>0</v>
      </c>
      <c r="AB175" s="176">
        <f t="shared" si="25"/>
        <v>0</v>
      </c>
      <c r="AC175" s="175"/>
      <c r="AD175" s="175"/>
    </row>
    <row r="176" spans="2:30" x14ac:dyDescent="0.3">
      <c r="B176" s="166" t="s">
        <v>63</v>
      </c>
      <c r="C176" s="4">
        <v>0.38</v>
      </c>
      <c r="D176" s="188" t="s">
        <v>229</v>
      </c>
      <c r="E176" s="205">
        <v>37</v>
      </c>
      <c r="F176" s="251">
        <f>IF(Tableau14582[[#This Row],[Type]]="Feuillus",11*1.25,15.5*1.25)</f>
        <v>19.375</v>
      </c>
      <c r="G176" s="205">
        <v>10</v>
      </c>
      <c r="M176"/>
      <c r="N176" s="71">
        <v>155</v>
      </c>
      <c r="O176" s="236"/>
      <c r="P176" s="177"/>
      <c r="Q176" s="237">
        <f t="shared" si="27"/>
        <v>272.49999999999994</v>
      </c>
      <c r="R176" s="177">
        <f t="shared" si="23"/>
        <v>21.799999999999997</v>
      </c>
      <c r="S176" s="177">
        <f>$L$11*(1+$L$9)^N176*'Récapitulatif des résultats'!$I$11</f>
        <v>0</v>
      </c>
      <c r="T176" s="238"/>
      <c r="U176" s="177"/>
      <c r="V176" s="246">
        <f t="shared" si="24"/>
        <v>0</v>
      </c>
      <c r="W176" s="185">
        <f>SUM('Pin Laricio'!AQ160*'Pin Laricio'!$F$21,'Pin Maritime'!AQ160*'Pin Maritime'!$F$21,'C'!AQ160*'C'!$F$21,D!AQ160*D!$F$21,E!AQ160*E!$F$21,F!AQ160*F!$F$21)</f>
        <v>0</v>
      </c>
      <c r="X176" s="185">
        <f>SUM('Pin Laricio'!AR160*'Pin Laricio'!$F$21,'Pin Maritime'!AR160*'Pin Maritime'!$F$21,'C'!AR160*'C'!$F$21,D!AR160*D!$F$21,E!AR160*E!$F$21,F!AR160*F!$F$21)</f>
        <v>0</v>
      </c>
      <c r="Y176" s="185">
        <f>SUM('Pin Laricio'!AS160*'Pin Laricio'!$F$21,'Pin Maritime'!AS160*'Pin Maritime'!$F$21,'C'!AS160*'C'!$F$21,D!AS160*D!$F$21,E!AS160*E!$F$21,F!AS160*F!$F$21)</f>
        <v>0</v>
      </c>
      <c r="Z176" s="328">
        <f>SUM('Pin Laricio'!AT160*'Pin Laricio'!$F$21,'Pin Maritime'!AT160*'Pin Maritime'!$F$21,'C'!AT160*'C'!$F$21,D!AT160*D!$F$21,E!AT160*E!$F$21,F!AT160*F!$F$21)</f>
        <v>0</v>
      </c>
      <c r="AA176" s="175">
        <f t="shared" si="26"/>
        <v>0</v>
      </c>
      <c r="AB176" s="176">
        <f t="shared" si="25"/>
        <v>0</v>
      </c>
      <c r="AC176" s="175"/>
      <c r="AD176" s="175"/>
    </row>
    <row r="177" spans="2:30" x14ac:dyDescent="0.3">
      <c r="B177" s="166" t="s">
        <v>64</v>
      </c>
      <c r="C177" s="4">
        <v>0.36</v>
      </c>
      <c r="D177" s="188" t="s">
        <v>229</v>
      </c>
      <c r="E177" s="205">
        <v>44</v>
      </c>
      <c r="F177" s="251">
        <f>IF(Tableau14582[[#This Row],[Type]]="Feuillus",11*1.25,15.5*1.25)</f>
        <v>19.375</v>
      </c>
      <c r="G177" s="205">
        <v>10</v>
      </c>
      <c r="M177"/>
      <c r="N177" s="71">
        <v>156</v>
      </c>
      <c r="O177" s="236"/>
      <c r="P177" s="177"/>
      <c r="Q177" s="237">
        <f t="shared" si="27"/>
        <v>272.49999999999994</v>
      </c>
      <c r="R177" s="177">
        <f t="shared" si="23"/>
        <v>21.799999999999997</v>
      </c>
      <c r="S177" s="177">
        <f>$L$11*(1+$L$9)^N177*'Récapitulatif des résultats'!$I$11</f>
        <v>0</v>
      </c>
      <c r="T177" s="238"/>
      <c r="U177" s="177"/>
      <c r="V177" s="246">
        <f t="shared" si="24"/>
        <v>0</v>
      </c>
      <c r="W177" s="185">
        <f>SUM('Pin Laricio'!AQ161*'Pin Laricio'!$F$21,'Pin Maritime'!AQ161*'Pin Maritime'!$F$21,'C'!AQ161*'C'!$F$21,D!AQ161*D!$F$21,E!AQ161*E!$F$21,F!AQ161*F!$F$21)</f>
        <v>0</v>
      </c>
      <c r="X177" s="185">
        <f>SUM('Pin Laricio'!AR161*'Pin Laricio'!$F$21,'Pin Maritime'!AR161*'Pin Maritime'!$F$21,'C'!AR161*'C'!$F$21,D!AR161*D!$F$21,E!AR161*E!$F$21,F!AR161*F!$F$21)</f>
        <v>0</v>
      </c>
      <c r="Y177" s="185">
        <f>SUM('Pin Laricio'!AS161*'Pin Laricio'!$F$21,'Pin Maritime'!AS161*'Pin Maritime'!$F$21,'C'!AS161*'C'!$F$21,D!AS161*D!$F$21,E!AS161*E!$F$21,F!AS161*F!$F$21)</f>
        <v>0</v>
      </c>
      <c r="Z177" s="328">
        <f>SUM('Pin Laricio'!AT161*'Pin Laricio'!$F$21,'Pin Maritime'!AT161*'Pin Maritime'!$F$21,'C'!AT161*'C'!$F$21,D!AT161*D!$F$21,E!AT161*E!$F$21,F!AT161*F!$F$21)</f>
        <v>0</v>
      </c>
      <c r="AA177" s="175">
        <f t="shared" si="26"/>
        <v>0</v>
      </c>
      <c r="AB177" s="176">
        <f t="shared" si="25"/>
        <v>0</v>
      </c>
      <c r="AC177" s="175"/>
      <c r="AD177" s="175"/>
    </row>
    <row r="178" spans="2:30" x14ac:dyDescent="0.3">
      <c r="B178" s="166" t="s">
        <v>65</v>
      </c>
      <c r="C178" s="4">
        <v>0.37</v>
      </c>
      <c r="D178" s="188" t="s">
        <v>228</v>
      </c>
      <c r="E178" s="205">
        <v>25</v>
      </c>
      <c r="F178" s="251">
        <f>IF(Tableau14582[[#This Row],[Type]]="Feuillus",11*1.25,15.5*1.25)</f>
        <v>13.75</v>
      </c>
      <c r="G178" s="205">
        <v>10</v>
      </c>
      <c r="M178"/>
      <c r="N178" s="71">
        <v>157</v>
      </c>
      <c r="O178" s="236"/>
      <c r="P178" s="177"/>
      <c r="Q178" s="237">
        <f t="shared" si="27"/>
        <v>272.49999999999994</v>
      </c>
      <c r="R178" s="177">
        <f t="shared" si="23"/>
        <v>21.799999999999997</v>
      </c>
      <c r="S178" s="177">
        <f>$L$11*(1+$L$9)^N178*'Récapitulatif des résultats'!$I$11</f>
        <v>0</v>
      </c>
      <c r="T178" s="238"/>
      <c r="U178" s="177"/>
      <c r="V178" s="246">
        <f t="shared" si="24"/>
        <v>0</v>
      </c>
      <c r="W178" s="185">
        <f>SUM('Pin Laricio'!AQ162*'Pin Laricio'!$F$21,'Pin Maritime'!AQ162*'Pin Maritime'!$F$21,'C'!AQ162*'C'!$F$21,D!AQ162*D!$F$21,E!AQ162*E!$F$21,F!AQ162*F!$F$21)</f>
        <v>0</v>
      </c>
      <c r="X178" s="185">
        <f>SUM('Pin Laricio'!AR162*'Pin Laricio'!$F$21,'Pin Maritime'!AR162*'Pin Maritime'!$F$21,'C'!AR162*'C'!$F$21,D!AR162*D!$F$21,E!AR162*E!$F$21,F!AR162*F!$F$21)</f>
        <v>0</v>
      </c>
      <c r="Y178" s="185">
        <f>SUM('Pin Laricio'!AS162*'Pin Laricio'!$F$21,'Pin Maritime'!AS162*'Pin Maritime'!$F$21,'C'!AS162*'C'!$F$21,D!AS162*D!$F$21,E!AS162*E!$F$21,F!AS162*F!$F$21)</f>
        <v>0</v>
      </c>
      <c r="Z178" s="328">
        <f>SUM('Pin Laricio'!AT162*'Pin Laricio'!$F$21,'Pin Maritime'!AT162*'Pin Maritime'!$F$21,'C'!AT162*'C'!$F$21,D!AT162*D!$F$21,E!AT162*E!$F$21,F!AT162*F!$F$21)</f>
        <v>0</v>
      </c>
      <c r="AA178" s="175">
        <f t="shared" si="26"/>
        <v>0</v>
      </c>
      <c r="AB178" s="176">
        <f t="shared" si="25"/>
        <v>0</v>
      </c>
      <c r="AC178" s="175"/>
      <c r="AD178" s="175"/>
    </row>
    <row r="179" spans="2:30" x14ac:dyDescent="0.3">
      <c r="B179" s="166" t="s">
        <v>66</v>
      </c>
      <c r="C179" s="4">
        <v>0.53</v>
      </c>
      <c r="D179" s="188" t="s">
        <v>228</v>
      </c>
      <c r="E179" s="252" t="s">
        <v>250</v>
      </c>
      <c r="F179" s="251">
        <f>IF(Tableau14582[[#This Row],[Type]]="Feuillus",11*1.25,15.5*1.25)</f>
        <v>13.75</v>
      </c>
      <c r="G179" s="205">
        <v>10</v>
      </c>
      <c r="M179"/>
      <c r="N179" s="71">
        <v>158</v>
      </c>
      <c r="O179" s="236"/>
      <c r="P179" s="177"/>
      <c r="Q179" s="237">
        <f t="shared" si="27"/>
        <v>272.49999999999994</v>
      </c>
      <c r="R179" s="177">
        <f t="shared" si="23"/>
        <v>21.799999999999997</v>
      </c>
      <c r="S179" s="177">
        <f>$L$11*(1+$L$9)^N179*'Récapitulatif des résultats'!$I$11</f>
        <v>0</v>
      </c>
      <c r="T179" s="238"/>
      <c r="U179" s="177"/>
      <c r="V179" s="246">
        <f t="shared" si="24"/>
        <v>0</v>
      </c>
      <c r="W179" s="185">
        <f>SUM('Pin Laricio'!AQ163*'Pin Laricio'!$F$21,'Pin Maritime'!AQ163*'Pin Maritime'!$F$21,'C'!AQ163*'C'!$F$21,D!AQ163*D!$F$21,E!AQ163*E!$F$21,F!AQ163*F!$F$21)</f>
        <v>0</v>
      </c>
      <c r="X179" s="185">
        <f>SUM('Pin Laricio'!AR163*'Pin Laricio'!$F$21,'Pin Maritime'!AR163*'Pin Maritime'!$F$21,'C'!AR163*'C'!$F$21,D!AR163*D!$F$21,E!AR163*E!$F$21,F!AR163*F!$F$21)</f>
        <v>0</v>
      </c>
      <c r="Y179" s="185">
        <f>SUM('Pin Laricio'!AS163*'Pin Laricio'!$F$21,'Pin Maritime'!AS163*'Pin Maritime'!$F$21,'C'!AS163*'C'!$F$21,D!AS163*D!$F$21,E!AS163*E!$F$21,F!AS163*F!$F$21)</f>
        <v>0</v>
      </c>
      <c r="Z179" s="328">
        <f>SUM('Pin Laricio'!AT163*'Pin Laricio'!$F$21,'Pin Maritime'!AT163*'Pin Maritime'!$F$21,'C'!AT163*'C'!$F$21,D!AT163*D!$F$21,E!AT163*E!$F$21,F!AT163*F!$F$21)</f>
        <v>0</v>
      </c>
      <c r="AA179" s="175">
        <f t="shared" si="26"/>
        <v>0</v>
      </c>
      <c r="AB179" s="176">
        <f t="shared" si="25"/>
        <v>0</v>
      </c>
      <c r="AC179" s="175"/>
      <c r="AD179" s="175"/>
    </row>
    <row r="180" spans="2:30" x14ac:dyDescent="0.3">
      <c r="B180" s="166" t="s">
        <v>67</v>
      </c>
      <c r="C180" s="4">
        <v>0.43</v>
      </c>
      <c r="D180" s="188" t="s">
        <v>228</v>
      </c>
      <c r="E180" s="205">
        <v>50</v>
      </c>
      <c r="F180" s="251">
        <f>IF(Tableau14582[[#This Row],[Type]]="Feuillus",11*1.25,15.5*1.25)</f>
        <v>13.75</v>
      </c>
      <c r="G180" s="205">
        <v>10</v>
      </c>
      <c r="M180"/>
      <c r="N180" s="71">
        <v>159</v>
      </c>
      <c r="O180" s="236"/>
      <c r="P180" s="177"/>
      <c r="Q180" s="237">
        <f t="shared" si="27"/>
        <v>272.49999999999994</v>
      </c>
      <c r="R180" s="177">
        <f t="shared" si="23"/>
        <v>21.799999999999997</v>
      </c>
      <c r="S180" s="177">
        <f>$L$11*(1+$L$9)^N180*'Récapitulatif des résultats'!$I$11</f>
        <v>0</v>
      </c>
      <c r="T180" s="238"/>
      <c r="U180" s="177"/>
      <c r="V180" s="246">
        <f t="shared" si="24"/>
        <v>0</v>
      </c>
      <c r="W180" s="185">
        <f>SUM('Pin Laricio'!AQ164*'Pin Laricio'!$F$21,'Pin Maritime'!AQ164*'Pin Maritime'!$F$21,'C'!AQ164*'C'!$F$21,D!AQ164*D!$F$21,E!AQ164*E!$F$21,F!AQ164*F!$F$21)</f>
        <v>0</v>
      </c>
      <c r="X180" s="185">
        <f>SUM('Pin Laricio'!AR164*'Pin Laricio'!$F$21,'Pin Maritime'!AR164*'Pin Maritime'!$F$21,'C'!AR164*'C'!$F$21,D!AR164*D!$F$21,E!AR164*E!$F$21,F!AR164*F!$F$21)</f>
        <v>0</v>
      </c>
      <c r="Y180" s="185">
        <f>SUM('Pin Laricio'!AS164*'Pin Laricio'!$F$21,'Pin Maritime'!AS164*'Pin Maritime'!$F$21,'C'!AS164*'C'!$F$21,D!AS164*D!$F$21,E!AS164*E!$F$21,F!AS164*F!$F$21)</f>
        <v>0</v>
      </c>
      <c r="Z180" s="328">
        <f>SUM('Pin Laricio'!AT164*'Pin Laricio'!$F$21,'Pin Maritime'!AT164*'Pin Maritime'!$F$21,'C'!AT164*'C'!$F$21,D!AT164*D!$F$21,E!AT164*E!$F$21,F!AT164*F!$F$21)</f>
        <v>0</v>
      </c>
      <c r="AA180" s="175">
        <f t="shared" si="26"/>
        <v>0</v>
      </c>
      <c r="AB180" s="176">
        <f t="shared" si="25"/>
        <v>0</v>
      </c>
      <c r="AC180" s="175"/>
      <c r="AD180" s="175"/>
    </row>
    <row r="181" spans="2:30" x14ac:dyDescent="0.3">
      <c r="B181" s="166" t="s">
        <v>68</v>
      </c>
      <c r="C181" s="4">
        <v>0.38</v>
      </c>
      <c r="D181" s="188" t="s">
        <v>228</v>
      </c>
      <c r="E181" s="205">
        <v>25</v>
      </c>
      <c r="F181" s="251">
        <f>IF(Tableau14582[[#This Row],[Type]]="Feuillus",11*1.25,15.5*1.25)</f>
        <v>13.75</v>
      </c>
      <c r="G181" s="205">
        <v>10</v>
      </c>
      <c r="M181"/>
      <c r="N181" s="71">
        <v>160</v>
      </c>
      <c r="O181" s="236"/>
      <c r="P181" s="177"/>
      <c r="Q181" s="237">
        <f t="shared" si="27"/>
        <v>272.49999999999994</v>
      </c>
      <c r="R181" s="177">
        <f t="shared" si="23"/>
        <v>21.799999999999997</v>
      </c>
      <c r="S181" s="177">
        <f>$L$11*(1+$L$9)^N181*'Récapitulatif des résultats'!$I$11</f>
        <v>0</v>
      </c>
      <c r="T181" s="238"/>
      <c r="U181" s="177"/>
      <c r="V181" s="246">
        <f t="shared" si="24"/>
        <v>0</v>
      </c>
      <c r="W181" s="185">
        <f>SUM('Pin Laricio'!AQ165*'Pin Laricio'!$F$21,'Pin Maritime'!AQ165*'Pin Maritime'!$F$21,'C'!AQ165*'C'!$F$21,D!AQ165*D!$F$21,E!AQ165*E!$F$21,F!AQ165*F!$F$21)</f>
        <v>0</v>
      </c>
      <c r="X181" s="185">
        <f>SUM('Pin Laricio'!AR165*'Pin Laricio'!$F$21,'Pin Maritime'!AR165*'Pin Maritime'!$F$21,'C'!AR165*'C'!$F$21,D!AR165*D!$F$21,E!AR165*E!$F$21,F!AR165*F!$F$21)</f>
        <v>0</v>
      </c>
      <c r="Y181" s="185">
        <f>SUM('Pin Laricio'!AS165*'Pin Laricio'!$F$21,'Pin Maritime'!AS165*'Pin Maritime'!$F$21,'C'!AS165*'C'!$F$21,D!AS165*D!$F$21,E!AS165*E!$F$21,F!AS165*F!$F$21)</f>
        <v>0</v>
      </c>
      <c r="Z181" s="328">
        <f>SUM('Pin Laricio'!AT165*'Pin Laricio'!$F$21,'Pin Maritime'!AT165*'Pin Maritime'!$F$21,'C'!AT165*'C'!$F$21,D!AT165*D!$F$21,E!AT165*E!$F$21,F!AT165*F!$F$21)</f>
        <v>0</v>
      </c>
      <c r="AA181" s="175">
        <f t="shared" si="26"/>
        <v>0</v>
      </c>
      <c r="AB181" s="176">
        <f t="shared" si="25"/>
        <v>0</v>
      </c>
      <c r="AC181" s="175"/>
      <c r="AD181" s="175"/>
    </row>
    <row r="182" spans="2:30" x14ac:dyDescent="0.3">
      <c r="B182" s="168" t="s">
        <v>69</v>
      </c>
      <c r="C182" s="3">
        <v>0.42</v>
      </c>
      <c r="D182" s="188" t="s">
        <v>229</v>
      </c>
      <c r="E182" s="205">
        <v>44</v>
      </c>
      <c r="F182" s="251">
        <f>IF(Tableau14582[[#This Row],[Type]]="Feuillus",11*1.25,15.5*1.25)</f>
        <v>19.375</v>
      </c>
      <c r="G182" s="205">
        <v>10</v>
      </c>
      <c r="M182"/>
      <c r="N182" s="71">
        <v>161</v>
      </c>
      <c r="O182" s="236"/>
      <c r="P182" s="177"/>
      <c r="Q182" s="237">
        <f t="shared" si="27"/>
        <v>272.49999999999994</v>
      </c>
      <c r="R182" s="177">
        <f t="shared" si="23"/>
        <v>21.799999999999997</v>
      </c>
      <c r="S182" s="177">
        <f>$L$11*(1+$L$9)^N182*'Récapitulatif des résultats'!$I$11</f>
        <v>0</v>
      </c>
      <c r="T182" s="238"/>
      <c r="U182" s="177"/>
      <c r="V182" s="246">
        <f t="shared" si="24"/>
        <v>0</v>
      </c>
      <c r="W182" s="185">
        <f>SUM('Pin Laricio'!AQ166*'Pin Laricio'!$F$21,'Pin Maritime'!AQ166*'Pin Maritime'!$F$21,'C'!AQ166*'C'!$F$21,D!AQ166*D!$F$21,E!AQ166*E!$F$21,F!AQ166*F!$F$21)</f>
        <v>0</v>
      </c>
      <c r="X182" s="185">
        <f>SUM('Pin Laricio'!AR166*'Pin Laricio'!$F$21,'Pin Maritime'!AR166*'Pin Maritime'!$F$21,'C'!AR166*'C'!$F$21,D!AR166*D!$F$21,E!AR166*E!$F$21,F!AR166*F!$F$21)</f>
        <v>0</v>
      </c>
      <c r="Y182" s="185">
        <f>SUM('Pin Laricio'!AS166*'Pin Laricio'!$F$21,'Pin Maritime'!AS166*'Pin Maritime'!$F$21,'C'!AS166*'C'!$F$21,D!AS166*D!$F$21,E!AS166*E!$F$21,F!AS166*F!$F$21)</f>
        <v>0</v>
      </c>
      <c r="Z182" s="328">
        <f>SUM('Pin Laricio'!AT166*'Pin Laricio'!$F$21,'Pin Maritime'!AT166*'Pin Maritime'!$F$21,'C'!AT166*'C'!$F$21,D!AT166*D!$F$21,E!AT166*E!$F$21,F!AT166*F!$F$21)</f>
        <v>0</v>
      </c>
      <c r="AA182" s="175">
        <f t="shared" si="26"/>
        <v>0</v>
      </c>
      <c r="AB182" s="176">
        <f t="shared" si="25"/>
        <v>0</v>
      </c>
      <c r="AC182" s="175"/>
      <c r="AD182" s="175"/>
    </row>
    <row r="183" spans="2:30" x14ac:dyDescent="0.3">
      <c r="B183" s="168" t="s">
        <v>70</v>
      </c>
      <c r="C183" s="3">
        <v>0.56999999999999995</v>
      </c>
      <c r="D183" s="188" t="s">
        <v>228</v>
      </c>
      <c r="E183" s="252">
        <v>50</v>
      </c>
      <c r="F183" s="251">
        <f>IF(Tableau14582[[#This Row],[Type]]="Feuillus",11*1.25,15.5*1.25)</f>
        <v>13.75</v>
      </c>
      <c r="G183" s="205">
        <v>10</v>
      </c>
      <c r="M183"/>
      <c r="N183" s="71">
        <v>162</v>
      </c>
      <c r="O183" s="236"/>
      <c r="P183" s="177"/>
      <c r="Q183" s="237">
        <f t="shared" si="27"/>
        <v>272.49999999999994</v>
      </c>
      <c r="R183" s="177">
        <f t="shared" si="23"/>
        <v>21.799999999999997</v>
      </c>
      <c r="S183" s="177">
        <f>$L$11*(1+$L$9)^N183*'Récapitulatif des résultats'!$I$11</f>
        <v>0</v>
      </c>
      <c r="T183" s="238"/>
      <c r="U183" s="177"/>
      <c r="V183" s="246">
        <f t="shared" si="24"/>
        <v>0</v>
      </c>
      <c r="W183" s="185">
        <f>SUM('Pin Laricio'!AQ167*'Pin Laricio'!$F$21,'Pin Maritime'!AQ167*'Pin Maritime'!$F$21,'C'!AQ167*'C'!$F$21,D!AQ167*D!$F$21,E!AQ167*E!$F$21,F!AQ167*F!$F$21)</f>
        <v>0</v>
      </c>
      <c r="X183" s="185">
        <f>SUM('Pin Laricio'!AR167*'Pin Laricio'!$F$21,'Pin Maritime'!AR167*'Pin Maritime'!$F$21,'C'!AR167*'C'!$F$21,D!AR167*D!$F$21,E!AR167*E!$F$21,F!AR167*F!$F$21)</f>
        <v>0</v>
      </c>
      <c r="Y183" s="185">
        <f>SUM('Pin Laricio'!AS167*'Pin Laricio'!$F$21,'Pin Maritime'!AS167*'Pin Maritime'!$F$21,'C'!AS167*'C'!$F$21,D!AS167*D!$F$21,E!AS167*E!$F$21,F!AS167*F!$F$21)</f>
        <v>0</v>
      </c>
      <c r="Z183" s="328">
        <f>SUM('Pin Laricio'!AT167*'Pin Laricio'!$F$21,'Pin Maritime'!AT167*'Pin Maritime'!$F$21,'C'!AT167*'C'!$F$21,D!AT167*D!$F$21,E!AT167*E!$F$21,F!AT167*F!$F$21)</f>
        <v>0</v>
      </c>
      <c r="AA183" s="175">
        <f t="shared" si="26"/>
        <v>0</v>
      </c>
      <c r="AB183" s="176">
        <f t="shared" si="25"/>
        <v>0</v>
      </c>
      <c r="AC183" s="175"/>
      <c r="AD183" s="175"/>
    </row>
    <row r="184" spans="2:30" x14ac:dyDescent="0.3">
      <c r="B184" s="168" t="s">
        <v>71</v>
      </c>
      <c r="C184" s="3">
        <v>0.54</v>
      </c>
      <c r="D184" s="188"/>
      <c r="E184" s="205">
        <v>60</v>
      </c>
      <c r="F184" s="205"/>
      <c r="G184" s="205">
        <v>10</v>
      </c>
      <c r="M184"/>
      <c r="N184" s="71">
        <v>163</v>
      </c>
      <c r="O184" s="236"/>
      <c r="P184" s="177"/>
      <c r="Q184" s="237">
        <f t="shared" si="27"/>
        <v>272.49999999999994</v>
      </c>
      <c r="R184" s="177">
        <f t="shared" si="23"/>
        <v>21.799999999999997</v>
      </c>
      <c r="S184" s="177">
        <f>$L$11*(1+$L$9)^N184*'Récapitulatif des résultats'!$I$11</f>
        <v>0</v>
      </c>
      <c r="T184" s="238"/>
      <c r="U184" s="177"/>
      <c r="V184" s="246">
        <f t="shared" si="24"/>
        <v>0</v>
      </c>
      <c r="W184" s="185">
        <f>SUM('Pin Laricio'!AQ168*'Pin Laricio'!$F$21,'Pin Maritime'!AQ168*'Pin Maritime'!$F$21,'C'!AQ168*'C'!$F$21,D!AQ168*D!$F$21,E!AQ168*E!$F$21,F!AQ168*F!$F$21)</f>
        <v>0</v>
      </c>
      <c r="X184" s="185">
        <f>SUM('Pin Laricio'!AR168*'Pin Laricio'!$F$21,'Pin Maritime'!AR168*'Pin Maritime'!$F$21,'C'!AR168*'C'!$F$21,D!AR168*D!$F$21,E!AR168*E!$F$21,F!AR168*F!$F$21)</f>
        <v>0</v>
      </c>
      <c r="Y184" s="185">
        <f>SUM('Pin Laricio'!AS168*'Pin Laricio'!$F$21,'Pin Maritime'!AS168*'Pin Maritime'!$F$21,'C'!AS168*'C'!$F$21,D!AS168*D!$F$21,E!AS168*E!$F$21,F!AS168*F!$F$21)</f>
        <v>0</v>
      </c>
      <c r="Z184" s="328">
        <f>SUM('Pin Laricio'!AT168*'Pin Laricio'!$F$21,'Pin Maritime'!AT168*'Pin Maritime'!$F$21,'C'!AT168*'C'!$F$21,D!AT168*D!$F$21,E!AT168*E!$F$21,F!AT168*F!$F$21)</f>
        <v>0</v>
      </c>
      <c r="AA184" s="175">
        <f t="shared" si="26"/>
        <v>0</v>
      </c>
      <c r="AB184" s="176">
        <f t="shared" si="25"/>
        <v>0</v>
      </c>
      <c r="AC184" s="175"/>
      <c r="AD184" s="175"/>
    </row>
    <row r="185" spans="2:30" x14ac:dyDescent="0.3">
      <c r="M185"/>
      <c r="N185" s="71">
        <v>164</v>
      </c>
      <c r="O185" s="236"/>
      <c r="P185" s="177"/>
      <c r="Q185" s="237">
        <f t="shared" si="27"/>
        <v>272.49999999999994</v>
      </c>
      <c r="R185" s="177">
        <f t="shared" si="23"/>
        <v>21.799999999999997</v>
      </c>
      <c r="S185" s="177">
        <f>$L$11*(1+$L$9)^N185*'Récapitulatif des résultats'!$I$11</f>
        <v>0</v>
      </c>
      <c r="T185" s="238"/>
      <c r="U185" s="177"/>
      <c r="V185" s="246">
        <f t="shared" si="24"/>
        <v>0</v>
      </c>
      <c r="W185" s="185">
        <f>SUM('Pin Laricio'!AQ169*'Pin Laricio'!$F$21,'Pin Maritime'!AQ169*'Pin Maritime'!$F$21,'C'!AQ169*'C'!$F$21,D!AQ169*D!$F$21,E!AQ169*E!$F$21,F!AQ169*F!$F$21)</f>
        <v>0</v>
      </c>
      <c r="X185" s="185">
        <f>SUM('Pin Laricio'!AR169*'Pin Laricio'!$F$21,'Pin Maritime'!AR169*'Pin Maritime'!$F$21,'C'!AR169*'C'!$F$21,D!AR169*D!$F$21,E!AR169*E!$F$21,F!AR169*F!$F$21)</f>
        <v>0</v>
      </c>
      <c r="Y185" s="185">
        <f>SUM('Pin Laricio'!AS169*'Pin Laricio'!$F$21,'Pin Maritime'!AS169*'Pin Maritime'!$F$21,'C'!AS169*'C'!$F$21,D!AS169*D!$F$21,E!AS169*E!$F$21,F!AS169*F!$F$21)</f>
        <v>0</v>
      </c>
      <c r="Z185" s="328">
        <f>SUM('Pin Laricio'!AT169*'Pin Laricio'!$F$21,'Pin Maritime'!AT169*'Pin Maritime'!$F$21,'C'!AT169*'C'!$F$21,D!AT169*D!$F$21,E!AT169*E!$F$21,F!AT169*F!$F$21)</f>
        <v>0</v>
      </c>
      <c r="AA185" s="175">
        <f t="shared" si="26"/>
        <v>0</v>
      </c>
      <c r="AB185" s="176">
        <f t="shared" si="25"/>
        <v>0</v>
      </c>
      <c r="AC185" s="175"/>
      <c r="AD185" s="175"/>
    </row>
    <row r="186" spans="2:30" x14ac:dyDescent="0.3">
      <c r="B186" t="s">
        <v>237</v>
      </c>
      <c r="N186" s="71">
        <v>165</v>
      </c>
      <c r="O186" s="236"/>
      <c r="P186" s="177"/>
      <c r="Q186" s="237">
        <f t="shared" si="27"/>
        <v>272.49999999999994</v>
      </c>
      <c r="R186" s="177">
        <f t="shared" si="23"/>
        <v>21.799999999999997</v>
      </c>
      <c r="S186" s="177">
        <f>$L$11*(1+$L$9)^N186*'Récapitulatif des résultats'!$I$11</f>
        <v>0</v>
      </c>
      <c r="T186" s="238"/>
      <c r="U186" s="177"/>
      <c r="V186" s="246">
        <f t="shared" si="24"/>
        <v>0</v>
      </c>
      <c r="W186" s="185">
        <f>SUM('Pin Laricio'!AQ170*'Pin Laricio'!$F$21,'Pin Maritime'!AQ170*'Pin Maritime'!$F$21,'C'!AQ170*'C'!$F$21,D!AQ170*D!$F$21,E!AQ170*E!$F$21,F!AQ170*F!$F$21)</f>
        <v>0</v>
      </c>
      <c r="X186" s="185">
        <f>SUM('Pin Laricio'!AR170*'Pin Laricio'!$F$21,'Pin Maritime'!AR170*'Pin Maritime'!$F$21,'C'!AR170*'C'!$F$21,D!AR170*D!$F$21,E!AR170*E!$F$21,F!AR170*F!$F$21)</f>
        <v>0</v>
      </c>
      <c r="Y186" s="185">
        <f>SUM('Pin Laricio'!AS170*'Pin Laricio'!$F$21,'Pin Maritime'!AS170*'Pin Maritime'!$F$21,'C'!AS170*'C'!$F$21,D!AS170*D!$F$21,E!AS170*E!$F$21,F!AS170*F!$F$21)</f>
        <v>0</v>
      </c>
      <c r="Z186" s="328">
        <f>SUM('Pin Laricio'!AT170*'Pin Laricio'!$F$21,'Pin Maritime'!AT170*'Pin Maritime'!$F$21,'C'!AT170*'C'!$F$21,D!AT170*D!$F$21,E!AT170*E!$F$21,F!AT170*F!$F$21)</f>
        <v>0</v>
      </c>
      <c r="AA186" s="175">
        <f t="shared" si="26"/>
        <v>0</v>
      </c>
      <c r="AB186" s="176">
        <f t="shared" si="25"/>
        <v>0</v>
      </c>
      <c r="AC186" s="175"/>
      <c r="AD186" s="175"/>
    </row>
    <row r="187" spans="2:30" x14ac:dyDescent="0.3">
      <c r="B187" t="s">
        <v>238</v>
      </c>
      <c r="N187" s="71">
        <v>166</v>
      </c>
      <c r="O187" s="236"/>
      <c r="P187" s="177"/>
      <c r="Q187" s="237">
        <f t="shared" ref="Q187:Q221" si="28">$L$13*(1+$L$9)^N187*$L$5</f>
        <v>272.49999999999994</v>
      </c>
      <c r="R187" s="177">
        <f t="shared" si="23"/>
        <v>21.799999999999997</v>
      </c>
      <c r="S187" s="177">
        <f>$L$11*(1+$L$9)^N187*'Récapitulatif des résultats'!$I$11</f>
        <v>0</v>
      </c>
      <c r="T187" s="238"/>
      <c r="U187" s="177"/>
      <c r="V187" s="246">
        <f t="shared" si="24"/>
        <v>0</v>
      </c>
      <c r="W187" s="185">
        <f>SUM('Pin Laricio'!AQ171*'Pin Laricio'!$F$21,'Pin Maritime'!AQ171*'Pin Maritime'!$F$21,'C'!AQ171*'C'!$F$21,D!AQ171*D!$F$21,E!AQ171*E!$F$21,F!AQ171*F!$F$21)</f>
        <v>0</v>
      </c>
      <c r="X187" s="185">
        <f>SUM('Pin Laricio'!AR171*'Pin Laricio'!$F$21,'Pin Maritime'!AR171*'Pin Maritime'!$F$21,'C'!AR171*'C'!$F$21,D!AR171*D!$F$21,E!AR171*E!$F$21,F!AR171*F!$F$21)</f>
        <v>0</v>
      </c>
      <c r="Y187" s="185">
        <f>SUM('Pin Laricio'!AS171*'Pin Laricio'!$F$21,'Pin Maritime'!AS171*'Pin Maritime'!$F$21,'C'!AS171*'C'!$F$21,D!AS171*D!$F$21,E!AS171*E!$F$21,F!AS171*F!$F$21)</f>
        <v>0</v>
      </c>
      <c r="Z187" s="328">
        <f>SUM('Pin Laricio'!AT171*'Pin Laricio'!$F$21,'Pin Maritime'!AT171*'Pin Maritime'!$F$21,'C'!AT171*'C'!$F$21,D!AT171*D!$F$21,E!AT171*E!$F$21,F!AT171*F!$F$21)</f>
        <v>0</v>
      </c>
      <c r="AA187" s="175">
        <f t="shared" si="26"/>
        <v>0</v>
      </c>
      <c r="AB187" s="176">
        <f t="shared" si="25"/>
        <v>0</v>
      </c>
      <c r="AC187" s="175"/>
      <c r="AD187" s="175"/>
    </row>
    <row r="188" spans="2:30" x14ac:dyDescent="0.3">
      <c r="B188" t="s">
        <v>243</v>
      </c>
      <c r="N188" s="71">
        <v>167</v>
      </c>
      <c r="O188" s="236"/>
      <c r="P188" s="177"/>
      <c r="Q188" s="237">
        <f t="shared" si="28"/>
        <v>272.49999999999994</v>
      </c>
      <c r="R188" s="177">
        <f t="shared" si="23"/>
        <v>21.799999999999997</v>
      </c>
      <c r="S188" s="177">
        <f>$L$11*(1+$L$9)^N188*'Récapitulatif des résultats'!$I$11</f>
        <v>0</v>
      </c>
      <c r="T188" s="238"/>
      <c r="U188" s="177"/>
      <c r="V188" s="246">
        <f t="shared" si="24"/>
        <v>0</v>
      </c>
      <c r="W188" s="185">
        <f>SUM('Pin Laricio'!AQ172*'Pin Laricio'!$F$21,'Pin Maritime'!AQ172*'Pin Maritime'!$F$21,'C'!AQ172*'C'!$F$21,D!AQ172*D!$F$21,E!AQ172*E!$F$21,F!AQ172*F!$F$21)</f>
        <v>0</v>
      </c>
      <c r="X188" s="185">
        <f>SUM('Pin Laricio'!AR172*'Pin Laricio'!$F$21,'Pin Maritime'!AR172*'Pin Maritime'!$F$21,'C'!AR172*'C'!$F$21,D!AR172*D!$F$21,E!AR172*E!$F$21,F!AR172*F!$F$21)</f>
        <v>0</v>
      </c>
      <c r="Y188" s="185">
        <f>SUM('Pin Laricio'!AS172*'Pin Laricio'!$F$21,'Pin Maritime'!AS172*'Pin Maritime'!$F$21,'C'!AS172*'C'!$F$21,D!AS172*D!$F$21,E!AS172*E!$F$21,F!AS172*F!$F$21)</f>
        <v>0</v>
      </c>
      <c r="Z188" s="328">
        <f>SUM('Pin Laricio'!AT172*'Pin Laricio'!$F$21,'Pin Maritime'!AT172*'Pin Maritime'!$F$21,'C'!AT172*'C'!$F$21,D!AT172*D!$F$21,E!AT172*E!$F$21,F!AT172*F!$F$21)</f>
        <v>0</v>
      </c>
      <c r="AA188" s="175">
        <f t="shared" si="26"/>
        <v>0</v>
      </c>
      <c r="AB188" s="176">
        <f t="shared" si="25"/>
        <v>0</v>
      </c>
      <c r="AC188" s="175"/>
      <c r="AD188" s="175"/>
    </row>
    <row r="189" spans="2:30" x14ac:dyDescent="0.3">
      <c r="B189" t="s">
        <v>241</v>
      </c>
      <c r="N189" s="71">
        <v>168</v>
      </c>
      <c r="O189" s="236"/>
      <c r="P189" s="177"/>
      <c r="Q189" s="237">
        <f t="shared" si="28"/>
        <v>272.49999999999994</v>
      </c>
      <c r="R189" s="177">
        <f t="shared" si="23"/>
        <v>21.799999999999997</v>
      </c>
      <c r="S189" s="177">
        <f>$L$11*(1+$L$9)^N189*'Récapitulatif des résultats'!$I$11</f>
        <v>0</v>
      </c>
      <c r="T189" s="238"/>
      <c r="U189" s="177"/>
      <c r="V189" s="246">
        <f t="shared" si="24"/>
        <v>0</v>
      </c>
      <c r="W189" s="185">
        <f>SUM('Pin Laricio'!AQ173*'Pin Laricio'!$F$21,'Pin Maritime'!AQ173*'Pin Maritime'!$F$21,'C'!AQ173*'C'!$F$21,D!AQ173*D!$F$21,E!AQ173*E!$F$21,F!AQ173*F!$F$21)</f>
        <v>0</v>
      </c>
      <c r="X189" s="185">
        <f>SUM('Pin Laricio'!AR173*'Pin Laricio'!$F$21,'Pin Maritime'!AR173*'Pin Maritime'!$F$21,'C'!AR173*'C'!$F$21,D!AR173*D!$F$21,E!AR173*E!$F$21,F!AR173*F!$F$21)</f>
        <v>0</v>
      </c>
      <c r="Y189" s="185">
        <f>SUM('Pin Laricio'!AS173*'Pin Laricio'!$F$21,'Pin Maritime'!AS173*'Pin Maritime'!$F$21,'C'!AS173*'C'!$F$21,D!AS173*D!$F$21,E!AS173*E!$F$21,F!AS173*F!$F$21)</f>
        <v>0</v>
      </c>
      <c r="Z189" s="328">
        <f>SUM('Pin Laricio'!AT173*'Pin Laricio'!$F$21,'Pin Maritime'!AT173*'Pin Maritime'!$F$21,'C'!AT173*'C'!$F$21,D!AT173*D!$F$21,E!AT173*E!$F$21,F!AT173*F!$F$21)</f>
        <v>0</v>
      </c>
      <c r="AA189" s="175">
        <f t="shared" si="26"/>
        <v>0</v>
      </c>
      <c r="AB189" s="176">
        <f t="shared" si="25"/>
        <v>0</v>
      </c>
      <c r="AC189" s="175"/>
      <c r="AD189" s="175"/>
    </row>
    <row r="190" spans="2:30" x14ac:dyDescent="0.3">
      <c r="B190" t="s">
        <v>242</v>
      </c>
      <c r="N190" s="71">
        <v>169</v>
      </c>
      <c r="O190" s="236"/>
      <c r="P190" s="177"/>
      <c r="Q190" s="237">
        <f t="shared" si="28"/>
        <v>272.49999999999994</v>
      </c>
      <c r="R190" s="177">
        <f t="shared" si="23"/>
        <v>21.799999999999997</v>
      </c>
      <c r="S190" s="177">
        <f>$L$11*(1+$L$9)^N190*'Récapitulatif des résultats'!$I$11</f>
        <v>0</v>
      </c>
      <c r="T190" s="238"/>
      <c r="U190" s="177"/>
      <c r="V190" s="246">
        <f t="shared" si="24"/>
        <v>0</v>
      </c>
      <c r="W190" s="185">
        <f>SUM('Pin Laricio'!AQ174*'Pin Laricio'!$F$21,'Pin Maritime'!AQ174*'Pin Maritime'!$F$21,'C'!AQ174*'C'!$F$21,D!AQ174*D!$F$21,E!AQ174*E!$F$21,F!AQ174*F!$F$21)</f>
        <v>0</v>
      </c>
      <c r="X190" s="185">
        <f>SUM('Pin Laricio'!AR174*'Pin Laricio'!$F$21,'Pin Maritime'!AR174*'Pin Maritime'!$F$21,'C'!AR174*'C'!$F$21,D!AR174*D!$F$21,E!AR174*E!$F$21,F!AR174*F!$F$21)</f>
        <v>0</v>
      </c>
      <c r="Y190" s="185">
        <f>SUM('Pin Laricio'!AS174*'Pin Laricio'!$F$21,'Pin Maritime'!AS174*'Pin Maritime'!$F$21,'C'!AS174*'C'!$F$21,D!AS174*D!$F$21,E!AS174*E!$F$21,F!AS174*F!$F$21)</f>
        <v>0</v>
      </c>
      <c r="Z190" s="328">
        <f>SUM('Pin Laricio'!AT174*'Pin Laricio'!$F$21,'Pin Maritime'!AT174*'Pin Maritime'!$F$21,'C'!AT174*'C'!$F$21,D!AT174*D!$F$21,E!AT174*E!$F$21,F!AT174*F!$F$21)</f>
        <v>0</v>
      </c>
      <c r="AA190" s="175">
        <f t="shared" si="26"/>
        <v>0</v>
      </c>
      <c r="AB190" s="176">
        <f t="shared" si="25"/>
        <v>0</v>
      </c>
      <c r="AC190" s="175"/>
      <c r="AD190" s="175"/>
    </row>
    <row r="191" spans="2:30" x14ac:dyDescent="0.3">
      <c r="B191" t="s">
        <v>240</v>
      </c>
      <c r="N191" s="71">
        <v>170</v>
      </c>
      <c r="O191" s="236"/>
      <c r="P191" s="177"/>
      <c r="Q191" s="237">
        <f t="shared" si="28"/>
        <v>272.49999999999994</v>
      </c>
      <c r="R191" s="177">
        <f t="shared" si="23"/>
        <v>21.799999999999997</v>
      </c>
      <c r="S191" s="177">
        <f>$L$11*(1+$L$9)^N191*'Récapitulatif des résultats'!$I$11</f>
        <v>0</v>
      </c>
      <c r="T191" s="238"/>
      <c r="U191" s="177"/>
      <c r="V191" s="246">
        <f t="shared" si="24"/>
        <v>0</v>
      </c>
      <c r="W191" s="185">
        <f>SUM('Pin Laricio'!AQ175*'Pin Laricio'!$F$21,'Pin Maritime'!AQ175*'Pin Maritime'!$F$21,'C'!AQ175*'C'!$F$21,D!AQ175*D!$F$21,E!AQ175*E!$F$21,F!AQ175*F!$F$21)</f>
        <v>0</v>
      </c>
      <c r="X191" s="185">
        <f>SUM('Pin Laricio'!AR175*'Pin Laricio'!$F$21,'Pin Maritime'!AR175*'Pin Maritime'!$F$21,'C'!AR175*'C'!$F$21,D!AR175*D!$F$21,E!AR175*E!$F$21,F!AR175*F!$F$21)</f>
        <v>0</v>
      </c>
      <c r="Y191" s="185">
        <f>SUM('Pin Laricio'!AS175*'Pin Laricio'!$F$21,'Pin Maritime'!AS175*'Pin Maritime'!$F$21,'C'!AS175*'C'!$F$21,D!AS175*D!$F$21,E!AS175*E!$F$21,F!AS175*F!$F$21)</f>
        <v>0</v>
      </c>
      <c r="Z191" s="328">
        <f>SUM('Pin Laricio'!AT175*'Pin Laricio'!$F$21,'Pin Maritime'!AT175*'Pin Maritime'!$F$21,'C'!AT175*'C'!$F$21,D!AT175*D!$F$21,E!AT175*E!$F$21,F!AT175*F!$F$21)</f>
        <v>0</v>
      </c>
      <c r="AA191" s="175">
        <f t="shared" si="26"/>
        <v>0</v>
      </c>
      <c r="AB191" s="176">
        <f t="shared" si="25"/>
        <v>0</v>
      </c>
      <c r="AC191" s="175"/>
      <c r="AD191" s="175"/>
    </row>
    <row r="192" spans="2:30" x14ac:dyDescent="0.3">
      <c r="B192" t="s">
        <v>244</v>
      </c>
      <c r="N192" s="71">
        <v>171</v>
      </c>
      <c r="O192" s="236"/>
      <c r="P192" s="177"/>
      <c r="Q192" s="237">
        <f t="shared" si="28"/>
        <v>272.49999999999994</v>
      </c>
      <c r="R192" s="177">
        <f t="shared" si="23"/>
        <v>21.799999999999997</v>
      </c>
      <c r="S192" s="177">
        <f>$L$11*(1+$L$9)^N192*'Récapitulatif des résultats'!$I$11</f>
        <v>0</v>
      </c>
      <c r="T192" s="238"/>
      <c r="U192" s="177"/>
      <c r="V192" s="246">
        <f t="shared" si="24"/>
        <v>0</v>
      </c>
      <c r="W192" s="185">
        <f>SUM('Pin Laricio'!AQ176*'Pin Laricio'!$F$21,'Pin Maritime'!AQ176*'Pin Maritime'!$F$21,'C'!AQ176*'C'!$F$21,D!AQ176*D!$F$21,E!AQ176*E!$F$21,F!AQ176*F!$F$21)</f>
        <v>0</v>
      </c>
      <c r="X192" s="185">
        <f>SUM('Pin Laricio'!AR176*'Pin Laricio'!$F$21,'Pin Maritime'!AR176*'Pin Maritime'!$F$21,'C'!AR176*'C'!$F$21,D!AR176*D!$F$21,E!AR176*E!$F$21,F!AR176*F!$F$21)</f>
        <v>0</v>
      </c>
      <c r="Y192" s="185">
        <f>SUM('Pin Laricio'!AS176*'Pin Laricio'!$F$21,'Pin Maritime'!AS176*'Pin Maritime'!$F$21,'C'!AS176*'C'!$F$21,D!AS176*D!$F$21,E!AS176*E!$F$21,F!AS176*F!$F$21)</f>
        <v>0</v>
      </c>
      <c r="Z192" s="328">
        <f>SUM('Pin Laricio'!AT176*'Pin Laricio'!$F$21,'Pin Maritime'!AT176*'Pin Maritime'!$F$21,'C'!AT176*'C'!$F$21,D!AT176*D!$F$21,E!AT176*E!$F$21,F!AT176*F!$F$21)</f>
        <v>0</v>
      </c>
      <c r="AA192" s="175">
        <f t="shared" si="26"/>
        <v>0</v>
      </c>
      <c r="AB192" s="176">
        <f t="shared" si="25"/>
        <v>0</v>
      </c>
      <c r="AC192" s="175"/>
      <c r="AD192" s="175"/>
    </row>
    <row r="193" spans="14:30" x14ac:dyDescent="0.3">
      <c r="N193" s="71">
        <v>172</v>
      </c>
      <c r="O193" s="236"/>
      <c r="P193" s="177"/>
      <c r="Q193" s="237">
        <f t="shared" si="28"/>
        <v>272.49999999999994</v>
      </c>
      <c r="R193" s="177">
        <f t="shared" si="23"/>
        <v>21.799999999999997</v>
      </c>
      <c r="S193" s="177">
        <f>$L$11*(1+$L$9)^N193*'Récapitulatif des résultats'!$I$11</f>
        <v>0</v>
      </c>
      <c r="T193" s="238"/>
      <c r="U193" s="177"/>
      <c r="V193" s="246">
        <f t="shared" si="24"/>
        <v>0</v>
      </c>
      <c r="W193" s="185">
        <f>SUM('Pin Laricio'!AQ177*'Pin Laricio'!$F$21,'Pin Maritime'!AQ177*'Pin Maritime'!$F$21,'C'!AQ177*'C'!$F$21,D!AQ177*D!$F$21,E!AQ177*E!$F$21,F!AQ177*F!$F$21)</f>
        <v>0</v>
      </c>
      <c r="X193" s="185">
        <f>SUM('Pin Laricio'!AR177*'Pin Laricio'!$F$21,'Pin Maritime'!AR177*'Pin Maritime'!$F$21,'C'!AR177*'C'!$F$21,D!AR177*D!$F$21,E!AR177*E!$F$21,F!AR177*F!$F$21)</f>
        <v>0</v>
      </c>
      <c r="Y193" s="185">
        <f>SUM('Pin Laricio'!AS177*'Pin Laricio'!$F$21,'Pin Maritime'!AS177*'Pin Maritime'!$F$21,'C'!AS177*'C'!$F$21,D!AS177*D!$F$21,E!AS177*E!$F$21,F!AS177*F!$F$21)</f>
        <v>0</v>
      </c>
      <c r="Z193" s="328">
        <f>SUM('Pin Laricio'!AT177*'Pin Laricio'!$F$21,'Pin Maritime'!AT177*'Pin Maritime'!$F$21,'C'!AT177*'C'!$F$21,D!AT177*D!$F$21,E!AT177*E!$F$21,F!AT177*F!$F$21)</f>
        <v>0</v>
      </c>
      <c r="AA193" s="175">
        <f t="shared" si="26"/>
        <v>0</v>
      </c>
      <c r="AB193" s="176">
        <f t="shared" si="25"/>
        <v>0</v>
      </c>
      <c r="AC193" s="175"/>
      <c r="AD193" s="175"/>
    </row>
    <row r="194" spans="14:30" x14ac:dyDescent="0.3">
      <c r="N194" s="71">
        <v>173</v>
      </c>
      <c r="O194" s="236"/>
      <c r="P194" s="177"/>
      <c r="Q194" s="237">
        <f t="shared" si="28"/>
        <v>272.49999999999994</v>
      </c>
      <c r="R194" s="177">
        <f t="shared" si="23"/>
        <v>21.799999999999997</v>
      </c>
      <c r="S194" s="177">
        <f>$L$11*(1+$L$9)^N194*'Récapitulatif des résultats'!$I$11</f>
        <v>0</v>
      </c>
      <c r="T194" s="238"/>
      <c r="U194" s="177"/>
      <c r="V194" s="246">
        <f t="shared" si="24"/>
        <v>0</v>
      </c>
      <c r="W194" s="185">
        <f>SUM('Pin Laricio'!AQ178*'Pin Laricio'!$F$21,'Pin Maritime'!AQ178*'Pin Maritime'!$F$21,'C'!AQ178*'C'!$F$21,D!AQ178*D!$F$21,E!AQ178*E!$F$21,F!AQ178*F!$F$21)</f>
        <v>0</v>
      </c>
      <c r="X194" s="185">
        <f>SUM('Pin Laricio'!AR178*'Pin Laricio'!$F$21,'Pin Maritime'!AR178*'Pin Maritime'!$F$21,'C'!AR178*'C'!$F$21,D!AR178*D!$F$21,E!AR178*E!$F$21,F!AR178*F!$F$21)</f>
        <v>0</v>
      </c>
      <c r="Y194" s="185">
        <f>SUM('Pin Laricio'!AS178*'Pin Laricio'!$F$21,'Pin Maritime'!AS178*'Pin Maritime'!$F$21,'C'!AS178*'C'!$F$21,D!AS178*D!$F$21,E!AS178*E!$F$21,F!AS178*F!$F$21)</f>
        <v>0</v>
      </c>
      <c r="Z194" s="328">
        <f>SUM('Pin Laricio'!AT178*'Pin Laricio'!$F$21,'Pin Maritime'!AT178*'Pin Maritime'!$F$21,'C'!AT178*'C'!$F$21,D!AT178*D!$F$21,E!AT178*E!$F$21,F!AT178*F!$F$21)</f>
        <v>0</v>
      </c>
      <c r="AA194" s="175">
        <f t="shared" si="26"/>
        <v>0</v>
      </c>
      <c r="AB194" s="176">
        <f t="shared" si="25"/>
        <v>0</v>
      </c>
      <c r="AC194" s="175"/>
      <c r="AD194" s="175"/>
    </row>
    <row r="195" spans="14:30" x14ac:dyDescent="0.3">
      <c r="N195" s="71">
        <v>174</v>
      </c>
      <c r="O195" s="236"/>
      <c r="P195" s="177"/>
      <c r="Q195" s="237">
        <f t="shared" si="28"/>
        <v>272.49999999999994</v>
      </c>
      <c r="R195" s="177">
        <f t="shared" si="23"/>
        <v>21.799999999999997</v>
      </c>
      <c r="S195" s="177">
        <f>$L$11*(1+$L$9)^N195*'Récapitulatif des résultats'!$I$11</f>
        <v>0</v>
      </c>
      <c r="T195" s="238"/>
      <c r="U195" s="177"/>
      <c r="V195" s="246">
        <f t="shared" si="24"/>
        <v>0</v>
      </c>
      <c r="W195" s="185">
        <f>SUM('Pin Laricio'!AQ179*'Pin Laricio'!$F$21,'Pin Maritime'!AQ179*'Pin Maritime'!$F$21,'C'!AQ179*'C'!$F$21,D!AQ179*D!$F$21,E!AQ179*E!$F$21,F!AQ179*F!$F$21)</f>
        <v>0</v>
      </c>
      <c r="X195" s="185">
        <f>SUM('Pin Laricio'!AR179*'Pin Laricio'!$F$21,'Pin Maritime'!AR179*'Pin Maritime'!$F$21,'C'!AR179*'C'!$F$21,D!AR179*D!$F$21,E!AR179*E!$F$21,F!AR179*F!$F$21)</f>
        <v>0</v>
      </c>
      <c r="Y195" s="185">
        <f>SUM('Pin Laricio'!AS179*'Pin Laricio'!$F$21,'Pin Maritime'!AS179*'Pin Maritime'!$F$21,'C'!AS179*'C'!$F$21,D!AS179*D!$F$21,E!AS179*E!$F$21,F!AS179*F!$F$21)</f>
        <v>0</v>
      </c>
      <c r="Z195" s="328">
        <f>SUM('Pin Laricio'!AT179*'Pin Laricio'!$F$21,'Pin Maritime'!AT179*'Pin Maritime'!$F$21,'C'!AT179*'C'!$F$21,D!AT179*D!$F$21,E!AT179*E!$F$21,F!AT179*F!$F$21)</f>
        <v>0</v>
      </c>
      <c r="AA195" s="175">
        <f t="shared" si="26"/>
        <v>0</v>
      </c>
      <c r="AB195" s="176">
        <f t="shared" si="25"/>
        <v>0</v>
      </c>
      <c r="AC195" s="175"/>
      <c r="AD195" s="175"/>
    </row>
    <row r="196" spans="14:30" x14ac:dyDescent="0.3">
      <c r="N196" s="71">
        <v>175</v>
      </c>
      <c r="O196" s="236"/>
      <c r="P196" s="177"/>
      <c r="Q196" s="237">
        <f t="shared" si="28"/>
        <v>272.49999999999994</v>
      </c>
      <c r="R196" s="177">
        <f t="shared" si="23"/>
        <v>21.799999999999997</v>
      </c>
      <c r="S196" s="177">
        <f>$L$11*(1+$L$9)^N196*'Récapitulatif des résultats'!$I$11</f>
        <v>0</v>
      </c>
      <c r="T196" s="238"/>
      <c r="U196" s="177"/>
      <c r="V196" s="246">
        <f t="shared" si="24"/>
        <v>0</v>
      </c>
      <c r="W196" s="185">
        <f>SUM('Pin Laricio'!AQ180*'Pin Laricio'!$F$21,'Pin Maritime'!AQ180*'Pin Maritime'!$F$21,'C'!AQ180*'C'!$F$21,D!AQ180*D!$F$21,E!AQ180*E!$F$21,F!AQ180*F!$F$21)</f>
        <v>0</v>
      </c>
      <c r="X196" s="185">
        <f>SUM('Pin Laricio'!AR180*'Pin Laricio'!$F$21,'Pin Maritime'!AR180*'Pin Maritime'!$F$21,'C'!AR180*'C'!$F$21,D!AR180*D!$F$21,E!AR180*E!$F$21,F!AR180*F!$F$21)</f>
        <v>0</v>
      </c>
      <c r="Y196" s="185">
        <f>SUM('Pin Laricio'!AS180*'Pin Laricio'!$F$21,'Pin Maritime'!AS180*'Pin Maritime'!$F$21,'C'!AS180*'C'!$F$21,D!AS180*D!$F$21,E!AS180*E!$F$21,F!AS180*F!$F$21)</f>
        <v>0</v>
      </c>
      <c r="Z196" s="328">
        <f>SUM('Pin Laricio'!AT180*'Pin Laricio'!$F$21,'Pin Maritime'!AT180*'Pin Maritime'!$F$21,'C'!AT180*'C'!$F$21,D!AT180*D!$F$21,E!AT180*E!$F$21,F!AT180*F!$F$21)</f>
        <v>0</v>
      </c>
      <c r="AA196" s="175">
        <f t="shared" si="26"/>
        <v>0</v>
      </c>
      <c r="AB196" s="176">
        <f t="shared" si="25"/>
        <v>0</v>
      </c>
      <c r="AC196" s="175"/>
      <c r="AD196" s="175"/>
    </row>
    <row r="197" spans="14:30" x14ac:dyDescent="0.3">
      <c r="N197" s="71">
        <v>176</v>
      </c>
      <c r="O197" s="236"/>
      <c r="P197" s="177"/>
      <c r="Q197" s="237">
        <f t="shared" si="28"/>
        <v>272.49999999999994</v>
      </c>
      <c r="R197" s="177">
        <f t="shared" si="23"/>
        <v>21.799999999999997</v>
      </c>
      <c r="S197" s="177">
        <f>$L$11*(1+$L$9)^N197*'Récapitulatif des résultats'!$I$11</f>
        <v>0</v>
      </c>
      <c r="T197" s="238"/>
      <c r="U197" s="177"/>
      <c r="V197" s="246">
        <f t="shared" si="24"/>
        <v>0</v>
      </c>
      <c r="W197" s="185">
        <f>SUM('Pin Laricio'!AQ181*'Pin Laricio'!$F$21,'Pin Maritime'!AQ181*'Pin Maritime'!$F$21,'C'!AQ181*'C'!$F$21,D!AQ181*D!$F$21,E!AQ181*E!$F$21,F!AQ181*F!$F$21)</f>
        <v>0</v>
      </c>
      <c r="X197" s="185">
        <f>SUM('Pin Laricio'!AR181*'Pin Laricio'!$F$21,'Pin Maritime'!AR181*'Pin Maritime'!$F$21,'C'!AR181*'C'!$F$21,D!AR181*D!$F$21,E!AR181*E!$F$21,F!AR181*F!$F$21)</f>
        <v>0</v>
      </c>
      <c r="Y197" s="185">
        <f>SUM('Pin Laricio'!AS181*'Pin Laricio'!$F$21,'Pin Maritime'!AS181*'Pin Maritime'!$F$21,'C'!AS181*'C'!$F$21,D!AS181*D!$F$21,E!AS181*E!$F$21,F!AS181*F!$F$21)</f>
        <v>0</v>
      </c>
      <c r="Z197" s="328">
        <f>SUM('Pin Laricio'!AT181*'Pin Laricio'!$F$21,'Pin Maritime'!AT181*'Pin Maritime'!$F$21,'C'!AT181*'C'!$F$21,D!AT181*D!$F$21,E!AT181*E!$F$21,F!AT181*F!$F$21)</f>
        <v>0</v>
      </c>
      <c r="AA197" s="175">
        <f t="shared" si="26"/>
        <v>0</v>
      </c>
      <c r="AB197" s="176">
        <f t="shared" si="25"/>
        <v>0</v>
      </c>
      <c r="AC197" s="175"/>
      <c r="AD197" s="175"/>
    </row>
    <row r="198" spans="14:30" x14ac:dyDescent="0.3">
      <c r="N198" s="71">
        <v>177</v>
      </c>
      <c r="O198" s="236"/>
      <c r="P198" s="177"/>
      <c r="Q198" s="237">
        <f t="shared" si="28"/>
        <v>272.49999999999994</v>
      </c>
      <c r="R198" s="177">
        <f t="shared" si="23"/>
        <v>21.799999999999997</v>
      </c>
      <c r="S198" s="177">
        <f>$L$11*(1+$L$9)^N198*'Récapitulatif des résultats'!$I$11</f>
        <v>0</v>
      </c>
      <c r="T198" s="238"/>
      <c r="U198" s="177"/>
      <c r="V198" s="246">
        <f t="shared" si="24"/>
        <v>0</v>
      </c>
      <c r="W198" s="185">
        <f>SUM('Pin Laricio'!AQ182*'Pin Laricio'!$F$21,'Pin Maritime'!AQ182*'Pin Maritime'!$F$21,'C'!AQ182*'C'!$F$21,D!AQ182*D!$F$21,E!AQ182*E!$F$21,F!AQ182*F!$F$21)</f>
        <v>0</v>
      </c>
      <c r="X198" s="185">
        <f>SUM('Pin Laricio'!AR182*'Pin Laricio'!$F$21,'Pin Maritime'!AR182*'Pin Maritime'!$F$21,'C'!AR182*'C'!$F$21,D!AR182*D!$F$21,E!AR182*E!$F$21,F!AR182*F!$F$21)</f>
        <v>0</v>
      </c>
      <c r="Y198" s="185">
        <f>SUM('Pin Laricio'!AS182*'Pin Laricio'!$F$21,'Pin Maritime'!AS182*'Pin Maritime'!$F$21,'C'!AS182*'C'!$F$21,D!AS182*D!$F$21,E!AS182*E!$F$21,F!AS182*F!$F$21)</f>
        <v>0</v>
      </c>
      <c r="Z198" s="328">
        <f>SUM('Pin Laricio'!AT182*'Pin Laricio'!$F$21,'Pin Maritime'!AT182*'Pin Maritime'!$F$21,'C'!AT182*'C'!$F$21,D!AT182*D!$F$21,E!AT182*E!$F$21,F!AT182*F!$F$21)</f>
        <v>0</v>
      </c>
      <c r="AA198" s="175">
        <f t="shared" si="26"/>
        <v>0</v>
      </c>
      <c r="AB198" s="176">
        <f t="shared" si="25"/>
        <v>0</v>
      </c>
      <c r="AC198" s="175"/>
      <c r="AD198" s="175"/>
    </row>
    <row r="199" spans="14:30" x14ac:dyDescent="0.3">
      <c r="N199" s="71">
        <v>178</v>
      </c>
      <c r="O199" s="236"/>
      <c r="P199" s="177"/>
      <c r="Q199" s="237">
        <f t="shared" si="28"/>
        <v>272.49999999999994</v>
      </c>
      <c r="R199" s="177">
        <f t="shared" si="23"/>
        <v>21.799999999999997</v>
      </c>
      <c r="S199" s="177">
        <f>$L$11*(1+$L$9)^N199*'Récapitulatif des résultats'!$I$11</f>
        <v>0</v>
      </c>
      <c r="T199" s="238"/>
      <c r="U199" s="177"/>
      <c r="V199" s="246">
        <f t="shared" si="24"/>
        <v>0</v>
      </c>
      <c r="W199" s="185">
        <f>SUM('Pin Laricio'!AQ183*'Pin Laricio'!$F$21,'Pin Maritime'!AQ183*'Pin Maritime'!$F$21,'C'!AQ183*'C'!$F$21,D!AQ183*D!$F$21,E!AQ183*E!$F$21,F!AQ183*F!$F$21)</f>
        <v>0</v>
      </c>
      <c r="X199" s="185">
        <f>SUM('Pin Laricio'!AR183*'Pin Laricio'!$F$21,'Pin Maritime'!AR183*'Pin Maritime'!$F$21,'C'!AR183*'C'!$F$21,D!AR183*D!$F$21,E!AR183*E!$F$21,F!AR183*F!$F$21)</f>
        <v>0</v>
      </c>
      <c r="Y199" s="185">
        <f>SUM('Pin Laricio'!AS183*'Pin Laricio'!$F$21,'Pin Maritime'!AS183*'Pin Maritime'!$F$21,'C'!AS183*'C'!$F$21,D!AS183*D!$F$21,E!AS183*E!$F$21,F!AS183*F!$F$21)</f>
        <v>0</v>
      </c>
      <c r="Z199" s="328">
        <f>SUM('Pin Laricio'!AT183*'Pin Laricio'!$F$21,'Pin Maritime'!AT183*'Pin Maritime'!$F$21,'C'!AT183*'C'!$F$21,D!AT183*D!$F$21,E!AT183*E!$F$21,F!AT183*F!$F$21)</f>
        <v>0</v>
      </c>
      <c r="AA199" s="175">
        <f t="shared" si="26"/>
        <v>0</v>
      </c>
      <c r="AB199" s="176">
        <f t="shared" si="25"/>
        <v>0</v>
      </c>
      <c r="AC199" s="175"/>
      <c r="AD199" s="175"/>
    </row>
    <row r="200" spans="14:30" x14ac:dyDescent="0.3">
      <c r="N200" s="71">
        <v>179</v>
      </c>
      <c r="O200" s="236"/>
      <c r="P200" s="177"/>
      <c r="Q200" s="237">
        <f t="shared" si="28"/>
        <v>272.49999999999994</v>
      </c>
      <c r="R200" s="177">
        <f t="shared" si="23"/>
        <v>21.799999999999997</v>
      </c>
      <c r="S200" s="177">
        <f>$L$11*(1+$L$9)^N200*'Récapitulatif des résultats'!$I$11</f>
        <v>0</v>
      </c>
      <c r="T200" s="238"/>
      <c r="U200" s="177"/>
      <c r="V200" s="246">
        <f t="shared" si="24"/>
        <v>0</v>
      </c>
      <c r="W200" s="185">
        <f>SUM('Pin Laricio'!AQ184*'Pin Laricio'!$F$21,'Pin Maritime'!AQ184*'Pin Maritime'!$F$21,'C'!AQ184*'C'!$F$21,D!AQ184*D!$F$21,E!AQ184*E!$F$21,F!AQ184*F!$F$21)</f>
        <v>0</v>
      </c>
      <c r="X200" s="185">
        <f>SUM('Pin Laricio'!AR184*'Pin Laricio'!$F$21,'Pin Maritime'!AR184*'Pin Maritime'!$F$21,'C'!AR184*'C'!$F$21,D!AR184*D!$F$21,E!AR184*E!$F$21,F!AR184*F!$F$21)</f>
        <v>0</v>
      </c>
      <c r="Y200" s="185">
        <f>SUM('Pin Laricio'!AS184*'Pin Laricio'!$F$21,'Pin Maritime'!AS184*'Pin Maritime'!$F$21,'C'!AS184*'C'!$F$21,D!AS184*D!$F$21,E!AS184*E!$F$21,F!AS184*F!$F$21)</f>
        <v>0</v>
      </c>
      <c r="Z200" s="328">
        <f>SUM('Pin Laricio'!AT184*'Pin Laricio'!$F$21,'Pin Maritime'!AT184*'Pin Maritime'!$F$21,'C'!AT184*'C'!$F$21,D!AT184*D!$F$21,E!AT184*E!$F$21,F!AT184*F!$F$21)</f>
        <v>0</v>
      </c>
      <c r="AA200" s="175">
        <f t="shared" si="26"/>
        <v>0</v>
      </c>
      <c r="AB200" s="176">
        <f t="shared" si="25"/>
        <v>0</v>
      </c>
      <c r="AC200" s="175"/>
      <c r="AD200" s="175"/>
    </row>
    <row r="201" spans="14:30" x14ac:dyDescent="0.3">
      <c r="N201" s="71">
        <v>180</v>
      </c>
      <c r="O201" s="236"/>
      <c r="P201" s="177"/>
      <c r="Q201" s="237">
        <f t="shared" si="28"/>
        <v>272.49999999999994</v>
      </c>
      <c r="R201" s="177">
        <f t="shared" si="23"/>
        <v>21.799999999999997</v>
      </c>
      <c r="S201" s="177">
        <f>$L$11*(1+$L$9)^N201*'Récapitulatif des résultats'!$I$11</f>
        <v>0</v>
      </c>
      <c r="T201" s="238"/>
      <c r="U201" s="177"/>
      <c r="V201" s="246">
        <f t="shared" si="24"/>
        <v>0</v>
      </c>
      <c r="W201" s="185">
        <f>SUM('Pin Laricio'!AQ185*'Pin Laricio'!$F$21,'Pin Maritime'!AQ185*'Pin Maritime'!$F$21,'C'!AQ185*'C'!$F$21,D!AQ185*D!$F$21,E!AQ185*E!$F$21,F!AQ185*F!$F$21)</f>
        <v>0</v>
      </c>
      <c r="X201" s="185">
        <f>SUM('Pin Laricio'!AR185*'Pin Laricio'!$F$21,'Pin Maritime'!AR185*'Pin Maritime'!$F$21,'C'!AR185*'C'!$F$21,D!AR185*D!$F$21,E!AR185*E!$F$21,F!AR185*F!$F$21)</f>
        <v>0</v>
      </c>
      <c r="Y201" s="185">
        <f>SUM('Pin Laricio'!AS185*'Pin Laricio'!$F$21,'Pin Maritime'!AS185*'Pin Maritime'!$F$21,'C'!AS185*'C'!$F$21,D!AS185*D!$F$21,E!AS185*E!$F$21,F!AS185*F!$F$21)</f>
        <v>0</v>
      </c>
      <c r="Z201" s="328">
        <f>SUM('Pin Laricio'!AT185*'Pin Laricio'!$F$21,'Pin Maritime'!AT185*'Pin Maritime'!$F$21,'C'!AT185*'C'!$F$21,D!AT185*D!$F$21,E!AT185*E!$F$21,F!AT185*F!$F$21)</f>
        <v>0</v>
      </c>
      <c r="AA201" s="175">
        <f t="shared" si="26"/>
        <v>0</v>
      </c>
      <c r="AB201" s="176">
        <f t="shared" si="25"/>
        <v>0</v>
      </c>
      <c r="AC201" s="175"/>
      <c r="AD201" s="175"/>
    </row>
    <row r="202" spans="14:30" x14ac:dyDescent="0.3">
      <c r="N202" s="71">
        <v>181</v>
      </c>
      <c r="O202" s="236"/>
      <c r="P202" s="177"/>
      <c r="Q202" s="237">
        <f t="shared" si="28"/>
        <v>272.49999999999994</v>
      </c>
      <c r="R202" s="177">
        <f t="shared" si="23"/>
        <v>21.799999999999997</v>
      </c>
      <c r="S202" s="177">
        <f>$L$11*(1+$L$9)^N202*'Récapitulatif des résultats'!$I$11</f>
        <v>0</v>
      </c>
      <c r="T202" s="238"/>
      <c r="U202" s="177"/>
      <c r="V202" s="246">
        <f t="shared" si="24"/>
        <v>0</v>
      </c>
      <c r="W202" s="185">
        <f>SUM('Pin Laricio'!AQ186*'Pin Laricio'!$F$21,'Pin Maritime'!AQ186*'Pin Maritime'!$F$21,'C'!AQ186*'C'!$F$21,D!AQ186*D!$F$21,E!AQ186*E!$F$21,F!AQ186*F!$F$21)</f>
        <v>0</v>
      </c>
      <c r="X202" s="185">
        <f>SUM('Pin Laricio'!AR186*'Pin Laricio'!$F$21,'Pin Maritime'!AR186*'Pin Maritime'!$F$21,'C'!AR186*'C'!$F$21,D!AR186*D!$F$21,E!AR186*E!$F$21,F!AR186*F!$F$21)</f>
        <v>0</v>
      </c>
      <c r="Y202" s="185">
        <f>SUM('Pin Laricio'!AS186*'Pin Laricio'!$F$21,'Pin Maritime'!AS186*'Pin Maritime'!$F$21,'C'!AS186*'C'!$F$21,D!AS186*D!$F$21,E!AS186*E!$F$21,F!AS186*F!$F$21)</f>
        <v>0</v>
      </c>
      <c r="Z202" s="328">
        <f>SUM('Pin Laricio'!AT186*'Pin Laricio'!$F$21,'Pin Maritime'!AT186*'Pin Maritime'!$F$21,'C'!AT186*'C'!$F$21,D!AT186*D!$F$21,E!AT186*E!$F$21,F!AT186*F!$F$21)</f>
        <v>0</v>
      </c>
      <c r="AA202" s="175">
        <f t="shared" si="26"/>
        <v>0</v>
      </c>
      <c r="AB202" s="176">
        <f t="shared" si="25"/>
        <v>0</v>
      </c>
      <c r="AC202" s="175"/>
      <c r="AD202" s="175"/>
    </row>
    <row r="203" spans="14:30" x14ac:dyDescent="0.3">
      <c r="N203" s="71">
        <v>182</v>
      </c>
      <c r="O203" s="236"/>
      <c r="P203" s="177"/>
      <c r="Q203" s="237">
        <f t="shared" si="28"/>
        <v>272.49999999999994</v>
      </c>
      <c r="R203" s="177">
        <f t="shared" si="23"/>
        <v>21.799999999999997</v>
      </c>
      <c r="S203" s="177">
        <f>$L$11*(1+$L$9)^N203*'Récapitulatif des résultats'!$I$11</f>
        <v>0</v>
      </c>
      <c r="T203" s="238"/>
      <c r="U203" s="177"/>
      <c r="V203" s="246">
        <f t="shared" si="24"/>
        <v>0</v>
      </c>
      <c r="W203" s="185">
        <f>SUM('Pin Laricio'!AQ187*'Pin Laricio'!$F$21,'Pin Maritime'!AQ187*'Pin Maritime'!$F$21,'C'!AQ187*'C'!$F$21,D!AQ187*D!$F$21,E!AQ187*E!$F$21,F!AQ187*F!$F$21)</f>
        <v>0</v>
      </c>
      <c r="X203" s="185">
        <f>SUM('Pin Laricio'!AR187*'Pin Laricio'!$F$21,'Pin Maritime'!AR187*'Pin Maritime'!$F$21,'C'!AR187*'C'!$F$21,D!AR187*D!$F$21,E!AR187*E!$F$21,F!AR187*F!$F$21)</f>
        <v>0</v>
      </c>
      <c r="Y203" s="185">
        <f>SUM('Pin Laricio'!AS187*'Pin Laricio'!$F$21,'Pin Maritime'!AS187*'Pin Maritime'!$F$21,'C'!AS187*'C'!$F$21,D!AS187*D!$F$21,E!AS187*E!$F$21,F!AS187*F!$F$21)</f>
        <v>0</v>
      </c>
      <c r="Z203" s="328">
        <f>SUM('Pin Laricio'!AT187*'Pin Laricio'!$F$21,'Pin Maritime'!AT187*'Pin Maritime'!$F$21,'C'!AT187*'C'!$F$21,D!AT187*D!$F$21,E!AT187*E!$F$21,F!AT187*F!$F$21)</f>
        <v>0</v>
      </c>
      <c r="AA203" s="175">
        <f t="shared" si="26"/>
        <v>0</v>
      </c>
      <c r="AB203" s="176">
        <f t="shared" si="25"/>
        <v>0</v>
      </c>
      <c r="AC203" s="175"/>
      <c r="AD203" s="175"/>
    </row>
    <row r="204" spans="14:30" x14ac:dyDescent="0.3">
      <c r="N204" s="71">
        <v>183</v>
      </c>
      <c r="O204" s="236"/>
      <c r="P204" s="177"/>
      <c r="Q204" s="237">
        <f t="shared" si="28"/>
        <v>272.49999999999994</v>
      </c>
      <c r="R204" s="177">
        <f t="shared" si="23"/>
        <v>21.799999999999997</v>
      </c>
      <c r="S204" s="177">
        <f>$L$11*(1+$L$9)^N204*'Récapitulatif des résultats'!$I$11</f>
        <v>0</v>
      </c>
      <c r="T204" s="238"/>
      <c r="U204" s="177"/>
      <c r="V204" s="246">
        <f t="shared" si="24"/>
        <v>0</v>
      </c>
      <c r="W204" s="185">
        <f>SUM('Pin Laricio'!AQ188*'Pin Laricio'!$F$21,'Pin Maritime'!AQ188*'Pin Maritime'!$F$21,'C'!AQ188*'C'!$F$21,D!AQ188*D!$F$21,E!AQ188*E!$F$21,F!AQ188*F!$F$21)</f>
        <v>0</v>
      </c>
      <c r="X204" s="185">
        <f>SUM('Pin Laricio'!AR188*'Pin Laricio'!$F$21,'Pin Maritime'!AR188*'Pin Maritime'!$F$21,'C'!AR188*'C'!$F$21,D!AR188*D!$F$21,E!AR188*E!$F$21,F!AR188*F!$F$21)</f>
        <v>0</v>
      </c>
      <c r="Y204" s="185">
        <f>SUM('Pin Laricio'!AS188*'Pin Laricio'!$F$21,'Pin Maritime'!AS188*'Pin Maritime'!$F$21,'C'!AS188*'C'!$F$21,D!AS188*D!$F$21,E!AS188*E!$F$21,F!AS188*F!$F$21)</f>
        <v>0</v>
      </c>
      <c r="Z204" s="328">
        <f>SUM('Pin Laricio'!AT188*'Pin Laricio'!$F$21,'Pin Maritime'!AT188*'Pin Maritime'!$F$21,'C'!AT188*'C'!$F$21,D!AT188*D!$F$21,E!AT188*E!$F$21,F!AT188*F!$F$21)</f>
        <v>0</v>
      </c>
      <c r="AA204" s="175">
        <f t="shared" si="26"/>
        <v>0</v>
      </c>
      <c r="AB204" s="176">
        <f t="shared" si="25"/>
        <v>0</v>
      </c>
      <c r="AC204" s="175"/>
      <c r="AD204" s="175"/>
    </row>
    <row r="205" spans="14:30" x14ac:dyDescent="0.3">
      <c r="N205" s="71">
        <v>184</v>
      </c>
      <c r="O205" s="236"/>
      <c r="P205" s="177"/>
      <c r="Q205" s="237">
        <f t="shared" si="28"/>
        <v>272.49999999999994</v>
      </c>
      <c r="R205" s="177">
        <f t="shared" si="23"/>
        <v>21.799999999999997</v>
      </c>
      <c r="S205" s="177">
        <f>$L$11*(1+$L$9)^N205*'Récapitulatif des résultats'!$I$11</f>
        <v>0</v>
      </c>
      <c r="T205" s="238"/>
      <c r="U205" s="177"/>
      <c r="V205" s="246">
        <f t="shared" si="24"/>
        <v>0</v>
      </c>
      <c r="W205" s="185">
        <f>SUM('Pin Laricio'!AQ189*'Pin Laricio'!$F$21,'Pin Maritime'!AQ189*'Pin Maritime'!$F$21,'C'!AQ189*'C'!$F$21,D!AQ189*D!$F$21,E!AQ189*E!$F$21,F!AQ189*F!$F$21)</f>
        <v>0</v>
      </c>
      <c r="X205" s="185">
        <f>SUM('Pin Laricio'!AR189*'Pin Laricio'!$F$21,'Pin Maritime'!AR189*'Pin Maritime'!$F$21,'C'!AR189*'C'!$F$21,D!AR189*D!$F$21,E!AR189*E!$F$21,F!AR189*F!$F$21)</f>
        <v>0</v>
      </c>
      <c r="Y205" s="185">
        <f>SUM('Pin Laricio'!AS189*'Pin Laricio'!$F$21,'Pin Maritime'!AS189*'Pin Maritime'!$F$21,'C'!AS189*'C'!$F$21,D!AS189*D!$F$21,E!AS189*E!$F$21,F!AS189*F!$F$21)</f>
        <v>0</v>
      </c>
      <c r="Z205" s="328">
        <f>SUM('Pin Laricio'!AT189*'Pin Laricio'!$F$21,'Pin Maritime'!AT189*'Pin Maritime'!$F$21,'C'!AT189*'C'!$F$21,D!AT189*D!$F$21,E!AT189*E!$F$21,F!AT189*F!$F$21)</f>
        <v>0</v>
      </c>
      <c r="AA205" s="175">
        <f t="shared" si="26"/>
        <v>0</v>
      </c>
      <c r="AB205" s="176">
        <f t="shared" si="25"/>
        <v>0</v>
      </c>
      <c r="AC205" s="175"/>
      <c r="AD205" s="175"/>
    </row>
    <row r="206" spans="14:30" x14ac:dyDescent="0.3">
      <c r="N206" s="71">
        <v>185</v>
      </c>
      <c r="O206" s="236"/>
      <c r="P206" s="177"/>
      <c r="Q206" s="237">
        <f t="shared" si="28"/>
        <v>272.49999999999994</v>
      </c>
      <c r="R206" s="177">
        <f t="shared" si="23"/>
        <v>21.799999999999997</v>
      </c>
      <c r="S206" s="177">
        <f>$L$11*(1+$L$9)^N206*'Récapitulatif des résultats'!$I$11</f>
        <v>0</v>
      </c>
      <c r="T206" s="238"/>
      <c r="U206" s="177"/>
      <c r="V206" s="246">
        <f t="shared" si="24"/>
        <v>0</v>
      </c>
      <c r="W206" s="185">
        <f>SUM('Pin Laricio'!AQ190*'Pin Laricio'!$F$21,'Pin Maritime'!AQ190*'Pin Maritime'!$F$21,'C'!AQ190*'C'!$F$21,D!AQ190*D!$F$21,E!AQ190*E!$F$21,F!AQ190*F!$F$21)</f>
        <v>0</v>
      </c>
      <c r="X206" s="185">
        <f>SUM('Pin Laricio'!AR190*'Pin Laricio'!$F$21,'Pin Maritime'!AR190*'Pin Maritime'!$F$21,'C'!AR190*'C'!$F$21,D!AR190*D!$F$21,E!AR190*E!$F$21,F!AR190*F!$F$21)</f>
        <v>0</v>
      </c>
      <c r="Y206" s="185">
        <f>SUM('Pin Laricio'!AS190*'Pin Laricio'!$F$21,'Pin Maritime'!AS190*'Pin Maritime'!$F$21,'C'!AS190*'C'!$F$21,D!AS190*D!$F$21,E!AS190*E!$F$21,F!AS190*F!$F$21)</f>
        <v>0</v>
      </c>
      <c r="Z206" s="328">
        <f>SUM('Pin Laricio'!AT190*'Pin Laricio'!$F$21,'Pin Maritime'!AT190*'Pin Maritime'!$F$21,'C'!AT190*'C'!$F$21,D!AT190*D!$F$21,E!AT190*E!$F$21,F!AT190*F!$F$21)</f>
        <v>0</v>
      </c>
      <c r="AA206" s="175">
        <f t="shared" si="26"/>
        <v>0</v>
      </c>
      <c r="AB206" s="176">
        <f t="shared" si="25"/>
        <v>0</v>
      </c>
      <c r="AC206" s="175"/>
      <c r="AD206" s="175"/>
    </row>
    <row r="207" spans="14:30" x14ac:dyDescent="0.3">
      <c r="N207" s="71">
        <v>186</v>
      </c>
      <c r="O207" s="236"/>
      <c r="P207" s="177"/>
      <c r="Q207" s="237">
        <f t="shared" si="28"/>
        <v>272.49999999999994</v>
      </c>
      <c r="R207" s="177">
        <f t="shared" si="23"/>
        <v>21.799999999999997</v>
      </c>
      <c r="S207" s="177">
        <f>$L$11*(1+$L$9)^N207*'Récapitulatif des résultats'!$I$11</f>
        <v>0</v>
      </c>
      <c r="T207" s="238"/>
      <c r="U207" s="177"/>
      <c r="V207" s="246">
        <f t="shared" si="24"/>
        <v>0</v>
      </c>
      <c r="W207" s="185">
        <f>SUM('Pin Laricio'!AQ191*'Pin Laricio'!$F$21,'Pin Maritime'!AQ191*'Pin Maritime'!$F$21,'C'!AQ191*'C'!$F$21,D!AQ191*D!$F$21,E!AQ191*E!$F$21,F!AQ191*F!$F$21)</f>
        <v>0</v>
      </c>
      <c r="X207" s="185">
        <f>SUM('Pin Laricio'!AR191*'Pin Laricio'!$F$21,'Pin Maritime'!AR191*'Pin Maritime'!$F$21,'C'!AR191*'C'!$F$21,D!AR191*D!$F$21,E!AR191*E!$F$21,F!AR191*F!$F$21)</f>
        <v>0</v>
      </c>
      <c r="Y207" s="185">
        <f>SUM('Pin Laricio'!AS191*'Pin Laricio'!$F$21,'Pin Maritime'!AS191*'Pin Maritime'!$F$21,'C'!AS191*'C'!$F$21,D!AS191*D!$F$21,E!AS191*E!$F$21,F!AS191*F!$F$21)</f>
        <v>0</v>
      </c>
      <c r="Z207" s="328">
        <f>SUM('Pin Laricio'!AT191*'Pin Laricio'!$F$21,'Pin Maritime'!AT191*'Pin Maritime'!$F$21,'C'!AT191*'C'!$F$21,D!AT191*D!$F$21,E!AT191*E!$F$21,F!AT191*F!$F$21)</f>
        <v>0</v>
      </c>
      <c r="AA207" s="175">
        <f t="shared" si="26"/>
        <v>0</v>
      </c>
      <c r="AB207" s="176">
        <f t="shared" si="25"/>
        <v>0</v>
      </c>
      <c r="AC207" s="175"/>
      <c r="AD207" s="175"/>
    </row>
    <row r="208" spans="14:30" x14ac:dyDescent="0.3">
      <c r="N208" s="71">
        <v>187</v>
      </c>
      <c r="O208" s="236"/>
      <c r="P208" s="177"/>
      <c r="Q208" s="237">
        <f t="shared" si="28"/>
        <v>272.49999999999994</v>
      </c>
      <c r="R208" s="177">
        <f t="shared" si="23"/>
        <v>21.799999999999997</v>
      </c>
      <c r="S208" s="177">
        <f>$L$11*(1+$L$9)^N208*'Récapitulatif des résultats'!$I$11</f>
        <v>0</v>
      </c>
      <c r="T208" s="238"/>
      <c r="U208" s="177"/>
      <c r="V208" s="246">
        <f t="shared" si="24"/>
        <v>0</v>
      </c>
      <c r="W208" s="185">
        <f>SUM('Pin Laricio'!AQ192*'Pin Laricio'!$F$21,'Pin Maritime'!AQ192*'Pin Maritime'!$F$21,'C'!AQ192*'C'!$F$21,D!AQ192*D!$F$21,E!AQ192*E!$F$21,F!AQ192*F!$F$21)</f>
        <v>0</v>
      </c>
      <c r="X208" s="185">
        <f>SUM('Pin Laricio'!AR192*'Pin Laricio'!$F$21,'Pin Maritime'!AR192*'Pin Maritime'!$F$21,'C'!AR192*'C'!$F$21,D!AR192*D!$F$21,E!AR192*E!$F$21,F!AR192*F!$F$21)</f>
        <v>0</v>
      </c>
      <c r="Y208" s="185">
        <f>SUM('Pin Laricio'!AS192*'Pin Laricio'!$F$21,'Pin Maritime'!AS192*'Pin Maritime'!$F$21,'C'!AS192*'C'!$F$21,D!AS192*D!$F$21,E!AS192*E!$F$21,F!AS192*F!$F$21)</f>
        <v>0</v>
      </c>
      <c r="Z208" s="328">
        <f>SUM('Pin Laricio'!AT192*'Pin Laricio'!$F$21,'Pin Maritime'!AT192*'Pin Maritime'!$F$21,'C'!AT192*'C'!$F$21,D!AT192*D!$F$21,E!AT192*E!$F$21,F!AT192*F!$F$21)</f>
        <v>0</v>
      </c>
      <c r="AA208" s="175">
        <f t="shared" si="26"/>
        <v>0</v>
      </c>
      <c r="AB208" s="176">
        <f t="shared" si="25"/>
        <v>0</v>
      </c>
      <c r="AC208" s="175"/>
      <c r="AD208" s="175"/>
    </row>
    <row r="209" spans="14:30" x14ac:dyDescent="0.3">
      <c r="N209" s="71">
        <v>188</v>
      </c>
      <c r="O209" s="236"/>
      <c r="P209" s="177"/>
      <c r="Q209" s="237">
        <f t="shared" si="28"/>
        <v>272.49999999999994</v>
      </c>
      <c r="R209" s="177">
        <f t="shared" si="23"/>
        <v>21.799999999999997</v>
      </c>
      <c r="S209" s="177">
        <f>$L$11*(1+$L$9)^N209*'Récapitulatif des résultats'!$I$11</f>
        <v>0</v>
      </c>
      <c r="T209" s="238"/>
      <c r="U209" s="177"/>
      <c r="V209" s="246">
        <f t="shared" si="24"/>
        <v>0</v>
      </c>
      <c r="W209" s="185">
        <f>SUM('Pin Laricio'!AQ193*'Pin Laricio'!$F$21,'Pin Maritime'!AQ193*'Pin Maritime'!$F$21,'C'!AQ193*'C'!$F$21,D!AQ193*D!$F$21,E!AQ193*E!$F$21,F!AQ193*F!$F$21)</f>
        <v>0</v>
      </c>
      <c r="X209" s="185">
        <f>SUM('Pin Laricio'!AR193*'Pin Laricio'!$F$21,'Pin Maritime'!AR193*'Pin Maritime'!$F$21,'C'!AR193*'C'!$F$21,D!AR193*D!$F$21,E!AR193*E!$F$21,F!AR193*F!$F$21)</f>
        <v>0</v>
      </c>
      <c r="Y209" s="185">
        <f>SUM('Pin Laricio'!AS193*'Pin Laricio'!$F$21,'Pin Maritime'!AS193*'Pin Maritime'!$F$21,'C'!AS193*'C'!$F$21,D!AS193*D!$F$21,E!AS193*E!$F$21,F!AS193*F!$F$21)</f>
        <v>0</v>
      </c>
      <c r="Z209" s="328">
        <f>SUM('Pin Laricio'!AT193*'Pin Laricio'!$F$21,'Pin Maritime'!AT193*'Pin Maritime'!$F$21,'C'!AT193*'C'!$F$21,D!AT193*D!$F$21,E!AT193*E!$F$21,F!AT193*F!$F$21)</f>
        <v>0</v>
      </c>
      <c r="AA209" s="175">
        <f t="shared" si="26"/>
        <v>0</v>
      </c>
      <c r="AB209" s="176">
        <f t="shared" si="25"/>
        <v>0</v>
      </c>
      <c r="AC209" s="175"/>
      <c r="AD209" s="175"/>
    </row>
    <row r="210" spans="14:30" x14ac:dyDescent="0.3">
      <c r="N210" s="71">
        <v>189</v>
      </c>
      <c r="O210" s="236"/>
      <c r="P210" s="177"/>
      <c r="Q210" s="237">
        <f t="shared" si="28"/>
        <v>272.49999999999994</v>
      </c>
      <c r="R210" s="177">
        <f t="shared" si="23"/>
        <v>21.799999999999997</v>
      </c>
      <c r="S210" s="177">
        <f>$L$11*(1+$L$9)^N210*'Récapitulatif des résultats'!$I$11</f>
        <v>0</v>
      </c>
      <c r="T210" s="238"/>
      <c r="U210" s="177"/>
      <c r="V210" s="246">
        <f t="shared" si="24"/>
        <v>0</v>
      </c>
      <c r="W210" s="185">
        <f>SUM('Pin Laricio'!AQ194*'Pin Laricio'!$F$21,'Pin Maritime'!AQ194*'Pin Maritime'!$F$21,'C'!AQ194*'C'!$F$21,D!AQ194*D!$F$21,E!AQ194*E!$F$21,F!AQ194*F!$F$21)</f>
        <v>0</v>
      </c>
      <c r="X210" s="185">
        <f>SUM('Pin Laricio'!AR194*'Pin Laricio'!$F$21,'Pin Maritime'!AR194*'Pin Maritime'!$F$21,'C'!AR194*'C'!$F$21,D!AR194*D!$F$21,E!AR194*E!$F$21,F!AR194*F!$F$21)</f>
        <v>0</v>
      </c>
      <c r="Y210" s="185">
        <f>SUM('Pin Laricio'!AS194*'Pin Laricio'!$F$21,'Pin Maritime'!AS194*'Pin Maritime'!$F$21,'C'!AS194*'C'!$F$21,D!AS194*D!$F$21,E!AS194*E!$F$21,F!AS194*F!$F$21)</f>
        <v>0</v>
      </c>
      <c r="Z210" s="328">
        <f>SUM('Pin Laricio'!AT194*'Pin Laricio'!$F$21,'Pin Maritime'!AT194*'Pin Maritime'!$F$21,'C'!AT194*'C'!$F$21,D!AT194*D!$F$21,E!AT194*E!$F$21,F!AT194*F!$F$21)</f>
        <v>0</v>
      </c>
      <c r="AA210" s="175">
        <f t="shared" si="26"/>
        <v>0</v>
      </c>
      <c r="AB210" s="176">
        <f t="shared" si="25"/>
        <v>0</v>
      </c>
      <c r="AC210" s="175"/>
      <c r="AD210" s="175"/>
    </row>
    <row r="211" spans="14:30" x14ac:dyDescent="0.3">
      <c r="N211" s="71">
        <v>190</v>
      </c>
      <c r="O211" s="236"/>
      <c r="P211" s="177"/>
      <c r="Q211" s="237">
        <f t="shared" si="28"/>
        <v>272.49999999999994</v>
      </c>
      <c r="R211" s="177">
        <f t="shared" si="23"/>
        <v>21.799999999999997</v>
      </c>
      <c r="S211" s="177">
        <f>$L$11*(1+$L$9)^N211*'Récapitulatif des résultats'!$I$11</f>
        <v>0</v>
      </c>
      <c r="T211" s="238"/>
      <c r="U211" s="177"/>
      <c r="V211" s="246">
        <f t="shared" si="24"/>
        <v>0</v>
      </c>
      <c r="W211" s="185">
        <f>SUM('Pin Laricio'!AQ195*'Pin Laricio'!$F$21,'Pin Maritime'!AQ195*'Pin Maritime'!$F$21,'C'!AQ195*'C'!$F$21,D!AQ195*D!$F$21,E!AQ195*E!$F$21,F!AQ195*F!$F$21)</f>
        <v>0</v>
      </c>
      <c r="X211" s="185">
        <f>SUM('Pin Laricio'!AR195*'Pin Laricio'!$F$21,'Pin Maritime'!AR195*'Pin Maritime'!$F$21,'C'!AR195*'C'!$F$21,D!AR195*D!$F$21,E!AR195*E!$F$21,F!AR195*F!$F$21)</f>
        <v>0</v>
      </c>
      <c r="Y211" s="185">
        <f>SUM('Pin Laricio'!AS195*'Pin Laricio'!$F$21,'Pin Maritime'!AS195*'Pin Maritime'!$F$21,'C'!AS195*'C'!$F$21,D!AS195*D!$F$21,E!AS195*E!$F$21,F!AS195*F!$F$21)</f>
        <v>0</v>
      </c>
      <c r="Z211" s="328">
        <f>SUM('Pin Laricio'!AT195*'Pin Laricio'!$F$21,'Pin Maritime'!AT195*'Pin Maritime'!$F$21,'C'!AT195*'C'!$F$21,D!AT195*D!$F$21,E!AT195*E!$F$21,F!AT195*F!$F$21)</f>
        <v>0</v>
      </c>
      <c r="AA211" s="175">
        <f t="shared" si="26"/>
        <v>0</v>
      </c>
      <c r="AB211" s="176">
        <f t="shared" si="25"/>
        <v>0</v>
      </c>
      <c r="AC211" s="175"/>
      <c r="AD211" s="175"/>
    </row>
    <row r="212" spans="14:30" x14ac:dyDescent="0.3">
      <c r="N212" s="71">
        <v>191</v>
      </c>
      <c r="O212" s="236"/>
      <c r="P212" s="177"/>
      <c r="Q212" s="237">
        <f t="shared" si="28"/>
        <v>272.49999999999994</v>
      </c>
      <c r="R212" s="177">
        <f t="shared" si="23"/>
        <v>21.799999999999997</v>
      </c>
      <c r="S212" s="177">
        <f>$L$11*(1+$L$9)^N212*'Récapitulatif des résultats'!$I$11</f>
        <v>0</v>
      </c>
      <c r="T212" s="238"/>
      <c r="U212" s="177"/>
      <c r="V212" s="246">
        <f t="shared" si="24"/>
        <v>0</v>
      </c>
      <c r="W212" s="185">
        <f>SUM('Pin Laricio'!AQ196*'Pin Laricio'!$F$21,'Pin Maritime'!AQ196*'Pin Maritime'!$F$21,'C'!AQ196*'C'!$F$21,D!AQ196*D!$F$21,E!AQ196*E!$F$21,F!AQ196*F!$F$21)</f>
        <v>0</v>
      </c>
      <c r="X212" s="185">
        <f>SUM('Pin Laricio'!AR196*'Pin Laricio'!$F$21,'Pin Maritime'!AR196*'Pin Maritime'!$F$21,'C'!AR196*'C'!$F$21,D!AR196*D!$F$21,E!AR196*E!$F$21,F!AR196*F!$F$21)</f>
        <v>0</v>
      </c>
      <c r="Y212" s="185">
        <f>SUM('Pin Laricio'!AS196*'Pin Laricio'!$F$21,'Pin Maritime'!AS196*'Pin Maritime'!$F$21,'C'!AS196*'C'!$F$21,D!AS196*D!$F$21,E!AS196*E!$F$21,F!AS196*F!$F$21)</f>
        <v>0</v>
      </c>
      <c r="Z212" s="328">
        <f>SUM('Pin Laricio'!AT196*'Pin Laricio'!$F$21,'Pin Maritime'!AT196*'Pin Maritime'!$F$21,'C'!AT196*'C'!$F$21,D!AT196*D!$F$21,E!AT196*E!$F$21,F!AT196*F!$F$21)</f>
        <v>0</v>
      </c>
      <c r="AA212" s="175">
        <f t="shared" si="26"/>
        <v>0</v>
      </c>
      <c r="AB212" s="176">
        <f t="shared" si="25"/>
        <v>0</v>
      </c>
      <c r="AC212" s="175"/>
      <c r="AD212" s="175"/>
    </row>
    <row r="213" spans="14:30" x14ac:dyDescent="0.3">
      <c r="N213" s="71">
        <v>192</v>
      </c>
      <c r="O213" s="236"/>
      <c r="P213" s="177"/>
      <c r="Q213" s="237">
        <f t="shared" si="28"/>
        <v>272.49999999999994</v>
      </c>
      <c r="R213" s="177">
        <f t="shared" ref="R213:R221" si="29">$L$10*SUM(O213:Q213)</f>
        <v>21.799999999999997</v>
      </c>
      <c r="S213" s="177">
        <f>$L$11*(1+$L$9)^N213*'Récapitulatif des résultats'!$I$11</f>
        <v>0</v>
      </c>
      <c r="T213" s="238"/>
      <c r="U213" s="177"/>
      <c r="V213" s="246">
        <f t="shared" ref="V213:V221" si="30">SUM(W213:Z213)</f>
        <v>0</v>
      </c>
      <c r="W213" s="185">
        <f>SUM('Pin Laricio'!AQ197*'Pin Laricio'!$F$21,'Pin Maritime'!AQ197*'Pin Maritime'!$F$21,'C'!AQ197*'C'!$F$21,D!AQ197*D!$F$21,E!AQ197*E!$F$21,F!AQ197*F!$F$21)</f>
        <v>0</v>
      </c>
      <c r="X213" s="185">
        <f>SUM('Pin Laricio'!AR197*'Pin Laricio'!$F$21,'Pin Maritime'!AR197*'Pin Maritime'!$F$21,'C'!AR197*'C'!$F$21,D!AR197*D!$F$21,E!AR197*E!$F$21,F!AR197*F!$F$21)</f>
        <v>0</v>
      </c>
      <c r="Y213" s="185">
        <f>SUM('Pin Laricio'!AS197*'Pin Laricio'!$F$21,'Pin Maritime'!AS197*'Pin Maritime'!$F$21,'C'!AS197*'C'!$F$21,D!AS197*D!$F$21,E!AS197*E!$F$21,F!AS197*F!$F$21)</f>
        <v>0</v>
      </c>
      <c r="Z213" s="328">
        <f>SUM('Pin Laricio'!AT197*'Pin Laricio'!$F$21,'Pin Maritime'!AT197*'Pin Maritime'!$F$21,'C'!AT197*'C'!$F$21,D!AT197*D!$F$21,E!AT197*E!$F$21,F!AT197*F!$F$21)</f>
        <v>0</v>
      </c>
      <c r="AA213" s="175">
        <f t="shared" si="26"/>
        <v>0</v>
      </c>
      <c r="AB213" s="176">
        <f t="shared" ref="AB213:AB221" si="31">IF(N213&lt;=$L$4,(AA213-SUM(O213:T213))/((1+4.5%)^N213),)</f>
        <v>0</v>
      </c>
      <c r="AC213" s="175"/>
      <c r="AD213" s="175"/>
    </row>
    <row r="214" spans="14:30" x14ac:dyDescent="0.3">
      <c r="N214" s="71">
        <v>193</v>
      </c>
      <c r="O214" s="236"/>
      <c r="P214" s="177"/>
      <c r="Q214" s="237">
        <f t="shared" si="28"/>
        <v>272.49999999999994</v>
      </c>
      <c r="R214" s="177">
        <f t="shared" si="29"/>
        <v>21.799999999999997</v>
      </c>
      <c r="S214" s="177">
        <f>$L$11*(1+$L$9)^N214*'Récapitulatif des résultats'!$I$11</f>
        <v>0</v>
      </c>
      <c r="T214" s="238"/>
      <c r="U214" s="177"/>
      <c r="V214" s="246">
        <f t="shared" si="30"/>
        <v>0</v>
      </c>
      <c r="W214" s="185">
        <f>SUM('Pin Laricio'!AQ198*'Pin Laricio'!$F$21,'Pin Maritime'!AQ198*'Pin Maritime'!$F$21,'C'!AQ198*'C'!$F$21,D!AQ198*D!$F$21,E!AQ198*E!$F$21,F!AQ198*F!$F$21)</f>
        <v>0</v>
      </c>
      <c r="X214" s="185">
        <f>SUM('Pin Laricio'!AR198*'Pin Laricio'!$F$21,'Pin Maritime'!AR198*'Pin Maritime'!$F$21,'C'!AR198*'C'!$F$21,D!AR198*D!$F$21,E!AR198*E!$F$21,F!AR198*F!$F$21)</f>
        <v>0</v>
      </c>
      <c r="Y214" s="185">
        <f>SUM('Pin Laricio'!AS198*'Pin Laricio'!$F$21,'Pin Maritime'!AS198*'Pin Maritime'!$F$21,'C'!AS198*'C'!$F$21,D!AS198*D!$F$21,E!AS198*E!$F$21,F!AS198*F!$F$21)</f>
        <v>0</v>
      </c>
      <c r="Z214" s="328">
        <f>SUM('Pin Laricio'!AT198*'Pin Laricio'!$F$21,'Pin Maritime'!AT198*'Pin Maritime'!$F$21,'C'!AT198*'C'!$F$21,D!AT198*D!$F$21,E!AT198*E!$F$21,F!AT198*F!$F$21)</f>
        <v>0</v>
      </c>
      <c r="AA214" s="175">
        <f t="shared" ref="AA214:AA221" si="32">SUMIF(B$23:B$115,N214,L$23:L$115)+U214</f>
        <v>0</v>
      </c>
      <c r="AB214" s="176">
        <f t="shared" si="31"/>
        <v>0</v>
      </c>
      <c r="AC214" s="175"/>
      <c r="AD214" s="175"/>
    </row>
    <row r="215" spans="14:30" x14ac:dyDescent="0.3">
      <c r="N215" s="71">
        <v>194</v>
      </c>
      <c r="O215" s="236"/>
      <c r="P215" s="177"/>
      <c r="Q215" s="237">
        <f t="shared" si="28"/>
        <v>272.49999999999994</v>
      </c>
      <c r="R215" s="177">
        <f t="shared" si="29"/>
        <v>21.799999999999997</v>
      </c>
      <c r="S215" s="177">
        <f>$L$11*(1+$L$9)^N215*'Récapitulatif des résultats'!$I$11</f>
        <v>0</v>
      </c>
      <c r="T215" s="238"/>
      <c r="U215" s="177"/>
      <c r="V215" s="246">
        <f t="shared" si="30"/>
        <v>0</v>
      </c>
      <c r="W215" s="185">
        <f>SUM('Pin Laricio'!AQ199*'Pin Laricio'!$F$21,'Pin Maritime'!AQ199*'Pin Maritime'!$F$21,'C'!AQ199*'C'!$F$21,D!AQ199*D!$F$21,E!AQ199*E!$F$21,F!AQ199*F!$F$21)</f>
        <v>0</v>
      </c>
      <c r="X215" s="185">
        <f>SUM('Pin Laricio'!AR199*'Pin Laricio'!$F$21,'Pin Maritime'!AR199*'Pin Maritime'!$F$21,'C'!AR199*'C'!$F$21,D!AR199*D!$F$21,E!AR199*E!$F$21,F!AR199*F!$F$21)</f>
        <v>0</v>
      </c>
      <c r="Y215" s="185">
        <f>SUM('Pin Laricio'!AS199*'Pin Laricio'!$F$21,'Pin Maritime'!AS199*'Pin Maritime'!$F$21,'C'!AS199*'C'!$F$21,D!AS199*D!$F$21,E!AS199*E!$F$21,F!AS199*F!$F$21)</f>
        <v>0</v>
      </c>
      <c r="Z215" s="328">
        <f>SUM('Pin Laricio'!AT199*'Pin Laricio'!$F$21,'Pin Maritime'!AT199*'Pin Maritime'!$F$21,'C'!AT199*'C'!$F$21,D!AT199*D!$F$21,E!AT199*E!$F$21,F!AT199*F!$F$21)</f>
        <v>0</v>
      </c>
      <c r="AA215" s="175">
        <f t="shared" si="32"/>
        <v>0</v>
      </c>
      <c r="AB215" s="176">
        <f t="shared" si="31"/>
        <v>0</v>
      </c>
      <c r="AC215" s="175"/>
      <c r="AD215" s="175"/>
    </row>
    <row r="216" spans="14:30" x14ac:dyDescent="0.3">
      <c r="N216" s="71">
        <v>195</v>
      </c>
      <c r="O216" s="236"/>
      <c r="P216" s="177"/>
      <c r="Q216" s="237">
        <f t="shared" si="28"/>
        <v>272.49999999999994</v>
      </c>
      <c r="R216" s="177">
        <f t="shared" si="29"/>
        <v>21.799999999999997</v>
      </c>
      <c r="S216" s="177">
        <f>$L$11*(1+$L$9)^N216*'Récapitulatif des résultats'!$I$11</f>
        <v>0</v>
      </c>
      <c r="T216" s="238"/>
      <c r="U216" s="177"/>
      <c r="V216" s="246">
        <f t="shared" si="30"/>
        <v>0</v>
      </c>
      <c r="W216" s="185">
        <f>SUM('Pin Laricio'!AQ200*'Pin Laricio'!$F$21,'Pin Maritime'!AQ200*'Pin Maritime'!$F$21,'C'!AQ200*'C'!$F$21,D!AQ200*D!$F$21,E!AQ200*E!$F$21,F!AQ200*F!$F$21)</f>
        <v>0</v>
      </c>
      <c r="X216" s="185">
        <f>SUM('Pin Laricio'!AR200*'Pin Laricio'!$F$21,'Pin Maritime'!AR200*'Pin Maritime'!$F$21,'C'!AR200*'C'!$F$21,D!AR200*D!$F$21,E!AR200*E!$F$21,F!AR200*F!$F$21)</f>
        <v>0</v>
      </c>
      <c r="Y216" s="185">
        <f>SUM('Pin Laricio'!AS200*'Pin Laricio'!$F$21,'Pin Maritime'!AS200*'Pin Maritime'!$F$21,'C'!AS200*'C'!$F$21,D!AS200*D!$F$21,E!AS200*E!$F$21,F!AS200*F!$F$21)</f>
        <v>0</v>
      </c>
      <c r="Z216" s="328">
        <f>SUM('Pin Laricio'!AT200*'Pin Laricio'!$F$21,'Pin Maritime'!AT200*'Pin Maritime'!$F$21,'C'!AT200*'C'!$F$21,D!AT200*D!$F$21,E!AT200*E!$F$21,F!AT200*F!$F$21)</f>
        <v>0</v>
      </c>
      <c r="AA216" s="175">
        <f t="shared" si="32"/>
        <v>0</v>
      </c>
      <c r="AB216" s="176">
        <f t="shared" si="31"/>
        <v>0</v>
      </c>
      <c r="AC216" s="175"/>
      <c r="AD216" s="175"/>
    </row>
    <row r="217" spans="14:30" x14ac:dyDescent="0.3">
      <c r="N217" s="71">
        <v>196</v>
      </c>
      <c r="O217" s="236"/>
      <c r="P217" s="177"/>
      <c r="Q217" s="237">
        <f t="shared" si="28"/>
        <v>272.49999999999994</v>
      </c>
      <c r="R217" s="177">
        <f t="shared" si="29"/>
        <v>21.799999999999997</v>
      </c>
      <c r="S217" s="177">
        <f>$L$11*(1+$L$9)^N217*'Récapitulatif des résultats'!$I$11</f>
        <v>0</v>
      </c>
      <c r="T217" s="238"/>
      <c r="U217" s="177"/>
      <c r="V217" s="246">
        <f t="shared" si="30"/>
        <v>0</v>
      </c>
      <c r="W217" s="185">
        <f>SUM('Pin Laricio'!AQ201*'Pin Laricio'!$F$21,'Pin Maritime'!AQ201*'Pin Maritime'!$F$21,'C'!AQ201*'C'!$F$21,D!AQ201*D!$F$21,E!AQ201*E!$F$21,F!AQ201*F!$F$21)</f>
        <v>0</v>
      </c>
      <c r="X217" s="185">
        <f>SUM('Pin Laricio'!AR201*'Pin Laricio'!$F$21,'Pin Maritime'!AR201*'Pin Maritime'!$F$21,'C'!AR201*'C'!$F$21,D!AR201*D!$F$21,E!AR201*E!$F$21,F!AR201*F!$F$21)</f>
        <v>0</v>
      </c>
      <c r="Y217" s="185">
        <f>SUM('Pin Laricio'!AS201*'Pin Laricio'!$F$21,'Pin Maritime'!AS201*'Pin Maritime'!$F$21,'C'!AS201*'C'!$F$21,D!AS201*D!$F$21,E!AS201*E!$F$21,F!AS201*F!$F$21)</f>
        <v>0</v>
      </c>
      <c r="Z217" s="328">
        <f>SUM('Pin Laricio'!AT201*'Pin Laricio'!$F$21,'Pin Maritime'!AT201*'Pin Maritime'!$F$21,'C'!AT201*'C'!$F$21,D!AT201*D!$F$21,E!AT201*E!$F$21,F!AT201*F!$F$21)</f>
        <v>0</v>
      </c>
      <c r="AA217" s="175">
        <f t="shared" si="32"/>
        <v>0</v>
      </c>
      <c r="AB217" s="176">
        <f t="shared" si="31"/>
        <v>0</v>
      </c>
      <c r="AC217" s="175"/>
      <c r="AD217" s="175"/>
    </row>
    <row r="218" spans="14:30" x14ac:dyDescent="0.3">
      <c r="N218" s="71">
        <v>197</v>
      </c>
      <c r="O218" s="236"/>
      <c r="P218" s="177"/>
      <c r="Q218" s="237">
        <f t="shared" si="28"/>
        <v>272.49999999999994</v>
      </c>
      <c r="R218" s="177">
        <f t="shared" si="29"/>
        <v>21.799999999999997</v>
      </c>
      <c r="S218" s="177">
        <f>$L$11*(1+$L$9)^N218*'Récapitulatif des résultats'!$I$11</f>
        <v>0</v>
      </c>
      <c r="T218" s="238"/>
      <c r="U218" s="177"/>
      <c r="V218" s="246">
        <f t="shared" si="30"/>
        <v>0</v>
      </c>
      <c r="W218" s="185">
        <f>SUM('Pin Laricio'!AQ202*'Pin Laricio'!$F$21,'Pin Maritime'!AQ202*'Pin Maritime'!$F$21,'C'!AQ202*'C'!$F$21,D!AQ202*D!$F$21,E!AQ202*E!$F$21,F!AQ202*F!$F$21)</f>
        <v>0</v>
      </c>
      <c r="X218" s="185">
        <f>SUM('Pin Laricio'!AR202*'Pin Laricio'!$F$21,'Pin Maritime'!AR202*'Pin Maritime'!$F$21,'C'!AR202*'C'!$F$21,D!AR202*D!$F$21,E!AR202*E!$F$21,F!AR202*F!$F$21)</f>
        <v>0</v>
      </c>
      <c r="Y218" s="185">
        <f>SUM('Pin Laricio'!AS202*'Pin Laricio'!$F$21,'Pin Maritime'!AS202*'Pin Maritime'!$F$21,'C'!AS202*'C'!$F$21,D!AS202*D!$F$21,E!AS202*E!$F$21,F!AS202*F!$F$21)</f>
        <v>0</v>
      </c>
      <c r="Z218" s="328">
        <f>SUM('Pin Laricio'!AT202*'Pin Laricio'!$F$21,'Pin Maritime'!AT202*'Pin Maritime'!$F$21,'C'!AT202*'C'!$F$21,D!AT202*D!$F$21,E!AT202*E!$F$21,F!AT202*F!$F$21)</f>
        <v>0</v>
      </c>
      <c r="AA218" s="175">
        <f t="shared" si="32"/>
        <v>0</v>
      </c>
      <c r="AB218" s="176">
        <f t="shared" si="31"/>
        <v>0</v>
      </c>
      <c r="AC218" s="175"/>
      <c r="AD218" s="175"/>
    </row>
    <row r="219" spans="14:30" x14ac:dyDescent="0.3">
      <c r="N219" s="71">
        <v>198</v>
      </c>
      <c r="O219" s="236"/>
      <c r="P219" s="177"/>
      <c r="Q219" s="237">
        <f t="shared" si="28"/>
        <v>272.49999999999994</v>
      </c>
      <c r="R219" s="177">
        <f t="shared" si="29"/>
        <v>21.799999999999997</v>
      </c>
      <c r="S219" s="177">
        <f>$L$11*(1+$L$9)^N219*'Récapitulatif des résultats'!$I$11</f>
        <v>0</v>
      </c>
      <c r="T219" s="238"/>
      <c r="U219" s="177"/>
      <c r="V219" s="246">
        <f t="shared" si="30"/>
        <v>0</v>
      </c>
      <c r="W219" s="185">
        <f>SUM('Pin Laricio'!AQ203*'Pin Laricio'!$F$21,'Pin Maritime'!AQ203*'Pin Maritime'!$F$21,'C'!AQ203*'C'!$F$21,D!AQ203*D!$F$21,E!AQ203*E!$F$21,F!AQ203*F!$F$21)</f>
        <v>0</v>
      </c>
      <c r="X219" s="185">
        <f>SUM('Pin Laricio'!AR203*'Pin Laricio'!$F$21,'Pin Maritime'!AR203*'Pin Maritime'!$F$21,'C'!AR203*'C'!$F$21,D!AR203*D!$F$21,E!AR203*E!$F$21,F!AR203*F!$F$21)</f>
        <v>0</v>
      </c>
      <c r="Y219" s="185">
        <f>SUM('Pin Laricio'!AS203*'Pin Laricio'!$F$21,'Pin Maritime'!AS203*'Pin Maritime'!$F$21,'C'!AS203*'C'!$F$21,D!AS203*D!$F$21,E!AS203*E!$F$21,F!AS203*F!$F$21)</f>
        <v>0</v>
      </c>
      <c r="Z219" s="328">
        <f>SUM('Pin Laricio'!AT203*'Pin Laricio'!$F$21,'Pin Maritime'!AT203*'Pin Maritime'!$F$21,'C'!AT203*'C'!$F$21,D!AT203*D!$F$21,E!AT203*E!$F$21,F!AT203*F!$F$21)</f>
        <v>0</v>
      </c>
      <c r="AA219" s="175">
        <f t="shared" si="32"/>
        <v>0</v>
      </c>
      <c r="AB219" s="176">
        <f t="shared" si="31"/>
        <v>0</v>
      </c>
      <c r="AC219" s="175"/>
      <c r="AD219" s="175"/>
    </row>
    <row r="220" spans="14:30" x14ac:dyDescent="0.3">
      <c r="N220" s="71">
        <v>199</v>
      </c>
      <c r="O220" s="236"/>
      <c r="P220" s="177"/>
      <c r="Q220" s="237">
        <f t="shared" si="28"/>
        <v>272.49999999999994</v>
      </c>
      <c r="R220" s="177">
        <f t="shared" si="29"/>
        <v>21.799999999999997</v>
      </c>
      <c r="S220" s="177">
        <f>$L$11*(1+$L$9)^N220*'Récapitulatif des résultats'!$I$11</f>
        <v>0</v>
      </c>
      <c r="T220" s="238"/>
      <c r="U220" s="177"/>
      <c r="V220" s="246">
        <f t="shared" si="30"/>
        <v>0</v>
      </c>
      <c r="W220" s="185">
        <f>SUM('Pin Laricio'!AQ204*'Pin Laricio'!$F$21,'Pin Maritime'!AQ204*'Pin Maritime'!$F$21,'C'!AQ204*'C'!$F$21,D!AQ204*D!$F$21,E!AQ204*E!$F$21,F!AQ204*F!$F$21)</f>
        <v>0</v>
      </c>
      <c r="X220" s="185">
        <f>SUM('Pin Laricio'!AR204*'Pin Laricio'!$F$21,'Pin Maritime'!AR204*'Pin Maritime'!$F$21,'C'!AR204*'C'!$F$21,D!AR204*D!$F$21,E!AR204*E!$F$21,F!AR204*F!$F$21)</f>
        <v>0</v>
      </c>
      <c r="Y220" s="185">
        <f>SUM('Pin Laricio'!AS204*'Pin Laricio'!$F$21,'Pin Maritime'!AS204*'Pin Maritime'!$F$21,'C'!AS204*'C'!$F$21,D!AS204*D!$F$21,E!AS204*E!$F$21,F!AS204*F!$F$21)</f>
        <v>0</v>
      </c>
      <c r="Z220" s="328">
        <f>SUM('Pin Laricio'!AT204*'Pin Laricio'!$F$21,'Pin Maritime'!AT204*'Pin Maritime'!$F$21,'C'!AT204*'C'!$F$21,D!AT204*D!$F$21,E!AT204*E!$F$21,F!AT204*F!$F$21)</f>
        <v>0</v>
      </c>
      <c r="AA220" s="175">
        <f t="shared" si="32"/>
        <v>0</v>
      </c>
      <c r="AB220" s="176">
        <f t="shared" si="31"/>
        <v>0</v>
      </c>
      <c r="AC220" s="175"/>
      <c r="AD220" s="175"/>
    </row>
    <row r="221" spans="14:30" x14ac:dyDescent="0.3">
      <c r="N221" s="72">
        <v>200</v>
      </c>
      <c r="O221" s="179"/>
      <c r="P221" s="179"/>
      <c r="Q221" s="239">
        <f t="shared" si="28"/>
        <v>272.49999999999994</v>
      </c>
      <c r="R221" s="240">
        <f t="shared" si="29"/>
        <v>21.799999999999997</v>
      </c>
      <c r="S221" s="240">
        <f>$L$11*(1+$L$9)^N221*'Récapitulatif des résultats'!$I$11</f>
        <v>0</v>
      </c>
      <c r="T221" s="241"/>
      <c r="U221" s="179"/>
      <c r="V221" s="247">
        <f t="shared" si="30"/>
        <v>0</v>
      </c>
      <c r="W221" s="248">
        <f>SUM('Pin Laricio'!AQ205*'Pin Laricio'!$F$21,'Pin Maritime'!AQ205*'Pin Maritime'!$F$21,'C'!AQ205*'C'!$F$21,D!AQ205*D!$F$21,E!AQ205*E!$F$21,F!AQ205*F!$F$21)</f>
        <v>0</v>
      </c>
      <c r="X221" s="248">
        <f>SUM('Pin Laricio'!AR205*'Pin Laricio'!$F$21,'Pin Maritime'!AR205*'Pin Maritime'!$F$21,'C'!AR205*'C'!$F$21,D!AR205*D!$F$21,E!AR205*E!$F$21,F!AR205*F!$F$21)</f>
        <v>0</v>
      </c>
      <c r="Y221" s="248">
        <f>SUM('Pin Laricio'!AS205*'Pin Laricio'!$F$21,'Pin Maritime'!AS205*'Pin Maritime'!$F$21,'C'!AS205*'C'!$F$21,D!AS205*D!$F$21,E!AS205*E!$F$21,F!AS205*F!$F$21)</f>
        <v>0</v>
      </c>
      <c r="Z221" s="329">
        <f>SUM('Pin Laricio'!AT205*'Pin Laricio'!$F$21,'Pin Maritime'!AT205*'Pin Maritime'!$F$21,'C'!AT205*'C'!$F$21,D!AT205*D!$F$21,E!AT205*E!$F$21,F!AT205*F!$F$21)</f>
        <v>0</v>
      </c>
      <c r="AA221" s="249">
        <f t="shared" si="32"/>
        <v>0</v>
      </c>
      <c r="AB221" s="250">
        <f t="shared" si="31"/>
        <v>0</v>
      </c>
      <c r="AC221" s="175"/>
      <c r="AD221" s="175"/>
    </row>
  </sheetData>
  <mergeCells count="28">
    <mergeCell ref="AC3:AE3"/>
    <mergeCell ref="T3:V3"/>
    <mergeCell ref="C10:C15"/>
    <mergeCell ref="C9:D9"/>
    <mergeCell ref="H53:K53"/>
    <mergeCell ref="H69:K69"/>
    <mergeCell ref="H85:K85"/>
    <mergeCell ref="H101:K101"/>
    <mergeCell ref="V19:AA19"/>
    <mergeCell ref="N19:N20"/>
    <mergeCell ref="O19:T19"/>
    <mergeCell ref="B85:G85"/>
    <mergeCell ref="B101:G101"/>
    <mergeCell ref="B21:G21"/>
    <mergeCell ref="B37:G37"/>
    <mergeCell ref="B53:G53"/>
    <mergeCell ref="B69:G69"/>
    <mergeCell ref="A40:A48"/>
    <mergeCell ref="N3:P3"/>
    <mergeCell ref="Q3:S3"/>
    <mergeCell ref="H21:K21"/>
    <mergeCell ref="H37:K37"/>
    <mergeCell ref="N18:AB18"/>
    <mergeCell ref="B20:L20"/>
    <mergeCell ref="I3:I14"/>
    <mergeCell ref="C3:D3"/>
    <mergeCell ref="W3:Y3"/>
    <mergeCell ref="Z3:AB3"/>
  </mergeCells>
  <pageMargins left="0.7" right="0.7" top="0.75" bottom="0.75" header="0.3" footer="0.3"/>
  <pageSetup paperSize="9" scale="22"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Tables de production employées</vt:lpstr>
      <vt:lpstr>Récapitulatif des résultats</vt:lpstr>
      <vt:lpstr>Pin Laricio</vt:lpstr>
      <vt:lpstr>Pin Maritime</vt:lpstr>
      <vt:lpstr>C</vt:lpstr>
      <vt:lpstr>D</vt:lpstr>
      <vt:lpstr>E</vt:lpstr>
      <vt:lpstr>F</vt:lpstr>
      <vt:lpstr>VAN</vt:lpstr>
      <vt:lpstr>'Tables de production employées'!Zone_d_impression</vt:lpstr>
    </vt:vector>
  </TitlesOfParts>
  <Company>ICADE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MARTAL Thomas</dc:creator>
  <cp:lastModifiedBy>Thomas M.</cp:lastModifiedBy>
  <cp:lastPrinted>2020-12-10T18:13:25Z</cp:lastPrinted>
  <dcterms:created xsi:type="dcterms:W3CDTF">2020-02-20T14:47:46Z</dcterms:created>
  <dcterms:modified xsi:type="dcterms:W3CDTF">2021-07-08T14:28:38Z</dcterms:modified>
</cp:coreProperties>
</file>