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UBIN/Desktop/STOCK CO2 n°32 - Centre-Val de Loire (37) - Rectificatif suite retour DGEC/"/>
    </mc:Choice>
  </mc:AlternateContent>
  <xr:revisionPtr revIDLastSave="0" documentId="13_ncr:1_{8AA6205A-6F73-974F-BDD3-560C557C2058}" xr6:coauthVersionLast="45" xr6:coauthVersionMax="45" xr10:uidLastSave="{00000000-0000-0000-0000-000000000000}"/>
  <bookViews>
    <workbookView xWindow="0" yWindow="460" windowWidth="28660" windowHeight="17540" tabRatio="766" firstSheet="1" activeTab="1" xr2:uid="{00000000-000D-0000-FFFF-FFFF00000000}"/>
  </bookViews>
  <sheets>
    <sheet name="Tables de production employées" sheetId="23" r:id="rId1"/>
    <sheet name="Récapitulatif des résultats" sheetId="24" r:id="rId2"/>
    <sheet name="Pin Laricio" sheetId="13" r:id="rId3"/>
    <sheet name="Douglas" sheetId="18" r:id="rId4"/>
    <sheet name="Cedre de l'Atlas" sheetId="19" r:id="rId5"/>
    <sheet name="Sequoia sempervirens" sheetId="20" r:id="rId6"/>
    <sheet name="Chêne" sheetId="26" r:id="rId7"/>
    <sheet name="Charme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24" l="1"/>
  <c r="R25" i="24" s="1"/>
  <c r="F21" i="21" l="1"/>
  <c r="D77" i="21"/>
  <c r="D75" i="21"/>
  <c r="D73" i="21"/>
  <c r="D71" i="21"/>
  <c r="D69" i="21"/>
  <c r="D67" i="21"/>
  <c r="D65" i="21"/>
  <c r="D63" i="21"/>
  <c r="D61" i="21"/>
  <c r="D59" i="21"/>
  <c r="D57" i="21"/>
  <c r="D55" i="21"/>
  <c r="D53" i="21"/>
  <c r="D51" i="21"/>
  <c r="D49" i="21"/>
  <c r="D47" i="21"/>
  <c r="D45" i="21"/>
  <c r="D43" i="21"/>
  <c r="D41" i="21"/>
  <c r="D39" i="21"/>
  <c r="D37" i="21"/>
  <c r="D35" i="21"/>
  <c r="D33" i="21"/>
  <c r="D31" i="21"/>
  <c r="D29" i="21"/>
  <c r="D27" i="21"/>
  <c r="C27" i="21"/>
  <c r="C29" i="21" s="1"/>
  <c r="B26" i="21"/>
  <c r="C26" i="21" s="1"/>
  <c r="D25" i="21"/>
  <c r="J19" i="24"/>
  <c r="B28" i="21" l="1"/>
  <c r="B27" i="21"/>
  <c r="C28" i="21"/>
  <c r="B30" i="21"/>
  <c r="C31" i="21"/>
  <c r="C33" i="21" l="1"/>
  <c r="B32" i="21"/>
  <c r="C30" i="21"/>
  <c r="B29" i="21"/>
  <c r="C32" i="21" l="1"/>
  <c r="B31" i="21"/>
  <c r="B34" i="21"/>
  <c r="C35" i="21"/>
  <c r="B36" i="21" l="1"/>
  <c r="C37" i="21"/>
  <c r="B33" i="21"/>
  <c r="C34" i="21"/>
  <c r="C36" i="21" l="1"/>
  <c r="B35" i="21"/>
  <c r="C39" i="21"/>
  <c r="B38" i="21"/>
  <c r="B40" i="21" l="1"/>
  <c r="C41" i="21"/>
  <c r="B37" i="21"/>
  <c r="C38" i="21"/>
  <c r="C40" i="21" l="1"/>
  <c r="B39" i="21"/>
  <c r="C43" i="21"/>
  <c r="B42" i="21"/>
  <c r="C45" i="21" l="1"/>
  <c r="B44" i="21"/>
  <c r="C42" i="21"/>
  <c r="B41" i="21"/>
  <c r="B43" i="21" l="1"/>
  <c r="C44" i="21"/>
  <c r="B46" i="21"/>
  <c r="C47" i="21"/>
  <c r="C49" i="21" l="1"/>
  <c r="B48" i="21"/>
  <c r="C46" i="21"/>
  <c r="B45" i="21"/>
  <c r="C48" i="21" l="1"/>
  <c r="B47" i="21"/>
  <c r="C51" i="21"/>
  <c r="B50" i="21"/>
  <c r="B52" i="21" l="1"/>
  <c r="C53" i="21"/>
  <c r="B49" i="21"/>
  <c r="C50" i="21"/>
  <c r="C52" i="21" l="1"/>
  <c r="B51" i="21"/>
  <c r="C55" i="21"/>
  <c r="B54" i="21"/>
  <c r="B56" i="21" l="1"/>
  <c r="C57" i="21"/>
  <c r="B53" i="21"/>
  <c r="C54" i="21"/>
  <c r="C56" i="21" l="1"/>
  <c r="B55" i="21"/>
  <c r="C59" i="21"/>
  <c r="B58" i="21"/>
  <c r="C61" i="21" l="1"/>
  <c r="B60" i="21"/>
  <c r="C58" i="21"/>
  <c r="B57" i="21"/>
  <c r="B59" i="21" l="1"/>
  <c r="C60" i="21"/>
  <c r="B62" i="21"/>
  <c r="C63" i="21"/>
  <c r="C65" i="21" l="1"/>
  <c r="B64" i="21"/>
  <c r="C62" i="21"/>
  <c r="B61" i="21"/>
  <c r="B63" i="21" l="1"/>
  <c r="C64" i="21"/>
  <c r="B66" i="21"/>
  <c r="C67" i="21"/>
  <c r="B68" i="21" l="1"/>
  <c r="C69" i="21"/>
  <c r="B65" i="21"/>
  <c r="C66" i="21"/>
  <c r="C68" i="21" l="1"/>
  <c r="B67" i="21"/>
  <c r="C71" i="21"/>
  <c r="B70" i="21"/>
  <c r="B72" i="21" l="1"/>
  <c r="C73" i="21"/>
  <c r="B69" i="21"/>
  <c r="C70" i="21"/>
  <c r="B71" i="21" l="1"/>
  <c r="C72" i="21"/>
  <c r="C75" i="21"/>
  <c r="B74" i="21"/>
  <c r="C77" i="21" l="1"/>
  <c r="B78" i="21" s="1"/>
  <c r="B76" i="21"/>
  <c r="C74" i="21"/>
  <c r="B73" i="21"/>
  <c r="B75" i="21" l="1"/>
  <c r="C76" i="21"/>
  <c r="C78" i="21" l="1"/>
  <c r="B77" i="21"/>
  <c r="J24" i="24" l="1"/>
  <c r="F21" i="26"/>
  <c r="J20" i="24"/>
  <c r="O9" i="27" l="1"/>
  <c r="D77" i="26"/>
  <c r="D75" i="26"/>
  <c r="D73" i="26"/>
  <c r="D71" i="26"/>
  <c r="D69" i="26"/>
  <c r="D67" i="26"/>
  <c r="D65" i="26"/>
  <c r="D63" i="26"/>
  <c r="D61" i="26"/>
  <c r="D59" i="26"/>
  <c r="D57" i="26"/>
  <c r="D55" i="26"/>
  <c r="D53" i="26"/>
  <c r="D51" i="26"/>
  <c r="D49" i="26"/>
  <c r="D47" i="26"/>
  <c r="D45" i="26"/>
  <c r="D43" i="26"/>
  <c r="D41" i="26"/>
  <c r="D39" i="26"/>
  <c r="D37" i="26"/>
  <c r="D35" i="26"/>
  <c r="D33" i="26"/>
  <c r="D31" i="26"/>
  <c r="D29" i="26"/>
  <c r="D27" i="26"/>
  <c r="C27" i="26"/>
  <c r="C29" i="26" s="1"/>
  <c r="B26" i="26"/>
  <c r="C26" i="26" s="1"/>
  <c r="D25" i="26"/>
  <c r="D51" i="20"/>
  <c r="D49" i="20"/>
  <c r="D47" i="20"/>
  <c r="D45" i="20"/>
  <c r="D43" i="20"/>
  <c r="D41" i="20"/>
  <c r="D39" i="20"/>
  <c r="D37" i="20"/>
  <c r="D35" i="20"/>
  <c r="D33" i="20"/>
  <c r="D31" i="20"/>
  <c r="D29" i="20"/>
  <c r="D27" i="20"/>
  <c r="C27" i="20"/>
  <c r="C29" i="20" s="1"/>
  <c r="B26" i="20"/>
  <c r="C26" i="20" s="1"/>
  <c r="D25" i="20"/>
  <c r="E151" i="23"/>
  <c r="E150" i="23"/>
  <c r="E149" i="23"/>
  <c r="D150" i="23"/>
  <c r="D151" i="23" s="1"/>
  <c r="D152" i="23" s="1"/>
  <c r="C150" i="23"/>
  <c r="I149" i="23"/>
  <c r="I150" i="23" s="1"/>
  <c r="G149" i="23"/>
  <c r="G150" i="23" s="1"/>
  <c r="B27" i="26" l="1"/>
  <c r="C28" i="26"/>
  <c r="B30" i="26"/>
  <c r="C31" i="26"/>
  <c r="B28" i="26"/>
  <c r="B27" i="20"/>
  <c r="C28" i="20"/>
  <c r="B30" i="20"/>
  <c r="C31" i="20"/>
  <c r="B28" i="20"/>
  <c r="J149" i="23"/>
  <c r="C151" i="23"/>
  <c r="J150" i="23"/>
  <c r="G151" i="23"/>
  <c r="E152" i="23" s="1"/>
  <c r="I151" i="23"/>
  <c r="H151" i="23"/>
  <c r="D153" i="23"/>
  <c r="C153" i="23"/>
  <c r="H150" i="23"/>
  <c r="C152" i="23"/>
  <c r="C33" i="26" l="1"/>
  <c r="B32" i="26"/>
  <c r="C30" i="26"/>
  <c r="B29" i="26"/>
  <c r="C30" i="20"/>
  <c r="B29" i="20"/>
  <c r="C33" i="20"/>
  <c r="B32" i="20"/>
  <c r="I152" i="23"/>
  <c r="H152" i="23"/>
  <c r="J151" i="23"/>
  <c r="G152" i="23"/>
  <c r="E153" i="23" s="1"/>
  <c r="D154" i="23"/>
  <c r="C154" i="23"/>
  <c r="B34" i="26" l="1"/>
  <c r="C35" i="26"/>
  <c r="C32" i="26"/>
  <c r="B31" i="26"/>
  <c r="C35" i="20"/>
  <c r="B34" i="20"/>
  <c r="C32" i="20"/>
  <c r="B31" i="20"/>
  <c r="G153" i="23"/>
  <c r="E154" i="23" s="1"/>
  <c r="J152" i="23"/>
  <c r="D155" i="23"/>
  <c r="C155" i="23"/>
  <c r="H153" i="23"/>
  <c r="I153" i="23"/>
  <c r="B33" i="26" l="1"/>
  <c r="C34" i="26"/>
  <c r="B36" i="26"/>
  <c r="C37" i="26"/>
  <c r="B36" i="20"/>
  <c r="C37" i="20"/>
  <c r="B33" i="20"/>
  <c r="C34" i="20"/>
  <c r="I154" i="23"/>
  <c r="H154" i="23"/>
  <c r="D156" i="23"/>
  <c r="C156" i="23"/>
  <c r="G154" i="23"/>
  <c r="E155" i="23" s="1"/>
  <c r="J153" i="23"/>
  <c r="C39" i="26" l="1"/>
  <c r="B38" i="26"/>
  <c r="C36" i="26"/>
  <c r="B35" i="26"/>
  <c r="C39" i="20"/>
  <c r="B38" i="20"/>
  <c r="C36" i="20"/>
  <c r="B35" i="20"/>
  <c r="J154" i="23"/>
  <c r="G155" i="23"/>
  <c r="E156" i="23" s="1"/>
  <c r="D157" i="23"/>
  <c r="C157" i="23"/>
  <c r="I155" i="23"/>
  <c r="H155" i="23"/>
  <c r="B37" i="26" l="1"/>
  <c r="C38" i="26"/>
  <c r="B40" i="26"/>
  <c r="C41" i="26"/>
  <c r="C41" i="20"/>
  <c r="B40" i="20"/>
  <c r="C38" i="20"/>
  <c r="B37" i="20"/>
  <c r="H156" i="23"/>
  <c r="I156" i="23"/>
  <c r="G156" i="23"/>
  <c r="E157" i="23" s="1"/>
  <c r="J155" i="23"/>
  <c r="C158" i="23"/>
  <c r="D158" i="23"/>
  <c r="C40" i="26" l="1"/>
  <c r="B39" i="26"/>
  <c r="C43" i="26"/>
  <c r="B42" i="26"/>
  <c r="B42" i="20"/>
  <c r="C43" i="20"/>
  <c r="B39" i="20"/>
  <c r="C40" i="20"/>
  <c r="G157" i="23"/>
  <c r="E158" i="23" s="1"/>
  <c r="J156" i="23"/>
  <c r="H157" i="23"/>
  <c r="I157" i="23"/>
  <c r="C45" i="26" l="1"/>
  <c r="B44" i="26"/>
  <c r="C42" i="26"/>
  <c r="B41" i="26"/>
  <c r="C45" i="20"/>
  <c r="B44" i="20"/>
  <c r="C42" i="20"/>
  <c r="B41" i="20"/>
  <c r="I158" i="23"/>
  <c r="H158" i="23"/>
  <c r="G158" i="23"/>
  <c r="J158" i="23" s="1"/>
  <c r="J157" i="23"/>
  <c r="B43" i="26" l="1"/>
  <c r="C44" i="26"/>
  <c r="B46" i="26"/>
  <c r="C47" i="26"/>
  <c r="B46" i="20"/>
  <c r="C47" i="20"/>
  <c r="B43" i="20"/>
  <c r="C44" i="20"/>
  <c r="C49" i="26" l="1"/>
  <c r="B48" i="26"/>
  <c r="C46" i="26"/>
  <c r="B45" i="26"/>
  <c r="B45" i="20"/>
  <c r="C46" i="20"/>
  <c r="C49" i="20"/>
  <c r="B48" i="20"/>
  <c r="C48" i="26" l="1"/>
  <c r="B47" i="26"/>
  <c r="C51" i="26"/>
  <c r="B50" i="26"/>
  <c r="C48" i="20"/>
  <c r="B47" i="20"/>
  <c r="C51" i="20"/>
  <c r="B52" i="20" s="1"/>
  <c r="B50" i="20"/>
  <c r="B52" i="26" l="1"/>
  <c r="C53" i="26"/>
  <c r="B49" i="26"/>
  <c r="C50" i="26"/>
  <c r="B49" i="20"/>
  <c r="C50" i="20"/>
  <c r="D41" i="18"/>
  <c r="D39" i="18"/>
  <c r="D37" i="18"/>
  <c r="D35" i="18"/>
  <c r="D33" i="18"/>
  <c r="D31" i="18"/>
  <c r="D29" i="18"/>
  <c r="D27" i="18"/>
  <c r="C27" i="18"/>
  <c r="C29" i="18" s="1"/>
  <c r="C31" i="18" s="1"/>
  <c r="B26" i="18"/>
  <c r="C26" i="18" s="1"/>
  <c r="D45" i="13"/>
  <c r="D43" i="13"/>
  <c r="D41" i="13"/>
  <c r="D39" i="13"/>
  <c r="D37" i="13"/>
  <c r="D35" i="13"/>
  <c r="D33" i="13"/>
  <c r="D31" i="13"/>
  <c r="D29" i="13"/>
  <c r="D27" i="13"/>
  <c r="C27" i="13"/>
  <c r="C29" i="13" s="1"/>
  <c r="B26" i="13"/>
  <c r="C26" i="13" s="1"/>
  <c r="B27" i="13" s="1"/>
  <c r="C52" i="26" l="1"/>
  <c r="B51" i="26"/>
  <c r="C55" i="26"/>
  <c r="B54" i="26"/>
  <c r="C52" i="20"/>
  <c r="B51" i="20"/>
  <c r="B28" i="18"/>
  <c r="B32" i="18"/>
  <c r="C33" i="18"/>
  <c r="C28" i="18"/>
  <c r="B27" i="18"/>
  <c r="B30" i="18"/>
  <c r="B30" i="13"/>
  <c r="C30" i="13" s="1"/>
  <c r="B31" i="13" s="1"/>
  <c r="C31" i="13"/>
  <c r="B28" i="13"/>
  <c r="C28" i="13" s="1"/>
  <c r="B29" i="13" s="1"/>
  <c r="B56" i="26" l="1"/>
  <c r="C57" i="26"/>
  <c r="B53" i="26"/>
  <c r="C54" i="26"/>
  <c r="C35" i="18"/>
  <c r="B34" i="18"/>
  <c r="B29" i="18"/>
  <c r="C30" i="18"/>
  <c r="B32" i="13"/>
  <c r="C32" i="13" s="1"/>
  <c r="B33" i="13" s="1"/>
  <c r="C33" i="13"/>
  <c r="C56" i="26" l="1"/>
  <c r="B55" i="26"/>
  <c r="C59" i="26"/>
  <c r="B58" i="26"/>
  <c r="C37" i="18"/>
  <c r="B36" i="18"/>
  <c r="C32" i="18"/>
  <c r="B31" i="18"/>
  <c r="C35" i="13"/>
  <c r="B34" i="13"/>
  <c r="C34" i="13" s="1"/>
  <c r="B35" i="13" s="1"/>
  <c r="C61" i="26" l="1"/>
  <c r="B60" i="26"/>
  <c r="C58" i="26"/>
  <c r="B57" i="26"/>
  <c r="C34" i="18"/>
  <c r="B33" i="18"/>
  <c r="B38" i="18"/>
  <c r="C39" i="18"/>
  <c r="C37" i="13"/>
  <c r="B36" i="13"/>
  <c r="C36" i="13" s="1"/>
  <c r="B37" i="13" s="1"/>
  <c r="B59" i="26" l="1"/>
  <c r="C60" i="26"/>
  <c r="B62" i="26"/>
  <c r="C63" i="26"/>
  <c r="C41" i="18"/>
  <c r="B42" i="18" s="1"/>
  <c r="B40" i="18"/>
  <c r="B35" i="18"/>
  <c r="C36" i="18"/>
  <c r="B38" i="13"/>
  <c r="C38" i="13" s="1"/>
  <c r="B39" i="13" s="1"/>
  <c r="C39" i="13"/>
  <c r="C65" i="26" l="1"/>
  <c r="B64" i="26"/>
  <c r="C62" i="26"/>
  <c r="B61" i="26"/>
  <c r="C38" i="18"/>
  <c r="B37" i="18"/>
  <c r="C41" i="13"/>
  <c r="B40" i="13"/>
  <c r="C40" i="13" s="1"/>
  <c r="B41" i="13" s="1"/>
  <c r="B63" i="26" l="1"/>
  <c r="C64" i="26"/>
  <c r="B66" i="26"/>
  <c r="C67" i="26"/>
  <c r="B39" i="18"/>
  <c r="C40" i="18"/>
  <c r="B42" i="13"/>
  <c r="C42" i="13" s="1"/>
  <c r="B43" i="13" s="1"/>
  <c r="C43" i="13"/>
  <c r="B68" i="26" l="1"/>
  <c r="C69" i="26"/>
  <c r="B65" i="26"/>
  <c r="C66" i="26"/>
  <c r="B41" i="18"/>
  <c r="C42" i="18"/>
  <c r="C45" i="13"/>
  <c r="B46" i="13" s="1"/>
  <c r="C46" i="13" s="1"/>
  <c r="B44" i="13"/>
  <c r="C44" i="13" s="1"/>
  <c r="B45" i="13" s="1"/>
  <c r="C68" i="26" l="1"/>
  <c r="B67" i="26"/>
  <c r="C71" i="26"/>
  <c r="B70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B72" i="26" l="1"/>
  <c r="C73" i="26"/>
  <c r="B69" i="26"/>
  <c r="C70" i="26"/>
  <c r="B71" i="26" l="1"/>
  <c r="C72" i="26"/>
  <c r="C75" i="26"/>
  <c r="B74" i="26"/>
  <c r="C77" i="26" l="1"/>
  <c r="B78" i="26" s="1"/>
  <c r="B76" i="26"/>
  <c r="C74" i="26"/>
  <c r="B73" i="26"/>
  <c r="B75" i="26" l="1"/>
  <c r="C76" i="26"/>
  <c r="C78" i="26" l="1"/>
  <c r="B77" i="26"/>
  <c r="O11" i="27" l="1"/>
  <c r="O10" i="27"/>
  <c r="AD7" i="27"/>
  <c r="U8" i="27"/>
  <c r="X8" i="27" s="1"/>
  <c r="AA8" i="27" s="1"/>
  <c r="AD8" i="27" s="1"/>
  <c r="R8" i="27"/>
  <c r="R7" i="27"/>
  <c r="U7" i="27" s="1"/>
  <c r="X7" i="27" s="1"/>
  <c r="F21" i="20"/>
  <c r="F21" i="19"/>
  <c r="AI205" i="20"/>
  <c r="AH205" i="20"/>
  <c r="AG205" i="20"/>
  <c r="AF205" i="20"/>
  <c r="AE205" i="20"/>
  <c r="AD205" i="20"/>
  <c r="AC205" i="20"/>
  <c r="AB205" i="20"/>
  <c r="Y205" i="20"/>
  <c r="V205" i="20"/>
  <c r="U205" i="20"/>
  <c r="R205" i="20"/>
  <c r="Q205" i="20"/>
  <c r="N205" i="20"/>
  <c r="AI204" i="20"/>
  <c r="AH204" i="20"/>
  <c r="AG204" i="20"/>
  <c r="AF204" i="20"/>
  <c r="AE204" i="20"/>
  <c r="AD204" i="20"/>
  <c r="AC204" i="20"/>
  <c r="AB204" i="20"/>
  <c r="Y204" i="20"/>
  <c r="V204" i="20"/>
  <c r="U204" i="20"/>
  <c r="R204" i="20"/>
  <c r="Q204" i="20"/>
  <c r="N204" i="20"/>
  <c r="AI203" i="20"/>
  <c r="AH203" i="20"/>
  <c r="AG203" i="20"/>
  <c r="AF203" i="20"/>
  <c r="AE203" i="20"/>
  <c r="AD203" i="20"/>
  <c r="AC203" i="20"/>
  <c r="AB203" i="20"/>
  <c r="Y203" i="20"/>
  <c r="V203" i="20"/>
  <c r="U203" i="20"/>
  <c r="R203" i="20"/>
  <c r="Q203" i="20"/>
  <c r="N203" i="20"/>
  <c r="AI202" i="20"/>
  <c r="AH202" i="20"/>
  <c r="AG202" i="20"/>
  <c r="AF202" i="20"/>
  <c r="AE202" i="20"/>
  <c r="AD202" i="20"/>
  <c r="AC202" i="20"/>
  <c r="AB202" i="20"/>
  <c r="Y202" i="20"/>
  <c r="V202" i="20"/>
  <c r="U202" i="20"/>
  <c r="R202" i="20"/>
  <c r="Q202" i="20"/>
  <c r="N202" i="20"/>
  <c r="AI201" i="20"/>
  <c r="AH201" i="20"/>
  <c r="AG201" i="20"/>
  <c r="AF201" i="20"/>
  <c r="AE201" i="20"/>
  <c r="AD201" i="20"/>
  <c r="AC201" i="20"/>
  <c r="AB201" i="20"/>
  <c r="Y201" i="20"/>
  <c r="V201" i="20"/>
  <c r="U201" i="20"/>
  <c r="R201" i="20"/>
  <c r="Q201" i="20"/>
  <c r="N201" i="20"/>
  <c r="AI200" i="20"/>
  <c r="AH200" i="20"/>
  <c r="AG200" i="20"/>
  <c r="AF200" i="20"/>
  <c r="AE200" i="20"/>
  <c r="AD200" i="20"/>
  <c r="AC200" i="20"/>
  <c r="AB200" i="20"/>
  <c r="Y200" i="20"/>
  <c r="V200" i="20"/>
  <c r="U200" i="20"/>
  <c r="R200" i="20"/>
  <c r="Q200" i="20"/>
  <c r="N200" i="20"/>
  <c r="AI199" i="20"/>
  <c r="AH199" i="20"/>
  <c r="AG199" i="20"/>
  <c r="AF199" i="20"/>
  <c r="AE199" i="20"/>
  <c r="AD199" i="20"/>
  <c r="AC199" i="20"/>
  <c r="AB199" i="20"/>
  <c r="Y199" i="20"/>
  <c r="V199" i="20"/>
  <c r="U199" i="20"/>
  <c r="R199" i="20"/>
  <c r="Q199" i="20"/>
  <c r="N199" i="20"/>
  <c r="AI198" i="20"/>
  <c r="AH198" i="20"/>
  <c r="AG198" i="20"/>
  <c r="AF198" i="20"/>
  <c r="AE198" i="20"/>
  <c r="AD198" i="20"/>
  <c r="AC198" i="20"/>
  <c r="AB198" i="20"/>
  <c r="Y198" i="20"/>
  <c r="V198" i="20"/>
  <c r="U198" i="20"/>
  <c r="R198" i="20"/>
  <c r="Q198" i="20"/>
  <c r="N198" i="20"/>
  <c r="AI197" i="20"/>
  <c r="AH197" i="20"/>
  <c r="AG197" i="20"/>
  <c r="AF197" i="20"/>
  <c r="AE197" i="20"/>
  <c r="AD197" i="20"/>
  <c r="AC197" i="20"/>
  <c r="AB197" i="20"/>
  <c r="Y197" i="20"/>
  <c r="V197" i="20"/>
  <c r="U197" i="20"/>
  <c r="R197" i="20"/>
  <c r="Q197" i="20"/>
  <c r="N197" i="20"/>
  <c r="AI196" i="20"/>
  <c r="AH196" i="20"/>
  <c r="AG196" i="20"/>
  <c r="AF196" i="20"/>
  <c r="AE196" i="20"/>
  <c r="AD196" i="20"/>
  <c r="AC196" i="20"/>
  <c r="AB196" i="20"/>
  <c r="Y196" i="20"/>
  <c r="V196" i="20"/>
  <c r="U196" i="20"/>
  <c r="R196" i="20"/>
  <c r="Q196" i="20"/>
  <c r="N196" i="20"/>
  <c r="F196" i="20"/>
  <c r="AI195" i="20"/>
  <c r="AH195" i="20"/>
  <c r="AG195" i="20"/>
  <c r="AF195" i="20"/>
  <c r="AE195" i="20"/>
  <c r="AD195" i="20"/>
  <c r="AC195" i="20"/>
  <c r="AB195" i="20"/>
  <c r="Y195" i="20"/>
  <c r="V195" i="20"/>
  <c r="U195" i="20"/>
  <c r="R195" i="20"/>
  <c r="Q195" i="20"/>
  <c r="N195" i="20"/>
  <c r="F195" i="20"/>
  <c r="AI194" i="20"/>
  <c r="AH194" i="20"/>
  <c r="AG194" i="20"/>
  <c r="AF194" i="20"/>
  <c r="AE194" i="20"/>
  <c r="AD194" i="20"/>
  <c r="AC194" i="20"/>
  <c r="AB194" i="20"/>
  <c r="Y194" i="20"/>
  <c r="V194" i="20"/>
  <c r="U194" i="20"/>
  <c r="R194" i="20"/>
  <c r="Q194" i="20"/>
  <c r="N194" i="20"/>
  <c r="F194" i="20"/>
  <c r="AI193" i="20"/>
  <c r="AH193" i="20"/>
  <c r="AG193" i="20"/>
  <c r="AF193" i="20"/>
  <c r="AE193" i="20"/>
  <c r="AD193" i="20"/>
  <c r="AC193" i="20"/>
  <c r="AB193" i="20"/>
  <c r="Y193" i="20"/>
  <c r="V193" i="20"/>
  <c r="U193" i="20"/>
  <c r="R193" i="20"/>
  <c r="Q193" i="20"/>
  <c r="N193" i="20"/>
  <c r="F193" i="20"/>
  <c r="AI192" i="20"/>
  <c r="AH192" i="20"/>
  <c r="AG192" i="20"/>
  <c r="AF192" i="20"/>
  <c r="AE192" i="20"/>
  <c r="AD192" i="20"/>
  <c r="AC192" i="20"/>
  <c r="AB192" i="20"/>
  <c r="Y192" i="20"/>
  <c r="V192" i="20"/>
  <c r="U192" i="20"/>
  <c r="R192" i="20"/>
  <c r="Q192" i="20"/>
  <c r="N192" i="20"/>
  <c r="F192" i="20"/>
  <c r="AI191" i="20"/>
  <c r="AH191" i="20"/>
  <c r="AG191" i="20"/>
  <c r="AF191" i="20"/>
  <c r="AE191" i="20"/>
  <c r="AD191" i="20"/>
  <c r="AC191" i="20"/>
  <c r="AB191" i="20"/>
  <c r="Y191" i="20"/>
  <c r="V191" i="20"/>
  <c r="U191" i="20"/>
  <c r="R191" i="20"/>
  <c r="Q191" i="20"/>
  <c r="N191" i="20"/>
  <c r="F191" i="20"/>
  <c r="AI190" i="20"/>
  <c r="AH190" i="20"/>
  <c r="AG190" i="20"/>
  <c r="AF190" i="20"/>
  <c r="AE190" i="20"/>
  <c r="AD190" i="20"/>
  <c r="AC190" i="20"/>
  <c r="AB190" i="20"/>
  <c r="Y190" i="20"/>
  <c r="V190" i="20"/>
  <c r="U190" i="20"/>
  <c r="R190" i="20"/>
  <c r="Q190" i="20"/>
  <c r="N190" i="20"/>
  <c r="F190" i="20"/>
  <c r="AI189" i="20"/>
  <c r="AH189" i="20"/>
  <c r="AG189" i="20"/>
  <c r="AF189" i="20"/>
  <c r="AE189" i="20"/>
  <c r="AD189" i="20"/>
  <c r="AC189" i="20"/>
  <c r="AB189" i="20"/>
  <c r="Y189" i="20"/>
  <c r="V189" i="20"/>
  <c r="U189" i="20"/>
  <c r="R189" i="20"/>
  <c r="Q189" i="20"/>
  <c r="N189" i="20"/>
  <c r="F189" i="20"/>
  <c r="AI188" i="20"/>
  <c r="AH188" i="20"/>
  <c r="AG188" i="20"/>
  <c r="AF188" i="20"/>
  <c r="AE188" i="20"/>
  <c r="AD188" i="20"/>
  <c r="AC188" i="20"/>
  <c r="AB188" i="20"/>
  <c r="Y188" i="20"/>
  <c r="V188" i="20"/>
  <c r="U188" i="20"/>
  <c r="R188" i="20"/>
  <c r="Q188" i="20"/>
  <c r="N188" i="20"/>
  <c r="F188" i="20"/>
  <c r="AI187" i="20"/>
  <c r="AH187" i="20"/>
  <c r="AG187" i="20"/>
  <c r="AF187" i="20"/>
  <c r="AE187" i="20"/>
  <c r="AD187" i="20"/>
  <c r="AC187" i="20"/>
  <c r="AB187" i="20"/>
  <c r="Y187" i="20"/>
  <c r="V187" i="20"/>
  <c r="U187" i="20"/>
  <c r="R187" i="20"/>
  <c r="Q187" i="20"/>
  <c r="N187" i="20"/>
  <c r="F187" i="20"/>
  <c r="AI186" i="20"/>
  <c r="AH186" i="20"/>
  <c r="AG186" i="20"/>
  <c r="AF186" i="20"/>
  <c r="AE186" i="20"/>
  <c r="AD186" i="20"/>
  <c r="AC186" i="20"/>
  <c r="AB186" i="20"/>
  <c r="Y186" i="20"/>
  <c r="V186" i="20"/>
  <c r="U186" i="20"/>
  <c r="R186" i="20"/>
  <c r="Q186" i="20"/>
  <c r="N186" i="20"/>
  <c r="F186" i="20"/>
  <c r="AI185" i="20"/>
  <c r="AH185" i="20"/>
  <c r="AG185" i="20"/>
  <c r="AF185" i="20"/>
  <c r="AE185" i="20"/>
  <c r="AD185" i="20"/>
  <c r="AC185" i="20"/>
  <c r="AB185" i="20"/>
  <c r="Y185" i="20"/>
  <c r="V185" i="20"/>
  <c r="U185" i="20"/>
  <c r="R185" i="20"/>
  <c r="Q185" i="20"/>
  <c r="N185" i="20"/>
  <c r="F185" i="20"/>
  <c r="AI184" i="20"/>
  <c r="AH184" i="20"/>
  <c r="AG184" i="20"/>
  <c r="AF184" i="20"/>
  <c r="AE184" i="20"/>
  <c r="AD184" i="20"/>
  <c r="AC184" i="20"/>
  <c r="AB184" i="20"/>
  <c r="Y184" i="20"/>
  <c r="V184" i="20"/>
  <c r="U184" i="20"/>
  <c r="R184" i="20"/>
  <c r="Q184" i="20"/>
  <c r="N184" i="20"/>
  <c r="F184" i="20"/>
  <c r="AI183" i="20"/>
  <c r="AH183" i="20"/>
  <c r="AG183" i="20"/>
  <c r="AF183" i="20"/>
  <c r="AE183" i="20"/>
  <c r="AD183" i="20"/>
  <c r="AC183" i="20"/>
  <c r="AB183" i="20"/>
  <c r="Y183" i="20"/>
  <c r="V183" i="20"/>
  <c r="U183" i="20"/>
  <c r="R183" i="20"/>
  <c r="Q183" i="20"/>
  <c r="N183" i="20"/>
  <c r="F183" i="20"/>
  <c r="AI182" i="20"/>
  <c r="AH182" i="20"/>
  <c r="AG182" i="20"/>
  <c r="AF182" i="20"/>
  <c r="AE182" i="20"/>
  <c r="AD182" i="20"/>
  <c r="AC182" i="20"/>
  <c r="AB182" i="20"/>
  <c r="Y182" i="20"/>
  <c r="V182" i="20"/>
  <c r="U182" i="20"/>
  <c r="R182" i="20"/>
  <c r="Q182" i="20"/>
  <c r="N182" i="20"/>
  <c r="F182" i="20"/>
  <c r="AI181" i="20"/>
  <c r="AH181" i="20"/>
  <c r="AG181" i="20"/>
  <c r="AF181" i="20"/>
  <c r="AE181" i="20"/>
  <c r="AD181" i="20"/>
  <c r="AC181" i="20"/>
  <c r="AB181" i="20"/>
  <c r="Y181" i="20"/>
  <c r="V181" i="20"/>
  <c r="U181" i="20"/>
  <c r="R181" i="20"/>
  <c r="Q181" i="20"/>
  <c r="N181" i="20"/>
  <c r="F181" i="20"/>
  <c r="AI180" i="20"/>
  <c r="AH180" i="20"/>
  <c r="AG180" i="20"/>
  <c r="AF180" i="20"/>
  <c r="AE180" i="20"/>
  <c r="AD180" i="20"/>
  <c r="AC180" i="20"/>
  <c r="AB180" i="20"/>
  <c r="Y180" i="20"/>
  <c r="V180" i="20"/>
  <c r="U180" i="20"/>
  <c r="R180" i="20"/>
  <c r="Q180" i="20"/>
  <c r="N180" i="20"/>
  <c r="F180" i="20"/>
  <c r="AI179" i="20"/>
  <c r="AH179" i="20"/>
  <c r="AG179" i="20"/>
  <c r="AF179" i="20"/>
  <c r="AE179" i="20"/>
  <c r="AD179" i="20"/>
  <c r="AC179" i="20"/>
  <c r="AB179" i="20"/>
  <c r="Y179" i="20"/>
  <c r="V179" i="20"/>
  <c r="U179" i="20"/>
  <c r="R179" i="20"/>
  <c r="Q179" i="20"/>
  <c r="N179" i="20"/>
  <c r="F179" i="20"/>
  <c r="AI178" i="20"/>
  <c r="AH178" i="20"/>
  <c r="AG178" i="20"/>
  <c r="AF178" i="20"/>
  <c r="AE178" i="20"/>
  <c r="AD178" i="20"/>
  <c r="AC178" i="20"/>
  <c r="AB178" i="20"/>
  <c r="Y178" i="20"/>
  <c r="V178" i="20"/>
  <c r="U178" i="20"/>
  <c r="R178" i="20"/>
  <c r="Q178" i="20"/>
  <c r="N178" i="20"/>
  <c r="F178" i="20"/>
  <c r="AI177" i="20"/>
  <c r="AH177" i="20"/>
  <c r="AG177" i="20"/>
  <c r="AF177" i="20"/>
  <c r="AE177" i="20"/>
  <c r="AD177" i="20"/>
  <c r="AC177" i="20"/>
  <c r="AB177" i="20"/>
  <c r="Y177" i="20"/>
  <c r="V177" i="20"/>
  <c r="U177" i="20"/>
  <c r="R177" i="20"/>
  <c r="Q177" i="20"/>
  <c r="N177" i="20"/>
  <c r="F177" i="20"/>
  <c r="AI176" i="20"/>
  <c r="AH176" i="20"/>
  <c r="AG176" i="20"/>
  <c r="AF176" i="20"/>
  <c r="AE176" i="20"/>
  <c r="AD176" i="20"/>
  <c r="AC176" i="20"/>
  <c r="AB176" i="20"/>
  <c r="Y176" i="20"/>
  <c r="V176" i="20"/>
  <c r="U176" i="20"/>
  <c r="R176" i="20"/>
  <c r="Q176" i="20"/>
  <c r="N176" i="20"/>
  <c r="F176" i="20"/>
  <c r="AI175" i="20"/>
  <c r="AH175" i="20"/>
  <c r="AG175" i="20"/>
  <c r="AF175" i="20"/>
  <c r="AE175" i="20"/>
  <c r="AD175" i="20"/>
  <c r="AC175" i="20"/>
  <c r="AB175" i="20"/>
  <c r="Y175" i="20"/>
  <c r="V175" i="20"/>
  <c r="U175" i="20"/>
  <c r="R175" i="20"/>
  <c r="Q175" i="20"/>
  <c r="N175" i="20"/>
  <c r="F175" i="20"/>
  <c r="AI174" i="20"/>
  <c r="AH174" i="20"/>
  <c r="AG174" i="20"/>
  <c r="AF174" i="20"/>
  <c r="AE174" i="20"/>
  <c r="AD174" i="20"/>
  <c r="AC174" i="20"/>
  <c r="AB174" i="20"/>
  <c r="Y174" i="20"/>
  <c r="V174" i="20"/>
  <c r="U174" i="20"/>
  <c r="R174" i="20"/>
  <c r="Q174" i="20"/>
  <c r="N174" i="20"/>
  <c r="F174" i="20"/>
  <c r="AI173" i="20"/>
  <c r="AH173" i="20"/>
  <c r="AG173" i="20"/>
  <c r="AF173" i="20"/>
  <c r="AE173" i="20"/>
  <c r="AD173" i="20"/>
  <c r="AC173" i="20"/>
  <c r="AB173" i="20"/>
  <c r="Y173" i="20"/>
  <c r="V173" i="20"/>
  <c r="U173" i="20"/>
  <c r="R173" i="20"/>
  <c r="Q173" i="20"/>
  <c r="N173" i="20"/>
  <c r="F173" i="20"/>
  <c r="AI172" i="20"/>
  <c r="AH172" i="20"/>
  <c r="AG172" i="20"/>
  <c r="AF172" i="20"/>
  <c r="AE172" i="20"/>
  <c r="AD172" i="20"/>
  <c r="AC172" i="20"/>
  <c r="AB172" i="20"/>
  <c r="Y172" i="20"/>
  <c r="V172" i="20"/>
  <c r="U172" i="20"/>
  <c r="R172" i="20"/>
  <c r="Q172" i="20"/>
  <c r="N172" i="20"/>
  <c r="F172" i="20"/>
  <c r="AI171" i="20"/>
  <c r="AH171" i="20"/>
  <c r="AG171" i="20"/>
  <c r="AF171" i="20"/>
  <c r="AE171" i="20"/>
  <c r="AD171" i="20"/>
  <c r="AC171" i="20"/>
  <c r="AB171" i="20"/>
  <c r="Y171" i="20"/>
  <c r="V171" i="20"/>
  <c r="U171" i="20"/>
  <c r="R171" i="20"/>
  <c r="Q171" i="20"/>
  <c r="N171" i="20"/>
  <c r="F171" i="20"/>
  <c r="AI170" i="20"/>
  <c r="AH170" i="20"/>
  <c r="AG170" i="20"/>
  <c r="AF170" i="20"/>
  <c r="AE170" i="20"/>
  <c r="AD170" i="20"/>
  <c r="AC170" i="20"/>
  <c r="AB170" i="20"/>
  <c r="Y170" i="20"/>
  <c r="V170" i="20"/>
  <c r="U170" i="20"/>
  <c r="R170" i="20"/>
  <c r="Q170" i="20"/>
  <c r="N170" i="20"/>
  <c r="F170" i="20"/>
  <c r="AI169" i="20"/>
  <c r="AH169" i="20"/>
  <c r="AG169" i="20"/>
  <c r="AF169" i="20"/>
  <c r="AE169" i="20"/>
  <c r="AD169" i="20"/>
  <c r="AC169" i="20"/>
  <c r="AB169" i="20"/>
  <c r="Y169" i="20"/>
  <c r="V169" i="20"/>
  <c r="U169" i="20"/>
  <c r="R169" i="20"/>
  <c r="Q169" i="20"/>
  <c r="N169" i="20"/>
  <c r="F169" i="20"/>
  <c r="AI168" i="20"/>
  <c r="AH168" i="20"/>
  <c r="AG168" i="20"/>
  <c r="AF168" i="20"/>
  <c r="AE168" i="20"/>
  <c r="AD168" i="20"/>
  <c r="AC168" i="20"/>
  <c r="AB168" i="20"/>
  <c r="Y168" i="20"/>
  <c r="V168" i="20"/>
  <c r="U168" i="20"/>
  <c r="R168" i="20"/>
  <c r="Q168" i="20"/>
  <c r="N168" i="20"/>
  <c r="F168" i="20"/>
  <c r="AI167" i="20"/>
  <c r="AH167" i="20"/>
  <c r="AG167" i="20"/>
  <c r="AF167" i="20"/>
  <c r="AE167" i="20"/>
  <c r="AD167" i="20"/>
  <c r="AC167" i="20"/>
  <c r="AB167" i="20"/>
  <c r="Y167" i="20"/>
  <c r="V167" i="20"/>
  <c r="U167" i="20"/>
  <c r="R167" i="20"/>
  <c r="Q167" i="20"/>
  <c r="N167" i="20"/>
  <c r="F167" i="20"/>
  <c r="AI166" i="20"/>
  <c r="AH166" i="20"/>
  <c r="AG166" i="20"/>
  <c r="AF166" i="20"/>
  <c r="AE166" i="20"/>
  <c r="AD166" i="20"/>
  <c r="AC166" i="20"/>
  <c r="AB166" i="20"/>
  <c r="Y166" i="20"/>
  <c r="V166" i="20"/>
  <c r="U166" i="20"/>
  <c r="R166" i="20"/>
  <c r="Q166" i="20"/>
  <c r="N166" i="20"/>
  <c r="F166" i="20"/>
  <c r="AI165" i="20"/>
  <c r="AH165" i="20"/>
  <c r="AG165" i="20"/>
  <c r="AF165" i="20"/>
  <c r="AE165" i="20"/>
  <c r="AD165" i="20"/>
  <c r="AC165" i="20"/>
  <c r="AB165" i="20"/>
  <c r="Y165" i="20"/>
  <c r="V165" i="20"/>
  <c r="U165" i="20"/>
  <c r="R165" i="20"/>
  <c r="Q165" i="20"/>
  <c r="N165" i="20"/>
  <c r="F165" i="20"/>
  <c r="AI164" i="20"/>
  <c r="AH164" i="20"/>
  <c r="AG164" i="20"/>
  <c r="AF164" i="20"/>
  <c r="AE164" i="20"/>
  <c r="AD164" i="20"/>
  <c r="AC164" i="20"/>
  <c r="AB164" i="20"/>
  <c r="Y164" i="20"/>
  <c r="V164" i="20"/>
  <c r="U164" i="20"/>
  <c r="R164" i="20"/>
  <c r="Q164" i="20"/>
  <c r="N164" i="20"/>
  <c r="F164" i="20"/>
  <c r="AI163" i="20"/>
  <c r="AH163" i="20"/>
  <c r="AG163" i="20"/>
  <c r="AF163" i="20"/>
  <c r="AE163" i="20"/>
  <c r="AD163" i="20"/>
  <c r="AC163" i="20"/>
  <c r="AB163" i="20"/>
  <c r="Y163" i="20"/>
  <c r="V163" i="20"/>
  <c r="U163" i="20"/>
  <c r="R163" i="20"/>
  <c r="Q163" i="20"/>
  <c r="N163" i="20"/>
  <c r="F163" i="20"/>
  <c r="AI162" i="20"/>
  <c r="AH162" i="20"/>
  <c r="AG162" i="20"/>
  <c r="AF162" i="20"/>
  <c r="AE162" i="20"/>
  <c r="AD162" i="20"/>
  <c r="AC162" i="20"/>
  <c r="AB162" i="20"/>
  <c r="Y162" i="20"/>
  <c r="V162" i="20"/>
  <c r="U162" i="20"/>
  <c r="R162" i="20"/>
  <c r="Q162" i="20"/>
  <c r="N162" i="20"/>
  <c r="F162" i="20"/>
  <c r="AI161" i="20"/>
  <c r="AH161" i="20"/>
  <c r="AG161" i="20"/>
  <c r="AF161" i="20"/>
  <c r="AE161" i="20"/>
  <c r="AD161" i="20"/>
  <c r="AC161" i="20"/>
  <c r="AB161" i="20"/>
  <c r="Y161" i="20"/>
  <c r="V161" i="20"/>
  <c r="U161" i="20"/>
  <c r="R161" i="20"/>
  <c r="Q161" i="20"/>
  <c r="N161" i="20"/>
  <c r="F161" i="20"/>
  <c r="AI160" i="20"/>
  <c r="AH160" i="20"/>
  <c r="AG160" i="20"/>
  <c r="AF160" i="20"/>
  <c r="AE160" i="20"/>
  <c r="AD160" i="20"/>
  <c r="AC160" i="20"/>
  <c r="AB160" i="20"/>
  <c r="Y160" i="20"/>
  <c r="V160" i="20"/>
  <c r="U160" i="20"/>
  <c r="R160" i="20"/>
  <c r="Q160" i="20"/>
  <c r="N160" i="20"/>
  <c r="F160" i="20"/>
  <c r="AI159" i="20"/>
  <c r="AH159" i="20"/>
  <c r="AG159" i="20"/>
  <c r="AF159" i="20"/>
  <c r="AE159" i="20"/>
  <c r="AD159" i="20"/>
  <c r="AC159" i="20"/>
  <c r="AB159" i="20"/>
  <c r="Y159" i="20"/>
  <c r="V159" i="20"/>
  <c r="U159" i="20"/>
  <c r="R159" i="20"/>
  <c r="Q159" i="20"/>
  <c r="N159" i="20"/>
  <c r="F159" i="20"/>
  <c r="AI158" i="20"/>
  <c r="AH158" i="20"/>
  <c r="AG158" i="20"/>
  <c r="AF158" i="20"/>
  <c r="AE158" i="20"/>
  <c r="AD158" i="20"/>
  <c r="AC158" i="20"/>
  <c r="AB158" i="20"/>
  <c r="Y158" i="20"/>
  <c r="V158" i="20"/>
  <c r="U158" i="20"/>
  <c r="R158" i="20"/>
  <c r="Q158" i="20"/>
  <c r="N158" i="20"/>
  <c r="F158" i="20"/>
  <c r="AI157" i="20"/>
  <c r="AH157" i="20"/>
  <c r="AG157" i="20"/>
  <c r="AF157" i="20"/>
  <c r="AE157" i="20"/>
  <c r="AD157" i="20"/>
  <c r="AC157" i="20"/>
  <c r="AB157" i="20"/>
  <c r="Y157" i="20"/>
  <c r="V157" i="20"/>
  <c r="U157" i="20"/>
  <c r="R157" i="20"/>
  <c r="Q157" i="20"/>
  <c r="N157" i="20"/>
  <c r="F157" i="20"/>
  <c r="AI156" i="20"/>
  <c r="AH156" i="20"/>
  <c r="AG156" i="20"/>
  <c r="AF156" i="20"/>
  <c r="AE156" i="20"/>
  <c r="AD156" i="20"/>
  <c r="AC156" i="20"/>
  <c r="AB156" i="20"/>
  <c r="Y156" i="20"/>
  <c r="V156" i="20"/>
  <c r="U156" i="20"/>
  <c r="R156" i="20"/>
  <c r="Q156" i="20"/>
  <c r="N156" i="20"/>
  <c r="F156" i="20"/>
  <c r="AI155" i="20"/>
  <c r="AH155" i="20"/>
  <c r="AG155" i="20"/>
  <c r="AF155" i="20"/>
  <c r="AE155" i="20"/>
  <c r="AD155" i="20"/>
  <c r="AC155" i="20"/>
  <c r="AB155" i="20"/>
  <c r="Y155" i="20"/>
  <c r="V155" i="20"/>
  <c r="U155" i="20"/>
  <c r="R155" i="20"/>
  <c r="Q155" i="20"/>
  <c r="N155" i="20"/>
  <c r="F155" i="20"/>
  <c r="AI154" i="20"/>
  <c r="AH154" i="20"/>
  <c r="AG154" i="20"/>
  <c r="AF154" i="20"/>
  <c r="AE154" i="20"/>
  <c r="AD154" i="20"/>
  <c r="AC154" i="20"/>
  <c r="AB154" i="20"/>
  <c r="Y154" i="20"/>
  <c r="V154" i="20"/>
  <c r="U154" i="20"/>
  <c r="R154" i="20"/>
  <c r="Q154" i="20"/>
  <c r="N154" i="20"/>
  <c r="F154" i="20"/>
  <c r="AI153" i="20"/>
  <c r="AH153" i="20"/>
  <c r="AG153" i="20"/>
  <c r="AF153" i="20"/>
  <c r="AE153" i="20"/>
  <c r="AD153" i="20"/>
  <c r="AC153" i="20"/>
  <c r="AB153" i="20"/>
  <c r="Y153" i="20"/>
  <c r="V153" i="20"/>
  <c r="U153" i="20"/>
  <c r="R153" i="20"/>
  <c r="Q153" i="20"/>
  <c r="N153" i="20"/>
  <c r="F153" i="20"/>
  <c r="AI152" i="20"/>
  <c r="AH152" i="20"/>
  <c r="AG152" i="20"/>
  <c r="AF152" i="20"/>
  <c r="AE152" i="20"/>
  <c r="AD152" i="20"/>
  <c r="AC152" i="20"/>
  <c r="AB152" i="20"/>
  <c r="Y152" i="20"/>
  <c r="V152" i="20"/>
  <c r="U152" i="20"/>
  <c r="R152" i="20"/>
  <c r="Q152" i="20"/>
  <c r="N152" i="20"/>
  <c r="F152" i="20"/>
  <c r="AI151" i="20"/>
  <c r="AH151" i="20"/>
  <c r="AG151" i="20"/>
  <c r="AF151" i="20"/>
  <c r="AE151" i="20"/>
  <c r="AD151" i="20"/>
  <c r="AC151" i="20"/>
  <c r="AB151" i="20"/>
  <c r="Y151" i="20"/>
  <c r="V151" i="20"/>
  <c r="U151" i="20"/>
  <c r="R151" i="20"/>
  <c r="Q151" i="20"/>
  <c r="N151" i="20"/>
  <c r="F151" i="20"/>
  <c r="AI150" i="20"/>
  <c r="AH150" i="20"/>
  <c r="AG150" i="20"/>
  <c r="AF150" i="20"/>
  <c r="AE150" i="20"/>
  <c r="AD150" i="20"/>
  <c r="AC150" i="20"/>
  <c r="AB150" i="20"/>
  <c r="Y150" i="20"/>
  <c r="V150" i="20"/>
  <c r="U150" i="20"/>
  <c r="R150" i="20"/>
  <c r="Q150" i="20"/>
  <c r="N150" i="20"/>
  <c r="F150" i="20"/>
  <c r="AI149" i="20"/>
  <c r="AH149" i="20"/>
  <c r="AG149" i="20"/>
  <c r="AF149" i="20"/>
  <c r="AE149" i="20"/>
  <c r="AD149" i="20"/>
  <c r="AC149" i="20"/>
  <c r="AB149" i="20"/>
  <c r="Y149" i="20"/>
  <c r="V149" i="20"/>
  <c r="U149" i="20"/>
  <c r="R149" i="20"/>
  <c r="Q149" i="20"/>
  <c r="N149" i="20"/>
  <c r="F149" i="20"/>
  <c r="AI148" i="20"/>
  <c r="AH148" i="20"/>
  <c r="AG148" i="20"/>
  <c r="AF148" i="20"/>
  <c r="AE148" i="20"/>
  <c r="AD148" i="20"/>
  <c r="AC148" i="20"/>
  <c r="AB148" i="20"/>
  <c r="Y148" i="20"/>
  <c r="V148" i="20"/>
  <c r="U148" i="20"/>
  <c r="R148" i="20"/>
  <c r="Q148" i="20"/>
  <c r="N148" i="20"/>
  <c r="F148" i="20"/>
  <c r="AI147" i="20"/>
  <c r="AH147" i="20"/>
  <c r="AG147" i="20"/>
  <c r="AF147" i="20"/>
  <c r="AE147" i="20"/>
  <c r="AD147" i="20"/>
  <c r="AC147" i="20"/>
  <c r="AB147" i="20"/>
  <c r="Y147" i="20"/>
  <c r="V147" i="20"/>
  <c r="U147" i="20"/>
  <c r="R147" i="20"/>
  <c r="Q147" i="20"/>
  <c r="N147" i="20"/>
  <c r="F147" i="20"/>
  <c r="AI146" i="20"/>
  <c r="AH146" i="20"/>
  <c r="AG146" i="20"/>
  <c r="AF146" i="20"/>
  <c r="AE146" i="20"/>
  <c r="AD146" i="20"/>
  <c r="AC146" i="20"/>
  <c r="AB146" i="20"/>
  <c r="Y146" i="20"/>
  <c r="V146" i="20"/>
  <c r="U146" i="20"/>
  <c r="R146" i="20"/>
  <c r="Q146" i="20"/>
  <c r="N146" i="20"/>
  <c r="F146" i="20"/>
  <c r="AI145" i="20"/>
  <c r="AH145" i="20"/>
  <c r="AG145" i="20"/>
  <c r="AF145" i="20"/>
  <c r="AE145" i="20"/>
  <c r="AD145" i="20"/>
  <c r="AC145" i="20"/>
  <c r="AB145" i="20"/>
  <c r="Y145" i="20"/>
  <c r="V145" i="20"/>
  <c r="U145" i="20"/>
  <c r="R145" i="20"/>
  <c r="Q145" i="20"/>
  <c r="N145" i="20"/>
  <c r="F145" i="20"/>
  <c r="AI144" i="20"/>
  <c r="AH144" i="20"/>
  <c r="AG144" i="20"/>
  <c r="AF144" i="20"/>
  <c r="AE144" i="20"/>
  <c r="AD144" i="20"/>
  <c r="AC144" i="20"/>
  <c r="AB144" i="20"/>
  <c r="Y144" i="20"/>
  <c r="V144" i="20"/>
  <c r="U144" i="20"/>
  <c r="R144" i="20"/>
  <c r="Q144" i="20"/>
  <c r="N144" i="20"/>
  <c r="F144" i="20"/>
  <c r="AI143" i="20"/>
  <c r="AH143" i="20"/>
  <c r="AG143" i="20"/>
  <c r="AF143" i="20"/>
  <c r="AE143" i="20"/>
  <c r="AD143" i="20"/>
  <c r="AC143" i="20"/>
  <c r="AB143" i="20"/>
  <c r="Y143" i="20"/>
  <c r="V143" i="20"/>
  <c r="U143" i="20"/>
  <c r="R143" i="20"/>
  <c r="Q143" i="20"/>
  <c r="N143" i="20"/>
  <c r="F143" i="20"/>
  <c r="AI142" i="20"/>
  <c r="AH142" i="20"/>
  <c r="AG142" i="20"/>
  <c r="AF142" i="20"/>
  <c r="AE142" i="20"/>
  <c r="AD142" i="20"/>
  <c r="AC142" i="20"/>
  <c r="AB142" i="20"/>
  <c r="Y142" i="20"/>
  <c r="V142" i="20"/>
  <c r="U142" i="20"/>
  <c r="R142" i="20"/>
  <c r="Q142" i="20"/>
  <c r="N142" i="20"/>
  <c r="F142" i="20"/>
  <c r="AI141" i="20"/>
  <c r="AH141" i="20"/>
  <c r="AG141" i="20"/>
  <c r="AF141" i="20"/>
  <c r="AE141" i="20"/>
  <c r="AD141" i="20"/>
  <c r="AC141" i="20"/>
  <c r="AB141" i="20"/>
  <c r="Y141" i="20"/>
  <c r="V141" i="20"/>
  <c r="U141" i="20"/>
  <c r="R141" i="20"/>
  <c r="Q141" i="20"/>
  <c r="N141" i="20"/>
  <c r="F141" i="20"/>
  <c r="AI140" i="20"/>
  <c r="AH140" i="20"/>
  <c r="AG140" i="20"/>
  <c r="AF140" i="20"/>
  <c r="AE140" i="20"/>
  <c r="AD140" i="20"/>
  <c r="AC140" i="20"/>
  <c r="AB140" i="20"/>
  <c r="Y140" i="20"/>
  <c r="V140" i="20"/>
  <c r="U140" i="20"/>
  <c r="R140" i="20"/>
  <c r="Q140" i="20"/>
  <c r="N140" i="20"/>
  <c r="F140" i="20"/>
  <c r="AI139" i="20"/>
  <c r="AH139" i="20"/>
  <c r="AG139" i="20"/>
  <c r="AF139" i="20"/>
  <c r="AE139" i="20"/>
  <c r="AD139" i="20"/>
  <c r="AC139" i="20"/>
  <c r="AB139" i="20"/>
  <c r="Y139" i="20"/>
  <c r="V139" i="20"/>
  <c r="U139" i="20"/>
  <c r="R139" i="20"/>
  <c r="Q139" i="20"/>
  <c r="N139" i="20"/>
  <c r="F139" i="20"/>
  <c r="AI138" i="20"/>
  <c r="AH138" i="20"/>
  <c r="AG138" i="20"/>
  <c r="AF138" i="20"/>
  <c r="AE138" i="20"/>
  <c r="AD138" i="20"/>
  <c r="AC138" i="20"/>
  <c r="AB138" i="20"/>
  <c r="Y138" i="20"/>
  <c r="V138" i="20"/>
  <c r="U138" i="20"/>
  <c r="R138" i="20"/>
  <c r="Q138" i="20"/>
  <c r="N138" i="20"/>
  <c r="F138" i="20"/>
  <c r="AI137" i="20"/>
  <c r="AH137" i="20"/>
  <c r="AG137" i="20"/>
  <c r="AF137" i="20"/>
  <c r="AE137" i="20"/>
  <c r="AD137" i="20"/>
  <c r="AC137" i="20"/>
  <c r="AB137" i="20"/>
  <c r="Y137" i="20"/>
  <c r="V137" i="20"/>
  <c r="U137" i="20"/>
  <c r="R137" i="20"/>
  <c r="Q137" i="20"/>
  <c r="N137" i="20"/>
  <c r="F137" i="20"/>
  <c r="AI136" i="20"/>
  <c r="AH136" i="20"/>
  <c r="AG136" i="20"/>
  <c r="AF136" i="20"/>
  <c r="AE136" i="20"/>
  <c r="AD136" i="20"/>
  <c r="AC136" i="20"/>
  <c r="AB136" i="20"/>
  <c r="Y136" i="20"/>
  <c r="V136" i="20"/>
  <c r="U136" i="20"/>
  <c r="R136" i="20"/>
  <c r="Q136" i="20"/>
  <c r="N136" i="20"/>
  <c r="F136" i="20"/>
  <c r="AI135" i="20"/>
  <c r="AH135" i="20"/>
  <c r="AG135" i="20"/>
  <c r="AF135" i="20"/>
  <c r="AE135" i="20"/>
  <c r="AD135" i="20"/>
  <c r="AC135" i="20"/>
  <c r="AB135" i="20"/>
  <c r="Y135" i="20"/>
  <c r="V135" i="20"/>
  <c r="U135" i="20"/>
  <c r="R135" i="20"/>
  <c r="Q135" i="20"/>
  <c r="N135" i="20"/>
  <c r="F135" i="20"/>
  <c r="AI134" i="20"/>
  <c r="AH134" i="20"/>
  <c r="AG134" i="20"/>
  <c r="AF134" i="20"/>
  <c r="AE134" i="20"/>
  <c r="AD134" i="20"/>
  <c r="AC134" i="20"/>
  <c r="AB134" i="20"/>
  <c r="Y134" i="20"/>
  <c r="V134" i="20"/>
  <c r="U134" i="20"/>
  <c r="R134" i="20"/>
  <c r="Q134" i="20"/>
  <c r="N134" i="20"/>
  <c r="F134" i="20"/>
  <c r="AI133" i="20"/>
  <c r="AH133" i="20"/>
  <c r="AG133" i="20"/>
  <c r="AF133" i="20"/>
  <c r="AE133" i="20"/>
  <c r="AD133" i="20"/>
  <c r="AC133" i="20"/>
  <c r="AB133" i="20"/>
  <c r="Y133" i="20"/>
  <c r="V133" i="20"/>
  <c r="U133" i="20"/>
  <c r="R133" i="20"/>
  <c r="Q133" i="20"/>
  <c r="N133" i="20"/>
  <c r="F133" i="20"/>
  <c r="AI132" i="20"/>
  <c r="AH132" i="20"/>
  <c r="AG132" i="20"/>
  <c r="AF132" i="20"/>
  <c r="AE132" i="20"/>
  <c r="AD132" i="20"/>
  <c r="AC132" i="20"/>
  <c r="AB132" i="20"/>
  <c r="Y132" i="20"/>
  <c r="V132" i="20"/>
  <c r="U132" i="20"/>
  <c r="R132" i="20"/>
  <c r="Q132" i="20"/>
  <c r="N132" i="20"/>
  <c r="F132" i="20"/>
  <c r="AI131" i="20"/>
  <c r="AH131" i="20"/>
  <c r="AG131" i="20"/>
  <c r="AF131" i="20"/>
  <c r="AE131" i="20"/>
  <c r="AD131" i="20"/>
  <c r="AC131" i="20"/>
  <c r="AB131" i="20"/>
  <c r="Y131" i="20"/>
  <c r="V131" i="20"/>
  <c r="U131" i="20"/>
  <c r="R131" i="20"/>
  <c r="Q131" i="20"/>
  <c r="N131" i="20"/>
  <c r="F131" i="20"/>
  <c r="AI130" i="20"/>
  <c r="AH130" i="20"/>
  <c r="AG130" i="20"/>
  <c r="AF130" i="20"/>
  <c r="AE130" i="20"/>
  <c r="AD130" i="20"/>
  <c r="AC130" i="20"/>
  <c r="AB130" i="20"/>
  <c r="Y130" i="20"/>
  <c r="V130" i="20"/>
  <c r="U130" i="20"/>
  <c r="R130" i="20"/>
  <c r="Q130" i="20"/>
  <c r="N130" i="20"/>
  <c r="AI129" i="20"/>
  <c r="AH129" i="20"/>
  <c r="AG129" i="20"/>
  <c r="AF129" i="20"/>
  <c r="AE129" i="20"/>
  <c r="AD129" i="20"/>
  <c r="AC129" i="20"/>
  <c r="AB129" i="20"/>
  <c r="Y129" i="20"/>
  <c r="V129" i="20"/>
  <c r="U129" i="20"/>
  <c r="R129" i="20"/>
  <c r="Q129" i="20"/>
  <c r="N129" i="20"/>
  <c r="AI128" i="20"/>
  <c r="AH128" i="20"/>
  <c r="AG128" i="20"/>
  <c r="AF128" i="20"/>
  <c r="AE128" i="20"/>
  <c r="AD128" i="20"/>
  <c r="AC128" i="20"/>
  <c r="AB128" i="20"/>
  <c r="Y128" i="20"/>
  <c r="V128" i="20"/>
  <c r="U128" i="20"/>
  <c r="R128" i="20"/>
  <c r="Q128" i="20"/>
  <c r="N128" i="20"/>
  <c r="AI127" i="20"/>
  <c r="AH127" i="20"/>
  <c r="AG127" i="20"/>
  <c r="AF127" i="20"/>
  <c r="AE127" i="20"/>
  <c r="AD127" i="20"/>
  <c r="AC127" i="20"/>
  <c r="AB127" i="20"/>
  <c r="Y127" i="20"/>
  <c r="V127" i="20"/>
  <c r="U127" i="20"/>
  <c r="R127" i="20"/>
  <c r="Q127" i="20"/>
  <c r="N127" i="20"/>
  <c r="AI126" i="20"/>
  <c r="AH126" i="20"/>
  <c r="AG126" i="20"/>
  <c r="AF126" i="20"/>
  <c r="AE126" i="20"/>
  <c r="AD126" i="20"/>
  <c r="AC126" i="20"/>
  <c r="AB126" i="20"/>
  <c r="Y126" i="20"/>
  <c r="V126" i="20"/>
  <c r="U126" i="20"/>
  <c r="R126" i="20"/>
  <c r="Q126" i="20"/>
  <c r="N126" i="20"/>
  <c r="AI125" i="20"/>
  <c r="AH125" i="20"/>
  <c r="AG125" i="20"/>
  <c r="AF125" i="20"/>
  <c r="AE125" i="20"/>
  <c r="AD125" i="20"/>
  <c r="AC125" i="20"/>
  <c r="AB125" i="20"/>
  <c r="Y125" i="20"/>
  <c r="V125" i="20"/>
  <c r="U125" i="20"/>
  <c r="R125" i="20"/>
  <c r="Q125" i="20"/>
  <c r="N125" i="20"/>
  <c r="AI124" i="20"/>
  <c r="AH124" i="20"/>
  <c r="AG124" i="20"/>
  <c r="AF124" i="20"/>
  <c r="AE124" i="20"/>
  <c r="AD124" i="20"/>
  <c r="AC124" i="20"/>
  <c r="AB124" i="20"/>
  <c r="Y124" i="20"/>
  <c r="V124" i="20"/>
  <c r="U124" i="20"/>
  <c r="R124" i="20"/>
  <c r="Q124" i="20"/>
  <c r="N124" i="20"/>
  <c r="AI123" i="20"/>
  <c r="AH123" i="20"/>
  <c r="AG123" i="20"/>
  <c r="AF123" i="20"/>
  <c r="AE123" i="20"/>
  <c r="AD123" i="20"/>
  <c r="AC123" i="20"/>
  <c r="AB123" i="20"/>
  <c r="Y123" i="20"/>
  <c r="V123" i="20"/>
  <c r="U123" i="20"/>
  <c r="R123" i="20"/>
  <c r="Q123" i="20"/>
  <c r="N123" i="20"/>
  <c r="D123" i="20"/>
  <c r="AI122" i="20"/>
  <c r="AH122" i="20"/>
  <c r="AG122" i="20"/>
  <c r="AF122" i="20"/>
  <c r="AE122" i="20"/>
  <c r="AD122" i="20"/>
  <c r="AC122" i="20"/>
  <c r="AB122" i="20"/>
  <c r="Y122" i="20"/>
  <c r="V122" i="20"/>
  <c r="U122" i="20"/>
  <c r="R122" i="20"/>
  <c r="Q122" i="20"/>
  <c r="N122" i="20"/>
  <c r="AI121" i="20"/>
  <c r="AH121" i="20"/>
  <c r="AG121" i="20"/>
  <c r="AF121" i="20"/>
  <c r="AE121" i="20"/>
  <c r="AD121" i="20"/>
  <c r="AC121" i="20"/>
  <c r="AB121" i="20"/>
  <c r="Y121" i="20"/>
  <c r="V121" i="20"/>
  <c r="U121" i="20"/>
  <c r="R121" i="20"/>
  <c r="Q121" i="20"/>
  <c r="N121" i="20"/>
  <c r="AI120" i="20"/>
  <c r="AH120" i="20"/>
  <c r="AG120" i="20"/>
  <c r="AF120" i="20"/>
  <c r="AE120" i="20"/>
  <c r="AD120" i="20"/>
  <c r="AC120" i="20"/>
  <c r="AB120" i="20"/>
  <c r="Y120" i="20"/>
  <c r="V120" i="20"/>
  <c r="U120" i="20"/>
  <c r="R120" i="20"/>
  <c r="Q120" i="20"/>
  <c r="N120" i="20"/>
  <c r="AI119" i="20"/>
  <c r="AH119" i="20"/>
  <c r="AG119" i="20"/>
  <c r="AF119" i="20"/>
  <c r="AE119" i="20"/>
  <c r="AD119" i="20"/>
  <c r="AC119" i="20"/>
  <c r="AB119" i="20"/>
  <c r="Y119" i="20"/>
  <c r="V119" i="20"/>
  <c r="U119" i="20"/>
  <c r="R119" i="20"/>
  <c r="Q119" i="20"/>
  <c r="N119" i="20"/>
  <c r="AI118" i="20"/>
  <c r="AH118" i="20"/>
  <c r="AG118" i="20"/>
  <c r="AF118" i="20"/>
  <c r="AE118" i="20"/>
  <c r="AD118" i="20"/>
  <c r="AC118" i="20"/>
  <c r="AB118" i="20"/>
  <c r="Y118" i="20"/>
  <c r="V118" i="20"/>
  <c r="U118" i="20"/>
  <c r="R118" i="20"/>
  <c r="Q118" i="20"/>
  <c r="N118" i="20"/>
  <c r="AI117" i="20"/>
  <c r="AH117" i="20"/>
  <c r="AG117" i="20"/>
  <c r="AF117" i="20"/>
  <c r="AE117" i="20"/>
  <c r="AD117" i="20"/>
  <c r="AC117" i="20"/>
  <c r="AB117" i="20"/>
  <c r="Y117" i="20"/>
  <c r="V117" i="20"/>
  <c r="U117" i="20"/>
  <c r="R117" i="20"/>
  <c r="Q117" i="20"/>
  <c r="N117" i="20"/>
  <c r="AI116" i="20"/>
  <c r="AH116" i="20"/>
  <c r="AG116" i="20"/>
  <c r="AF116" i="20"/>
  <c r="AE116" i="20"/>
  <c r="AD116" i="20"/>
  <c r="AC116" i="20"/>
  <c r="AB116" i="20"/>
  <c r="Y116" i="20"/>
  <c r="V116" i="20"/>
  <c r="U116" i="20"/>
  <c r="R116" i="20"/>
  <c r="Q116" i="20"/>
  <c r="N116" i="20"/>
  <c r="AI115" i="20"/>
  <c r="AH115" i="20"/>
  <c r="AG115" i="20"/>
  <c r="AF115" i="20"/>
  <c r="AE115" i="20"/>
  <c r="AD115" i="20"/>
  <c r="AC115" i="20"/>
  <c r="AB115" i="20"/>
  <c r="Y115" i="20"/>
  <c r="V115" i="20"/>
  <c r="U115" i="20"/>
  <c r="R115" i="20"/>
  <c r="Q115" i="20"/>
  <c r="N115" i="20"/>
  <c r="AI114" i="20"/>
  <c r="AH114" i="20"/>
  <c r="AG114" i="20"/>
  <c r="AF114" i="20"/>
  <c r="AE114" i="20"/>
  <c r="AD114" i="20"/>
  <c r="AC114" i="20"/>
  <c r="AB114" i="20"/>
  <c r="Y114" i="20"/>
  <c r="V114" i="20"/>
  <c r="U114" i="20"/>
  <c r="R114" i="20"/>
  <c r="Q114" i="20"/>
  <c r="N114" i="20"/>
  <c r="AI113" i="20"/>
  <c r="AH113" i="20"/>
  <c r="AG113" i="20"/>
  <c r="AF113" i="20"/>
  <c r="AE113" i="20"/>
  <c r="AD113" i="20"/>
  <c r="AC113" i="20"/>
  <c r="AB113" i="20"/>
  <c r="Y113" i="20"/>
  <c r="V113" i="20"/>
  <c r="U113" i="20"/>
  <c r="R113" i="20"/>
  <c r="Q113" i="20"/>
  <c r="N113" i="20"/>
  <c r="AI112" i="20"/>
  <c r="AH112" i="20"/>
  <c r="AG112" i="20"/>
  <c r="AF112" i="20"/>
  <c r="AE112" i="20"/>
  <c r="AD112" i="20"/>
  <c r="AC112" i="20"/>
  <c r="AB112" i="20"/>
  <c r="Y112" i="20"/>
  <c r="V112" i="20"/>
  <c r="U112" i="20"/>
  <c r="R112" i="20"/>
  <c r="Q112" i="20"/>
  <c r="N112" i="20"/>
  <c r="AI111" i="20"/>
  <c r="AH111" i="20"/>
  <c r="AG111" i="20"/>
  <c r="AF111" i="20"/>
  <c r="AE111" i="20"/>
  <c r="AD111" i="20"/>
  <c r="AC111" i="20"/>
  <c r="AB111" i="20"/>
  <c r="Y111" i="20"/>
  <c r="V111" i="20"/>
  <c r="U111" i="20"/>
  <c r="R111" i="20"/>
  <c r="Q111" i="20"/>
  <c r="N111" i="20"/>
  <c r="AI110" i="20"/>
  <c r="AH110" i="20"/>
  <c r="AG110" i="20"/>
  <c r="AF110" i="20"/>
  <c r="AE110" i="20"/>
  <c r="AD110" i="20"/>
  <c r="AC110" i="20"/>
  <c r="AB110" i="20"/>
  <c r="Y110" i="20"/>
  <c r="V110" i="20"/>
  <c r="U110" i="20"/>
  <c r="R110" i="20"/>
  <c r="Q110" i="20"/>
  <c r="N110" i="20"/>
  <c r="AI109" i="20"/>
  <c r="AH109" i="20"/>
  <c r="AG109" i="20"/>
  <c r="AF109" i="20"/>
  <c r="AE109" i="20"/>
  <c r="AD109" i="20"/>
  <c r="AC109" i="20"/>
  <c r="AB109" i="20"/>
  <c r="Y109" i="20"/>
  <c r="V109" i="20"/>
  <c r="U109" i="20"/>
  <c r="R109" i="20"/>
  <c r="Q109" i="20"/>
  <c r="N109" i="20"/>
  <c r="AI108" i="20"/>
  <c r="AH108" i="20"/>
  <c r="AG108" i="20"/>
  <c r="AF108" i="20"/>
  <c r="AE108" i="20"/>
  <c r="AD108" i="20"/>
  <c r="AC108" i="20"/>
  <c r="AB108" i="20"/>
  <c r="Y108" i="20"/>
  <c r="V108" i="20"/>
  <c r="U108" i="20"/>
  <c r="R108" i="20"/>
  <c r="Q108" i="20"/>
  <c r="N108" i="20"/>
  <c r="G108" i="20"/>
  <c r="AI107" i="20"/>
  <c r="AH107" i="20"/>
  <c r="AG107" i="20"/>
  <c r="AF107" i="20"/>
  <c r="AE107" i="20"/>
  <c r="AD107" i="20"/>
  <c r="AC107" i="20"/>
  <c r="AB107" i="20"/>
  <c r="Y107" i="20"/>
  <c r="V107" i="20"/>
  <c r="U107" i="20"/>
  <c r="R107" i="20"/>
  <c r="Q107" i="20"/>
  <c r="N107" i="20"/>
  <c r="D107" i="20"/>
  <c r="C107" i="20"/>
  <c r="AI106" i="20"/>
  <c r="AH106" i="20"/>
  <c r="AG106" i="20"/>
  <c r="AF106" i="20"/>
  <c r="AE106" i="20"/>
  <c r="AD106" i="20"/>
  <c r="AC106" i="20"/>
  <c r="AB106" i="20"/>
  <c r="Y106" i="20"/>
  <c r="V106" i="20"/>
  <c r="U106" i="20"/>
  <c r="R106" i="20"/>
  <c r="Q106" i="20"/>
  <c r="N106" i="20"/>
  <c r="AI105" i="20"/>
  <c r="AH105" i="20"/>
  <c r="AG105" i="20"/>
  <c r="AF105" i="20"/>
  <c r="AE105" i="20"/>
  <c r="AD105" i="20"/>
  <c r="AC105" i="20"/>
  <c r="AB105" i="20"/>
  <c r="Y105" i="20"/>
  <c r="V105" i="20"/>
  <c r="U105" i="20"/>
  <c r="R105" i="20"/>
  <c r="Q105" i="20"/>
  <c r="N105" i="20"/>
  <c r="AI104" i="20"/>
  <c r="AH104" i="20"/>
  <c r="AG104" i="20"/>
  <c r="AF104" i="20"/>
  <c r="AE104" i="20"/>
  <c r="AD104" i="20"/>
  <c r="AC104" i="20"/>
  <c r="AB104" i="20"/>
  <c r="Y104" i="20"/>
  <c r="V104" i="20"/>
  <c r="U104" i="20"/>
  <c r="R104" i="20"/>
  <c r="Q104" i="20"/>
  <c r="N104" i="20"/>
  <c r="AI103" i="20"/>
  <c r="AH103" i="20"/>
  <c r="AG103" i="20"/>
  <c r="AF103" i="20"/>
  <c r="AE103" i="20"/>
  <c r="AD103" i="20"/>
  <c r="AC103" i="20"/>
  <c r="AB103" i="20"/>
  <c r="Y103" i="20"/>
  <c r="V103" i="20"/>
  <c r="U103" i="20"/>
  <c r="R103" i="20"/>
  <c r="Q103" i="20"/>
  <c r="N103" i="20"/>
  <c r="AI102" i="20"/>
  <c r="AH102" i="20"/>
  <c r="AG102" i="20"/>
  <c r="AF102" i="20"/>
  <c r="AE102" i="20"/>
  <c r="AD102" i="20"/>
  <c r="AC102" i="20"/>
  <c r="AB102" i="20"/>
  <c r="Y102" i="20"/>
  <c r="V102" i="20"/>
  <c r="U102" i="20"/>
  <c r="R102" i="20"/>
  <c r="Q102" i="20"/>
  <c r="N102" i="20"/>
  <c r="AI101" i="20"/>
  <c r="AH101" i="20"/>
  <c r="AG101" i="20"/>
  <c r="AF101" i="20"/>
  <c r="AE101" i="20"/>
  <c r="AD101" i="20"/>
  <c r="AC101" i="20"/>
  <c r="AB101" i="20"/>
  <c r="Y101" i="20"/>
  <c r="V101" i="20"/>
  <c r="U101" i="20"/>
  <c r="R101" i="20"/>
  <c r="Q101" i="20"/>
  <c r="N101" i="20"/>
  <c r="AI100" i="20"/>
  <c r="AH100" i="20"/>
  <c r="AG100" i="20"/>
  <c r="AF100" i="20"/>
  <c r="AE100" i="20"/>
  <c r="AD100" i="20"/>
  <c r="AC100" i="20"/>
  <c r="AB100" i="20"/>
  <c r="Y100" i="20"/>
  <c r="V100" i="20"/>
  <c r="U100" i="20"/>
  <c r="R100" i="20"/>
  <c r="Q100" i="20"/>
  <c r="N100" i="20"/>
  <c r="AI99" i="20"/>
  <c r="AH99" i="20"/>
  <c r="AG99" i="20"/>
  <c r="AF99" i="20"/>
  <c r="AE99" i="20"/>
  <c r="AD99" i="20"/>
  <c r="AC99" i="20"/>
  <c r="AB99" i="20"/>
  <c r="Y99" i="20"/>
  <c r="V99" i="20"/>
  <c r="U99" i="20"/>
  <c r="R99" i="20"/>
  <c r="Q99" i="20"/>
  <c r="N99" i="20"/>
  <c r="AI98" i="20"/>
  <c r="AH98" i="20"/>
  <c r="AG98" i="20"/>
  <c r="AF98" i="20"/>
  <c r="AE98" i="20"/>
  <c r="AD98" i="20"/>
  <c r="AC98" i="20"/>
  <c r="AB98" i="20"/>
  <c r="Y98" i="20"/>
  <c r="V98" i="20"/>
  <c r="U98" i="20"/>
  <c r="R98" i="20"/>
  <c r="Q98" i="20"/>
  <c r="N98" i="20"/>
  <c r="AI97" i="20"/>
  <c r="AH97" i="20"/>
  <c r="AG97" i="20"/>
  <c r="AF97" i="20"/>
  <c r="AE97" i="20"/>
  <c r="AD97" i="20"/>
  <c r="AC97" i="20"/>
  <c r="AB97" i="20"/>
  <c r="Y97" i="20"/>
  <c r="V97" i="20"/>
  <c r="U97" i="20"/>
  <c r="R97" i="20"/>
  <c r="Q97" i="20"/>
  <c r="N97" i="20"/>
  <c r="AI96" i="20"/>
  <c r="AH96" i="20"/>
  <c r="AG96" i="20"/>
  <c r="AF96" i="20"/>
  <c r="AE96" i="20"/>
  <c r="AD96" i="20"/>
  <c r="AC96" i="20"/>
  <c r="AB96" i="20"/>
  <c r="Y96" i="20"/>
  <c r="V96" i="20"/>
  <c r="U96" i="20"/>
  <c r="R96" i="20"/>
  <c r="Q96" i="20"/>
  <c r="N96" i="20"/>
  <c r="N95" i="20"/>
  <c r="N94" i="20"/>
  <c r="F94" i="20"/>
  <c r="E94" i="20"/>
  <c r="B94" i="20"/>
  <c r="N93" i="20"/>
  <c r="F93" i="20"/>
  <c r="E93" i="20"/>
  <c r="N92" i="20"/>
  <c r="F92" i="20"/>
  <c r="E92" i="20"/>
  <c r="N91" i="20"/>
  <c r="F91" i="20"/>
  <c r="E91" i="20"/>
  <c r="N90" i="20"/>
  <c r="F90" i="20"/>
  <c r="E90" i="20"/>
  <c r="N89" i="20"/>
  <c r="F89" i="20"/>
  <c r="E89" i="20"/>
  <c r="N88" i="20"/>
  <c r="F88" i="20"/>
  <c r="E88" i="20"/>
  <c r="N87" i="20"/>
  <c r="F87" i="20"/>
  <c r="E87" i="20"/>
  <c r="N86" i="20"/>
  <c r="F86" i="20"/>
  <c r="E86" i="20"/>
  <c r="N85" i="20"/>
  <c r="F85" i="20"/>
  <c r="E85" i="20"/>
  <c r="N84" i="20"/>
  <c r="F84" i="20"/>
  <c r="E84" i="20"/>
  <c r="N83" i="20"/>
  <c r="F83" i="20"/>
  <c r="E83" i="20"/>
  <c r="N82" i="20"/>
  <c r="F82" i="20"/>
  <c r="E82" i="20"/>
  <c r="B82" i="20"/>
  <c r="AP21" i="20" s="1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C93" i="20"/>
  <c r="H93" i="20" s="1"/>
  <c r="N46" i="20"/>
  <c r="N45" i="20"/>
  <c r="C92" i="20"/>
  <c r="N44" i="20"/>
  <c r="N43" i="20"/>
  <c r="C91" i="20"/>
  <c r="N42" i="20"/>
  <c r="N41" i="20"/>
  <c r="C90" i="20"/>
  <c r="H90" i="20" s="1"/>
  <c r="N40" i="20"/>
  <c r="N39" i="20"/>
  <c r="C89" i="20"/>
  <c r="H89" i="20" s="1"/>
  <c r="N38" i="20"/>
  <c r="N37" i="20"/>
  <c r="N36" i="20"/>
  <c r="N35" i="20"/>
  <c r="C87" i="20"/>
  <c r="N34" i="20"/>
  <c r="N33" i="20"/>
  <c r="C86" i="20"/>
  <c r="H86" i="20" s="1"/>
  <c r="N32" i="20"/>
  <c r="N31" i="20"/>
  <c r="N30" i="20"/>
  <c r="N29" i="20"/>
  <c r="C84" i="20"/>
  <c r="H84" i="20" s="1"/>
  <c r="N28" i="20"/>
  <c r="N27" i="20"/>
  <c r="C83" i="20"/>
  <c r="B83" i="20"/>
  <c r="N26" i="20"/>
  <c r="N25" i="20"/>
  <c r="C82" i="20"/>
  <c r="N24" i="20"/>
  <c r="N23" i="20"/>
  <c r="N22" i="20"/>
  <c r="N21" i="20"/>
  <c r="N20" i="20"/>
  <c r="F20" i="20"/>
  <c r="E44" i="20" s="1"/>
  <c r="F44" i="20" s="1"/>
  <c r="N19" i="20"/>
  <c r="F19" i="20"/>
  <c r="S5" i="20" s="1"/>
  <c r="T5" i="20" s="1"/>
  <c r="N18" i="20"/>
  <c r="N17" i="20"/>
  <c r="N16" i="20"/>
  <c r="N15" i="20"/>
  <c r="F15" i="20"/>
  <c r="U7" i="20" s="1"/>
  <c r="N14" i="20"/>
  <c r="N13" i="20"/>
  <c r="F13" i="20"/>
  <c r="N12" i="20"/>
  <c r="N11" i="20"/>
  <c r="F11" i="20"/>
  <c r="U10" i="20"/>
  <c r="N10" i="20"/>
  <c r="F10" i="20"/>
  <c r="N9" i="20"/>
  <c r="F9" i="20"/>
  <c r="D9" i="20"/>
  <c r="N8" i="20"/>
  <c r="F8" i="20"/>
  <c r="N7" i="20"/>
  <c r="N6" i="20"/>
  <c r="J6" i="20"/>
  <c r="K6" i="20" s="1"/>
  <c r="F6" i="20"/>
  <c r="V16" i="20" s="1"/>
  <c r="AI5" i="20"/>
  <c r="N5" i="20"/>
  <c r="F5" i="20"/>
  <c r="U15" i="20" s="1"/>
  <c r="F21" i="18"/>
  <c r="F2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31" i="26"/>
  <c r="F132" i="26"/>
  <c r="F133" i="26"/>
  <c r="F134" i="26"/>
  <c r="F135" i="26"/>
  <c r="F136" i="26"/>
  <c r="F137" i="26"/>
  <c r="F138" i="26"/>
  <c r="F139" i="26"/>
  <c r="F140" i="26"/>
  <c r="F141" i="26"/>
  <c r="F142" i="26"/>
  <c r="F143" i="26"/>
  <c r="F144" i="26"/>
  <c r="F145" i="26"/>
  <c r="F20" i="26" s="1"/>
  <c r="F146" i="26"/>
  <c r="F147" i="26"/>
  <c r="F148" i="26"/>
  <c r="F149" i="26"/>
  <c r="F150" i="26"/>
  <c r="F151" i="26"/>
  <c r="F152" i="26"/>
  <c r="F153" i="26"/>
  <c r="F154" i="26"/>
  <c r="F155" i="26"/>
  <c r="F156" i="26"/>
  <c r="F157" i="26"/>
  <c r="F158" i="26"/>
  <c r="F159" i="26"/>
  <c r="F160" i="26"/>
  <c r="F161" i="26"/>
  <c r="F162" i="26"/>
  <c r="F163" i="26"/>
  <c r="F164" i="26"/>
  <c r="F165" i="26"/>
  <c r="F166" i="26"/>
  <c r="F167" i="26"/>
  <c r="F168" i="26"/>
  <c r="F169" i="26"/>
  <c r="F170" i="26"/>
  <c r="F171" i="26"/>
  <c r="F172" i="26"/>
  <c r="F173" i="26"/>
  <c r="F174" i="26"/>
  <c r="F175" i="26"/>
  <c r="F176" i="26"/>
  <c r="F177" i="26"/>
  <c r="F178" i="26"/>
  <c r="F179" i="26"/>
  <c r="F180" i="26"/>
  <c r="F181" i="26"/>
  <c r="F182" i="26"/>
  <c r="F183" i="26"/>
  <c r="F184" i="26"/>
  <c r="F185" i="26"/>
  <c r="F186" i="26"/>
  <c r="F187" i="26"/>
  <c r="F188" i="26"/>
  <c r="F189" i="26"/>
  <c r="F190" i="26"/>
  <c r="F191" i="26"/>
  <c r="F192" i="26"/>
  <c r="F193" i="26"/>
  <c r="F194" i="26"/>
  <c r="F195" i="26"/>
  <c r="F196" i="26"/>
  <c r="F131" i="19"/>
  <c r="F132" i="19"/>
  <c r="F133" i="19"/>
  <c r="F134" i="19"/>
  <c r="F135" i="19"/>
  <c r="F136" i="19"/>
  <c r="F20" i="19" s="1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20" i="18" s="1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21" i="13"/>
  <c r="E34" i="19" l="1"/>
  <c r="F34" i="19" s="1"/>
  <c r="E40" i="19"/>
  <c r="F40" i="19" s="1"/>
  <c r="G40" i="19" s="1"/>
  <c r="E36" i="19"/>
  <c r="F36" i="19" s="1"/>
  <c r="E38" i="19"/>
  <c r="F38" i="19" s="1"/>
  <c r="E35" i="19"/>
  <c r="F35" i="19" s="1"/>
  <c r="G35" i="19" s="1"/>
  <c r="E41" i="19"/>
  <c r="F41" i="19" s="1"/>
  <c r="G41" i="19" s="1"/>
  <c r="E42" i="19"/>
  <c r="F42" i="19" s="1"/>
  <c r="G42" i="19" s="1"/>
  <c r="E37" i="19"/>
  <c r="F37" i="19" s="1"/>
  <c r="G37" i="19" s="1"/>
  <c r="E39" i="19"/>
  <c r="F39" i="19" s="1"/>
  <c r="E33" i="19"/>
  <c r="F33" i="19" s="1"/>
  <c r="E44" i="19"/>
  <c r="F44" i="19" s="1"/>
  <c r="E43" i="19"/>
  <c r="F43" i="19" s="1"/>
  <c r="E26" i="19"/>
  <c r="F26" i="19" s="1"/>
  <c r="G26" i="19" s="1"/>
  <c r="E32" i="19"/>
  <c r="F32" i="19" s="1"/>
  <c r="E25" i="19"/>
  <c r="F25" i="19" s="1"/>
  <c r="G25" i="19" s="1"/>
  <c r="E27" i="19"/>
  <c r="F27" i="19" s="1"/>
  <c r="E31" i="19"/>
  <c r="F31" i="19" s="1"/>
  <c r="E30" i="19"/>
  <c r="F30" i="19" s="1"/>
  <c r="E28" i="19"/>
  <c r="F28" i="19" s="1"/>
  <c r="E29" i="19"/>
  <c r="F29" i="19" s="1"/>
  <c r="G29" i="19" s="1"/>
  <c r="E56" i="26"/>
  <c r="F56" i="26" s="1"/>
  <c r="G56" i="26" s="1"/>
  <c r="E71" i="26"/>
  <c r="F71" i="26" s="1"/>
  <c r="G71" i="26" s="1"/>
  <c r="E52" i="26"/>
  <c r="F52" i="26" s="1"/>
  <c r="E60" i="26"/>
  <c r="F60" i="26" s="1"/>
  <c r="E67" i="26"/>
  <c r="F67" i="26" s="1"/>
  <c r="E75" i="26"/>
  <c r="F75" i="26" s="1"/>
  <c r="E58" i="26"/>
  <c r="F58" i="26" s="1"/>
  <c r="E77" i="26"/>
  <c r="F77" i="26" s="1"/>
  <c r="E48" i="26"/>
  <c r="F48" i="26" s="1"/>
  <c r="E57" i="26"/>
  <c r="F57" i="26" s="1"/>
  <c r="E64" i="26"/>
  <c r="F64" i="26" s="1"/>
  <c r="E72" i="26"/>
  <c r="F72" i="26" s="1"/>
  <c r="G72" i="26" s="1"/>
  <c r="E62" i="26"/>
  <c r="F62" i="26" s="1"/>
  <c r="E55" i="26"/>
  <c r="F55" i="26" s="1"/>
  <c r="E49" i="26"/>
  <c r="F49" i="26" s="1"/>
  <c r="E68" i="26"/>
  <c r="F68" i="26" s="1"/>
  <c r="G68" i="26" s="1"/>
  <c r="E76" i="26"/>
  <c r="F76" i="26" s="1"/>
  <c r="G76" i="26" s="1"/>
  <c r="E54" i="26"/>
  <c r="F54" i="26" s="1"/>
  <c r="E69" i="26"/>
  <c r="F69" i="26" s="1"/>
  <c r="G69" i="26" s="1"/>
  <c r="E53" i="26"/>
  <c r="F53" i="26" s="1"/>
  <c r="G53" i="26" s="1"/>
  <c r="E61" i="26"/>
  <c r="F61" i="26" s="1"/>
  <c r="E65" i="26"/>
  <c r="F65" i="26" s="1"/>
  <c r="E73" i="26"/>
  <c r="F73" i="26" s="1"/>
  <c r="E50" i="26"/>
  <c r="F50" i="26" s="1"/>
  <c r="G50" i="26" s="1"/>
  <c r="E51" i="26"/>
  <c r="F51" i="26" s="1"/>
  <c r="G51" i="26" s="1"/>
  <c r="E59" i="26"/>
  <c r="F59" i="26" s="1"/>
  <c r="G59" i="26" s="1"/>
  <c r="E63" i="26"/>
  <c r="F63" i="26" s="1"/>
  <c r="G63" i="26" s="1"/>
  <c r="E66" i="26"/>
  <c r="F66" i="26" s="1"/>
  <c r="G66" i="26" s="1"/>
  <c r="E70" i="26"/>
  <c r="F70" i="26" s="1"/>
  <c r="E74" i="26"/>
  <c r="F74" i="26" s="1"/>
  <c r="G74" i="26" s="1"/>
  <c r="E78" i="26"/>
  <c r="F78" i="26" s="1"/>
  <c r="V6" i="20"/>
  <c r="M16" i="20"/>
  <c r="V13" i="20"/>
  <c r="V7" i="20"/>
  <c r="H91" i="20"/>
  <c r="V15" i="20"/>
  <c r="E39" i="20"/>
  <c r="E74" i="21"/>
  <c r="F74" i="21" s="1"/>
  <c r="E69" i="21"/>
  <c r="F69" i="21" s="1"/>
  <c r="E75" i="21"/>
  <c r="F75" i="21" s="1"/>
  <c r="G75" i="21" s="1"/>
  <c r="E70" i="21"/>
  <c r="F70" i="21" s="1"/>
  <c r="G70" i="21" s="1"/>
  <c r="E76" i="21"/>
  <c r="F76" i="21" s="1"/>
  <c r="E71" i="21"/>
  <c r="F71" i="21" s="1"/>
  <c r="G71" i="21" s="1"/>
  <c r="E72" i="21"/>
  <c r="F72" i="21" s="1"/>
  <c r="E77" i="21"/>
  <c r="F77" i="21" s="1"/>
  <c r="E73" i="21"/>
  <c r="F73" i="21" s="1"/>
  <c r="E78" i="21"/>
  <c r="F78" i="21" s="1"/>
  <c r="AC21" i="20"/>
  <c r="AM21" i="20"/>
  <c r="AC26" i="20"/>
  <c r="AE26" i="20"/>
  <c r="L6" i="20"/>
  <c r="H87" i="20"/>
  <c r="H92" i="20"/>
  <c r="M6" i="20"/>
  <c r="L42" i="20"/>
  <c r="AD21" i="20"/>
  <c r="AM26" i="20"/>
  <c r="L8" i="20"/>
  <c r="AE21" i="20"/>
  <c r="AO26" i="20"/>
  <c r="M19" i="20"/>
  <c r="J7" i="20"/>
  <c r="AN21" i="20"/>
  <c r="M9" i="20"/>
  <c r="AO21" i="20"/>
  <c r="M11" i="20"/>
  <c r="L7" i="20"/>
  <c r="U23" i="20"/>
  <c r="U19" i="20"/>
  <c r="U34" i="20"/>
  <c r="U22" i="20"/>
  <c r="U13" i="20"/>
  <c r="U6" i="20"/>
  <c r="U17" i="20"/>
  <c r="U8" i="20"/>
  <c r="U18" i="20"/>
  <c r="U47" i="20"/>
  <c r="U16" i="20"/>
  <c r="U14" i="20"/>
  <c r="U20" i="20"/>
  <c r="U21" i="20"/>
  <c r="U24" i="20"/>
  <c r="M81" i="20"/>
  <c r="M7" i="20"/>
  <c r="M204" i="20"/>
  <c r="M200" i="20"/>
  <c r="M196" i="20"/>
  <c r="L195" i="20"/>
  <c r="J193" i="20"/>
  <c r="M188" i="20"/>
  <c r="L187" i="20"/>
  <c r="J185" i="20"/>
  <c r="M180" i="20"/>
  <c r="L179" i="20"/>
  <c r="J177" i="20"/>
  <c r="M172" i="20"/>
  <c r="L171" i="20"/>
  <c r="J169" i="20"/>
  <c r="M164" i="20"/>
  <c r="L163" i="20"/>
  <c r="J161" i="20"/>
  <c r="M156" i="20"/>
  <c r="L155" i="20"/>
  <c r="J153" i="20"/>
  <c r="M148" i="20"/>
  <c r="L147" i="20"/>
  <c r="J145" i="20"/>
  <c r="M140" i="20"/>
  <c r="L139" i="20"/>
  <c r="J137" i="20"/>
  <c r="L204" i="20"/>
  <c r="J203" i="20"/>
  <c r="L200" i="20"/>
  <c r="J199" i="20"/>
  <c r="L196" i="20"/>
  <c r="J194" i="20"/>
  <c r="M189" i="20"/>
  <c r="L188" i="20"/>
  <c r="J186" i="20"/>
  <c r="M181" i="20"/>
  <c r="L180" i="20"/>
  <c r="J178" i="20"/>
  <c r="M173" i="20"/>
  <c r="L172" i="20"/>
  <c r="J170" i="20"/>
  <c r="M165" i="20"/>
  <c r="L164" i="20"/>
  <c r="J162" i="20"/>
  <c r="M157" i="20"/>
  <c r="L156" i="20"/>
  <c r="J154" i="20"/>
  <c r="M149" i="20"/>
  <c r="L148" i="20"/>
  <c r="M205" i="20"/>
  <c r="M201" i="20"/>
  <c r="M197" i="20"/>
  <c r="J195" i="20"/>
  <c r="M190" i="20"/>
  <c r="L189" i="20"/>
  <c r="J187" i="20"/>
  <c r="M182" i="20"/>
  <c r="L181" i="20"/>
  <c r="J179" i="20"/>
  <c r="M174" i="20"/>
  <c r="L173" i="20"/>
  <c r="J171" i="20"/>
  <c r="M166" i="20"/>
  <c r="L165" i="20"/>
  <c r="J163" i="20"/>
  <c r="M158" i="20"/>
  <c r="L157" i="20"/>
  <c r="J155" i="20"/>
  <c r="M150" i="20"/>
  <c r="L149" i="20"/>
  <c r="J147" i="20"/>
  <c r="M142" i="20"/>
  <c r="L141" i="20"/>
  <c r="J139" i="20"/>
  <c r="L205" i="20"/>
  <c r="J204" i="20"/>
  <c r="L201" i="20"/>
  <c r="J200" i="20"/>
  <c r="L197" i="20"/>
  <c r="J196" i="20"/>
  <c r="M191" i="20"/>
  <c r="L190" i="20"/>
  <c r="J188" i="20"/>
  <c r="M183" i="20"/>
  <c r="L182" i="20"/>
  <c r="J180" i="20"/>
  <c r="M175" i="20"/>
  <c r="L174" i="20"/>
  <c r="J172" i="20"/>
  <c r="M167" i="20"/>
  <c r="L166" i="20"/>
  <c r="J164" i="20"/>
  <c r="M159" i="20"/>
  <c r="L158" i="20"/>
  <c r="J156" i="20"/>
  <c r="M151" i="20"/>
  <c r="L150" i="20"/>
  <c r="J148" i="20"/>
  <c r="M143" i="20"/>
  <c r="L142" i="20"/>
  <c r="J140" i="20"/>
  <c r="M135" i="20"/>
  <c r="M202" i="20"/>
  <c r="M198" i="20"/>
  <c r="M192" i="20"/>
  <c r="L191" i="20"/>
  <c r="J189" i="20"/>
  <c r="M184" i="20"/>
  <c r="L183" i="20"/>
  <c r="J181" i="20"/>
  <c r="M176" i="20"/>
  <c r="L175" i="20"/>
  <c r="J173" i="20"/>
  <c r="M168" i="20"/>
  <c r="L167" i="20"/>
  <c r="J165" i="20"/>
  <c r="M160" i="20"/>
  <c r="L159" i="20"/>
  <c r="J157" i="20"/>
  <c r="M152" i="20"/>
  <c r="L151" i="20"/>
  <c r="J149" i="20"/>
  <c r="M144" i="20"/>
  <c r="L143" i="20"/>
  <c r="J141" i="20"/>
  <c r="M136" i="20"/>
  <c r="L135" i="20"/>
  <c r="J133" i="20"/>
  <c r="M129" i="20"/>
  <c r="M123" i="20"/>
  <c r="L121" i="20"/>
  <c r="M203" i="20"/>
  <c r="M199" i="20"/>
  <c r="M194" i="20"/>
  <c r="L193" i="20"/>
  <c r="J191" i="20"/>
  <c r="M186" i="20"/>
  <c r="L185" i="20"/>
  <c r="J183" i="20"/>
  <c r="M178" i="20"/>
  <c r="L177" i="20"/>
  <c r="J175" i="20"/>
  <c r="M170" i="20"/>
  <c r="L169" i="20"/>
  <c r="J167" i="20"/>
  <c r="M162" i="20"/>
  <c r="L161" i="20"/>
  <c r="J159" i="20"/>
  <c r="M154" i="20"/>
  <c r="L153" i="20"/>
  <c r="J151" i="20"/>
  <c r="M146" i="20"/>
  <c r="L145" i="20"/>
  <c r="J143" i="20"/>
  <c r="M138" i="20"/>
  <c r="L137" i="20"/>
  <c r="J135" i="20"/>
  <c r="M130" i="20"/>
  <c r="M124" i="20"/>
  <c r="L194" i="20"/>
  <c r="L186" i="20"/>
  <c r="L178" i="20"/>
  <c r="L170" i="20"/>
  <c r="L162" i="20"/>
  <c r="L154" i="20"/>
  <c r="M147" i="20"/>
  <c r="J144" i="20"/>
  <c r="M139" i="20"/>
  <c r="L136" i="20"/>
  <c r="J134" i="20"/>
  <c r="L132" i="20"/>
  <c r="J131" i="20"/>
  <c r="J129" i="20"/>
  <c r="J124" i="20"/>
  <c r="M122" i="20"/>
  <c r="J121" i="20"/>
  <c r="L118" i="20"/>
  <c r="L117" i="20"/>
  <c r="J116" i="20"/>
  <c r="L110" i="20"/>
  <c r="J109" i="20"/>
  <c r="M105" i="20"/>
  <c r="M101" i="20"/>
  <c r="M97" i="20"/>
  <c r="M92" i="20"/>
  <c r="M193" i="20"/>
  <c r="M185" i="20"/>
  <c r="M177" i="20"/>
  <c r="M169" i="20"/>
  <c r="M161" i="20"/>
  <c r="M153" i="20"/>
  <c r="J136" i="20"/>
  <c r="J127" i="20"/>
  <c r="M125" i="20"/>
  <c r="L122" i="20"/>
  <c r="M119" i="20"/>
  <c r="M114" i="20"/>
  <c r="M111" i="20"/>
  <c r="L105" i="20"/>
  <c r="J104" i="20"/>
  <c r="L101" i="20"/>
  <c r="J100" i="20"/>
  <c r="L97" i="20"/>
  <c r="J96" i="20"/>
  <c r="L92" i="20"/>
  <c r="M133" i="20"/>
  <c r="J132" i="20"/>
  <c r="M128" i="20"/>
  <c r="L125" i="20"/>
  <c r="L123" i="20"/>
  <c r="L119" i="20"/>
  <c r="J118" i="20"/>
  <c r="J117" i="20"/>
  <c r="L114" i="20"/>
  <c r="M113" i="20"/>
  <c r="L111" i="20"/>
  <c r="J110" i="20"/>
  <c r="M107" i="20"/>
  <c r="M106" i="20"/>
  <c r="M102" i="20"/>
  <c r="M98" i="20"/>
  <c r="M94" i="20"/>
  <c r="L192" i="20"/>
  <c r="L184" i="20"/>
  <c r="L176" i="20"/>
  <c r="L168" i="20"/>
  <c r="L160" i="20"/>
  <c r="L152" i="20"/>
  <c r="L146" i="20"/>
  <c r="L138" i="20"/>
  <c r="L133" i="20"/>
  <c r="L130" i="20"/>
  <c r="L128" i="20"/>
  <c r="J123" i="20"/>
  <c r="J122" i="20"/>
  <c r="M120" i="20"/>
  <c r="M115" i="20"/>
  <c r="L113" i="20"/>
  <c r="M112" i="20"/>
  <c r="M108" i="20"/>
  <c r="L107" i="20"/>
  <c r="L106" i="20"/>
  <c r="J105" i="20"/>
  <c r="L102" i="20"/>
  <c r="J101" i="20"/>
  <c r="L98" i="20"/>
  <c r="J97" i="20"/>
  <c r="L94" i="20"/>
  <c r="M91" i="20"/>
  <c r="J192" i="20"/>
  <c r="J184" i="20"/>
  <c r="J176" i="20"/>
  <c r="J168" i="20"/>
  <c r="J160" i="20"/>
  <c r="J152" i="20"/>
  <c r="J146" i="20"/>
  <c r="J142" i="20"/>
  <c r="J138" i="20"/>
  <c r="J128" i="20"/>
  <c r="J125" i="20"/>
  <c r="L120" i="20"/>
  <c r="J119" i="20"/>
  <c r="L115" i="20"/>
  <c r="J114" i="20"/>
  <c r="L112" i="20"/>
  <c r="J111" i="20"/>
  <c r="L108" i="20"/>
  <c r="M103" i="20"/>
  <c r="M99" i="20"/>
  <c r="M95" i="20"/>
  <c r="L91" i="20"/>
  <c r="M145" i="20"/>
  <c r="M141" i="20"/>
  <c r="M137" i="20"/>
  <c r="M131" i="20"/>
  <c r="J130" i="20"/>
  <c r="M126" i="20"/>
  <c r="M116" i="20"/>
  <c r="J113" i="20"/>
  <c r="M109" i="20"/>
  <c r="J107" i="20"/>
  <c r="J106" i="20"/>
  <c r="L103" i="20"/>
  <c r="J102" i="20"/>
  <c r="L99" i="20"/>
  <c r="J98" i="20"/>
  <c r="L95" i="20"/>
  <c r="M93" i="20"/>
  <c r="L203" i="20"/>
  <c r="L202" i="20"/>
  <c r="L199" i="20"/>
  <c r="L198" i="20"/>
  <c r="J190" i="20"/>
  <c r="J182" i="20"/>
  <c r="J174" i="20"/>
  <c r="J166" i="20"/>
  <c r="J158" i="20"/>
  <c r="J150" i="20"/>
  <c r="L140" i="20"/>
  <c r="M134" i="20"/>
  <c r="L131" i="20"/>
  <c r="M127" i="20"/>
  <c r="L126" i="20"/>
  <c r="L124" i="20"/>
  <c r="M121" i="20"/>
  <c r="J120" i="20"/>
  <c r="L116" i="20"/>
  <c r="J115" i="20"/>
  <c r="J112" i="20"/>
  <c r="L109" i="20"/>
  <c r="J108" i="20"/>
  <c r="M104" i="20"/>
  <c r="M100" i="20"/>
  <c r="M96" i="20"/>
  <c r="L93" i="20"/>
  <c r="J201" i="20"/>
  <c r="M195" i="20"/>
  <c r="M163" i="20"/>
  <c r="M87" i="20"/>
  <c r="L82" i="20"/>
  <c r="M80" i="20"/>
  <c r="M76" i="20"/>
  <c r="J197" i="20"/>
  <c r="M187" i="20"/>
  <c r="M155" i="20"/>
  <c r="L144" i="20"/>
  <c r="L127" i="20"/>
  <c r="M89" i="20"/>
  <c r="L84" i="20"/>
  <c r="J198" i="20"/>
  <c r="M90" i="20"/>
  <c r="L89" i="20"/>
  <c r="M86" i="20"/>
  <c r="L81" i="20"/>
  <c r="L77" i="20"/>
  <c r="L73" i="20"/>
  <c r="L69" i="20"/>
  <c r="L65" i="20"/>
  <c r="M179" i="20"/>
  <c r="L134" i="20"/>
  <c r="M132" i="20"/>
  <c r="L90" i="20"/>
  <c r="L86" i="20"/>
  <c r="M83" i="20"/>
  <c r="M78" i="20"/>
  <c r="M74" i="20"/>
  <c r="M70" i="20"/>
  <c r="M66" i="20"/>
  <c r="L129" i="20"/>
  <c r="M117" i="20"/>
  <c r="J205" i="20"/>
  <c r="M171" i="20"/>
  <c r="M118" i="20"/>
  <c r="M110" i="20"/>
  <c r="L88" i="20"/>
  <c r="M85" i="20"/>
  <c r="M79" i="20"/>
  <c r="M75" i="20"/>
  <c r="M71" i="20"/>
  <c r="M67" i="20"/>
  <c r="J202" i="20"/>
  <c r="L74" i="20"/>
  <c r="L71" i="20"/>
  <c r="L67" i="20"/>
  <c r="J103" i="20"/>
  <c r="L96" i="20"/>
  <c r="L104" i="20"/>
  <c r="L85" i="20"/>
  <c r="M82" i="20"/>
  <c r="L87" i="20"/>
  <c r="L78" i="20"/>
  <c r="L72" i="20"/>
  <c r="L68" i="20"/>
  <c r="L64" i="20"/>
  <c r="L61" i="20"/>
  <c r="L57" i="20"/>
  <c r="L53" i="20"/>
  <c r="M51" i="20"/>
  <c r="L49" i="20"/>
  <c r="L83" i="20"/>
  <c r="L80" i="20"/>
  <c r="L75" i="20"/>
  <c r="M62" i="20"/>
  <c r="M58" i="20"/>
  <c r="M54" i="20"/>
  <c r="L51" i="20"/>
  <c r="L100" i="20"/>
  <c r="J99" i="20"/>
  <c r="M73" i="20"/>
  <c r="M69" i="20"/>
  <c r="M65" i="20"/>
  <c r="L62" i="20"/>
  <c r="M88" i="20"/>
  <c r="M77" i="20"/>
  <c r="M63" i="20"/>
  <c r="M59" i="20"/>
  <c r="M55" i="20"/>
  <c r="M48" i="20"/>
  <c r="M84" i="20"/>
  <c r="L76" i="20"/>
  <c r="L70" i="20"/>
  <c r="L60" i="20"/>
  <c r="L56" i="20"/>
  <c r="L52" i="20"/>
  <c r="M46" i="20"/>
  <c r="L44" i="20"/>
  <c r="M39" i="20"/>
  <c r="L37" i="20"/>
  <c r="M35" i="20"/>
  <c r="L79" i="20"/>
  <c r="L46" i="20"/>
  <c r="M41" i="20"/>
  <c r="L39" i="20"/>
  <c r="L35" i="20"/>
  <c r="M32" i="20"/>
  <c r="M29" i="20"/>
  <c r="J126" i="20"/>
  <c r="M57" i="20"/>
  <c r="M53" i="20"/>
  <c r="M50" i="20"/>
  <c r="M64" i="20"/>
  <c r="L63" i="20"/>
  <c r="L50" i="20"/>
  <c r="M45" i="20"/>
  <c r="L43" i="20"/>
  <c r="M36" i="20"/>
  <c r="M33" i="20"/>
  <c r="M68" i="20"/>
  <c r="L58" i="20"/>
  <c r="L54" i="20"/>
  <c r="M49" i="20"/>
  <c r="M47" i="20"/>
  <c r="L45" i="20"/>
  <c r="M38" i="20"/>
  <c r="L36" i="20"/>
  <c r="L33" i="20"/>
  <c r="M30" i="20"/>
  <c r="M27" i="20"/>
  <c r="L66" i="20"/>
  <c r="M42" i="20"/>
  <c r="M31" i="20"/>
  <c r="M28" i="20"/>
  <c r="L27" i="20"/>
  <c r="L19" i="20"/>
  <c r="M18" i="20"/>
  <c r="M72" i="20"/>
  <c r="L47" i="20"/>
  <c r="L32" i="20"/>
  <c r="M25" i="20"/>
  <c r="M56" i="20"/>
  <c r="L48" i="20"/>
  <c r="L38" i="20"/>
  <c r="L25" i="20"/>
  <c r="L12" i="20"/>
  <c r="L11" i="20"/>
  <c r="M10" i="20"/>
  <c r="M34" i="20"/>
  <c r="M61" i="20"/>
  <c r="L59" i="20"/>
  <c r="M52" i="20"/>
  <c r="M44" i="20"/>
  <c r="L34" i="20"/>
  <c r="M26" i="20"/>
  <c r="L9" i="20"/>
  <c r="M5" i="20"/>
  <c r="O5" i="20" s="1"/>
  <c r="M40" i="20"/>
  <c r="L26" i="20"/>
  <c r="M24" i="20"/>
  <c r="M23" i="20"/>
  <c r="M22" i="20"/>
  <c r="M21" i="20"/>
  <c r="M20" i="20"/>
  <c r="M8" i="20"/>
  <c r="V12" i="20"/>
  <c r="L13" i="20"/>
  <c r="L17" i="20"/>
  <c r="L18" i="20"/>
  <c r="V44" i="20"/>
  <c r="M13" i="20"/>
  <c r="L15" i="20"/>
  <c r="M17" i="20"/>
  <c r="E48" i="20"/>
  <c r="F48" i="20" s="1"/>
  <c r="E52" i="20"/>
  <c r="F52" i="20" s="1"/>
  <c r="E50" i="20"/>
  <c r="F50" i="20" s="1"/>
  <c r="E46" i="20"/>
  <c r="F46" i="20" s="1"/>
  <c r="E43" i="20"/>
  <c r="F43" i="20" s="1"/>
  <c r="E45" i="20"/>
  <c r="E36" i="20"/>
  <c r="F36" i="20" s="1"/>
  <c r="E33" i="20"/>
  <c r="F33" i="20" s="1"/>
  <c r="E47" i="20"/>
  <c r="F47" i="20" s="1"/>
  <c r="E40" i="20"/>
  <c r="F40" i="20" s="1"/>
  <c r="E51" i="20"/>
  <c r="E42" i="20"/>
  <c r="F42" i="20" s="1"/>
  <c r="E34" i="20"/>
  <c r="F34" i="20" s="1"/>
  <c r="E31" i="20"/>
  <c r="E25" i="20"/>
  <c r="F25" i="20" s="1"/>
  <c r="G25" i="20" s="1"/>
  <c r="E41" i="20"/>
  <c r="F41" i="20" s="1"/>
  <c r="E37" i="20"/>
  <c r="F37" i="20" s="1"/>
  <c r="E28" i="20"/>
  <c r="F28" i="20" s="1"/>
  <c r="E26" i="20"/>
  <c r="F26" i="20" s="1"/>
  <c r="G26" i="20" s="1"/>
  <c r="E35" i="20"/>
  <c r="E29" i="20"/>
  <c r="F29" i="20" s="1"/>
  <c r="E32" i="20"/>
  <c r="F32" i="20" s="1"/>
  <c r="E30" i="20"/>
  <c r="F30" i="20" s="1"/>
  <c r="E27" i="20"/>
  <c r="F27" i="20" s="1"/>
  <c r="E49" i="20"/>
  <c r="F49" i="20" s="1"/>
  <c r="E38" i="20"/>
  <c r="F38" i="20" s="1"/>
  <c r="L30" i="20"/>
  <c r="L31" i="20"/>
  <c r="L41" i="20"/>
  <c r="L10" i="20"/>
  <c r="V5" i="20"/>
  <c r="X5" i="20" s="1"/>
  <c r="V9" i="20"/>
  <c r="V14" i="20"/>
  <c r="M15" i="20"/>
  <c r="V19" i="20"/>
  <c r="L22" i="20"/>
  <c r="AN26" i="20"/>
  <c r="AD26" i="20"/>
  <c r="AL26" i="20"/>
  <c r="AB26" i="20"/>
  <c r="AP26" i="20"/>
  <c r="L29" i="20"/>
  <c r="M43" i="20"/>
  <c r="L20" i="20"/>
  <c r="L55" i="20"/>
  <c r="V92" i="20"/>
  <c r="V94" i="20"/>
  <c r="V91" i="20"/>
  <c r="V95" i="20"/>
  <c r="V93" i="20"/>
  <c r="V90" i="20"/>
  <c r="V87" i="20"/>
  <c r="V80" i="20"/>
  <c r="V76" i="20"/>
  <c r="V89" i="20"/>
  <c r="V86" i="20"/>
  <c r="V83" i="20"/>
  <c r="V78" i="20"/>
  <c r="V74" i="20"/>
  <c r="V70" i="20"/>
  <c r="V66" i="20"/>
  <c r="V85" i="20"/>
  <c r="V79" i="20"/>
  <c r="V75" i="20"/>
  <c r="V71" i="20"/>
  <c r="V67" i="20"/>
  <c r="V73" i="20"/>
  <c r="V69" i="20"/>
  <c r="V65" i="20"/>
  <c r="V88" i="20"/>
  <c r="V84" i="20"/>
  <c r="V51" i="20"/>
  <c r="V62" i="20"/>
  <c r="V58" i="20"/>
  <c r="V54" i="20"/>
  <c r="V82" i="20"/>
  <c r="V81" i="20"/>
  <c r="V72" i="20"/>
  <c r="V68" i="20"/>
  <c r="V64" i="20"/>
  <c r="V63" i="20"/>
  <c r="V59" i="20"/>
  <c r="V55" i="20"/>
  <c r="V48" i="20"/>
  <c r="V46" i="20"/>
  <c r="V39" i="20"/>
  <c r="V35" i="20"/>
  <c r="V77" i="20"/>
  <c r="V41" i="20"/>
  <c r="V32" i="20"/>
  <c r="V29" i="20"/>
  <c r="V61" i="20"/>
  <c r="V60" i="20"/>
  <c r="V56" i="20"/>
  <c r="V52" i="20"/>
  <c r="V45" i="20"/>
  <c r="V36" i="20"/>
  <c r="V33" i="20"/>
  <c r="V50" i="20"/>
  <c r="V47" i="20"/>
  <c r="V38" i="20"/>
  <c r="V30" i="20"/>
  <c r="V27" i="20"/>
  <c r="V34" i="20"/>
  <c r="V18" i="20"/>
  <c r="V25" i="20"/>
  <c r="V49" i="20"/>
  <c r="V31" i="20"/>
  <c r="V28" i="20"/>
  <c r="V10" i="20"/>
  <c r="V57" i="20"/>
  <c r="V43" i="20"/>
  <c r="V42" i="20"/>
  <c r="V37" i="20"/>
  <c r="V26" i="20"/>
  <c r="V53" i="20"/>
  <c r="V24" i="20"/>
  <c r="V23" i="20"/>
  <c r="V22" i="20"/>
  <c r="V21" i="20"/>
  <c r="V20" i="20"/>
  <c r="V8" i="20"/>
  <c r="M12" i="20"/>
  <c r="L23" i="20"/>
  <c r="L28" i="20"/>
  <c r="L40" i="20"/>
  <c r="O6" i="20"/>
  <c r="V11" i="20"/>
  <c r="L14" i="20"/>
  <c r="L24" i="20"/>
  <c r="H82" i="20"/>
  <c r="AL21" i="20"/>
  <c r="AB21" i="20"/>
  <c r="M37" i="20"/>
  <c r="M60" i="20"/>
  <c r="M14" i="20"/>
  <c r="L16" i="20"/>
  <c r="V17" i="20"/>
  <c r="L21" i="20"/>
  <c r="V40" i="20"/>
  <c r="U92" i="20"/>
  <c r="U94" i="20"/>
  <c r="U91" i="20"/>
  <c r="U95" i="20"/>
  <c r="U93" i="20"/>
  <c r="U90" i="20"/>
  <c r="U82" i="20"/>
  <c r="U84" i="20"/>
  <c r="U89" i="20"/>
  <c r="U81" i="20"/>
  <c r="U77" i="20"/>
  <c r="U73" i="20"/>
  <c r="U69" i="20"/>
  <c r="U65" i="20"/>
  <c r="U86" i="20"/>
  <c r="U88" i="20"/>
  <c r="U87" i="20"/>
  <c r="U80" i="20"/>
  <c r="U75" i="20"/>
  <c r="U79" i="20"/>
  <c r="U74" i="20"/>
  <c r="U71" i="20"/>
  <c r="U67" i="20"/>
  <c r="U61" i="20"/>
  <c r="U57" i="20"/>
  <c r="U53" i="20"/>
  <c r="U49" i="20"/>
  <c r="U51" i="20"/>
  <c r="U76" i="20"/>
  <c r="U62" i="20"/>
  <c r="U78" i="20"/>
  <c r="U72" i="20"/>
  <c r="U68" i="20"/>
  <c r="U64" i="20"/>
  <c r="U58" i="20"/>
  <c r="U54" i="20"/>
  <c r="U59" i="20"/>
  <c r="U55" i="20"/>
  <c r="U48" i="20"/>
  <c r="U44" i="20"/>
  <c r="U37" i="20"/>
  <c r="U83" i="20"/>
  <c r="U46" i="20"/>
  <c r="U39" i="20"/>
  <c r="U35" i="20"/>
  <c r="U60" i="20"/>
  <c r="U56" i="20"/>
  <c r="U52" i="20"/>
  <c r="U43" i="20"/>
  <c r="U66" i="20"/>
  <c r="U45" i="20"/>
  <c r="U36" i="20"/>
  <c r="U33" i="20"/>
  <c r="U26" i="20"/>
  <c r="H83" i="20"/>
  <c r="U38" i="20"/>
  <c r="F39" i="20"/>
  <c r="U9" i="20"/>
  <c r="U32" i="20"/>
  <c r="U42" i="20"/>
  <c r="U50" i="20"/>
  <c r="U63" i="20"/>
  <c r="U70" i="20"/>
  <c r="U28" i="20"/>
  <c r="U29" i="20"/>
  <c r="C85" i="20"/>
  <c r="H85" i="20" s="1"/>
  <c r="F31" i="20"/>
  <c r="U31" i="20"/>
  <c r="C88" i="20"/>
  <c r="H88" i="20" s="1"/>
  <c r="U11" i="20"/>
  <c r="U12" i="20"/>
  <c r="S193" i="20"/>
  <c r="S185" i="20"/>
  <c r="S177" i="20"/>
  <c r="S169" i="20"/>
  <c r="S161" i="20"/>
  <c r="S153" i="20"/>
  <c r="S145" i="20"/>
  <c r="S137" i="20"/>
  <c r="S203" i="20"/>
  <c r="S199" i="20"/>
  <c r="S194" i="20"/>
  <c r="S186" i="20"/>
  <c r="S178" i="20"/>
  <c r="S170" i="20"/>
  <c r="S162" i="20"/>
  <c r="S154" i="20"/>
  <c r="S195" i="20"/>
  <c r="S187" i="20"/>
  <c r="S179" i="20"/>
  <c r="S171" i="20"/>
  <c r="S163" i="20"/>
  <c r="S155" i="20"/>
  <c r="S147" i="20"/>
  <c r="S139" i="20"/>
  <c r="S204" i="20"/>
  <c r="S200" i="20"/>
  <c r="S196" i="20"/>
  <c r="S188" i="20"/>
  <c r="S180" i="20"/>
  <c r="S172" i="20"/>
  <c r="S164" i="20"/>
  <c r="S156" i="20"/>
  <c r="S148" i="20"/>
  <c r="S140" i="20"/>
  <c r="S189" i="20"/>
  <c r="S181" i="20"/>
  <c r="S173" i="20"/>
  <c r="S165" i="20"/>
  <c r="S157" i="20"/>
  <c r="S149" i="20"/>
  <c r="S141" i="20"/>
  <c r="S133" i="20"/>
  <c r="S191" i="20"/>
  <c r="S183" i="20"/>
  <c r="S175" i="20"/>
  <c r="S167" i="20"/>
  <c r="S159" i="20"/>
  <c r="S151" i="20"/>
  <c r="S143" i="20"/>
  <c r="S135" i="20"/>
  <c r="S142" i="20"/>
  <c r="S131" i="20"/>
  <c r="S126" i="20"/>
  <c r="S116" i="20"/>
  <c r="S109" i="20"/>
  <c r="S121" i="20"/>
  <c r="S104" i="20"/>
  <c r="S100" i="20"/>
  <c r="S96" i="20"/>
  <c r="S202" i="20"/>
  <c r="S198" i="20"/>
  <c r="S190" i="20"/>
  <c r="S182" i="20"/>
  <c r="S174" i="20"/>
  <c r="S166" i="20"/>
  <c r="S158" i="20"/>
  <c r="S150" i="20"/>
  <c r="S134" i="20"/>
  <c r="S129" i="20"/>
  <c r="S127" i="20"/>
  <c r="S124" i="20"/>
  <c r="S118" i="20"/>
  <c r="S117" i="20"/>
  <c r="S110" i="20"/>
  <c r="S205" i="20"/>
  <c r="S201" i="20"/>
  <c r="S197" i="20"/>
  <c r="S144" i="20"/>
  <c r="S136" i="20"/>
  <c r="S132" i="20"/>
  <c r="S122" i="20"/>
  <c r="S105" i="20"/>
  <c r="S101" i="20"/>
  <c r="S97" i="20"/>
  <c r="S119" i="20"/>
  <c r="S114" i="20"/>
  <c r="S111" i="20"/>
  <c r="S128" i="20"/>
  <c r="S125" i="20"/>
  <c r="S123" i="20"/>
  <c r="S113" i="20"/>
  <c r="S107" i="20"/>
  <c r="S106" i="20"/>
  <c r="S102" i="20"/>
  <c r="S98" i="20"/>
  <c r="S120" i="20"/>
  <c r="S115" i="20"/>
  <c r="S112" i="20"/>
  <c r="S108" i="20"/>
  <c r="S146" i="20"/>
  <c r="S138" i="20"/>
  <c r="S130" i="20"/>
  <c r="S192" i="20"/>
  <c r="S160" i="20"/>
  <c r="S184" i="20"/>
  <c r="S152" i="20"/>
  <c r="S103" i="20"/>
  <c r="S99" i="20"/>
  <c r="S176" i="20"/>
  <c r="S168" i="20"/>
  <c r="U25" i="20"/>
  <c r="U30" i="20"/>
  <c r="F35" i="20"/>
  <c r="F51" i="20"/>
  <c r="U27" i="20"/>
  <c r="U40" i="20"/>
  <c r="U41" i="20"/>
  <c r="U85" i="20"/>
  <c r="F45" i="20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G60" i="26" l="1"/>
  <c r="G27" i="19"/>
  <c r="G76" i="21"/>
  <c r="G64" i="26"/>
  <c r="G52" i="26"/>
  <c r="G54" i="26"/>
  <c r="G57" i="26"/>
  <c r="G33" i="19"/>
  <c r="G32" i="19"/>
  <c r="G77" i="26"/>
  <c r="G43" i="19"/>
  <c r="G38" i="19"/>
  <c r="G78" i="26"/>
  <c r="G73" i="26"/>
  <c r="G49" i="26"/>
  <c r="G58" i="26"/>
  <c r="G28" i="19"/>
  <c r="G44" i="19"/>
  <c r="G36" i="19"/>
  <c r="G77" i="21"/>
  <c r="G65" i="26"/>
  <c r="G55" i="26"/>
  <c r="G75" i="26"/>
  <c r="G30" i="19"/>
  <c r="G70" i="26"/>
  <c r="G61" i="26"/>
  <c r="G62" i="26"/>
  <c r="G67" i="26"/>
  <c r="G31" i="19"/>
  <c r="G39" i="19"/>
  <c r="G34" i="19"/>
  <c r="G72" i="21"/>
  <c r="G78" i="21"/>
  <c r="G73" i="21"/>
  <c r="G74" i="21"/>
  <c r="J8" i="20"/>
  <c r="K7" i="20"/>
  <c r="O7" i="20" s="1"/>
  <c r="T135" i="20"/>
  <c r="X135" i="20" s="1"/>
  <c r="AT21" i="20"/>
  <c r="AS21" i="20"/>
  <c r="AR21" i="20"/>
  <c r="AQ21" i="20"/>
  <c r="K182" i="20"/>
  <c r="O182" i="20" s="1"/>
  <c r="K113" i="20"/>
  <c r="O113" i="20" s="1"/>
  <c r="K152" i="20"/>
  <c r="O152" i="20" s="1"/>
  <c r="K127" i="20"/>
  <c r="O127" i="20" s="1"/>
  <c r="K134" i="20"/>
  <c r="O134" i="20" s="1"/>
  <c r="K143" i="20"/>
  <c r="O143" i="20" s="1"/>
  <c r="K149" i="20"/>
  <c r="O149" i="20" s="1"/>
  <c r="K148" i="20"/>
  <c r="O148" i="20"/>
  <c r="K139" i="20"/>
  <c r="O139" i="20" s="1"/>
  <c r="T168" i="20"/>
  <c r="X168" i="20" s="1"/>
  <c r="T103" i="20"/>
  <c r="X103" i="20" s="1"/>
  <c r="T146" i="20"/>
  <c r="X146" i="20" s="1"/>
  <c r="T102" i="20"/>
  <c r="X102" i="20" s="1"/>
  <c r="T114" i="20"/>
  <c r="X114" i="20" s="1"/>
  <c r="T136" i="20"/>
  <c r="X136" i="20" s="1"/>
  <c r="T124" i="20"/>
  <c r="X124" i="20" s="1"/>
  <c r="T182" i="20"/>
  <c r="X182" i="20" s="1"/>
  <c r="T121" i="20"/>
  <c r="X121" i="20" s="1"/>
  <c r="T143" i="20"/>
  <c r="X143" i="20" s="1"/>
  <c r="T141" i="20"/>
  <c r="X141" i="20" s="1"/>
  <c r="T148" i="20"/>
  <c r="X148" i="20" s="1"/>
  <c r="T204" i="20"/>
  <c r="X204" i="20" s="1"/>
  <c r="T195" i="20"/>
  <c r="X195" i="20" s="1"/>
  <c r="T203" i="20"/>
  <c r="X203" i="20" s="1"/>
  <c r="T193" i="20"/>
  <c r="X193" i="20" s="1"/>
  <c r="G27" i="20"/>
  <c r="K198" i="20"/>
  <c r="O198" i="20" s="1"/>
  <c r="K197" i="20"/>
  <c r="O197" i="20" s="1"/>
  <c r="K201" i="20"/>
  <c r="O201" i="20" s="1"/>
  <c r="K112" i="20"/>
  <c r="O112" i="20" s="1"/>
  <c r="K190" i="20"/>
  <c r="O190" i="20" s="1"/>
  <c r="K98" i="20"/>
  <c r="O98" i="20" s="1"/>
  <c r="K119" i="20"/>
  <c r="O119" i="20" s="1"/>
  <c r="K160" i="20"/>
  <c r="O160" i="20" s="1"/>
  <c r="K97" i="20"/>
  <c r="O97" i="20" s="1"/>
  <c r="K132" i="20"/>
  <c r="O132" i="20" s="1"/>
  <c r="K104" i="20"/>
  <c r="O104" i="20" s="1"/>
  <c r="K136" i="20"/>
  <c r="O136" i="20" s="1"/>
  <c r="K167" i="20"/>
  <c r="O167" i="20" s="1"/>
  <c r="K173" i="20"/>
  <c r="O173" i="20"/>
  <c r="K172" i="20"/>
  <c r="O172" i="20" s="1"/>
  <c r="K163" i="20"/>
  <c r="O163" i="20" s="1"/>
  <c r="K170" i="20"/>
  <c r="O170" i="20" s="1"/>
  <c r="K161" i="20"/>
  <c r="O161" i="20" s="1"/>
  <c r="T111" i="20"/>
  <c r="X111" i="20" s="1"/>
  <c r="T140" i="20"/>
  <c r="X140" i="20" s="1"/>
  <c r="B84" i="20"/>
  <c r="T152" i="20"/>
  <c r="X152" i="20" s="1"/>
  <c r="T106" i="20"/>
  <c r="X106" i="20" s="1"/>
  <c r="T127" i="20"/>
  <c r="X127" i="20" s="1"/>
  <c r="T151" i="20"/>
  <c r="X151" i="20" s="1"/>
  <c r="T139" i="20"/>
  <c r="X139" i="20" s="1"/>
  <c r="K126" i="20"/>
  <c r="O126" i="20" s="1"/>
  <c r="K202" i="20"/>
  <c r="O202" i="20" s="1"/>
  <c r="K115" i="20"/>
  <c r="O115" i="20" s="1"/>
  <c r="O168" i="20"/>
  <c r="K168" i="20"/>
  <c r="K121" i="20"/>
  <c r="O121" i="20" s="1"/>
  <c r="K191" i="20"/>
  <c r="O191" i="20" s="1"/>
  <c r="K133" i="20"/>
  <c r="O133" i="20" s="1"/>
  <c r="K196" i="20"/>
  <c r="O196" i="20" s="1"/>
  <c r="K187" i="20"/>
  <c r="O187" i="20" s="1"/>
  <c r="K194" i="20"/>
  <c r="O194" i="20" s="1"/>
  <c r="K185" i="20"/>
  <c r="O185" i="20" s="1"/>
  <c r="T104" i="20"/>
  <c r="X104" i="20" s="1"/>
  <c r="T185" i="20"/>
  <c r="X185" i="20" s="1"/>
  <c r="K137" i="20"/>
  <c r="O137" i="20" s="1"/>
  <c r="T119" i="20"/>
  <c r="X119" i="20" s="1"/>
  <c r="T144" i="20"/>
  <c r="X144" i="20" s="1"/>
  <c r="T190" i="20"/>
  <c r="X190" i="20" s="1"/>
  <c r="T149" i="20"/>
  <c r="X149" i="20" s="1"/>
  <c r="T156" i="20"/>
  <c r="X156" i="20" s="1"/>
  <c r="T137" i="20"/>
  <c r="X137" i="20" s="1"/>
  <c r="T184" i="20"/>
  <c r="X184" i="20" s="1"/>
  <c r="T108" i="20"/>
  <c r="X108" i="20" s="1"/>
  <c r="T107" i="20"/>
  <c r="X107" i="20" s="1"/>
  <c r="T197" i="20"/>
  <c r="X197" i="20" s="1"/>
  <c r="T129" i="20"/>
  <c r="X129" i="20" s="1"/>
  <c r="T198" i="20"/>
  <c r="X198" i="20" s="1"/>
  <c r="T109" i="20"/>
  <c r="X109" i="20" s="1"/>
  <c r="T159" i="20"/>
  <c r="X159" i="20" s="1"/>
  <c r="T157" i="20"/>
  <c r="X157" i="20" s="1"/>
  <c r="T164" i="20"/>
  <c r="X164" i="20" s="1"/>
  <c r="T147" i="20"/>
  <c r="X147" i="20" s="1"/>
  <c r="T162" i="20"/>
  <c r="X162" i="20" s="1"/>
  <c r="T145" i="20"/>
  <c r="X145" i="20" s="1"/>
  <c r="G29" i="20"/>
  <c r="K103" i="20"/>
  <c r="O103" i="20" s="1"/>
  <c r="K102" i="20"/>
  <c r="O102" i="20" s="1"/>
  <c r="K130" i="20"/>
  <c r="O130" i="20" s="1"/>
  <c r="K125" i="20"/>
  <c r="O125" i="20" s="1"/>
  <c r="K176" i="20"/>
  <c r="O176" i="20" s="1"/>
  <c r="K101" i="20"/>
  <c r="O101" i="20" s="1"/>
  <c r="K117" i="20"/>
  <c r="O117" i="20"/>
  <c r="K144" i="20"/>
  <c r="O144" i="20" s="1"/>
  <c r="K151" i="20"/>
  <c r="O151" i="20" s="1"/>
  <c r="K157" i="20"/>
  <c r="O157" i="20" s="1"/>
  <c r="K156" i="20"/>
  <c r="O156" i="20"/>
  <c r="K147" i="20"/>
  <c r="O147" i="20" s="1"/>
  <c r="K154" i="20"/>
  <c r="O154" i="20" s="1"/>
  <c r="K145" i="20"/>
  <c r="O145" i="20" s="1"/>
  <c r="T98" i="20"/>
  <c r="X98" i="20" s="1"/>
  <c r="T187" i="20"/>
  <c r="X187" i="20" s="1"/>
  <c r="T176" i="20"/>
  <c r="X176" i="20" s="1"/>
  <c r="T154" i="20"/>
  <c r="X154" i="20" s="1"/>
  <c r="T99" i="20"/>
  <c r="X99" i="20" s="1"/>
  <c r="T160" i="20"/>
  <c r="X160" i="20" s="1"/>
  <c r="T112" i="20"/>
  <c r="X112" i="20" s="1"/>
  <c r="T113" i="20"/>
  <c r="X113" i="20" s="1"/>
  <c r="T97" i="20"/>
  <c r="X97" i="20" s="1"/>
  <c r="T201" i="20"/>
  <c r="X201" i="20" s="1"/>
  <c r="T134" i="20"/>
  <c r="X134" i="20" s="1"/>
  <c r="T202" i="20"/>
  <c r="X202" i="20" s="1"/>
  <c r="T116" i="20"/>
  <c r="X116" i="20" s="1"/>
  <c r="T167" i="20"/>
  <c r="X167" i="20" s="1"/>
  <c r="T165" i="20"/>
  <c r="X165" i="20" s="1"/>
  <c r="T172" i="20"/>
  <c r="X172" i="20" s="1"/>
  <c r="T155" i="20"/>
  <c r="X155" i="20" s="1"/>
  <c r="T170" i="20"/>
  <c r="X170" i="20" s="1"/>
  <c r="T153" i="20"/>
  <c r="X153" i="20" s="1"/>
  <c r="K99" i="20"/>
  <c r="O99" i="20" s="1"/>
  <c r="K120" i="20"/>
  <c r="O120" i="20" s="1"/>
  <c r="K150" i="20"/>
  <c r="O150" i="20" s="1"/>
  <c r="K128" i="20"/>
  <c r="O128" i="20" s="1"/>
  <c r="K184" i="20"/>
  <c r="O184" i="20" s="1"/>
  <c r="K118" i="20"/>
  <c r="O118" i="20"/>
  <c r="K124" i="20"/>
  <c r="O124" i="20" s="1"/>
  <c r="K175" i="20"/>
  <c r="O175" i="20" s="1"/>
  <c r="K181" i="20"/>
  <c r="O181" i="20" s="1"/>
  <c r="K180" i="20"/>
  <c r="O180" i="20"/>
  <c r="K200" i="20"/>
  <c r="O200" i="20" s="1"/>
  <c r="K171" i="20"/>
  <c r="O171" i="20" s="1"/>
  <c r="K178" i="20"/>
  <c r="O178" i="20" s="1"/>
  <c r="K199" i="20"/>
  <c r="O199" i="20" s="1"/>
  <c r="K169" i="20"/>
  <c r="O169" i="20" s="1"/>
  <c r="T118" i="20"/>
  <c r="X118" i="20" s="1"/>
  <c r="T133" i="20"/>
  <c r="X133" i="20" s="1"/>
  <c r="T199" i="20"/>
  <c r="X199" i="20" s="1"/>
  <c r="T192" i="20"/>
  <c r="X192" i="20" s="1"/>
  <c r="T115" i="20"/>
  <c r="X115" i="20" s="1"/>
  <c r="T123" i="20"/>
  <c r="X123" i="20" s="1"/>
  <c r="T101" i="20"/>
  <c r="X101" i="20" s="1"/>
  <c r="T205" i="20"/>
  <c r="X205" i="20" s="1"/>
  <c r="T150" i="20"/>
  <c r="X150" i="20" s="1"/>
  <c r="T126" i="20"/>
  <c r="X126" i="20" s="1"/>
  <c r="T175" i="20"/>
  <c r="X175" i="20" s="1"/>
  <c r="T173" i="20"/>
  <c r="X173" i="20" s="1"/>
  <c r="T180" i="20"/>
  <c r="X180" i="20"/>
  <c r="T163" i="20"/>
  <c r="X163" i="20" s="1"/>
  <c r="T178" i="20"/>
  <c r="X178" i="20" s="1"/>
  <c r="T161" i="20"/>
  <c r="X161" i="20" s="1"/>
  <c r="AT26" i="20"/>
  <c r="AS26" i="20"/>
  <c r="AR26" i="20"/>
  <c r="AQ26" i="20"/>
  <c r="K205" i="20"/>
  <c r="O205" i="20" s="1"/>
  <c r="K158" i="20"/>
  <c r="O158" i="20" s="1"/>
  <c r="K106" i="20"/>
  <c r="O106" i="20" s="1"/>
  <c r="K111" i="20"/>
  <c r="O111" i="20" s="1"/>
  <c r="K138" i="20"/>
  <c r="O138" i="20" s="1"/>
  <c r="K192" i="20"/>
  <c r="O192" i="20" s="1"/>
  <c r="K105" i="20"/>
  <c r="O105" i="20" s="1"/>
  <c r="K122" i="20"/>
  <c r="O122" i="20" s="1"/>
  <c r="K96" i="20"/>
  <c r="O96" i="20"/>
  <c r="K109" i="20"/>
  <c r="O109" i="20" s="1"/>
  <c r="K129" i="20"/>
  <c r="O129" i="20" s="1"/>
  <c r="K135" i="20"/>
  <c r="O135" i="20" s="1"/>
  <c r="K141" i="20"/>
  <c r="O141" i="20" s="1"/>
  <c r="K140" i="20"/>
  <c r="O140" i="20" s="1"/>
  <c r="K195" i="20"/>
  <c r="O195" i="20" s="1"/>
  <c r="K193" i="20"/>
  <c r="O193" i="20" s="1"/>
  <c r="T174" i="20"/>
  <c r="X174" i="20" s="1"/>
  <c r="T120" i="20"/>
  <c r="X120" i="20" s="1"/>
  <c r="T105" i="20"/>
  <c r="X105" i="20" s="1"/>
  <c r="T158" i="20"/>
  <c r="X158" i="20" s="1"/>
  <c r="T96" i="20"/>
  <c r="X96" i="20"/>
  <c r="T131" i="20"/>
  <c r="X131" i="20" s="1"/>
  <c r="T183" i="20"/>
  <c r="X183" i="20" s="1"/>
  <c r="T181" i="20"/>
  <c r="X181" i="20" s="1"/>
  <c r="T188" i="20"/>
  <c r="X188" i="20" s="1"/>
  <c r="T186" i="20"/>
  <c r="X186" i="20" s="1"/>
  <c r="T169" i="20"/>
  <c r="X169" i="20" s="1"/>
  <c r="K166" i="20"/>
  <c r="O166" i="20" s="1"/>
  <c r="K107" i="20"/>
  <c r="O107" i="20" s="1"/>
  <c r="K142" i="20"/>
  <c r="O142" i="20" s="1"/>
  <c r="K123" i="20"/>
  <c r="O123" i="20" s="1"/>
  <c r="K131" i="20"/>
  <c r="O131" i="20" s="1"/>
  <c r="K159" i="20"/>
  <c r="O159" i="20" s="1"/>
  <c r="K165" i="20"/>
  <c r="O165" i="20" s="1"/>
  <c r="K164" i="20"/>
  <c r="O164" i="20" s="1"/>
  <c r="K204" i="20"/>
  <c r="O204" i="20" s="1"/>
  <c r="K155" i="20"/>
  <c r="O155" i="20" s="1"/>
  <c r="K162" i="20"/>
  <c r="O162" i="20" s="1"/>
  <c r="K203" i="20"/>
  <c r="O203" i="20" s="1"/>
  <c r="K153" i="20"/>
  <c r="O153" i="20" s="1"/>
  <c r="T132" i="20"/>
  <c r="X132" i="20" s="1"/>
  <c r="T200" i="20"/>
  <c r="X200" i="20"/>
  <c r="T130" i="20"/>
  <c r="X130" i="20" s="1"/>
  <c r="T125" i="20"/>
  <c r="X125" i="20" s="1"/>
  <c r="T110" i="20"/>
  <c r="X110" i="20" s="1"/>
  <c r="T171" i="20"/>
  <c r="X171" i="20" s="1"/>
  <c r="T138" i="20"/>
  <c r="X138" i="20"/>
  <c r="T128" i="20"/>
  <c r="X128" i="20"/>
  <c r="T122" i="20"/>
  <c r="X122" i="20" s="1"/>
  <c r="T117" i="20"/>
  <c r="X117" i="20" s="1"/>
  <c r="T166" i="20"/>
  <c r="X166" i="20" s="1"/>
  <c r="T100" i="20"/>
  <c r="X100" i="20"/>
  <c r="T142" i="20"/>
  <c r="X142" i="20" s="1"/>
  <c r="T191" i="20"/>
  <c r="X191" i="20" s="1"/>
  <c r="T189" i="20"/>
  <c r="X189" i="20" s="1"/>
  <c r="T196" i="20"/>
  <c r="X196" i="20" s="1"/>
  <c r="T179" i="20"/>
  <c r="X179" i="20" s="1"/>
  <c r="T194" i="20"/>
  <c r="X194" i="20" s="1"/>
  <c r="T177" i="20"/>
  <c r="X177" i="20" s="1"/>
  <c r="Y5" i="20"/>
  <c r="G28" i="20"/>
  <c r="K108" i="20"/>
  <c r="O108" i="20" s="1"/>
  <c r="K174" i="20"/>
  <c r="O174" i="20" s="1"/>
  <c r="K114" i="20"/>
  <c r="O114" i="20" s="1"/>
  <c r="K146" i="20"/>
  <c r="O146" i="20"/>
  <c r="K110" i="20"/>
  <c r="O110" i="20" s="1"/>
  <c r="K100" i="20"/>
  <c r="O100" i="20" s="1"/>
  <c r="K116" i="20"/>
  <c r="O116" i="20" s="1"/>
  <c r="K183" i="20"/>
  <c r="O183" i="20" s="1"/>
  <c r="K189" i="20"/>
  <c r="O189" i="20" s="1"/>
  <c r="K188" i="20"/>
  <c r="O188" i="20" s="1"/>
  <c r="K179" i="20"/>
  <c r="O179" i="20" s="1"/>
  <c r="K186" i="20"/>
  <c r="O186" i="20" s="1"/>
  <c r="K177" i="20"/>
  <c r="O177" i="20" s="1"/>
  <c r="J9" i="20" l="1"/>
  <c r="K8" i="20"/>
  <c r="O8" i="20" s="1"/>
  <c r="G31" i="20"/>
  <c r="B85" i="20"/>
  <c r="AC36" i="20" s="1"/>
  <c r="AC31" i="20"/>
  <c r="AD31" i="20"/>
  <c r="AE31" i="20"/>
  <c r="AE36" i="20"/>
  <c r="AM31" i="20"/>
  <c r="AO31" i="20"/>
  <c r="AN31" i="20"/>
  <c r="AB31" i="20"/>
  <c r="AP31" i="20"/>
  <c r="AB36" i="20"/>
  <c r="AL31" i="20"/>
  <c r="G30" i="20"/>
  <c r="G83" i="21"/>
  <c r="G84" i="21"/>
  <c r="G85" i="21"/>
  <c r="G86" i="21"/>
  <c r="G87" i="21"/>
  <c r="G88" i="21"/>
  <c r="G89" i="21"/>
  <c r="G90" i="21"/>
  <c r="G91" i="21"/>
  <c r="G92" i="21"/>
  <c r="G93" i="21"/>
  <c r="G94" i="21"/>
  <c r="G82" i="21"/>
  <c r="E57" i="21"/>
  <c r="E58" i="21"/>
  <c r="F58" i="21" s="1"/>
  <c r="E59" i="21"/>
  <c r="E60" i="21"/>
  <c r="F60" i="21" s="1"/>
  <c r="E61" i="21"/>
  <c r="E62" i="21"/>
  <c r="F62" i="21" s="1"/>
  <c r="E63" i="21"/>
  <c r="E64" i="21"/>
  <c r="F64" i="21" s="1"/>
  <c r="E65" i="21"/>
  <c r="E66" i="21"/>
  <c r="F66" i="21" s="1"/>
  <c r="E67" i="21"/>
  <c r="E68" i="21"/>
  <c r="F68" i="21" s="1"/>
  <c r="G69" i="21" s="1"/>
  <c r="AD36" i="20" l="1"/>
  <c r="J10" i="20"/>
  <c r="K9" i="20"/>
  <c r="O9" i="20" s="1"/>
  <c r="B86" i="20"/>
  <c r="AT31" i="20"/>
  <c r="AS31" i="20"/>
  <c r="AR31" i="20"/>
  <c r="AQ31" i="20"/>
  <c r="G33" i="20"/>
  <c r="G32" i="20"/>
  <c r="F63" i="21"/>
  <c r="G63" i="21" s="1"/>
  <c r="F65" i="21"/>
  <c r="G65" i="21" s="1"/>
  <c r="F67" i="21"/>
  <c r="G68" i="21" s="1"/>
  <c r="F57" i="21"/>
  <c r="G58" i="21" s="1"/>
  <c r="F59" i="21"/>
  <c r="G59" i="21" s="1"/>
  <c r="F61" i="21"/>
  <c r="G62" i="21" s="1"/>
  <c r="B82" i="13"/>
  <c r="B94" i="18"/>
  <c r="B82" i="18"/>
  <c r="B94" i="19"/>
  <c r="B82" i="19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F2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G60" i="21" l="1"/>
  <c r="G67" i="21"/>
  <c r="G64" i="21"/>
  <c r="G66" i="21"/>
  <c r="K10" i="20"/>
  <c r="O10" i="20" s="1"/>
  <c r="J11" i="20"/>
  <c r="AC41" i="20"/>
  <c r="AD41" i="20"/>
  <c r="AB41" i="20"/>
  <c r="AE41" i="20"/>
  <c r="B87" i="20"/>
  <c r="AC46" i="20" s="1"/>
  <c r="G35" i="20"/>
  <c r="G34" i="20"/>
  <c r="G61" i="21"/>
  <c r="AD46" i="20" l="1"/>
  <c r="K11" i="20"/>
  <c r="O11" i="20" s="1"/>
  <c r="J12" i="20"/>
  <c r="AC51" i="20"/>
  <c r="G36" i="20"/>
  <c r="AB46" i="20"/>
  <c r="B88" i="20"/>
  <c r="G37" i="20"/>
  <c r="AE46" i="20"/>
  <c r="B83" i="18"/>
  <c r="B84" i="13"/>
  <c r="B83" i="13"/>
  <c r="B85" i="13"/>
  <c r="F94" i="26"/>
  <c r="E94" i="26"/>
  <c r="F93" i="26"/>
  <c r="E93" i="26"/>
  <c r="F92" i="26"/>
  <c r="E92" i="26"/>
  <c r="F91" i="26"/>
  <c r="E91" i="26"/>
  <c r="C91" i="26"/>
  <c r="F90" i="26"/>
  <c r="E90" i="26"/>
  <c r="F89" i="26"/>
  <c r="E89" i="26"/>
  <c r="C89" i="26"/>
  <c r="F88" i="26"/>
  <c r="E88" i="26"/>
  <c r="F87" i="26"/>
  <c r="E87" i="26"/>
  <c r="F86" i="26"/>
  <c r="E86" i="26"/>
  <c r="F85" i="26"/>
  <c r="E85" i="26"/>
  <c r="F84" i="26"/>
  <c r="E84" i="26"/>
  <c r="F83" i="26"/>
  <c r="E83" i="26"/>
  <c r="C83" i="26"/>
  <c r="F82" i="26"/>
  <c r="E82" i="26"/>
  <c r="E47" i="26"/>
  <c r="F47" i="26" s="1"/>
  <c r="G48" i="26" s="1"/>
  <c r="E46" i="26"/>
  <c r="F46" i="26" s="1"/>
  <c r="E45" i="26"/>
  <c r="C92" i="26"/>
  <c r="E44" i="26"/>
  <c r="F44" i="26" s="1"/>
  <c r="E43" i="26"/>
  <c r="F43" i="26" s="1"/>
  <c r="E42" i="26"/>
  <c r="F42" i="26" s="1"/>
  <c r="E41" i="26"/>
  <c r="F41" i="26" s="1"/>
  <c r="C90" i="26"/>
  <c r="E40" i="26"/>
  <c r="F40" i="26" s="1"/>
  <c r="E39" i="26"/>
  <c r="F39" i="26" s="1"/>
  <c r="E38" i="26"/>
  <c r="F38" i="26" s="1"/>
  <c r="E37" i="26"/>
  <c r="F37" i="26" s="1"/>
  <c r="C88" i="26"/>
  <c r="E36" i="26"/>
  <c r="F36" i="26" s="1"/>
  <c r="E35" i="26"/>
  <c r="C87" i="26"/>
  <c r="E34" i="26"/>
  <c r="F34" i="26" s="1"/>
  <c r="E33" i="26"/>
  <c r="F33" i="26" s="1"/>
  <c r="C86" i="26"/>
  <c r="E32" i="26"/>
  <c r="F32" i="26" s="1"/>
  <c r="E31" i="26"/>
  <c r="F31" i="26" s="1"/>
  <c r="E30" i="26"/>
  <c r="F30" i="26" s="1"/>
  <c r="E29" i="26"/>
  <c r="C84" i="26"/>
  <c r="E28" i="26"/>
  <c r="F28" i="26" s="1"/>
  <c r="E27" i="26"/>
  <c r="F27" i="26" s="1"/>
  <c r="E26" i="26"/>
  <c r="F26" i="26" s="1"/>
  <c r="E25" i="26"/>
  <c r="F25" i="26" s="1"/>
  <c r="G25" i="26" s="1"/>
  <c r="C82" i="26"/>
  <c r="F19" i="26"/>
  <c r="F15" i="26"/>
  <c r="F13" i="26"/>
  <c r="F11" i="26"/>
  <c r="F10" i="26"/>
  <c r="F9" i="26"/>
  <c r="D9" i="26"/>
  <c r="F8" i="26"/>
  <c r="F6" i="26"/>
  <c r="F5" i="26"/>
  <c r="K12" i="20" l="1"/>
  <c r="O12" i="20" s="1"/>
  <c r="J13" i="20"/>
  <c r="G38" i="20"/>
  <c r="AE51" i="20"/>
  <c r="AD51" i="20"/>
  <c r="AB51" i="20"/>
  <c r="B89" i="20"/>
  <c r="AD56" i="20" s="1"/>
  <c r="G39" i="20"/>
  <c r="B84" i="18"/>
  <c r="B86" i="13"/>
  <c r="G27" i="26"/>
  <c r="G28" i="26"/>
  <c r="G26" i="26"/>
  <c r="F29" i="26"/>
  <c r="F45" i="26"/>
  <c r="F35" i="26"/>
  <c r="C85" i="26"/>
  <c r="C93" i="26"/>
  <c r="E53" i="21"/>
  <c r="F53" i="21" s="1"/>
  <c r="E54" i="21"/>
  <c r="F54" i="21" s="1"/>
  <c r="E55" i="21"/>
  <c r="F55" i="21" s="1"/>
  <c r="E56" i="21"/>
  <c r="F56" i="21" s="1"/>
  <c r="G57" i="21" s="1"/>
  <c r="E41" i="21"/>
  <c r="E42" i="21"/>
  <c r="F42" i="21" s="1"/>
  <c r="E43" i="21"/>
  <c r="E44" i="21"/>
  <c r="F44" i="21" s="1"/>
  <c r="E45" i="21"/>
  <c r="F45" i="21" s="1"/>
  <c r="E46" i="21"/>
  <c r="F46" i="21" s="1"/>
  <c r="E47" i="21"/>
  <c r="E48" i="21"/>
  <c r="F48" i="21" s="1"/>
  <c r="E49" i="21"/>
  <c r="E50" i="21"/>
  <c r="F50" i="21" s="1"/>
  <c r="E51" i="21"/>
  <c r="E52" i="21"/>
  <c r="F52" i="21" s="1"/>
  <c r="C93" i="19"/>
  <c r="C89" i="19"/>
  <c r="C85" i="19"/>
  <c r="F93" i="19"/>
  <c r="E93" i="19"/>
  <c r="F92" i="19"/>
  <c r="E92" i="19"/>
  <c r="E91" i="18"/>
  <c r="F91" i="18"/>
  <c r="E92" i="18"/>
  <c r="F92" i="18"/>
  <c r="E93" i="18"/>
  <c r="F93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92" i="19"/>
  <c r="C91" i="19"/>
  <c r="C90" i="19"/>
  <c r="C88" i="19"/>
  <c r="C87" i="19"/>
  <c r="C86" i="19"/>
  <c r="C84" i="19"/>
  <c r="C83" i="19"/>
  <c r="C82" i="19"/>
  <c r="AE56" i="20" l="1"/>
  <c r="K13" i="20"/>
  <c r="O13" i="20" s="1"/>
  <c r="J14" i="20"/>
  <c r="AC56" i="20"/>
  <c r="AB56" i="20"/>
  <c r="B90" i="20"/>
  <c r="G41" i="20"/>
  <c r="G40" i="20"/>
  <c r="F51" i="21"/>
  <c r="F49" i="21"/>
  <c r="F47" i="21"/>
  <c r="F43" i="21"/>
  <c r="F41" i="21"/>
  <c r="B84" i="19"/>
  <c r="B83" i="19"/>
  <c r="B85" i="18"/>
  <c r="B87" i="13"/>
  <c r="G29" i="26"/>
  <c r="B85" i="19"/>
  <c r="K14" i="20" l="1"/>
  <c r="O14" i="20" s="1"/>
  <c r="J15" i="20"/>
  <c r="G42" i="20"/>
  <c r="B91" i="20"/>
  <c r="G43" i="20"/>
  <c r="B86" i="18"/>
  <c r="B88" i="13"/>
  <c r="G31" i="26"/>
  <c r="G30" i="26"/>
  <c r="B86" i="19"/>
  <c r="K15" i="20" l="1"/>
  <c r="O15" i="20" s="1"/>
  <c r="J16" i="20"/>
  <c r="B92" i="20"/>
  <c r="G45" i="20"/>
  <c r="G44" i="20"/>
  <c r="B87" i="18"/>
  <c r="B89" i="13"/>
  <c r="G33" i="26"/>
  <c r="G32" i="26"/>
  <c r="B87" i="19"/>
  <c r="F24" i="24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C140" i="21"/>
  <c r="Q140" i="21"/>
  <c r="N140" i="21"/>
  <c r="AE139" i="21"/>
  <c r="AD139" i="21"/>
  <c r="AC139" i="21"/>
  <c r="AB139" i="21"/>
  <c r="Q139" i="21"/>
  <c r="N139" i="21"/>
  <c r="AE138" i="21"/>
  <c r="AD138" i="21"/>
  <c r="AC138" i="21"/>
  <c r="AB138" i="21"/>
  <c r="Q138" i="21"/>
  <c r="N138" i="21"/>
  <c r="AE137" i="21"/>
  <c r="AD137" i="21"/>
  <c r="AC137" i="21"/>
  <c r="AB137" i="21"/>
  <c r="Q137" i="21"/>
  <c r="N137" i="21"/>
  <c r="AE136" i="21"/>
  <c r="AD136" i="21"/>
  <c r="AC136" i="21"/>
  <c r="AB136" i="21"/>
  <c r="Q136" i="21"/>
  <c r="N136" i="21"/>
  <c r="AE135" i="21"/>
  <c r="AD135" i="21"/>
  <c r="AC135" i="21"/>
  <c r="AB135" i="21"/>
  <c r="Q135" i="21"/>
  <c r="N135" i="21"/>
  <c r="AE134" i="21"/>
  <c r="AD134" i="21"/>
  <c r="AC134" i="21"/>
  <c r="AB134" i="21"/>
  <c r="Q134" i="21"/>
  <c r="N134" i="21"/>
  <c r="AE133" i="21"/>
  <c r="AD133" i="21"/>
  <c r="AC133" i="21"/>
  <c r="AB133" i="21"/>
  <c r="Q133" i="21"/>
  <c r="N133" i="21"/>
  <c r="AE132" i="21"/>
  <c r="AD132" i="21"/>
  <c r="AC132" i="21"/>
  <c r="AB132" i="21"/>
  <c r="Q132" i="21"/>
  <c r="N132" i="21"/>
  <c r="AE131" i="21"/>
  <c r="AD131" i="21"/>
  <c r="AC131" i="21"/>
  <c r="AB131" i="21"/>
  <c r="Q131" i="21"/>
  <c r="N131" i="21"/>
  <c r="AE130" i="21"/>
  <c r="AD130" i="21"/>
  <c r="AC130" i="21"/>
  <c r="AB130" i="21"/>
  <c r="Q130" i="21"/>
  <c r="N130" i="21"/>
  <c r="AE129" i="21"/>
  <c r="AD129" i="21"/>
  <c r="AC129" i="21"/>
  <c r="AB129" i="21"/>
  <c r="Q129" i="21"/>
  <c r="N129" i="21"/>
  <c r="AE128" i="21"/>
  <c r="AD128" i="21"/>
  <c r="AC128" i="21"/>
  <c r="AB128" i="21"/>
  <c r="Q128" i="21"/>
  <c r="N128" i="21"/>
  <c r="AE127" i="21"/>
  <c r="AD127" i="21"/>
  <c r="AC127" i="21"/>
  <c r="AB127" i="21"/>
  <c r="Q127" i="21"/>
  <c r="N127" i="21"/>
  <c r="AE126" i="21"/>
  <c r="AD126" i="21"/>
  <c r="AC126" i="21"/>
  <c r="AB126" i="21"/>
  <c r="Q126" i="21"/>
  <c r="N126" i="21"/>
  <c r="AE125" i="21"/>
  <c r="AD125" i="21"/>
  <c r="AC125" i="21"/>
  <c r="AB125" i="21"/>
  <c r="Q125" i="21"/>
  <c r="N125" i="21"/>
  <c r="AE124" i="21"/>
  <c r="AD124" i="21"/>
  <c r="AC124" i="21"/>
  <c r="AB124" i="21"/>
  <c r="Q124" i="21"/>
  <c r="N124" i="21"/>
  <c r="AE123" i="21"/>
  <c r="AD123" i="21"/>
  <c r="AC123" i="21"/>
  <c r="AB123" i="21"/>
  <c r="Q123" i="21"/>
  <c r="N123" i="21"/>
  <c r="D123" i="21"/>
  <c r="AE122" i="21"/>
  <c r="AD122" i="21"/>
  <c r="AC122" i="21"/>
  <c r="AB122" i="21"/>
  <c r="Q122" i="21"/>
  <c r="N122" i="21"/>
  <c r="AE121" i="21"/>
  <c r="AD121" i="21"/>
  <c r="AC121" i="21"/>
  <c r="AB121" i="21"/>
  <c r="Q121" i="21"/>
  <c r="N121" i="21"/>
  <c r="AE120" i="21"/>
  <c r="AD120" i="21"/>
  <c r="AC120" i="21"/>
  <c r="AB120" i="21"/>
  <c r="Q120" i="21"/>
  <c r="N120" i="21"/>
  <c r="AE119" i="21"/>
  <c r="AD119" i="21"/>
  <c r="AC119" i="21"/>
  <c r="AB119" i="21"/>
  <c r="Q119" i="21"/>
  <c r="N119" i="21"/>
  <c r="AE118" i="21"/>
  <c r="AD118" i="21"/>
  <c r="AC118" i="21"/>
  <c r="AB118" i="21"/>
  <c r="Q118" i="21"/>
  <c r="N118" i="21"/>
  <c r="AE117" i="21"/>
  <c r="AD117" i="21"/>
  <c r="AC117" i="21"/>
  <c r="AB117" i="21"/>
  <c r="Q117" i="21"/>
  <c r="N117" i="21"/>
  <c r="AE116" i="21"/>
  <c r="AD116" i="21"/>
  <c r="AC116" i="21"/>
  <c r="AB116" i="21"/>
  <c r="Q116" i="21"/>
  <c r="N116" i="21"/>
  <c r="AE115" i="21"/>
  <c r="AD115" i="21"/>
  <c r="AC115" i="21"/>
  <c r="AB115" i="21"/>
  <c r="Q115" i="21"/>
  <c r="N115" i="21"/>
  <c r="AE114" i="21"/>
  <c r="AD114" i="21"/>
  <c r="AC114" i="21"/>
  <c r="AB114" i="21"/>
  <c r="Q114" i="21"/>
  <c r="N114" i="21"/>
  <c r="AE113" i="21"/>
  <c r="AD113" i="21"/>
  <c r="AC113" i="21"/>
  <c r="AB113" i="21"/>
  <c r="Q113" i="21"/>
  <c r="N113" i="21"/>
  <c r="AE112" i="21"/>
  <c r="AD112" i="21"/>
  <c r="AC112" i="21"/>
  <c r="AB112" i="21"/>
  <c r="Q112" i="21"/>
  <c r="N112" i="21"/>
  <c r="AE111" i="21"/>
  <c r="AD111" i="21"/>
  <c r="AC111" i="21"/>
  <c r="AB111" i="21"/>
  <c r="Q111" i="21"/>
  <c r="N111" i="21"/>
  <c r="AE110" i="21"/>
  <c r="AD110" i="21"/>
  <c r="AC110" i="21"/>
  <c r="AB110" i="21"/>
  <c r="Q110" i="21"/>
  <c r="N110" i="21"/>
  <c r="AE109" i="21"/>
  <c r="AD109" i="21"/>
  <c r="AC109" i="21"/>
  <c r="AB109" i="21"/>
  <c r="Q109" i="21"/>
  <c r="N109" i="21"/>
  <c r="AE108" i="21"/>
  <c r="AD108" i="21"/>
  <c r="AC108" i="21"/>
  <c r="AB108" i="21"/>
  <c r="Q108" i="21"/>
  <c r="N108" i="21"/>
  <c r="G108" i="21"/>
  <c r="AE107" i="21"/>
  <c r="AD107" i="21"/>
  <c r="AC107" i="21"/>
  <c r="AB107" i="21"/>
  <c r="Q107" i="21"/>
  <c r="N107" i="21"/>
  <c r="D107" i="21"/>
  <c r="C107" i="21"/>
  <c r="AE106" i="21"/>
  <c r="AD106" i="21"/>
  <c r="AC106" i="21"/>
  <c r="AB106" i="21"/>
  <c r="Q106" i="21"/>
  <c r="N106" i="21"/>
  <c r="AE105" i="21"/>
  <c r="AD105" i="21"/>
  <c r="AC105" i="21"/>
  <c r="AB105" i="21"/>
  <c r="Q105" i="21"/>
  <c r="N105" i="21"/>
  <c r="AE104" i="21"/>
  <c r="AD104" i="21"/>
  <c r="AC104" i="21"/>
  <c r="AB104" i="21"/>
  <c r="Q104" i="21"/>
  <c r="N104" i="21"/>
  <c r="AE103" i="21"/>
  <c r="AD103" i="21"/>
  <c r="AC103" i="21"/>
  <c r="AB103" i="21"/>
  <c r="Q103" i="21"/>
  <c r="N103" i="21"/>
  <c r="AE102" i="21"/>
  <c r="AD102" i="21"/>
  <c r="AC102" i="21"/>
  <c r="AB102" i="21"/>
  <c r="Q102" i="21"/>
  <c r="N102" i="21"/>
  <c r="AE101" i="21"/>
  <c r="AD101" i="21"/>
  <c r="AC101" i="21"/>
  <c r="AB101" i="21"/>
  <c r="N101" i="21"/>
  <c r="AE100" i="21"/>
  <c r="AD100" i="21"/>
  <c r="AC100" i="21"/>
  <c r="AB100" i="21"/>
  <c r="N100" i="21"/>
  <c r="AE99" i="21"/>
  <c r="AD99" i="21"/>
  <c r="AC99" i="21"/>
  <c r="AB99" i="21"/>
  <c r="N99" i="21"/>
  <c r="AE98" i="21"/>
  <c r="AD98" i="21"/>
  <c r="AC98" i="21"/>
  <c r="AB98" i="21"/>
  <c r="N98" i="21"/>
  <c r="AE97" i="21"/>
  <c r="AD97" i="21"/>
  <c r="AC97" i="21"/>
  <c r="AB97" i="21"/>
  <c r="N97" i="21"/>
  <c r="AE96" i="21"/>
  <c r="AD96" i="21"/>
  <c r="AC96" i="21"/>
  <c r="AB96" i="21"/>
  <c r="N96" i="21"/>
  <c r="N95" i="21"/>
  <c r="N94" i="21"/>
  <c r="F94" i="21"/>
  <c r="AE140" i="21" s="1"/>
  <c r="E94" i="21"/>
  <c r="AD140" i="21" s="1"/>
  <c r="N93" i="21"/>
  <c r="F93" i="21"/>
  <c r="E93" i="21"/>
  <c r="C93" i="21"/>
  <c r="N92" i="21"/>
  <c r="F92" i="21"/>
  <c r="E92" i="21"/>
  <c r="C92" i="21"/>
  <c r="N91" i="21"/>
  <c r="F91" i="21"/>
  <c r="E91" i="21"/>
  <c r="C91" i="21"/>
  <c r="N90" i="21"/>
  <c r="F90" i="21"/>
  <c r="E90" i="21"/>
  <c r="C90" i="21"/>
  <c r="N89" i="21"/>
  <c r="F89" i="21"/>
  <c r="E89" i="21"/>
  <c r="C89" i="21"/>
  <c r="N88" i="21"/>
  <c r="F88" i="21"/>
  <c r="E88" i="21"/>
  <c r="C88" i="21"/>
  <c r="N87" i="21"/>
  <c r="F87" i="21"/>
  <c r="E87" i="21"/>
  <c r="C87" i="21"/>
  <c r="N86" i="21"/>
  <c r="F86" i="21"/>
  <c r="E86" i="21"/>
  <c r="C86" i="21"/>
  <c r="N85" i="21"/>
  <c r="F85" i="21"/>
  <c r="E85" i="21"/>
  <c r="C85" i="21"/>
  <c r="N84" i="21"/>
  <c r="F84" i="21"/>
  <c r="E84" i="21"/>
  <c r="C84" i="21"/>
  <c r="N83" i="21"/>
  <c r="F83" i="21"/>
  <c r="E83" i="21"/>
  <c r="C83" i="21"/>
  <c r="N82" i="21"/>
  <c r="F82" i="21"/>
  <c r="E82" i="21"/>
  <c r="C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E33" i="21"/>
  <c r="F33" i="21" s="1"/>
  <c r="N32" i="21"/>
  <c r="E32" i="21"/>
  <c r="F32" i="21" s="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N27" i="21"/>
  <c r="E27" i="21"/>
  <c r="F27" i="21" s="1"/>
  <c r="N26" i="21"/>
  <c r="E26" i="21"/>
  <c r="F26" i="21" s="1"/>
  <c r="N25" i="21"/>
  <c r="E25" i="21"/>
  <c r="F25" i="21" s="1"/>
  <c r="G25" i="21" s="1"/>
  <c r="N24" i="21"/>
  <c r="N23" i="21"/>
  <c r="N22" i="21"/>
  <c r="N21" i="21"/>
  <c r="N20" i="21"/>
  <c r="N19" i="21"/>
  <c r="F19" i="21"/>
  <c r="S5" i="21" s="1"/>
  <c r="T5" i="21" s="1"/>
  <c r="N18" i="21"/>
  <c r="N17" i="21"/>
  <c r="N16" i="21"/>
  <c r="N15" i="21"/>
  <c r="F15" i="21"/>
  <c r="N14" i="21"/>
  <c r="N13" i="21"/>
  <c r="F13" i="21"/>
  <c r="N12" i="21"/>
  <c r="N11" i="21"/>
  <c r="F11" i="21"/>
  <c r="N10" i="21"/>
  <c r="F10" i="21"/>
  <c r="N9" i="21"/>
  <c r="F9" i="21"/>
  <c r="D9" i="21"/>
  <c r="N8" i="21"/>
  <c r="F8" i="21"/>
  <c r="N7" i="21"/>
  <c r="N6" i="21"/>
  <c r="F6" i="21"/>
  <c r="V7" i="21" s="1"/>
  <c r="AI5" i="21"/>
  <c r="N5" i="21"/>
  <c r="F5" i="21"/>
  <c r="U19" i="21" s="1"/>
  <c r="V96" i="21" l="1"/>
  <c r="U102" i="21"/>
  <c r="U105" i="21"/>
  <c r="U99" i="21"/>
  <c r="V100" i="21"/>
  <c r="U107" i="21"/>
  <c r="U64" i="21"/>
  <c r="U98" i="21"/>
  <c r="V99" i="21"/>
  <c r="V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01" i="21"/>
  <c r="U104" i="21"/>
  <c r="U106" i="21"/>
  <c r="U17" i="21"/>
  <c r="U97" i="21"/>
  <c r="V98" i="21"/>
  <c r="V108" i="21"/>
  <c r="V109" i="21"/>
  <c r="V110" i="21"/>
  <c r="V111" i="21"/>
  <c r="V112" i="21"/>
  <c r="V113" i="21"/>
  <c r="V114" i="21"/>
  <c r="V115" i="21"/>
  <c r="V116" i="21"/>
  <c r="V117" i="21"/>
  <c r="V118" i="21"/>
  <c r="V119" i="21"/>
  <c r="V120" i="21"/>
  <c r="V121" i="21"/>
  <c r="V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56" i="21"/>
  <c r="U96" i="21"/>
  <c r="V97" i="21"/>
  <c r="V123" i="21"/>
  <c r="V124" i="21"/>
  <c r="V125" i="21"/>
  <c r="V126" i="21"/>
  <c r="V127" i="21"/>
  <c r="V128" i="21"/>
  <c r="V129" i="21"/>
  <c r="V130" i="21"/>
  <c r="V131" i="21"/>
  <c r="V132" i="21"/>
  <c r="V133" i="21"/>
  <c r="V134" i="21"/>
  <c r="V135" i="21"/>
  <c r="V136" i="21"/>
  <c r="V137" i="21"/>
  <c r="V138" i="21"/>
  <c r="V139" i="21"/>
  <c r="V140" i="21"/>
  <c r="U103" i="21"/>
  <c r="U100" i="21"/>
  <c r="V101" i="21"/>
  <c r="V102" i="21"/>
  <c r="V103" i="21"/>
  <c r="V104" i="21"/>
  <c r="V105" i="21"/>
  <c r="V106" i="21"/>
  <c r="K16" i="20"/>
  <c r="O16" i="20" s="1"/>
  <c r="J17" i="20"/>
  <c r="B93" i="20"/>
  <c r="G47" i="20"/>
  <c r="G46" i="20"/>
  <c r="H91" i="21"/>
  <c r="H87" i="21"/>
  <c r="H93" i="21"/>
  <c r="H92" i="21"/>
  <c r="B88" i="18"/>
  <c r="B90" i="13"/>
  <c r="G35" i="26"/>
  <c r="G34" i="26"/>
  <c r="V53" i="21"/>
  <c r="U48" i="21"/>
  <c r="V61" i="21"/>
  <c r="V77" i="21"/>
  <c r="U87" i="21"/>
  <c r="U6" i="21"/>
  <c r="U9" i="21"/>
  <c r="V48" i="21"/>
  <c r="U51" i="21"/>
  <c r="V56" i="21"/>
  <c r="U59" i="21"/>
  <c r="V64" i="21"/>
  <c r="U67" i="21"/>
  <c r="V72" i="21"/>
  <c r="U75" i="21"/>
  <c r="V80" i="21"/>
  <c r="V83" i="21"/>
  <c r="V87" i="21"/>
  <c r="V91" i="21"/>
  <c r="V69" i="21"/>
  <c r="L29" i="21"/>
  <c r="U46" i="21"/>
  <c r="V51" i="21"/>
  <c r="U54" i="21"/>
  <c r="V59" i="21"/>
  <c r="U62" i="21"/>
  <c r="V67" i="21"/>
  <c r="U70" i="21"/>
  <c r="V75" i="21"/>
  <c r="U78" i="21"/>
  <c r="U82" i="21"/>
  <c r="U86" i="21"/>
  <c r="U90" i="21"/>
  <c r="U94" i="21"/>
  <c r="U83" i="21"/>
  <c r="U91" i="21"/>
  <c r="U7" i="21"/>
  <c r="V46" i="21"/>
  <c r="U49" i="21"/>
  <c r="V54" i="21"/>
  <c r="U57" i="21"/>
  <c r="V62" i="21"/>
  <c r="U65" i="21"/>
  <c r="V70" i="21"/>
  <c r="U73" i="21"/>
  <c r="V78" i="21"/>
  <c r="U81" i="21"/>
  <c r="V82" i="21"/>
  <c r="V86" i="21"/>
  <c r="V90" i="21"/>
  <c r="V94" i="21"/>
  <c r="V15" i="21"/>
  <c r="V49" i="21"/>
  <c r="U52" i="21"/>
  <c r="V57" i="21"/>
  <c r="U60" i="21"/>
  <c r="V65" i="21"/>
  <c r="U68" i="21"/>
  <c r="V73" i="21"/>
  <c r="U76" i="21"/>
  <c r="V81" i="21"/>
  <c r="U85" i="21"/>
  <c r="U89" i="21"/>
  <c r="U93" i="21"/>
  <c r="U72" i="21"/>
  <c r="U20" i="21"/>
  <c r="U47" i="21"/>
  <c r="V52" i="21"/>
  <c r="U55" i="21"/>
  <c r="V60" i="21"/>
  <c r="U63" i="21"/>
  <c r="V68" i="21"/>
  <c r="U71" i="21"/>
  <c r="V76" i="21"/>
  <c r="U79" i="21"/>
  <c r="V85" i="21"/>
  <c r="V89" i="21"/>
  <c r="V93" i="21"/>
  <c r="U95" i="21"/>
  <c r="U80" i="21"/>
  <c r="U16" i="21"/>
  <c r="V47" i="21"/>
  <c r="U50" i="21"/>
  <c r="V55" i="21"/>
  <c r="U58" i="21"/>
  <c r="V63" i="21"/>
  <c r="U66" i="21"/>
  <c r="V71" i="21"/>
  <c r="U74" i="21"/>
  <c r="V79" i="21"/>
  <c r="U84" i="21"/>
  <c r="U88" i="21"/>
  <c r="U92" i="21"/>
  <c r="V95" i="21"/>
  <c r="V50" i="21"/>
  <c r="U53" i="21"/>
  <c r="V58" i="21"/>
  <c r="U61" i="21"/>
  <c r="V66" i="21"/>
  <c r="U69" i="21"/>
  <c r="V74" i="21"/>
  <c r="U77" i="21"/>
  <c r="V84" i="21"/>
  <c r="V88" i="21"/>
  <c r="V92" i="21"/>
  <c r="H90" i="21"/>
  <c r="H89" i="21"/>
  <c r="H83" i="21"/>
  <c r="G26" i="21"/>
  <c r="H85" i="21"/>
  <c r="L8" i="21"/>
  <c r="J6" i="21"/>
  <c r="K6" i="21" s="1"/>
  <c r="M15" i="21"/>
  <c r="L9" i="21"/>
  <c r="B88" i="19"/>
  <c r="H84" i="21"/>
  <c r="V5" i="21"/>
  <c r="X5" i="21" s="1"/>
  <c r="L6" i="21"/>
  <c r="V6" i="21"/>
  <c r="M8" i="21"/>
  <c r="M204" i="21"/>
  <c r="M200" i="21"/>
  <c r="M196" i="21"/>
  <c r="M192" i="21"/>
  <c r="M188" i="21"/>
  <c r="M184" i="21"/>
  <c r="M180" i="21"/>
  <c r="M176" i="21"/>
  <c r="M172" i="21"/>
  <c r="M168" i="21"/>
  <c r="M164" i="21"/>
  <c r="M160" i="21"/>
  <c r="M156" i="21"/>
  <c r="M152" i="21"/>
  <c r="L204" i="21"/>
  <c r="J203" i="21"/>
  <c r="L200" i="21"/>
  <c r="J199" i="21"/>
  <c r="L196" i="21"/>
  <c r="J195" i="21"/>
  <c r="L192" i="21"/>
  <c r="J191" i="21"/>
  <c r="L188" i="21"/>
  <c r="J187" i="21"/>
  <c r="L184" i="21"/>
  <c r="J183" i="21"/>
  <c r="L180" i="21"/>
  <c r="J179" i="21"/>
  <c r="L176" i="21"/>
  <c r="J175" i="21"/>
  <c r="L172" i="21"/>
  <c r="J171" i="21"/>
  <c r="L168" i="21"/>
  <c r="J167" i="21"/>
  <c r="L164" i="21"/>
  <c r="J163" i="21"/>
  <c r="L160" i="21"/>
  <c r="J159" i="21"/>
  <c r="L156" i="21"/>
  <c r="J155" i="21"/>
  <c r="M205" i="21"/>
  <c r="M201" i="21"/>
  <c r="M197" i="21"/>
  <c r="M193" i="21"/>
  <c r="M189" i="21"/>
  <c r="M185" i="21"/>
  <c r="M181" i="21"/>
  <c r="M177" i="21"/>
  <c r="M173" i="21"/>
  <c r="M169" i="21"/>
  <c r="M165" i="21"/>
  <c r="M161" i="21"/>
  <c r="M157" i="21"/>
  <c r="M153" i="21"/>
  <c r="L205" i="21"/>
  <c r="J204" i="21"/>
  <c r="L201" i="21"/>
  <c r="J200" i="21"/>
  <c r="L197" i="21"/>
  <c r="J196" i="21"/>
  <c r="L193" i="21"/>
  <c r="J192" i="21"/>
  <c r="L189" i="21"/>
  <c r="J188" i="21"/>
  <c r="L185" i="21"/>
  <c r="J184" i="21"/>
  <c r="L181" i="21"/>
  <c r="J180" i="21"/>
  <c r="L177" i="21"/>
  <c r="J176" i="21"/>
  <c r="L173" i="21"/>
  <c r="J172" i="21"/>
  <c r="L169" i="21"/>
  <c r="J168" i="21"/>
  <c r="L165" i="21"/>
  <c r="J164" i="21"/>
  <c r="L161" i="21"/>
  <c r="J160" i="21"/>
  <c r="L157" i="21"/>
  <c r="J156" i="21"/>
  <c r="L153" i="21"/>
  <c r="J152" i="21"/>
  <c r="L149" i="21"/>
  <c r="J148" i="21"/>
  <c r="L145" i="21"/>
  <c r="J144" i="21"/>
  <c r="L141" i="21"/>
  <c r="L137" i="21"/>
  <c r="L133" i="21"/>
  <c r="L129" i="21"/>
  <c r="L123" i="21"/>
  <c r="M122" i="21"/>
  <c r="M202" i="21"/>
  <c r="M198" i="21"/>
  <c r="M194" i="21"/>
  <c r="M190" i="21"/>
  <c r="M186" i="21"/>
  <c r="M182" i="21"/>
  <c r="M178" i="21"/>
  <c r="M174" i="21"/>
  <c r="M170" i="21"/>
  <c r="M166" i="21"/>
  <c r="M162" i="21"/>
  <c r="M158" i="21"/>
  <c r="J205" i="21"/>
  <c r="L202" i="21"/>
  <c r="J201" i="21"/>
  <c r="L198" i="21"/>
  <c r="J197" i="21"/>
  <c r="L194" i="21"/>
  <c r="J193" i="21"/>
  <c r="L190" i="21"/>
  <c r="J189" i="21"/>
  <c r="L186" i="21"/>
  <c r="J185" i="21"/>
  <c r="L182" i="21"/>
  <c r="J181" i="21"/>
  <c r="L178" i="21"/>
  <c r="J177" i="21"/>
  <c r="L174" i="21"/>
  <c r="J173" i="21"/>
  <c r="L170" i="21"/>
  <c r="J169" i="21"/>
  <c r="L166" i="21"/>
  <c r="J165" i="21"/>
  <c r="L162" i="21"/>
  <c r="J161" i="21"/>
  <c r="L158" i="21"/>
  <c r="J157" i="21"/>
  <c r="L154" i="21"/>
  <c r="J153" i="21"/>
  <c r="L150" i="21"/>
  <c r="J149" i="21"/>
  <c r="L146" i="21"/>
  <c r="J145" i="21"/>
  <c r="L142" i="21"/>
  <c r="J141" i="21"/>
  <c r="L138" i="21"/>
  <c r="M203" i="21"/>
  <c r="M199" i="21"/>
  <c r="M195" i="21"/>
  <c r="M191" i="21"/>
  <c r="M187" i="21"/>
  <c r="M183" i="21"/>
  <c r="M179" i="21"/>
  <c r="M175" i="21"/>
  <c r="M171" i="21"/>
  <c r="M167" i="21"/>
  <c r="M163" i="21"/>
  <c r="M159" i="21"/>
  <c r="M155" i="21"/>
  <c r="M151" i="21"/>
  <c r="M147" i="21"/>
  <c r="M143" i="21"/>
  <c r="M139" i="21"/>
  <c r="M135" i="21"/>
  <c r="M131" i="21"/>
  <c r="M127" i="21"/>
  <c r="M125" i="21"/>
  <c r="L148" i="21"/>
  <c r="L140" i="21"/>
  <c r="L122" i="21"/>
  <c r="M119" i="21"/>
  <c r="M114" i="21"/>
  <c r="M111" i="21"/>
  <c r="L105" i="21"/>
  <c r="L101" i="21"/>
  <c r="L97" i="21"/>
  <c r="J151" i="21"/>
  <c r="M145" i="21"/>
  <c r="J143" i="21"/>
  <c r="M137" i="21"/>
  <c r="L119" i="21"/>
  <c r="L114" i="21"/>
  <c r="M113" i="21"/>
  <c r="L111" i="21"/>
  <c r="M107" i="21"/>
  <c r="M106" i="21"/>
  <c r="M102" i="21"/>
  <c r="M98" i="21"/>
  <c r="M94" i="21"/>
  <c r="L89" i="21"/>
  <c r="M86" i="21"/>
  <c r="L81" i="21"/>
  <c r="L77" i="21"/>
  <c r="L73" i="21"/>
  <c r="L69" i="21"/>
  <c r="L203" i="21"/>
  <c r="J202" i="21"/>
  <c r="L195" i="21"/>
  <c r="J194" i="21"/>
  <c r="L187" i="21"/>
  <c r="J186" i="21"/>
  <c r="L179" i="21"/>
  <c r="J178" i="21"/>
  <c r="L171" i="21"/>
  <c r="J170" i="21"/>
  <c r="L163" i="21"/>
  <c r="J162" i="21"/>
  <c r="M150" i="21"/>
  <c r="M142" i="21"/>
  <c r="M134" i="21"/>
  <c r="M132" i="21"/>
  <c r="M130" i="21"/>
  <c r="M128" i="21"/>
  <c r="L125" i="21"/>
  <c r="M123" i="21"/>
  <c r="M120" i="21"/>
  <c r="M115" i="21"/>
  <c r="L113" i="21"/>
  <c r="M112" i="21"/>
  <c r="M108" i="21"/>
  <c r="L107" i="21"/>
  <c r="L106" i="21"/>
  <c r="L102" i="21"/>
  <c r="L98" i="21"/>
  <c r="L94" i="21"/>
  <c r="L155" i="21"/>
  <c r="M154" i="21"/>
  <c r="J150" i="21"/>
  <c r="L147" i="21"/>
  <c r="M144" i="21"/>
  <c r="J142" i="21"/>
  <c r="L139" i="21"/>
  <c r="M136" i="21"/>
  <c r="L134" i="21"/>
  <c r="L132" i="21"/>
  <c r="L130" i="21"/>
  <c r="L128" i="21"/>
  <c r="L120" i="21"/>
  <c r="L115" i="21"/>
  <c r="L112" i="21"/>
  <c r="L108" i="21"/>
  <c r="M103" i="21"/>
  <c r="M99" i="21"/>
  <c r="M95" i="21"/>
  <c r="L91" i="21"/>
  <c r="M88" i="21"/>
  <c r="L83" i="21"/>
  <c r="L78" i="21"/>
  <c r="L74" i="21"/>
  <c r="L70" i="21"/>
  <c r="J154" i="21"/>
  <c r="L144" i="21"/>
  <c r="L136" i="21"/>
  <c r="M121" i="21"/>
  <c r="M116" i="21"/>
  <c r="M109" i="21"/>
  <c r="L103" i="21"/>
  <c r="L99" i="21"/>
  <c r="L95" i="21"/>
  <c r="M93" i="21"/>
  <c r="L88" i="21"/>
  <c r="M85" i="21"/>
  <c r="M79" i="21"/>
  <c r="L152" i="21"/>
  <c r="M149" i="21"/>
  <c r="J147" i="21"/>
  <c r="M141" i="21"/>
  <c r="M126" i="21"/>
  <c r="M124" i="21"/>
  <c r="L121" i="21"/>
  <c r="L116" i="21"/>
  <c r="L109" i="21"/>
  <c r="M104" i="21"/>
  <c r="M100" i="21"/>
  <c r="M96" i="21"/>
  <c r="L93" i="21"/>
  <c r="M90" i="21"/>
  <c r="L85" i="21"/>
  <c r="M82" i="21"/>
  <c r="L79" i="21"/>
  <c r="L75" i="21"/>
  <c r="L71" i="21"/>
  <c r="L191" i="21"/>
  <c r="L175" i="21"/>
  <c r="L159" i="21"/>
  <c r="M146" i="21"/>
  <c r="M138" i="21"/>
  <c r="L127" i="21"/>
  <c r="L126" i="21"/>
  <c r="L82" i="21"/>
  <c r="M81" i="21"/>
  <c r="M77" i="21"/>
  <c r="J146" i="21"/>
  <c r="M129" i="21"/>
  <c r="M91" i="21"/>
  <c r="M87" i="21"/>
  <c r="L86" i="21"/>
  <c r="M80" i="21"/>
  <c r="M76" i="21"/>
  <c r="M71" i="21"/>
  <c r="M67" i="21"/>
  <c r="M63" i="21"/>
  <c r="M59" i="21"/>
  <c r="M55" i="21"/>
  <c r="M51" i="21"/>
  <c r="M47" i="21"/>
  <c r="M43" i="21"/>
  <c r="M148" i="21"/>
  <c r="M140" i="21"/>
  <c r="L87" i="21"/>
  <c r="M83" i="21"/>
  <c r="L80" i="21"/>
  <c r="L76" i="21"/>
  <c r="J198" i="21"/>
  <c r="J182" i="21"/>
  <c r="J166" i="21"/>
  <c r="L131" i="21"/>
  <c r="M92" i="21"/>
  <c r="M73" i="21"/>
  <c r="M68" i="21"/>
  <c r="M64" i="21"/>
  <c r="M60" i="21"/>
  <c r="M56" i="21"/>
  <c r="M52" i="21"/>
  <c r="M48" i="21"/>
  <c r="M44" i="21"/>
  <c r="M40" i="21"/>
  <c r="L199" i="21"/>
  <c r="L183" i="21"/>
  <c r="L167" i="21"/>
  <c r="M133" i="21"/>
  <c r="L92" i="21"/>
  <c r="M84" i="21"/>
  <c r="M70" i="21"/>
  <c r="L68" i="21"/>
  <c r="L64" i="21"/>
  <c r="L60" i="21"/>
  <c r="L56" i="21"/>
  <c r="L52" i="21"/>
  <c r="L48" i="21"/>
  <c r="L44" i="21"/>
  <c r="L40" i="21"/>
  <c r="M37" i="21"/>
  <c r="M118" i="21"/>
  <c r="M117" i="21"/>
  <c r="M110" i="21"/>
  <c r="L84" i="21"/>
  <c r="M75" i="21"/>
  <c r="M72" i="21"/>
  <c r="M65" i="21"/>
  <c r="M61" i="21"/>
  <c r="M57" i="21"/>
  <c r="M53" i="21"/>
  <c r="M49" i="21"/>
  <c r="M45" i="21"/>
  <c r="M41" i="21"/>
  <c r="L37" i="21"/>
  <c r="L151" i="21"/>
  <c r="L143" i="21"/>
  <c r="L135" i="21"/>
  <c r="L124" i="21"/>
  <c r="L118" i="21"/>
  <c r="L117" i="21"/>
  <c r="L110" i="21"/>
  <c r="M78" i="21"/>
  <c r="L72" i="21"/>
  <c r="L65" i="21"/>
  <c r="L61" i="21"/>
  <c r="L57" i="21"/>
  <c r="L53" i="21"/>
  <c r="L49" i="21"/>
  <c r="L45" i="21"/>
  <c r="L41" i="21"/>
  <c r="M39" i="21"/>
  <c r="M74" i="21"/>
  <c r="L67" i="21"/>
  <c r="M66" i="21"/>
  <c r="L59" i="21"/>
  <c r="M58" i="21"/>
  <c r="L51" i="21"/>
  <c r="M50" i="21"/>
  <c r="L42" i="21"/>
  <c r="L33" i="21"/>
  <c r="J190" i="21"/>
  <c r="L104" i="21"/>
  <c r="L66" i="21"/>
  <c r="L58" i="21"/>
  <c r="L50" i="21"/>
  <c r="M105" i="21"/>
  <c r="M89" i="21"/>
  <c r="J174" i="21"/>
  <c r="L100" i="21"/>
  <c r="L36" i="21"/>
  <c r="L34" i="21"/>
  <c r="M29" i="21"/>
  <c r="L26" i="21"/>
  <c r="L24" i="21"/>
  <c r="L23" i="21"/>
  <c r="L22" i="21"/>
  <c r="L21" i="21"/>
  <c r="M20" i="21"/>
  <c r="M19" i="21"/>
  <c r="M101" i="21"/>
  <c r="L63" i="21"/>
  <c r="M62" i="21"/>
  <c r="L55" i="21"/>
  <c r="M54" i="21"/>
  <c r="L47" i="21"/>
  <c r="M46" i="21"/>
  <c r="M32" i="21"/>
  <c r="J158" i="21"/>
  <c r="L96" i="21"/>
  <c r="L62" i="21"/>
  <c r="L54" i="21"/>
  <c r="L46" i="21"/>
  <c r="M35" i="21"/>
  <c r="L32" i="21"/>
  <c r="M27" i="21"/>
  <c r="M97" i="21"/>
  <c r="L90" i="21"/>
  <c r="M38" i="21"/>
  <c r="L35" i="21"/>
  <c r="M30" i="21"/>
  <c r="L27" i="21"/>
  <c r="L28" i="21"/>
  <c r="M25" i="21"/>
  <c r="M24" i="21"/>
  <c r="L43" i="21"/>
  <c r="M36" i="21"/>
  <c r="M21" i="21"/>
  <c r="M69" i="21"/>
  <c r="L14" i="21"/>
  <c r="L13" i="21"/>
  <c r="M12" i="21"/>
  <c r="M11" i="21"/>
  <c r="M42" i="21"/>
  <c r="L39" i="21"/>
  <c r="L38" i="21"/>
  <c r="M33" i="21"/>
  <c r="M31" i="21"/>
  <c r="L20" i="21"/>
  <c r="L19" i="21"/>
  <c r="L12" i="21"/>
  <c r="L11" i="21"/>
  <c r="M10" i="21"/>
  <c r="M34" i="21"/>
  <c r="L31" i="21"/>
  <c r="M22" i="21"/>
  <c r="M18" i="21"/>
  <c r="L10" i="21"/>
  <c r="M9" i="21"/>
  <c r="M13" i="21"/>
  <c r="V17" i="21"/>
  <c r="U18" i="21"/>
  <c r="L30" i="21"/>
  <c r="V16" i="21"/>
  <c r="M6" i="21"/>
  <c r="V14" i="21"/>
  <c r="L15" i="21"/>
  <c r="V18" i="21"/>
  <c r="M23" i="21"/>
  <c r="L25" i="21"/>
  <c r="G27" i="21"/>
  <c r="U44" i="21"/>
  <c r="U40" i="21"/>
  <c r="U37" i="21"/>
  <c r="U45" i="21"/>
  <c r="U41" i="21"/>
  <c r="U33" i="21"/>
  <c r="U38" i="21"/>
  <c r="U34" i="21"/>
  <c r="U26" i="21"/>
  <c r="U24" i="21"/>
  <c r="U23" i="21"/>
  <c r="U22" i="21"/>
  <c r="U21" i="21"/>
  <c r="U43" i="21"/>
  <c r="U42" i="21"/>
  <c r="U32" i="21"/>
  <c r="U36" i="21"/>
  <c r="U35" i="21"/>
  <c r="U27" i="21"/>
  <c r="U39" i="21"/>
  <c r="U30" i="21"/>
  <c r="U28" i="21"/>
  <c r="U25" i="21"/>
  <c r="U15" i="21"/>
  <c r="U14" i="21"/>
  <c r="U13" i="21"/>
  <c r="U29" i="21"/>
  <c r="U12" i="21"/>
  <c r="U11" i="21"/>
  <c r="U10" i="21"/>
  <c r="L16" i="21"/>
  <c r="L17" i="21"/>
  <c r="M16" i="21"/>
  <c r="M17" i="21"/>
  <c r="L18" i="21"/>
  <c r="M26" i="21"/>
  <c r="M5" i="21"/>
  <c r="O5" i="21" s="1"/>
  <c r="S203" i="21"/>
  <c r="S199" i="21"/>
  <c r="S195" i="21"/>
  <c r="S191" i="21"/>
  <c r="S187" i="21"/>
  <c r="S183" i="21"/>
  <c r="S179" i="21"/>
  <c r="S175" i="21"/>
  <c r="S171" i="21"/>
  <c r="S167" i="21"/>
  <c r="S163" i="21"/>
  <c r="S159" i="21"/>
  <c r="S155" i="21"/>
  <c r="S204" i="21"/>
  <c r="S200" i="21"/>
  <c r="S196" i="21"/>
  <c r="S192" i="21"/>
  <c r="S188" i="21"/>
  <c r="S184" i="21"/>
  <c r="S180" i="21"/>
  <c r="S176" i="21"/>
  <c r="S172" i="21"/>
  <c r="S168" i="21"/>
  <c r="S164" i="21"/>
  <c r="S160" i="21"/>
  <c r="S156" i="21"/>
  <c r="S152" i="21"/>
  <c r="S148" i="21"/>
  <c r="S144" i="21"/>
  <c r="S205" i="21"/>
  <c r="S201" i="21"/>
  <c r="S197" i="21"/>
  <c r="S193" i="21"/>
  <c r="S189" i="21"/>
  <c r="S185" i="21"/>
  <c r="S181" i="21"/>
  <c r="S177" i="21"/>
  <c r="S173" i="21"/>
  <c r="S169" i="21"/>
  <c r="S165" i="21"/>
  <c r="S161" i="21"/>
  <c r="S157" i="21"/>
  <c r="S153" i="21"/>
  <c r="S149" i="21"/>
  <c r="S145" i="21"/>
  <c r="S141" i="21"/>
  <c r="S146" i="21"/>
  <c r="S198" i="21"/>
  <c r="S190" i="21"/>
  <c r="S182" i="21"/>
  <c r="S174" i="21"/>
  <c r="S166" i="21"/>
  <c r="S158" i="21"/>
  <c r="S151" i="21"/>
  <c r="S143" i="21"/>
  <c r="S150" i="21"/>
  <c r="S142" i="21"/>
  <c r="S194" i="21"/>
  <c r="S178" i="21"/>
  <c r="S162" i="21"/>
  <c r="S202" i="21"/>
  <c r="S186" i="21"/>
  <c r="S170" i="21"/>
  <c r="S154" i="21"/>
  <c r="S147" i="21"/>
  <c r="U31" i="21"/>
  <c r="L7" i="21"/>
  <c r="U8" i="21"/>
  <c r="M14" i="21"/>
  <c r="M28" i="21"/>
  <c r="V43" i="21"/>
  <c r="V44" i="21"/>
  <c r="V40" i="21"/>
  <c r="V37" i="21"/>
  <c r="V45" i="21"/>
  <c r="V41" i="21"/>
  <c r="V39" i="21"/>
  <c r="V42" i="21"/>
  <c r="V29" i="21"/>
  <c r="V20" i="21"/>
  <c r="V19" i="21"/>
  <c r="V32" i="21"/>
  <c r="V36" i="21"/>
  <c r="V35" i="21"/>
  <c r="V27" i="21"/>
  <c r="V30" i="21"/>
  <c r="V33" i="21"/>
  <c r="V31" i="21"/>
  <c r="V22" i="21"/>
  <c r="V38" i="21"/>
  <c r="V34" i="21"/>
  <c r="V28" i="21"/>
  <c r="V25" i="21"/>
  <c r="V24" i="21"/>
  <c r="V12" i="21"/>
  <c r="V11" i="21"/>
  <c r="V26" i="21"/>
  <c r="V23" i="21"/>
  <c r="V21" i="21"/>
  <c r="V10" i="21"/>
  <c r="V9" i="21"/>
  <c r="M7" i="21"/>
  <c r="V8" i="21"/>
  <c r="V13" i="21"/>
  <c r="H88" i="21"/>
  <c r="H82" i="21"/>
  <c r="H86" i="21"/>
  <c r="J7" i="21" l="1"/>
  <c r="K17" i="20"/>
  <c r="O17" i="20" s="1"/>
  <c r="J18" i="20"/>
  <c r="G48" i="20"/>
  <c r="G49" i="20"/>
  <c r="B94" i="13"/>
  <c r="B89" i="18"/>
  <c r="B91" i="13"/>
  <c r="G37" i="26"/>
  <c r="G36" i="26"/>
  <c r="O6" i="21"/>
  <c r="B89" i="19"/>
  <c r="T154" i="21"/>
  <c r="X154" i="21" s="1"/>
  <c r="T190" i="21"/>
  <c r="X190" i="21" s="1"/>
  <c r="T169" i="21"/>
  <c r="X169" i="21" s="1"/>
  <c r="T201" i="21"/>
  <c r="X201" i="21" s="1"/>
  <c r="T148" i="21"/>
  <c r="X148" i="21" s="1"/>
  <c r="T180" i="21"/>
  <c r="X180" i="21" s="1"/>
  <c r="T159" i="21"/>
  <c r="X159" i="21" s="1"/>
  <c r="T191" i="21"/>
  <c r="X191" i="21" s="1"/>
  <c r="K190" i="21"/>
  <c r="O190" i="21" s="1"/>
  <c r="K142" i="21"/>
  <c r="O142" i="21" s="1"/>
  <c r="K153" i="21"/>
  <c r="O153" i="21" s="1"/>
  <c r="K169" i="21"/>
  <c r="O169" i="21" s="1"/>
  <c r="K185" i="21"/>
  <c r="O185" i="21" s="1"/>
  <c r="K201" i="21"/>
  <c r="O201" i="21" s="1"/>
  <c r="K156" i="21"/>
  <c r="O156" i="21" s="1"/>
  <c r="K172" i="21"/>
  <c r="O172" i="21" s="1"/>
  <c r="K188" i="21"/>
  <c r="O188" i="21" s="1"/>
  <c r="K204" i="21"/>
  <c r="O204" i="21" s="1"/>
  <c r="K155" i="21"/>
  <c r="O155" i="21" s="1"/>
  <c r="K171" i="21"/>
  <c r="O171" i="21" s="1"/>
  <c r="K187" i="21"/>
  <c r="O187" i="21" s="1"/>
  <c r="K203" i="21"/>
  <c r="O203" i="21" s="1"/>
  <c r="T147" i="21"/>
  <c r="X147" i="21" s="1"/>
  <c r="T176" i="21"/>
  <c r="X176" i="21" s="1"/>
  <c r="K146" i="21"/>
  <c r="O146" i="21" s="1"/>
  <c r="K178" i="21"/>
  <c r="O178" i="21" s="1"/>
  <c r="T170" i="21"/>
  <c r="X170" i="21" s="1"/>
  <c r="T142" i="21"/>
  <c r="X142" i="21" s="1"/>
  <c r="T198" i="21"/>
  <c r="X198" i="21" s="1"/>
  <c r="T141" i="21"/>
  <c r="X141" i="21" s="1"/>
  <c r="T173" i="21"/>
  <c r="X173" i="21" s="1"/>
  <c r="T205" i="21"/>
  <c r="X205" i="21" s="1"/>
  <c r="T152" i="21"/>
  <c r="X152" i="21" s="1"/>
  <c r="T184" i="21"/>
  <c r="X184" i="21" s="1"/>
  <c r="T163" i="21"/>
  <c r="X163" i="21" s="1"/>
  <c r="T195" i="21"/>
  <c r="X195" i="21" s="1"/>
  <c r="G28" i="21"/>
  <c r="K186" i="21"/>
  <c r="O186" i="21" s="1"/>
  <c r="T186" i="21"/>
  <c r="X186" i="21" s="1"/>
  <c r="T150" i="21"/>
  <c r="X150" i="21" s="1"/>
  <c r="T143" i="21"/>
  <c r="X143" i="21" s="1"/>
  <c r="T146" i="21"/>
  <c r="X146" i="21" s="1"/>
  <c r="T145" i="21"/>
  <c r="X145" i="21" s="1"/>
  <c r="T177" i="21"/>
  <c r="X177" i="21" s="1"/>
  <c r="T156" i="21"/>
  <c r="X156" i="21" s="1"/>
  <c r="T188" i="21"/>
  <c r="X188" i="21" s="1"/>
  <c r="T167" i="21"/>
  <c r="X167" i="21" s="1"/>
  <c r="T199" i="21"/>
  <c r="X199" i="21" s="1"/>
  <c r="K147" i="21"/>
  <c r="O147" i="21" s="1"/>
  <c r="K141" i="21"/>
  <c r="O141" i="21" s="1"/>
  <c r="K157" i="21"/>
  <c r="O157" i="21" s="1"/>
  <c r="K173" i="21"/>
  <c r="O173" i="21" s="1"/>
  <c r="K189" i="21"/>
  <c r="O189" i="21" s="1"/>
  <c r="K205" i="21"/>
  <c r="O205" i="21" s="1"/>
  <c r="K144" i="21"/>
  <c r="O144" i="21" s="1"/>
  <c r="K160" i="21"/>
  <c r="O160" i="21" s="1"/>
  <c r="K176" i="21"/>
  <c r="O176" i="21" s="1"/>
  <c r="K192" i="21"/>
  <c r="O192" i="21" s="1"/>
  <c r="K159" i="21"/>
  <c r="O159" i="21" s="1"/>
  <c r="K175" i="21"/>
  <c r="O175" i="21" s="1"/>
  <c r="K191" i="21"/>
  <c r="O191" i="21" s="1"/>
  <c r="T165" i="21"/>
  <c r="X165" i="21" s="1"/>
  <c r="T155" i="21"/>
  <c r="X155" i="21" s="1"/>
  <c r="T202" i="21"/>
  <c r="X202" i="21" s="1"/>
  <c r="T151" i="21"/>
  <c r="X151" i="21" s="1"/>
  <c r="T149" i="21"/>
  <c r="X149" i="21" s="1"/>
  <c r="T181" i="21"/>
  <c r="X181" i="21" s="1"/>
  <c r="T160" i="21"/>
  <c r="X160" i="21" s="1"/>
  <c r="T192" i="21"/>
  <c r="X192" i="21" s="1"/>
  <c r="T171" i="21"/>
  <c r="X171" i="21" s="1"/>
  <c r="T203" i="21"/>
  <c r="X203" i="21" s="1"/>
  <c r="K158" i="21"/>
  <c r="O158" i="21" s="1"/>
  <c r="K150" i="21"/>
  <c r="O150" i="21" s="1"/>
  <c r="K162" i="21"/>
  <c r="O162" i="21" s="1"/>
  <c r="K194" i="21"/>
  <c r="O194" i="21" s="1"/>
  <c r="K143" i="21"/>
  <c r="O143" i="21" s="1"/>
  <c r="T144" i="21"/>
  <c r="X144" i="21" s="1"/>
  <c r="T187" i="21"/>
  <c r="X187" i="21" s="1"/>
  <c r="K7" i="21"/>
  <c r="O7" i="21" s="1"/>
  <c r="K198" i="21"/>
  <c r="O198" i="21" s="1"/>
  <c r="T158" i="21"/>
  <c r="X158" i="21" s="1"/>
  <c r="T153" i="21"/>
  <c r="X153" i="21" s="1"/>
  <c r="T185" i="21"/>
  <c r="X185" i="21" s="1"/>
  <c r="T164" i="21"/>
  <c r="X164" i="21" s="1"/>
  <c r="T196" i="21"/>
  <c r="X196" i="21" s="1"/>
  <c r="T175" i="21"/>
  <c r="X175" i="21" s="1"/>
  <c r="K174" i="21"/>
  <c r="O174" i="21" s="1"/>
  <c r="K154" i="21"/>
  <c r="O154" i="21" s="1"/>
  <c r="K145" i="21"/>
  <c r="O145" i="21" s="1"/>
  <c r="K161" i="21"/>
  <c r="O161" i="21" s="1"/>
  <c r="K177" i="21"/>
  <c r="O177" i="21" s="1"/>
  <c r="K193" i="21"/>
  <c r="O193" i="21" s="1"/>
  <c r="K148" i="21"/>
  <c r="O148" i="21" s="1"/>
  <c r="K164" i="21"/>
  <c r="O164" i="21" s="1"/>
  <c r="K180" i="21"/>
  <c r="O180" i="21" s="1"/>
  <c r="K196" i="21"/>
  <c r="O196" i="21" s="1"/>
  <c r="K163" i="21"/>
  <c r="O163" i="21" s="1"/>
  <c r="K179" i="21"/>
  <c r="O179" i="21" s="1"/>
  <c r="K195" i="21"/>
  <c r="O195" i="21" s="1"/>
  <c r="G29" i="21"/>
  <c r="T162" i="21"/>
  <c r="X162" i="21" s="1"/>
  <c r="T166" i="21"/>
  <c r="X166" i="21" s="1"/>
  <c r="T157" i="21"/>
  <c r="X157" i="21" s="1"/>
  <c r="T189" i="21"/>
  <c r="X189" i="21" s="1"/>
  <c r="T168" i="21"/>
  <c r="X168" i="21" s="1"/>
  <c r="T200" i="21"/>
  <c r="X200" i="21" s="1"/>
  <c r="T179" i="21"/>
  <c r="X179" i="21" s="1"/>
  <c r="K166" i="21"/>
  <c r="O166" i="21" s="1"/>
  <c r="K170" i="21"/>
  <c r="O170" i="21" s="1"/>
  <c r="K202" i="21"/>
  <c r="O202" i="21" s="1"/>
  <c r="K151" i="21"/>
  <c r="O151" i="21" s="1"/>
  <c r="T194" i="21"/>
  <c r="X194" i="21" s="1"/>
  <c r="T182" i="21"/>
  <c r="X182" i="21" s="1"/>
  <c r="T197" i="21"/>
  <c r="X197" i="21" s="1"/>
  <c r="T178" i="21"/>
  <c r="X178" i="21" s="1"/>
  <c r="T174" i="21"/>
  <c r="X174" i="21" s="1"/>
  <c r="T161" i="21"/>
  <c r="X161" i="21" s="1"/>
  <c r="T193" i="21"/>
  <c r="X193" i="21" s="1"/>
  <c r="T172" i="21"/>
  <c r="X172" i="21" s="1"/>
  <c r="T204" i="21"/>
  <c r="X204" i="21" s="1"/>
  <c r="T183" i="21"/>
  <c r="X183" i="21" s="1"/>
  <c r="Y5" i="21"/>
  <c r="K182" i="21"/>
  <c r="O182" i="21" s="1"/>
  <c r="K149" i="21"/>
  <c r="O149" i="21" s="1"/>
  <c r="K165" i="21"/>
  <c r="O165" i="21" s="1"/>
  <c r="K181" i="21"/>
  <c r="O181" i="21" s="1"/>
  <c r="K197" i="21"/>
  <c r="O197" i="21" s="1"/>
  <c r="K152" i="21"/>
  <c r="O152" i="21" s="1"/>
  <c r="K168" i="21"/>
  <c r="O168" i="21" s="1"/>
  <c r="K184" i="21"/>
  <c r="O184" i="21" s="1"/>
  <c r="K200" i="21"/>
  <c r="O200" i="21" s="1"/>
  <c r="K167" i="21"/>
  <c r="O167" i="21" s="1"/>
  <c r="K183" i="21"/>
  <c r="O183" i="21" s="1"/>
  <c r="K199" i="21"/>
  <c r="O199" i="21" s="1"/>
  <c r="J8" i="21"/>
  <c r="J19" i="20" l="1"/>
  <c r="K18" i="20"/>
  <c r="O18" i="20" s="1"/>
  <c r="C94" i="20"/>
  <c r="G51" i="20"/>
  <c r="G52" i="20"/>
  <c r="G50" i="20"/>
  <c r="B90" i="18"/>
  <c r="B92" i="13"/>
  <c r="G39" i="26"/>
  <c r="G38" i="26"/>
  <c r="B90" i="19"/>
  <c r="G30" i="21"/>
  <c r="G31" i="21"/>
  <c r="K8" i="21"/>
  <c r="O8" i="21" s="1"/>
  <c r="J9" i="21"/>
  <c r="K19" i="20" l="1"/>
  <c r="O19" i="20" s="1"/>
  <c r="J20" i="20"/>
  <c r="Q91" i="20"/>
  <c r="Q95" i="20"/>
  <c r="Q93" i="20"/>
  <c r="Q92" i="20"/>
  <c r="Q86" i="20"/>
  <c r="Q88" i="20"/>
  <c r="Q85" i="20"/>
  <c r="Q79" i="20"/>
  <c r="Q75" i="20"/>
  <c r="Q71" i="20"/>
  <c r="Q67" i="20"/>
  <c r="Q82" i="20"/>
  <c r="Q84" i="20"/>
  <c r="Q78" i="20"/>
  <c r="Q72" i="20"/>
  <c r="Q68" i="20"/>
  <c r="Q64" i="20"/>
  <c r="Q89" i="20"/>
  <c r="Q87" i="20"/>
  <c r="Q63" i="20"/>
  <c r="Q59" i="20"/>
  <c r="Q55" i="20"/>
  <c r="Q48" i="20"/>
  <c r="Q94" i="20"/>
  <c r="Q77" i="20"/>
  <c r="Q70" i="20"/>
  <c r="Q66" i="20"/>
  <c r="Q50" i="20"/>
  <c r="Q74" i="20"/>
  <c r="Q76" i="20"/>
  <c r="Q73" i="20"/>
  <c r="Q51" i="20"/>
  <c r="Q45" i="20"/>
  <c r="Q36" i="20"/>
  <c r="Q90" i="20"/>
  <c r="Q58" i="20"/>
  <c r="Q54" i="20"/>
  <c r="Q49" i="20"/>
  <c r="Q47" i="20"/>
  <c r="Q38" i="20"/>
  <c r="Q30" i="20"/>
  <c r="Q27" i="20"/>
  <c r="Q83" i="20"/>
  <c r="Q62" i="20"/>
  <c r="Q80" i="20"/>
  <c r="Q61" i="20"/>
  <c r="Q42" i="20"/>
  <c r="Q34" i="20"/>
  <c r="Q31" i="20"/>
  <c r="Q65" i="20"/>
  <c r="Q44" i="20"/>
  <c r="Q37" i="20"/>
  <c r="Q28" i="20"/>
  <c r="Q33" i="20"/>
  <c r="Q39" i="20"/>
  <c r="Q26" i="20"/>
  <c r="Q52" i="20"/>
  <c r="Q24" i="20"/>
  <c r="Q23" i="20"/>
  <c r="Q22" i="20"/>
  <c r="Q21" i="20"/>
  <c r="Q20" i="20"/>
  <c r="Q8" i="20"/>
  <c r="Q41" i="20"/>
  <c r="Q40" i="20"/>
  <c r="Q19" i="20"/>
  <c r="Q57" i="20"/>
  <c r="Q18" i="20"/>
  <c r="Q17" i="20"/>
  <c r="Q16" i="20"/>
  <c r="Q15" i="20"/>
  <c r="Q29" i="20"/>
  <c r="Q14" i="20"/>
  <c r="Q13" i="20"/>
  <c r="Q43" i="20"/>
  <c r="Q10" i="20"/>
  <c r="Q35" i="20"/>
  <c r="Q69" i="20"/>
  <c r="Q11" i="20"/>
  <c r="Q7" i="20"/>
  <c r="Q81" i="20"/>
  <c r="Q6" i="20"/>
  <c r="R6" i="20" s="1"/>
  <c r="S6" i="20" s="1"/>
  <c r="Q53" i="20"/>
  <c r="Q32" i="20"/>
  <c r="Q25" i="20"/>
  <c r="Q12" i="20"/>
  <c r="Q60" i="20"/>
  <c r="Q56" i="20"/>
  <c r="Q9" i="20"/>
  <c r="Q46" i="20"/>
  <c r="H94" i="20"/>
  <c r="AC84" i="20"/>
  <c r="AD44" i="20"/>
  <c r="AE42" i="20"/>
  <c r="AE67" i="20"/>
  <c r="AB69" i="20"/>
  <c r="AN30" i="20"/>
  <c r="AB63" i="20"/>
  <c r="AD70" i="20"/>
  <c r="AC12" i="20"/>
  <c r="AE61" i="20"/>
  <c r="AP35" i="20"/>
  <c r="AE14" i="20"/>
  <c r="AD84" i="20"/>
  <c r="AE23" i="20"/>
  <c r="AD50" i="20"/>
  <c r="AC77" i="20"/>
  <c r="AD82" i="20"/>
  <c r="AM29" i="20"/>
  <c r="AN10" i="20"/>
  <c r="AB60" i="20"/>
  <c r="AD75" i="20"/>
  <c r="AD71" i="20"/>
  <c r="AC58" i="20"/>
  <c r="AB76" i="20"/>
  <c r="AE38" i="20"/>
  <c r="AD72" i="20"/>
  <c r="AD35" i="20"/>
  <c r="AB33" i="20"/>
  <c r="AC38" i="20"/>
  <c r="AE53" i="20"/>
  <c r="AB18" i="20"/>
  <c r="AE50" i="20"/>
  <c r="AB32" i="20"/>
  <c r="AM30" i="20"/>
  <c r="AE73" i="20"/>
  <c r="AD80" i="20"/>
  <c r="AD16" i="20"/>
  <c r="AB29" i="20"/>
  <c r="AL13" i="20"/>
  <c r="AO34" i="20"/>
  <c r="AE71" i="20"/>
  <c r="AD92" i="20"/>
  <c r="AC13" i="20"/>
  <c r="AL32" i="20"/>
  <c r="AB94" i="20"/>
  <c r="AE77" i="20"/>
  <c r="AC73" i="20"/>
  <c r="AL24" i="20"/>
  <c r="AD12" i="20"/>
  <c r="AE68" i="20"/>
  <c r="AC14" i="20"/>
  <c r="AD60" i="20"/>
  <c r="AB40" i="20"/>
  <c r="AO9" i="20"/>
  <c r="AC69" i="20"/>
  <c r="AE63" i="20"/>
  <c r="AE70" i="20"/>
  <c r="AB45" i="20"/>
  <c r="AL16" i="20"/>
  <c r="AE76" i="20"/>
  <c r="AC88" i="20"/>
  <c r="AD48" i="20"/>
  <c r="AB23" i="20"/>
  <c r="AD67" i="20"/>
  <c r="AO24" i="20"/>
  <c r="AD68" i="20"/>
  <c r="AB82" i="20"/>
  <c r="AD54" i="20"/>
  <c r="AE13" i="20"/>
  <c r="AB37" i="20"/>
  <c r="AB49" i="20"/>
  <c r="AD42" i="20"/>
  <c r="AD29" i="20"/>
  <c r="AB93" i="20"/>
  <c r="AB95" i="20"/>
  <c r="AE74" i="20"/>
  <c r="AM19" i="20"/>
  <c r="AD33" i="20"/>
  <c r="AC72" i="20"/>
  <c r="AB20" i="20"/>
  <c r="AC45" i="20"/>
  <c r="AO13" i="20"/>
  <c r="AN16" i="20"/>
  <c r="AO30" i="20"/>
  <c r="AB80" i="20"/>
  <c r="AD38" i="20"/>
  <c r="AM17" i="20"/>
  <c r="AD15" i="20"/>
  <c r="AE34" i="20"/>
  <c r="AC18" i="20"/>
  <c r="AC23" i="20"/>
  <c r="AE44" i="20"/>
  <c r="AE49" i="20"/>
  <c r="AN14" i="20"/>
  <c r="AD59" i="20"/>
  <c r="AM13" i="20"/>
  <c r="AB47" i="20"/>
  <c r="AB83" i="20"/>
  <c r="AM25" i="20"/>
  <c r="AB73" i="20"/>
  <c r="AD28" i="20"/>
  <c r="AN25" i="20"/>
  <c r="AL27" i="20"/>
  <c r="AE22" i="20"/>
  <c r="AB34" i="20"/>
  <c r="AC89" i="20"/>
  <c r="AB87" i="20"/>
  <c r="AL18" i="20"/>
  <c r="AM18" i="20"/>
  <c r="AD78" i="20"/>
  <c r="AN12" i="20"/>
  <c r="AC55" i="20"/>
  <c r="AD76" i="20"/>
  <c r="AD91" i="20"/>
  <c r="AC53" i="20"/>
  <c r="AE95" i="20"/>
  <c r="AP29" i="20"/>
  <c r="AC29" i="20"/>
  <c r="AE29" i="20"/>
  <c r="AE80" i="20"/>
  <c r="AC68" i="20"/>
  <c r="AD40" i="20"/>
  <c r="AO14" i="20"/>
  <c r="AP27" i="20"/>
  <c r="AE64" i="20"/>
  <c r="AB19" i="20"/>
  <c r="AE52" i="20"/>
  <c r="AL22" i="20"/>
  <c r="AC20" i="20"/>
  <c r="AB65" i="20"/>
  <c r="AN34" i="20"/>
  <c r="AC59" i="20"/>
  <c r="AB55" i="20"/>
  <c r="AM28" i="20"/>
  <c r="AE15" i="20"/>
  <c r="AM14" i="20"/>
  <c r="AB92" i="20"/>
  <c r="AC39" i="20"/>
  <c r="AO8" i="20"/>
  <c r="AE48" i="20"/>
  <c r="AB54" i="20"/>
  <c r="AE55" i="20"/>
  <c r="AC42" i="20"/>
  <c r="AC76" i="20"/>
  <c r="AB81" i="20"/>
  <c r="AB70" i="20"/>
  <c r="AB17" i="20"/>
  <c r="AN17" i="20"/>
  <c r="AB57" i="20"/>
  <c r="AL29" i="20"/>
  <c r="AE75" i="20"/>
  <c r="AO22" i="20"/>
  <c r="AD85" i="20"/>
  <c r="AC70" i="20"/>
  <c r="AD90" i="20"/>
  <c r="AB71" i="20"/>
  <c r="AB78" i="20"/>
  <c r="AB88" i="20"/>
  <c r="AD88" i="20"/>
  <c r="AE94" i="20"/>
  <c r="AC52" i="20"/>
  <c r="AO29" i="20"/>
  <c r="AB38" i="20"/>
  <c r="AO35" i="20"/>
  <c r="AB22" i="20"/>
  <c r="AD58" i="20"/>
  <c r="AM20" i="20"/>
  <c r="AN29" i="20"/>
  <c r="AC24" i="20"/>
  <c r="AD45" i="20"/>
  <c r="AP19" i="20"/>
  <c r="AB35" i="20"/>
  <c r="AB6" i="20"/>
  <c r="AC27" i="20"/>
  <c r="AN32" i="20"/>
  <c r="AD65" i="20"/>
  <c r="AB14" i="20"/>
  <c r="AO5" i="20"/>
  <c r="AD43" i="20"/>
  <c r="AD77" i="20"/>
  <c r="AD74" i="20"/>
  <c r="AC65" i="20"/>
  <c r="AP28" i="20"/>
  <c r="AE65" i="20"/>
  <c r="AB50" i="20"/>
  <c r="AB89" i="20"/>
  <c r="AE87" i="20"/>
  <c r="AO16" i="20"/>
  <c r="AE58" i="20"/>
  <c r="AB86" i="20"/>
  <c r="AD66" i="20"/>
  <c r="AC91" i="20"/>
  <c r="AB39" i="20"/>
  <c r="AM12" i="20"/>
  <c r="AB79" i="20"/>
  <c r="AD89" i="20"/>
  <c r="AN28" i="20"/>
  <c r="AC81" i="20"/>
  <c r="AE88" i="20"/>
  <c r="AB5" i="20"/>
  <c r="AE89" i="20"/>
  <c r="AL17" i="20"/>
  <c r="AE27" i="20"/>
  <c r="AE45" i="20"/>
  <c r="AB24" i="20"/>
  <c r="AM11" i="20"/>
  <c r="AC35" i="20"/>
  <c r="AC62" i="20"/>
  <c r="AC92" i="20"/>
  <c r="AB77" i="20"/>
  <c r="AD69" i="20"/>
  <c r="AD61" i="20"/>
  <c r="AD55" i="20"/>
  <c r="AN6" i="20"/>
  <c r="AC57" i="20"/>
  <c r="AD18" i="20"/>
  <c r="AE54" i="20"/>
  <c r="AM32" i="20"/>
  <c r="AD57" i="20"/>
  <c r="AD73" i="20"/>
  <c r="AE79" i="20"/>
  <c r="AD32" i="20"/>
  <c r="AP25" i="20"/>
  <c r="AD53" i="20"/>
  <c r="AC78" i="20"/>
  <c r="AB52" i="20"/>
  <c r="AD34" i="20"/>
  <c r="AE20" i="20"/>
  <c r="AB43" i="20"/>
  <c r="AC93" i="20"/>
  <c r="AE35" i="20"/>
  <c r="AC17" i="20"/>
  <c r="AB8" i="20"/>
  <c r="AD94" i="20"/>
  <c r="AE47" i="20"/>
  <c r="AL34" i="20"/>
  <c r="AC47" i="20"/>
  <c r="AB44" i="20"/>
  <c r="AC48" i="20"/>
  <c r="AE91" i="20"/>
  <c r="AC28" i="20"/>
  <c r="AO32" i="20"/>
  <c r="AC50" i="20"/>
  <c r="AC54" i="20"/>
  <c r="AC37" i="20"/>
  <c r="AD11" i="20"/>
  <c r="AD6" i="20"/>
  <c r="AC43" i="20"/>
  <c r="AO23" i="20"/>
  <c r="AC67" i="20"/>
  <c r="AB84" i="20"/>
  <c r="AB61" i="20"/>
  <c r="AB74" i="20"/>
  <c r="AN27" i="20"/>
  <c r="AC32" i="20"/>
  <c r="AL14" i="20"/>
  <c r="AN35" i="20"/>
  <c r="AO25" i="20"/>
  <c r="AE92" i="20"/>
  <c r="AC64" i="20"/>
  <c r="AO28" i="20"/>
  <c r="AO20" i="20"/>
  <c r="AE57" i="20"/>
  <c r="AC49" i="20"/>
  <c r="AE39" i="20"/>
  <c r="AD93" i="20"/>
  <c r="AD17" i="20"/>
  <c r="AC44" i="20"/>
  <c r="AE83" i="20"/>
  <c r="AB91" i="20"/>
  <c r="AC61" i="20"/>
  <c r="AB68" i="20"/>
  <c r="AE84" i="20"/>
  <c r="AM7" i="20"/>
  <c r="AC80" i="20"/>
  <c r="AB75" i="20"/>
  <c r="AE10" i="20"/>
  <c r="AD39" i="20"/>
  <c r="AO10" i="20"/>
  <c r="AB16" i="20"/>
  <c r="AD52" i="20"/>
  <c r="AL20" i="20"/>
  <c r="AB28" i="20"/>
  <c r="AC85" i="20"/>
  <c r="AE32" i="20"/>
  <c r="AL23" i="20"/>
  <c r="AD47" i="20"/>
  <c r="AB90" i="20"/>
  <c r="AE25" i="20"/>
  <c r="AM24" i="20"/>
  <c r="AP9" i="20"/>
  <c r="AD25" i="20"/>
  <c r="AB62" i="20"/>
  <c r="AC63" i="20"/>
  <c r="AD86" i="20"/>
  <c r="AE24" i="20"/>
  <c r="AB85" i="20"/>
  <c r="AC94" i="20"/>
  <c r="AL15" i="20"/>
  <c r="AC34" i="20"/>
  <c r="AN33" i="20"/>
  <c r="AC95" i="20"/>
  <c r="AL19" i="20"/>
  <c r="AD87" i="20"/>
  <c r="AC11" i="20"/>
  <c r="AB72" i="20"/>
  <c r="AC71" i="20"/>
  <c r="AL33" i="20"/>
  <c r="AD63" i="20"/>
  <c r="AC75" i="20"/>
  <c r="AB64" i="20"/>
  <c r="AL8" i="20"/>
  <c r="AP32" i="20"/>
  <c r="AC79" i="20"/>
  <c r="AE82" i="20"/>
  <c r="AB48" i="20"/>
  <c r="AP12" i="20"/>
  <c r="AL28" i="20"/>
  <c r="AB53" i="20"/>
  <c r="AD62" i="20"/>
  <c r="AB13" i="20"/>
  <c r="AC82" i="20"/>
  <c r="AL30" i="20"/>
  <c r="AD83" i="20"/>
  <c r="AL11" i="20"/>
  <c r="AN5" i="20"/>
  <c r="AM22" i="20"/>
  <c r="AD79" i="20"/>
  <c r="AE78" i="20"/>
  <c r="AD81" i="20"/>
  <c r="AD37" i="20"/>
  <c r="AB59" i="20"/>
  <c r="AD8" i="20"/>
  <c r="AE5" i="20"/>
  <c r="AP14" i="20"/>
  <c r="AO19" i="20"/>
  <c r="AD95" i="20"/>
  <c r="AD5" i="20"/>
  <c r="AB67" i="20"/>
  <c r="AB27" i="20"/>
  <c r="AD64" i="20"/>
  <c r="AC66" i="20"/>
  <c r="AD10" i="20"/>
  <c r="AO33" i="20"/>
  <c r="AN15" i="20"/>
  <c r="AP22" i="20"/>
  <c r="AL6" i="20"/>
  <c r="AP17" i="20"/>
  <c r="AC5" i="20"/>
  <c r="AE11" i="20"/>
  <c r="AE93" i="20"/>
  <c r="AP18" i="20"/>
  <c r="AP8" i="20"/>
  <c r="AM6" i="20"/>
  <c r="AM23" i="20"/>
  <c r="AP10" i="20"/>
  <c r="AC60" i="20"/>
  <c r="AC83" i="20"/>
  <c r="AD49" i="20"/>
  <c r="AE86" i="20"/>
  <c r="AB11" i="20"/>
  <c r="AD14" i="20"/>
  <c r="AC10" i="20"/>
  <c r="AO27" i="20"/>
  <c r="AD13" i="20"/>
  <c r="AP20" i="20"/>
  <c r="AP5" i="20"/>
  <c r="AE43" i="20"/>
  <c r="AL12" i="20"/>
  <c r="AP23" i="20"/>
  <c r="AC30" i="20"/>
  <c r="AE40" i="20"/>
  <c r="AE60" i="20"/>
  <c r="AP34" i="20"/>
  <c r="AC22" i="20"/>
  <c r="AM34" i="20"/>
  <c r="AC90" i="20"/>
  <c r="AM27" i="20"/>
  <c r="AN8" i="20"/>
  <c r="AP7" i="20"/>
  <c r="AP15" i="20"/>
  <c r="AE17" i="20"/>
  <c r="AP24" i="20"/>
  <c r="AP6" i="20"/>
  <c r="AP30" i="20"/>
  <c r="AN18" i="20"/>
  <c r="AC33" i="20"/>
  <c r="AN23" i="20"/>
  <c r="AL10" i="20"/>
  <c r="AE12" i="20"/>
  <c r="AC9" i="20"/>
  <c r="AE69" i="20"/>
  <c r="AC74" i="20"/>
  <c r="AL25" i="20"/>
  <c r="AE85" i="20"/>
  <c r="AD30" i="20"/>
  <c r="AE37" i="20"/>
  <c r="AO15" i="20"/>
  <c r="AC8" i="20"/>
  <c r="AM10" i="20"/>
  <c r="AN13" i="20"/>
  <c r="AE72" i="20"/>
  <c r="AE6" i="20"/>
  <c r="AE19" i="20"/>
  <c r="AB25" i="20"/>
  <c r="AB12" i="20"/>
  <c r="AE90" i="20"/>
  <c r="AC19" i="20"/>
  <c r="AB66" i="20"/>
  <c r="AD9" i="20"/>
  <c r="AC25" i="20"/>
  <c r="AC86" i="20"/>
  <c r="AE33" i="20"/>
  <c r="AM33" i="20"/>
  <c r="AO17" i="20"/>
  <c r="AO11" i="20"/>
  <c r="AC16" i="20"/>
  <c r="AE7" i="20"/>
  <c r="AD20" i="20"/>
  <c r="AE16" i="20"/>
  <c r="AM9" i="20"/>
  <c r="AB58" i="20"/>
  <c r="AO6" i="20"/>
  <c r="AN19" i="20"/>
  <c r="AD24" i="20"/>
  <c r="AB42" i="20"/>
  <c r="AE66" i="20"/>
  <c r="AB30" i="20"/>
  <c r="AE59" i="20"/>
  <c r="AE18" i="20"/>
  <c r="AN24" i="20"/>
  <c r="AC40" i="20"/>
  <c r="AL9" i="20"/>
  <c r="AP16" i="20"/>
  <c r="AM16" i="20"/>
  <c r="AL5" i="20"/>
  <c r="AN9" i="20"/>
  <c r="AM35" i="20"/>
  <c r="AE30" i="20"/>
  <c r="AM15" i="20"/>
  <c r="AE62" i="20"/>
  <c r="AB15" i="20"/>
  <c r="AE28" i="20"/>
  <c r="AP11" i="20"/>
  <c r="AC87" i="20"/>
  <c r="AP33" i="20"/>
  <c r="AE81" i="20"/>
  <c r="AC7" i="20"/>
  <c r="AN11" i="20"/>
  <c r="AL35" i="20"/>
  <c r="AB10" i="20"/>
  <c r="AP13" i="20"/>
  <c r="AN20" i="20"/>
  <c r="AC6" i="20"/>
  <c r="AE9" i="20"/>
  <c r="AD7" i="20"/>
  <c r="AM5" i="20"/>
  <c r="AO7" i="20"/>
  <c r="AB9" i="20"/>
  <c r="AC15" i="20"/>
  <c r="AB7" i="20"/>
  <c r="AD19" i="20"/>
  <c r="AM8" i="20"/>
  <c r="AD22" i="20"/>
  <c r="AN7" i="20"/>
  <c r="AD27" i="20"/>
  <c r="AE8" i="20"/>
  <c r="AN22" i="20"/>
  <c r="AD23" i="20"/>
  <c r="AO12" i="20"/>
  <c r="AL7" i="20"/>
  <c r="AO18" i="20"/>
  <c r="B91" i="18"/>
  <c r="B93" i="13"/>
  <c r="G41" i="26"/>
  <c r="G40" i="26"/>
  <c r="B91" i="19"/>
  <c r="G33" i="21"/>
  <c r="G32" i="21"/>
  <c r="K9" i="21"/>
  <c r="O9" i="21" s="1"/>
  <c r="J10" i="21"/>
  <c r="AM35" i="21"/>
  <c r="AC35" i="21"/>
  <c r="AB35" i="21"/>
  <c r="AL35" i="21"/>
  <c r="AO35" i="21"/>
  <c r="K20" i="20" l="1"/>
  <c r="O20" i="20" s="1"/>
  <c r="J21" i="20"/>
  <c r="AT15" i="20"/>
  <c r="AS15" i="20"/>
  <c r="AR15" i="20"/>
  <c r="AQ15" i="20"/>
  <c r="AQ35" i="20"/>
  <c r="AT35" i="20"/>
  <c r="AS35" i="20"/>
  <c r="AR35" i="20"/>
  <c r="AT17" i="20"/>
  <c r="AS17" i="20"/>
  <c r="AQ17" i="20"/>
  <c r="AR17" i="20"/>
  <c r="AT12" i="20"/>
  <c r="AS12" i="20"/>
  <c r="AR12" i="20"/>
  <c r="AQ12" i="20"/>
  <c r="AS25" i="20"/>
  <c r="AQ25" i="20"/>
  <c r="AT25" i="20"/>
  <c r="AR25" i="20"/>
  <c r="AT8" i="20"/>
  <c r="AR8" i="20"/>
  <c r="AQ8" i="20"/>
  <c r="AS8" i="20"/>
  <c r="AT14" i="20"/>
  <c r="AR14" i="20"/>
  <c r="AQ14" i="20"/>
  <c r="AS14" i="20"/>
  <c r="AT22" i="20"/>
  <c r="AS22" i="20"/>
  <c r="AR22" i="20"/>
  <c r="AQ22" i="20"/>
  <c r="AT24" i="20"/>
  <c r="AS24" i="20"/>
  <c r="AR24" i="20"/>
  <c r="AQ24" i="20"/>
  <c r="AT20" i="20"/>
  <c r="AS20" i="20"/>
  <c r="AR20" i="20"/>
  <c r="AQ20" i="20"/>
  <c r="AR9" i="20"/>
  <c r="AS9" i="20"/>
  <c r="AQ9" i="20"/>
  <c r="AT9" i="20"/>
  <c r="AY7" i="20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AS7" i="20"/>
  <c r="AR7" i="20"/>
  <c r="AT7" i="20"/>
  <c r="AQ7" i="20"/>
  <c r="AT19" i="20"/>
  <c r="AS19" i="20"/>
  <c r="AR19" i="20"/>
  <c r="AQ19" i="20"/>
  <c r="AT27" i="20"/>
  <c r="AR27" i="20"/>
  <c r="AQ27" i="20"/>
  <c r="AS27" i="20"/>
  <c r="AT13" i="20"/>
  <c r="AS13" i="20"/>
  <c r="AR13" i="20"/>
  <c r="AQ13" i="20"/>
  <c r="T6" i="20"/>
  <c r="X6" i="20" s="1"/>
  <c r="AS6" i="20"/>
  <c r="AR6" i="20"/>
  <c r="AY6" i="20"/>
  <c r="AT6" i="20"/>
  <c r="AQ6" i="20"/>
  <c r="AT28" i="20"/>
  <c r="AR28" i="20"/>
  <c r="AQ28" i="20"/>
  <c r="AS28" i="20"/>
  <c r="AT23" i="20"/>
  <c r="AS23" i="20"/>
  <c r="AR23" i="20"/>
  <c r="AQ23" i="20"/>
  <c r="AQ29" i="20"/>
  <c r="AS29" i="20"/>
  <c r="AR29" i="20"/>
  <c r="AT29" i="20"/>
  <c r="AQ10" i="20"/>
  <c r="AT10" i="20"/>
  <c r="AS10" i="20"/>
  <c r="AR10" i="20"/>
  <c r="AT11" i="20"/>
  <c r="AS11" i="20"/>
  <c r="AR11" i="20"/>
  <c r="AQ11" i="20"/>
  <c r="AH6" i="20"/>
  <c r="AH7" i="20" s="1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H86" i="20" s="1"/>
  <c r="AH87" i="20" s="1"/>
  <c r="AH88" i="20" s="1"/>
  <c r="AH89" i="20" s="1"/>
  <c r="AH90" i="20" s="1"/>
  <c r="AH91" i="20" s="1"/>
  <c r="AH92" i="20" s="1"/>
  <c r="AH93" i="20" s="1"/>
  <c r="AH94" i="20" s="1"/>
  <c r="AH95" i="20" s="1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G86" i="20" s="1"/>
  <c r="AG87" i="20" s="1"/>
  <c r="AG88" i="20" s="1"/>
  <c r="AG89" i="20" s="1"/>
  <c r="AG90" i="20" s="1"/>
  <c r="AG91" i="20" s="1"/>
  <c r="AG92" i="20" s="1"/>
  <c r="AG93" i="20" s="1"/>
  <c r="AG94" i="20" s="1"/>
  <c r="AG95" i="20" s="1"/>
  <c r="AF6" i="20"/>
  <c r="R7" i="20"/>
  <c r="S7" i="20" s="1"/>
  <c r="AT30" i="20"/>
  <c r="AR30" i="20"/>
  <c r="AQ30" i="20"/>
  <c r="AS30" i="20"/>
  <c r="AT33" i="20"/>
  <c r="AS33" i="20"/>
  <c r="AQ33" i="20"/>
  <c r="AR33" i="20"/>
  <c r="AT34" i="20"/>
  <c r="AS34" i="20"/>
  <c r="AQ34" i="20"/>
  <c r="AR34" i="20"/>
  <c r="AQ18" i="20"/>
  <c r="AT18" i="20"/>
  <c r="AS18" i="20"/>
  <c r="AR18" i="20"/>
  <c r="AQ32" i="20"/>
  <c r="AT32" i="20"/>
  <c r="AR32" i="20"/>
  <c r="AS32" i="20"/>
  <c r="AT16" i="20"/>
  <c r="AS16" i="20"/>
  <c r="AQ16" i="20"/>
  <c r="AR16" i="20"/>
  <c r="AN35" i="21"/>
  <c r="AR35" i="21" s="1"/>
  <c r="AP35" i="21"/>
  <c r="AT35" i="21" s="1"/>
  <c r="AD35" i="21"/>
  <c r="AE35" i="21"/>
  <c r="B92" i="18"/>
  <c r="G43" i="26"/>
  <c r="G42" i="26"/>
  <c r="G42" i="21"/>
  <c r="G41" i="21"/>
  <c r="B92" i="19"/>
  <c r="G34" i="21"/>
  <c r="AQ35" i="21"/>
  <c r="AS35" i="21"/>
  <c r="G35" i="21"/>
  <c r="K10" i="21"/>
  <c r="O10" i="21" s="1"/>
  <c r="J11" i="21"/>
  <c r="J22" i="20" l="1"/>
  <c r="K21" i="20"/>
  <c r="O21" i="20" s="1"/>
  <c r="T7" i="20"/>
  <c r="X7" i="20" s="1"/>
  <c r="AI6" i="20"/>
  <c r="AF7" i="20"/>
  <c r="Y6" i="20"/>
  <c r="R8" i="20"/>
  <c r="B93" i="18"/>
  <c r="G45" i="26"/>
  <c r="G44" i="26"/>
  <c r="G43" i="21"/>
  <c r="G44" i="21"/>
  <c r="B93" i="19"/>
  <c r="G36" i="21"/>
  <c r="K11" i="21"/>
  <c r="O11" i="21" s="1"/>
  <c r="J12" i="21"/>
  <c r="G37" i="21"/>
  <c r="K22" i="20" l="1"/>
  <c r="O22" i="20" s="1"/>
  <c r="J23" i="20"/>
  <c r="Y7" i="20"/>
  <c r="S8" i="20"/>
  <c r="R9" i="20"/>
  <c r="AI7" i="20"/>
  <c r="AF8" i="20"/>
  <c r="G47" i="26"/>
  <c r="G46" i="26"/>
  <c r="G45" i="21"/>
  <c r="G46" i="21"/>
  <c r="AD47" i="21"/>
  <c r="G39" i="21"/>
  <c r="G40" i="21"/>
  <c r="G38" i="21"/>
  <c r="K12" i="21"/>
  <c r="O12" i="21" s="1"/>
  <c r="J13" i="21"/>
  <c r="J24" i="20" l="1"/>
  <c r="K23" i="20"/>
  <c r="O23" i="20" s="1"/>
  <c r="T8" i="20"/>
  <c r="X8" i="20" s="1"/>
  <c r="S9" i="20"/>
  <c r="R10" i="20"/>
  <c r="AF9" i="20"/>
  <c r="AI8" i="20"/>
  <c r="AB47" i="21"/>
  <c r="AE41" i="21"/>
  <c r="AM23" i="21"/>
  <c r="AB41" i="21"/>
  <c r="AD53" i="21"/>
  <c r="AN26" i="21"/>
  <c r="AM29" i="21"/>
  <c r="AC29" i="21"/>
  <c r="G48" i="21"/>
  <c r="G47" i="21"/>
  <c r="AP26" i="21"/>
  <c r="AC41" i="21"/>
  <c r="AC53" i="21"/>
  <c r="AD78" i="21"/>
  <c r="AE47" i="21"/>
  <c r="AN29" i="21"/>
  <c r="AL29" i="21"/>
  <c r="AD29" i="21"/>
  <c r="AE26" i="21"/>
  <c r="AE53" i="21"/>
  <c r="AD41" i="21"/>
  <c r="AP29" i="21"/>
  <c r="AC26" i="21"/>
  <c r="AO29" i="21"/>
  <c r="AE29" i="21"/>
  <c r="AB53" i="21"/>
  <c r="AB26" i="21"/>
  <c r="AB29" i="21"/>
  <c r="AC47" i="21"/>
  <c r="AE31" i="21"/>
  <c r="AC58" i="21"/>
  <c r="AC57" i="21"/>
  <c r="AE74" i="21"/>
  <c r="AO13" i="21"/>
  <c r="AE76" i="21"/>
  <c r="AC83" i="21"/>
  <c r="AB78" i="21"/>
  <c r="AE88" i="21"/>
  <c r="AC60" i="21"/>
  <c r="AB90" i="21"/>
  <c r="AD80" i="21"/>
  <c r="AC74" i="21"/>
  <c r="AC75" i="21"/>
  <c r="AD34" i="21"/>
  <c r="AP31" i="21"/>
  <c r="AP19" i="21"/>
  <c r="AE28" i="21"/>
  <c r="AO31" i="21"/>
  <c r="AE5" i="21"/>
  <c r="AB65" i="21"/>
  <c r="AB66" i="21"/>
  <c r="AE90" i="21"/>
  <c r="AC93" i="21"/>
  <c r="AB91" i="21"/>
  <c r="AE71" i="21"/>
  <c r="AD69" i="21"/>
  <c r="AE87" i="21"/>
  <c r="AB77" i="21"/>
  <c r="AC86" i="21"/>
  <c r="AD95" i="21"/>
  <c r="AB59" i="21"/>
  <c r="AC87" i="21"/>
  <c r="AC94" i="21"/>
  <c r="AB57" i="21"/>
  <c r="AB74" i="21"/>
  <c r="AC95" i="21"/>
  <c r="AC40" i="21"/>
  <c r="AC27" i="21"/>
  <c r="AD92" i="21"/>
  <c r="AC62" i="21"/>
  <c r="AD94" i="21"/>
  <c r="AE95" i="21"/>
  <c r="AD83" i="21"/>
  <c r="AC71" i="21"/>
  <c r="AP8" i="21"/>
  <c r="AC67" i="21"/>
  <c r="AC63" i="21"/>
  <c r="AB86" i="21"/>
  <c r="AE92" i="21"/>
  <c r="AE58" i="21"/>
  <c r="AB88" i="21"/>
  <c r="AB62" i="21"/>
  <c r="AN15" i="21"/>
  <c r="AE45" i="21"/>
  <c r="AM12" i="21"/>
  <c r="AB36" i="21"/>
  <c r="AB17" i="21"/>
  <c r="AP25" i="21"/>
  <c r="AM8" i="21"/>
  <c r="AB9" i="21"/>
  <c r="AP17" i="21"/>
  <c r="AE64" i="21"/>
  <c r="AB83" i="21"/>
  <c r="AD86" i="21"/>
  <c r="AB85" i="21"/>
  <c r="AE89" i="21"/>
  <c r="AC78" i="21"/>
  <c r="AC79" i="21"/>
  <c r="AD67" i="21"/>
  <c r="AD60" i="21"/>
  <c r="AE84" i="21"/>
  <c r="AC61" i="21"/>
  <c r="AB67" i="21"/>
  <c r="AD72" i="21"/>
  <c r="AB69" i="21"/>
  <c r="AB60" i="21"/>
  <c r="AC77" i="21"/>
  <c r="AD84" i="21"/>
  <c r="AN9" i="21"/>
  <c r="AL33" i="21"/>
  <c r="AC76" i="21"/>
  <c r="AM6" i="21"/>
  <c r="AE33" i="21"/>
  <c r="AD22" i="21"/>
  <c r="AE15" i="21"/>
  <c r="AE65" i="21"/>
  <c r="AE75" i="21"/>
  <c r="AE73" i="21"/>
  <c r="AD81" i="21"/>
  <c r="AC66" i="21"/>
  <c r="AE30" i="21"/>
  <c r="AE8" i="21"/>
  <c r="AN21" i="21"/>
  <c r="AN27" i="21"/>
  <c r="AP6" i="21"/>
  <c r="AE52" i="21"/>
  <c r="AE69" i="21"/>
  <c r="AE61" i="21"/>
  <c r="AB58" i="21"/>
  <c r="AE72" i="21"/>
  <c r="AC68" i="21"/>
  <c r="AD68" i="21"/>
  <c r="AE94" i="21"/>
  <c r="AB68" i="21"/>
  <c r="AC65" i="21"/>
  <c r="AB81" i="21"/>
  <c r="AD63" i="21"/>
  <c r="AE68" i="21"/>
  <c r="AD87" i="21"/>
  <c r="AD82" i="21"/>
  <c r="AB70" i="21"/>
  <c r="AE83" i="21"/>
  <c r="AC90" i="21"/>
  <c r="AD50" i="21"/>
  <c r="AE91" i="21"/>
  <c r="AB63" i="21"/>
  <c r="AC85" i="21"/>
  <c r="AC89" i="21"/>
  <c r="AD62" i="21"/>
  <c r="AC69" i="21"/>
  <c r="AB56" i="21"/>
  <c r="AB72" i="21"/>
  <c r="AD58" i="21"/>
  <c r="AE70" i="21"/>
  <c r="AB82" i="21"/>
  <c r="AE59" i="21"/>
  <c r="AC56" i="21"/>
  <c r="AB93" i="21"/>
  <c r="AB64" i="21"/>
  <c r="AE56" i="21"/>
  <c r="AC82" i="21"/>
  <c r="AB94" i="21"/>
  <c r="AB79" i="21"/>
  <c r="AE93" i="21"/>
  <c r="AD71" i="21"/>
  <c r="AD59" i="21"/>
  <c r="AE66" i="21"/>
  <c r="AE80" i="21"/>
  <c r="AC24" i="21"/>
  <c r="AO22" i="21"/>
  <c r="AB20" i="21"/>
  <c r="AD44" i="21"/>
  <c r="AD73" i="21"/>
  <c r="AD76" i="21"/>
  <c r="AE81" i="21"/>
  <c r="AC91" i="21"/>
  <c r="AC73" i="21"/>
  <c r="AC88" i="21"/>
  <c r="AP15" i="21"/>
  <c r="AO28" i="21"/>
  <c r="AC44" i="21"/>
  <c r="AO17" i="21"/>
  <c r="AB31" i="21"/>
  <c r="AB52" i="21"/>
  <c r="AD70" i="21"/>
  <c r="AC80" i="21"/>
  <c r="AE77" i="21"/>
  <c r="AE63" i="21"/>
  <c r="AC81" i="21"/>
  <c r="AD65" i="21"/>
  <c r="AB89" i="21"/>
  <c r="AB71" i="21"/>
  <c r="AC84" i="21"/>
  <c r="AB92" i="21"/>
  <c r="AE82" i="21"/>
  <c r="AE86" i="21"/>
  <c r="AE62" i="21"/>
  <c r="AD77" i="21"/>
  <c r="AD74" i="21"/>
  <c r="AB73" i="21"/>
  <c r="AB61" i="21"/>
  <c r="AE79" i="21"/>
  <c r="AN11" i="21"/>
  <c r="AB87" i="21"/>
  <c r="AD91" i="21"/>
  <c r="AC92" i="21"/>
  <c r="AC6" i="21"/>
  <c r="AD24" i="21"/>
  <c r="AP5" i="21"/>
  <c r="AC46" i="21"/>
  <c r="AB76" i="21"/>
  <c r="AD88" i="21"/>
  <c r="AB80" i="21"/>
  <c r="AD61" i="21"/>
  <c r="AE57" i="21"/>
  <c r="AD56" i="21"/>
  <c r="AD64" i="21"/>
  <c r="AE12" i="21"/>
  <c r="AC38" i="21"/>
  <c r="AB40" i="21"/>
  <c r="AP20" i="21"/>
  <c r="AB8" i="21"/>
  <c r="AO24" i="21"/>
  <c r="AE48" i="21"/>
  <c r="AE67" i="21"/>
  <c r="AD57" i="21"/>
  <c r="AC72" i="21"/>
  <c r="AE60" i="21"/>
  <c r="AD93" i="21"/>
  <c r="AE85" i="21"/>
  <c r="AC70" i="21"/>
  <c r="AD79" i="21"/>
  <c r="AB84" i="21"/>
  <c r="AC59" i="21"/>
  <c r="AD89" i="21"/>
  <c r="AD90" i="21"/>
  <c r="AD66" i="21"/>
  <c r="AC64" i="21"/>
  <c r="AD85" i="21"/>
  <c r="AD75" i="21"/>
  <c r="AE78" i="21"/>
  <c r="AE18" i="21"/>
  <c r="AL13" i="21"/>
  <c r="AM19" i="21"/>
  <c r="AM13" i="21"/>
  <c r="AP9" i="21"/>
  <c r="AN30" i="21"/>
  <c r="AD51" i="21"/>
  <c r="AB43" i="21"/>
  <c r="AB37" i="21"/>
  <c r="AN6" i="21"/>
  <c r="AM17" i="21"/>
  <c r="AE13" i="21"/>
  <c r="AL27" i="21"/>
  <c r="AB22" i="21"/>
  <c r="AM20" i="21"/>
  <c r="AO8" i="21"/>
  <c r="AD10" i="21"/>
  <c r="AO15" i="21"/>
  <c r="AM31" i="21"/>
  <c r="AC21" i="21"/>
  <c r="AE7" i="21"/>
  <c r="AM25" i="21"/>
  <c r="AB32" i="21"/>
  <c r="AC39" i="21"/>
  <c r="AL9" i="21"/>
  <c r="AB11" i="21"/>
  <c r="AC8" i="21"/>
  <c r="AE25" i="21"/>
  <c r="AB13" i="21"/>
  <c r="AC10" i="21"/>
  <c r="AE50" i="21"/>
  <c r="AC49" i="21"/>
  <c r="AB46" i="21"/>
  <c r="AC25" i="21"/>
  <c r="AN34" i="21"/>
  <c r="AM18" i="21"/>
  <c r="AL28" i="21"/>
  <c r="AD27" i="21"/>
  <c r="AC50" i="21"/>
  <c r="AD25" i="21"/>
  <c r="AP10" i="21"/>
  <c r="AN18" i="21"/>
  <c r="AL15" i="21"/>
  <c r="AD40" i="21"/>
  <c r="AB45" i="21"/>
  <c r="AE20" i="21"/>
  <c r="AE34" i="21"/>
  <c r="AL8" i="21"/>
  <c r="AD19" i="21"/>
  <c r="AE21" i="21"/>
  <c r="AP32" i="21"/>
  <c r="AO14" i="21"/>
  <c r="AE37" i="21"/>
  <c r="AP24" i="21"/>
  <c r="AM15" i="21"/>
  <c r="AM24" i="21"/>
  <c r="AD45" i="21"/>
  <c r="AE14" i="21"/>
  <c r="AO25" i="21"/>
  <c r="AN25" i="21"/>
  <c r="AM30" i="21"/>
  <c r="AN28" i="21"/>
  <c r="AO6" i="21"/>
  <c r="AC48" i="21"/>
  <c r="AC55" i="21"/>
  <c r="AD6" i="21"/>
  <c r="AC16" i="21"/>
  <c r="AD31" i="21"/>
  <c r="AL18" i="21"/>
  <c r="AE11" i="21"/>
  <c r="AP27" i="21"/>
  <c r="AM32" i="21"/>
  <c r="AM34" i="21"/>
  <c r="AP13" i="21"/>
  <c r="AN31" i="21"/>
  <c r="AO33" i="21"/>
  <c r="AE9" i="21"/>
  <c r="AC13" i="21"/>
  <c r="AB12" i="21"/>
  <c r="AP34" i="21"/>
  <c r="AN19" i="21"/>
  <c r="AP12" i="21"/>
  <c r="AL12" i="21"/>
  <c r="AQ12" i="21" s="1"/>
  <c r="AN24" i="21"/>
  <c r="AO27" i="21"/>
  <c r="AC11" i="21"/>
  <c r="AM7" i="21"/>
  <c r="AN32" i="21"/>
  <c r="AE6" i="21"/>
  <c r="AB42" i="21"/>
  <c r="AM28" i="21"/>
  <c r="AP18" i="21"/>
  <c r="AP14" i="21"/>
  <c r="AD46" i="21"/>
  <c r="AB55" i="21"/>
  <c r="AM27" i="21"/>
  <c r="AC5" i="21"/>
  <c r="AL25" i="21"/>
  <c r="AC51" i="21"/>
  <c r="AL19" i="21"/>
  <c r="AE17" i="21"/>
  <c r="AD18" i="21"/>
  <c r="AE27" i="21"/>
  <c r="AC15" i="21"/>
  <c r="AL6" i="21"/>
  <c r="AE42" i="21"/>
  <c r="AC18" i="21"/>
  <c r="AC33" i="21"/>
  <c r="AB6" i="21"/>
  <c r="AC20" i="21"/>
  <c r="AD37" i="21"/>
  <c r="AC9" i="21"/>
  <c r="AO12" i="21"/>
  <c r="AC12" i="21"/>
  <c r="AC30" i="21"/>
  <c r="AE16" i="21"/>
  <c r="AP22" i="21"/>
  <c r="AE39" i="21"/>
  <c r="AE10" i="21"/>
  <c r="AL24" i="21"/>
  <c r="AN16" i="21"/>
  <c r="AE46" i="21"/>
  <c r="AB49" i="21"/>
  <c r="AC34" i="21"/>
  <c r="AD54" i="21"/>
  <c r="AD52" i="21"/>
  <c r="AB50" i="21"/>
  <c r="AC54" i="21"/>
  <c r="AB48" i="21"/>
  <c r="AD49" i="21"/>
  <c r="AE54" i="21"/>
  <c r="AB54" i="21"/>
  <c r="AO9" i="21"/>
  <c r="AO21" i="21"/>
  <c r="AC36" i="21"/>
  <c r="AB24" i="21"/>
  <c r="AL31" i="21"/>
  <c r="AC17" i="21"/>
  <c r="AD36" i="21"/>
  <c r="AD5" i="21"/>
  <c r="AB21" i="21"/>
  <c r="AN10" i="21"/>
  <c r="AO19" i="21"/>
  <c r="AD8" i="21"/>
  <c r="AD13" i="21"/>
  <c r="AD38" i="21"/>
  <c r="AE44" i="21"/>
  <c r="AL34" i="21"/>
  <c r="AP21" i="21"/>
  <c r="AO7" i="21"/>
  <c r="AE19" i="21"/>
  <c r="AN22" i="21"/>
  <c r="AD32" i="21"/>
  <c r="AB14" i="21"/>
  <c r="AD48" i="21"/>
  <c r="AB51" i="21"/>
  <c r="AC52" i="21"/>
  <c r="AD55" i="21"/>
  <c r="AE55" i="21"/>
  <c r="AE51" i="21"/>
  <c r="AE49" i="21"/>
  <c r="AB28" i="21"/>
  <c r="AM21" i="21"/>
  <c r="AM22" i="21"/>
  <c r="AL21" i="21"/>
  <c r="AB15" i="21"/>
  <c r="AM5" i="21"/>
  <c r="AE36" i="21"/>
  <c r="AM10" i="21"/>
  <c r="AN13" i="21"/>
  <c r="AM9" i="21"/>
  <c r="AE24" i="21"/>
  <c r="AP7" i="21"/>
  <c r="AL16" i="21"/>
  <c r="AL10" i="21"/>
  <c r="AN20" i="21"/>
  <c r="AD14" i="21"/>
  <c r="AB30" i="21"/>
  <c r="AN12" i="21"/>
  <c r="AO32" i="21"/>
  <c r="AE32" i="21"/>
  <c r="AE43" i="21"/>
  <c r="AB34" i="21"/>
  <c r="AC37" i="21"/>
  <c r="AM14" i="21"/>
  <c r="AD16" i="21"/>
  <c r="AO18" i="21"/>
  <c r="AP11" i="21"/>
  <c r="AL14" i="21"/>
  <c r="AP16" i="21"/>
  <c r="AC22" i="21"/>
  <c r="AB18" i="21"/>
  <c r="AL32" i="21"/>
  <c r="AM11" i="21"/>
  <c r="AD12" i="21"/>
  <c r="AN7" i="21"/>
  <c r="AB10" i="21"/>
  <c r="AM16" i="21"/>
  <c r="AN33" i="21"/>
  <c r="AB44" i="21"/>
  <c r="K13" i="21"/>
  <c r="O13" i="21" s="1"/>
  <c r="J14" i="21"/>
  <c r="AN5" i="21"/>
  <c r="AO16" i="21"/>
  <c r="AL22" i="21"/>
  <c r="AE40" i="21"/>
  <c r="AC7" i="21"/>
  <c r="AL17" i="21"/>
  <c r="AO5" i="21"/>
  <c r="AB16" i="21"/>
  <c r="AD7" i="21"/>
  <c r="AC42" i="21"/>
  <c r="AP33" i="21"/>
  <c r="AL11" i="21"/>
  <c r="AO20" i="21"/>
  <c r="AB39" i="21"/>
  <c r="AL30" i="21"/>
  <c r="AB19" i="21"/>
  <c r="AD28" i="21"/>
  <c r="AM33" i="21"/>
  <c r="AE22" i="21"/>
  <c r="AB33" i="21"/>
  <c r="AL20" i="21"/>
  <c r="AO11" i="21"/>
  <c r="AD11" i="21"/>
  <c r="AB25" i="21"/>
  <c r="AC43" i="21"/>
  <c r="AD43" i="21"/>
  <c r="AC19" i="21"/>
  <c r="AO34" i="21"/>
  <c r="AD33" i="21"/>
  <c r="AD15" i="21"/>
  <c r="AP30" i="21"/>
  <c r="AC14" i="21"/>
  <c r="AB7" i="21"/>
  <c r="AB38" i="21"/>
  <c r="AD9" i="21"/>
  <c r="AE38" i="21"/>
  <c r="AP28" i="21"/>
  <c r="AC31" i="21"/>
  <c r="AN8" i="21"/>
  <c r="AD30" i="21"/>
  <c r="AD17" i="21"/>
  <c r="AO10" i="21"/>
  <c r="AD20" i="21"/>
  <c r="AD21" i="21"/>
  <c r="AL7" i="21"/>
  <c r="AN14" i="21"/>
  <c r="AC32" i="21"/>
  <c r="AO30" i="21"/>
  <c r="AC45" i="21"/>
  <c r="AD39" i="21"/>
  <c r="AB27" i="21"/>
  <c r="AN17" i="21"/>
  <c r="AC28" i="21"/>
  <c r="AD42" i="21"/>
  <c r="AQ33" i="21" l="1"/>
  <c r="AS33" i="21"/>
  <c r="J25" i="20"/>
  <c r="K24" i="20"/>
  <c r="O24" i="20" s="1"/>
  <c r="Y8" i="20"/>
  <c r="T9" i="20"/>
  <c r="X9" i="20" s="1"/>
  <c r="S10" i="20"/>
  <c r="R11" i="20"/>
  <c r="AF10" i="20"/>
  <c r="AI9" i="20"/>
  <c r="AR33" i="21"/>
  <c r="AT19" i="21"/>
  <c r="AS25" i="21"/>
  <c r="AQ8" i="21"/>
  <c r="AQ15" i="21"/>
  <c r="AR34" i="21"/>
  <c r="AR31" i="21"/>
  <c r="AT6" i="21"/>
  <c r="AS28" i="21"/>
  <c r="AT27" i="21"/>
  <c r="AT18" i="21"/>
  <c r="AS24" i="21"/>
  <c r="AF6" i="21"/>
  <c r="AF7" i="21" s="1"/>
  <c r="AR25" i="21"/>
  <c r="AQ18" i="21"/>
  <c r="AQ25" i="21"/>
  <c r="AS13" i="21"/>
  <c r="AQ31" i="21"/>
  <c r="AQ19" i="21"/>
  <c r="AQ27" i="21"/>
  <c r="AT29" i="21"/>
  <c r="AR29" i="21"/>
  <c r="AQ29" i="21"/>
  <c r="AS29" i="21"/>
  <c r="G49" i="21"/>
  <c r="G50" i="21"/>
  <c r="AS12" i="21"/>
  <c r="AT12" i="21"/>
  <c r="AS34" i="21"/>
  <c r="AT25" i="21"/>
  <c r="AR19" i="21"/>
  <c r="AQ34" i="21"/>
  <c r="AS9" i="21"/>
  <c r="AT33" i="21"/>
  <c r="AT34" i="21"/>
  <c r="AT15" i="21"/>
  <c r="AR15" i="21"/>
  <c r="AT28" i="21"/>
  <c r="AR28" i="21"/>
  <c r="AR24" i="21"/>
  <c r="AR27" i="21"/>
  <c r="AT31" i="21"/>
  <c r="AQ28" i="21"/>
  <c r="AS27" i="21"/>
  <c r="AR12" i="21"/>
  <c r="AS18" i="21"/>
  <c r="AS19" i="2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R18" i="21"/>
  <c r="AS15" i="21"/>
  <c r="AT13" i="21"/>
  <c r="AS8" i="21"/>
  <c r="AQ13" i="21"/>
  <c r="AS6" i="21"/>
  <c r="AT8" i="21"/>
  <c r="AS31" i="21"/>
  <c r="AQ9" i="21"/>
  <c r="AR6" i="21"/>
  <c r="AT9" i="21"/>
  <c r="AY6" i="2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R9" i="21"/>
  <c r="AQ6" i="21"/>
  <c r="AT24" i="21"/>
  <c r="AR8" i="21"/>
  <c r="AR13" i="21"/>
  <c r="AQ24" i="21"/>
  <c r="AT22" i="21"/>
  <c r="AS22" i="21"/>
  <c r="AR22" i="21"/>
  <c r="AQ22" i="21"/>
  <c r="K14" i="21"/>
  <c r="O14" i="21" s="1"/>
  <c r="J15" i="21"/>
  <c r="AR32" i="21"/>
  <c r="AQ32" i="21"/>
  <c r="AT32" i="21"/>
  <c r="AS32" i="21"/>
  <c r="AR16" i="21"/>
  <c r="AS16" i="21"/>
  <c r="AQ16" i="21"/>
  <c r="AT16" i="21"/>
  <c r="AQ11" i="21"/>
  <c r="AT11" i="21"/>
  <c r="AR11" i="21"/>
  <c r="AS11" i="21"/>
  <c r="AS21" i="21"/>
  <c r="AQ21" i="21"/>
  <c r="AR21" i="21"/>
  <c r="AT21" i="21"/>
  <c r="AR10" i="21"/>
  <c r="AQ10" i="21"/>
  <c r="AT10" i="21"/>
  <c r="AS10" i="21"/>
  <c r="AT7" i="21"/>
  <c r="AS7" i="21"/>
  <c r="AR7" i="21"/>
  <c r="AQ7" i="21"/>
  <c r="AQ20" i="21"/>
  <c r="AS20" i="21"/>
  <c r="AR20" i="21"/>
  <c r="AT20" i="21"/>
  <c r="AR17" i="21"/>
  <c r="AQ17" i="21"/>
  <c r="AS17" i="21"/>
  <c r="AT17" i="21"/>
  <c r="AT30" i="21"/>
  <c r="AR30" i="21"/>
  <c r="AQ30" i="21"/>
  <c r="AS30" i="21"/>
  <c r="AS14" i="21"/>
  <c r="AR14" i="21"/>
  <c r="AQ14" i="21"/>
  <c r="AT14" i="21"/>
  <c r="K25" i="20" l="1"/>
  <c r="O25" i="20" s="1"/>
  <c r="J26" i="20"/>
  <c r="Y9" i="20"/>
  <c r="AF11" i="20"/>
  <c r="AI10" i="20"/>
  <c r="S11" i="20"/>
  <c r="R12" i="20"/>
  <c r="T10" i="20"/>
  <c r="X10" i="20" s="1"/>
  <c r="G51" i="21"/>
  <c r="AI6" i="21"/>
  <c r="AI7" i="21"/>
  <c r="AF8" i="21"/>
  <c r="K15" i="21"/>
  <c r="O15" i="21" s="1"/>
  <c r="J16" i="21"/>
  <c r="K26" i="20" l="1"/>
  <c r="O26" i="20" s="1"/>
  <c r="J27" i="20"/>
  <c r="Y10" i="20"/>
  <c r="T11" i="20"/>
  <c r="X11" i="20" s="1"/>
  <c r="Y11" i="20" s="1"/>
  <c r="S12" i="20"/>
  <c r="R13" i="20"/>
  <c r="AF12" i="20"/>
  <c r="AI11" i="20"/>
  <c r="G53" i="21"/>
  <c r="Q82" i="21" s="1"/>
  <c r="G52" i="21"/>
  <c r="C94" i="26"/>
  <c r="Q81" i="21"/>
  <c r="Q79" i="21"/>
  <c r="Q77" i="21"/>
  <c r="Q75" i="21"/>
  <c r="Q73" i="21"/>
  <c r="Q71" i="21"/>
  <c r="Q69" i="21"/>
  <c r="Q67" i="21"/>
  <c r="Q65" i="21"/>
  <c r="Q63" i="21"/>
  <c r="Q61" i="21"/>
  <c r="Q59" i="21"/>
  <c r="Q57" i="21"/>
  <c r="Q55" i="21"/>
  <c r="Q53" i="21"/>
  <c r="Q51" i="21"/>
  <c r="Q49" i="21"/>
  <c r="Q47" i="21"/>
  <c r="Q83" i="21"/>
  <c r="Q85" i="21"/>
  <c r="Q84" i="21"/>
  <c r="Q80" i="21"/>
  <c r="Q78" i="21"/>
  <c r="Q76" i="21"/>
  <c r="Q74" i="21"/>
  <c r="Q72" i="21"/>
  <c r="Q70" i="21"/>
  <c r="Q68" i="21"/>
  <c r="Q66" i="21"/>
  <c r="Q64" i="21"/>
  <c r="Q62" i="21"/>
  <c r="Q60" i="21"/>
  <c r="Q58" i="21"/>
  <c r="Q56" i="21"/>
  <c r="Q54" i="21"/>
  <c r="Q52" i="21"/>
  <c r="Q50" i="21"/>
  <c r="Q48" i="21"/>
  <c r="Q46" i="21"/>
  <c r="Q30" i="21"/>
  <c r="Q34" i="21"/>
  <c r="Q6" i="21"/>
  <c r="R6" i="21" s="1"/>
  <c r="S6" i="21" s="1"/>
  <c r="T6" i="21" s="1"/>
  <c r="X6" i="21" s="1"/>
  <c r="Y6" i="21" s="1"/>
  <c r="Q13" i="21"/>
  <c r="Q29" i="21"/>
  <c r="Q18" i="21"/>
  <c r="Q44" i="21"/>
  <c r="Q11" i="21"/>
  <c r="Q16" i="21"/>
  <c r="Q45" i="21"/>
  <c r="Q32" i="21"/>
  <c r="Q20" i="21"/>
  <c r="Q19" i="21"/>
  <c r="Q12" i="21"/>
  <c r="Q21" i="21"/>
  <c r="Q35" i="21"/>
  <c r="Q28" i="21"/>
  <c r="Q27" i="21"/>
  <c r="Q39" i="21"/>
  <c r="Q33" i="21"/>
  <c r="Q17" i="21"/>
  <c r="Q42" i="21"/>
  <c r="Q15" i="21"/>
  <c r="Q36" i="21"/>
  <c r="Q43" i="21"/>
  <c r="Q31" i="21"/>
  <c r="Q8" i="21"/>
  <c r="Q23" i="21"/>
  <c r="Q14" i="21"/>
  <c r="Q26" i="21"/>
  <c r="Q40" i="21"/>
  <c r="Q9" i="21"/>
  <c r="Q10" i="21"/>
  <c r="Q38" i="21"/>
  <c r="Q37" i="21"/>
  <c r="Q24" i="21"/>
  <c r="Q25" i="21"/>
  <c r="Q22" i="21"/>
  <c r="Q7" i="21"/>
  <c r="Q41" i="21"/>
  <c r="AE23" i="21"/>
  <c r="AP23" i="21"/>
  <c r="AD26" i="21"/>
  <c r="AN23" i="21"/>
  <c r="AO23" i="21"/>
  <c r="AB23" i="21"/>
  <c r="AL26" i="21"/>
  <c r="AD23" i="21"/>
  <c r="AL23" i="21"/>
  <c r="AM26" i="21"/>
  <c r="AC23" i="21"/>
  <c r="AO26" i="21"/>
  <c r="AI8" i="21"/>
  <c r="AF9" i="21"/>
  <c r="K16" i="21"/>
  <c r="O16" i="21" s="1"/>
  <c r="J17" i="21"/>
  <c r="K27" i="20" l="1"/>
  <c r="O27" i="20" s="1"/>
  <c r="J28" i="20"/>
  <c r="AF13" i="20"/>
  <c r="AI12" i="20"/>
  <c r="T12" i="20"/>
  <c r="X12" i="20" s="1"/>
  <c r="Y12" i="20" s="1"/>
  <c r="S13" i="20"/>
  <c r="R14" i="20"/>
  <c r="R7" i="21"/>
  <c r="S7" i="21" s="1"/>
  <c r="T7" i="21" s="1"/>
  <c r="X7" i="21" s="1"/>
  <c r="Y7" i="21" s="1"/>
  <c r="G54" i="21"/>
  <c r="Q96" i="21" s="1"/>
  <c r="AS26" i="21"/>
  <c r="AT26" i="21"/>
  <c r="AQ26" i="21"/>
  <c r="AR26" i="21"/>
  <c r="AG23" i="2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AG66" i="21" s="1"/>
  <c r="AG67" i="21" s="1"/>
  <c r="AG68" i="21" s="1"/>
  <c r="AG69" i="21" s="1"/>
  <c r="AG70" i="21" s="1"/>
  <c r="AG71" i="21" s="1"/>
  <c r="AG72" i="21" s="1"/>
  <c r="AG73" i="21" s="1"/>
  <c r="AG74" i="21" s="1"/>
  <c r="AH23" i="2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AH66" i="21" s="1"/>
  <c r="AH67" i="21" s="1"/>
  <c r="AH68" i="21" s="1"/>
  <c r="AH69" i="21" s="1"/>
  <c r="AH70" i="21" s="1"/>
  <c r="AH71" i="21" s="1"/>
  <c r="AH72" i="21" s="1"/>
  <c r="AH73" i="21" s="1"/>
  <c r="AH74" i="21" s="1"/>
  <c r="AT23" i="21"/>
  <c r="AR23" i="21"/>
  <c r="AQ23" i="21"/>
  <c r="AS23" i="21"/>
  <c r="AY23" i="2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J23" i="24" s="1"/>
  <c r="AI9" i="21"/>
  <c r="AF10" i="21"/>
  <c r="K17" i="21"/>
  <c r="O17" i="21" s="1"/>
  <c r="J18" i="21"/>
  <c r="K28" i="20" l="1"/>
  <c r="J29" i="20"/>
  <c r="O28" i="20"/>
  <c r="T13" i="20"/>
  <c r="X13" i="20" s="1"/>
  <c r="Y13" i="20" s="1"/>
  <c r="S14" i="20"/>
  <c r="R15" i="20"/>
  <c r="AI13" i="20"/>
  <c r="AF14" i="20"/>
  <c r="R8" i="21"/>
  <c r="S8" i="21" s="1"/>
  <c r="T8" i="21" s="1"/>
  <c r="X8" i="21" s="1"/>
  <c r="Y8" i="21" s="1"/>
  <c r="G55" i="21"/>
  <c r="Q86" i="21"/>
  <c r="G56" i="21"/>
  <c r="Q101" i="21" s="1"/>
  <c r="C94" i="21"/>
  <c r="Q89" i="21"/>
  <c r="AF11" i="21"/>
  <c r="AI10" i="21"/>
  <c r="K18" i="21"/>
  <c r="O18" i="21" s="1"/>
  <c r="J19" i="21"/>
  <c r="Q88" i="21" l="1"/>
  <c r="Q99" i="21"/>
  <c r="Q98" i="21"/>
  <c r="Q100" i="21"/>
  <c r="Q97" i="21"/>
  <c r="AB75" i="21"/>
  <c r="AG75" i="21" s="1"/>
  <c r="AG76" i="21" s="1"/>
  <c r="AG77" i="21" s="1"/>
  <c r="AG78" i="21" s="1"/>
  <c r="AG79" i="21" s="1"/>
  <c r="AG80" i="21" s="1"/>
  <c r="AG81" i="21" s="1"/>
  <c r="AG82" i="21" s="1"/>
  <c r="AG83" i="21" s="1"/>
  <c r="AG84" i="21" s="1"/>
  <c r="AG85" i="21" s="1"/>
  <c r="AG86" i="21" s="1"/>
  <c r="AG87" i="21" s="1"/>
  <c r="AG88" i="21" s="1"/>
  <c r="AG89" i="21" s="1"/>
  <c r="AG90" i="21" s="1"/>
  <c r="AG91" i="21" s="1"/>
  <c r="AG92" i="21" s="1"/>
  <c r="AG93" i="21" s="1"/>
  <c r="AG94" i="21" s="1"/>
  <c r="AB140" i="21"/>
  <c r="AH75" i="21"/>
  <c r="AH76" i="21" s="1"/>
  <c r="AH77" i="21" s="1"/>
  <c r="AH78" i="21" s="1"/>
  <c r="AH79" i="21" s="1"/>
  <c r="AH80" i="21" s="1"/>
  <c r="AH81" i="21" s="1"/>
  <c r="AH82" i="21" s="1"/>
  <c r="AH83" i="21" s="1"/>
  <c r="AH84" i="21" s="1"/>
  <c r="AH85" i="21" s="1"/>
  <c r="AH86" i="21" s="1"/>
  <c r="AH87" i="21" s="1"/>
  <c r="AH88" i="21" s="1"/>
  <c r="AH89" i="21" s="1"/>
  <c r="AH90" i="21" s="1"/>
  <c r="AH91" i="21" s="1"/>
  <c r="AH92" i="21" s="1"/>
  <c r="AH93" i="21" s="1"/>
  <c r="AH94" i="21" s="1"/>
  <c r="AL5" i="21"/>
  <c r="AB5" i="21"/>
  <c r="J30" i="20"/>
  <c r="K29" i="20"/>
  <c r="O29" i="20" s="1"/>
  <c r="S15" i="20"/>
  <c r="R16" i="20"/>
  <c r="T14" i="20"/>
  <c r="X14" i="20" s="1"/>
  <c r="Y14" i="20" s="1"/>
  <c r="AF15" i="20"/>
  <c r="AI14" i="20"/>
  <c r="Q87" i="21"/>
  <c r="Q90" i="21"/>
  <c r="R9" i="21"/>
  <c r="S9" i="21" s="1"/>
  <c r="T9" i="21" s="1"/>
  <c r="X9" i="21" s="1"/>
  <c r="Y9" i="21" s="1"/>
  <c r="AB95" i="21"/>
  <c r="H94" i="21"/>
  <c r="Q91" i="21"/>
  <c r="Q92" i="21"/>
  <c r="Q95" i="21"/>
  <c r="Q93" i="21"/>
  <c r="Q94" i="21"/>
  <c r="K19" i="21"/>
  <c r="O19" i="21" s="1"/>
  <c r="J20" i="21"/>
  <c r="AF12" i="21"/>
  <c r="AI11" i="21"/>
  <c r="J31" i="20" l="1"/>
  <c r="K30" i="20"/>
  <c r="O30" i="20" s="1"/>
  <c r="AI15" i="20"/>
  <c r="AF16" i="20"/>
  <c r="S16" i="20"/>
  <c r="R17" i="20"/>
  <c r="T15" i="20"/>
  <c r="X15" i="20" s="1"/>
  <c r="Y15" i="20" s="1"/>
  <c r="R10" i="21"/>
  <c r="R11" i="21" s="1"/>
  <c r="AG95" i="21"/>
  <c r="AG96" i="21" s="1"/>
  <c r="AG97" i="21" s="1"/>
  <c r="AG98" i="21" s="1"/>
  <c r="AG99" i="21" s="1"/>
  <c r="AG100" i="21" s="1"/>
  <c r="AG101" i="21" s="1"/>
  <c r="AG102" i="21" s="1"/>
  <c r="AG103" i="21" s="1"/>
  <c r="AG104" i="21" s="1"/>
  <c r="AG105" i="21" s="1"/>
  <c r="AG106" i="21" s="1"/>
  <c r="AG107" i="21" s="1"/>
  <c r="AG108" i="21" s="1"/>
  <c r="AG109" i="21" s="1"/>
  <c r="AG110" i="21" s="1"/>
  <c r="AG111" i="21" s="1"/>
  <c r="AG112" i="21" s="1"/>
  <c r="AG113" i="21" s="1"/>
  <c r="AG114" i="21" s="1"/>
  <c r="AG115" i="21" s="1"/>
  <c r="AG116" i="21" s="1"/>
  <c r="AG117" i="21" s="1"/>
  <c r="AG118" i="21" s="1"/>
  <c r="AG119" i="21" s="1"/>
  <c r="AG120" i="21" s="1"/>
  <c r="AG121" i="21" s="1"/>
  <c r="AG122" i="21" s="1"/>
  <c r="AG123" i="21" s="1"/>
  <c r="AG124" i="21" s="1"/>
  <c r="AG125" i="21" s="1"/>
  <c r="AG126" i="21" s="1"/>
  <c r="AG127" i="21" s="1"/>
  <c r="AG128" i="21" s="1"/>
  <c r="AG129" i="21" s="1"/>
  <c r="AG130" i="21" s="1"/>
  <c r="AG131" i="21" s="1"/>
  <c r="AG132" i="21" s="1"/>
  <c r="AG133" i="21" s="1"/>
  <c r="AG134" i="21" s="1"/>
  <c r="AG135" i="21" s="1"/>
  <c r="AG136" i="21" s="1"/>
  <c r="AG137" i="21" s="1"/>
  <c r="AG138" i="21" s="1"/>
  <c r="AG139" i="21" s="1"/>
  <c r="AG140" i="21" s="1"/>
  <c r="AH95" i="21"/>
  <c r="AH96" i="21" s="1"/>
  <c r="AH97" i="21" s="1"/>
  <c r="AH98" i="21" s="1"/>
  <c r="AH99" i="21" s="1"/>
  <c r="AH100" i="21" s="1"/>
  <c r="AH101" i="21" s="1"/>
  <c r="AH102" i="21" s="1"/>
  <c r="AH103" i="21" s="1"/>
  <c r="AH104" i="21" s="1"/>
  <c r="AH105" i="21" s="1"/>
  <c r="AH106" i="21" s="1"/>
  <c r="AH107" i="21" s="1"/>
  <c r="AH108" i="21" s="1"/>
  <c r="AH109" i="21" s="1"/>
  <c r="AH110" i="21" s="1"/>
  <c r="AH111" i="21" s="1"/>
  <c r="AH112" i="21" s="1"/>
  <c r="AH113" i="21" s="1"/>
  <c r="AH114" i="21" s="1"/>
  <c r="AH115" i="21" s="1"/>
  <c r="AH116" i="21" s="1"/>
  <c r="AH117" i="21" s="1"/>
  <c r="AH118" i="21" s="1"/>
  <c r="AH119" i="21" s="1"/>
  <c r="AH120" i="21" s="1"/>
  <c r="AH121" i="21" s="1"/>
  <c r="AH122" i="21" s="1"/>
  <c r="AH123" i="21" s="1"/>
  <c r="AH124" i="21" s="1"/>
  <c r="AH125" i="21" s="1"/>
  <c r="AH126" i="21" s="1"/>
  <c r="AH127" i="21" s="1"/>
  <c r="AH128" i="21" s="1"/>
  <c r="AH129" i="21" s="1"/>
  <c r="AH130" i="21" s="1"/>
  <c r="AH131" i="21" s="1"/>
  <c r="AH132" i="21" s="1"/>
  <c r="AH133" i="21" s="1"/>
  <c r="AH134" i="21" s="1"/>
  <c r="AH135" i="21" s="1"/>
  <c r="AH136" i="21" s="1"/>
  <c r="AH137" i="21" s="1"/>
  <c r="AH138" i="21" s="1"/>
  <c r="AH139" i="21" s="1"/>
  <c r="AH140" i="21" s="1"/>
  <c r="K20" i="21"/>
  <c r="O20" i="21" s="1"/>
  <c r="J21" i="21"/>
  <c r="AF13" i="21"/>
  <c r="AI12" i="21"/>
  <c r="K31" i="20" l="1"/>
  <c r="O31" i="20" s="1"/>
  <c r="J32" i="20"/>
  <c r="S17" i="20"/>
  <c r="R18" i="20"/>
  <c r="T16" i="20"/>
  <c r="X16" i="20" s="1"/>
  <c r="Y16" i="20" s="1"/>
  <c r="AI16" i="20"/>
  <c r="AF17" i="20"/>
  <c r="S10" i="21"/>
  <c r="T10" i="21" s="1"/>
  <c r="X10" i="21" s="1"/>
  <c r="Y10" i="21" s="1"/>
  <c r="S11" i="21"/>
  <c r="T11" i="21" s="1"/>
  <c r="X11" i="21" s="1"/>
  <c r="Y11" i="21" s="1"/>
  <c r="R12" i="21"/>
  <c r="AF14" i="21"/>
  <c r="AI13" i="21"/>
  <c r="K21" i="21"/>
  <c r="O21" i="21" s="1"/>
  <c r="J22" i="21"/>
  <c r="J33" i="20" l="1"/>
  <c r="K32" i="20"/>
  <c r="O32" i="20" s="1"/>
  <c r="S18" i="20"/>
  <c r="R19" i="20"/>
  <c r="AI17" i="20"/>
  <c r="AF18" i="20"/>
  <c r="T17" i="20"/>
  <c r="X17" i="20" s="1"/>
  <c r="Y17" i="20" s="1"/>
  <c r="S12" i="21"/>
  <c r="T12" i="21" s="1"/>
  <c r="X12" i="21" s="1"/>
  <c r="Y12" i="21" s="1"/>
  <c r="R13" i="21"/>
  <c r="K22" i="21"/>
  <c r="O22" i="21" s="1"/>
  <c r="J23" i="21"/>
  <c r="AF15" i="21"/>
  <c r="AI14" i="21"/>
  <c r="K33" i="20" l="1"/>
  <c r="O33" i="20" s="1"/>
  <c r="J34" i="20"/>
  <c r="AF19" i="20"/>
  <c r="AI18" i="20"/>
  <c r="T18" i="20"/>
  <c r="X18" i="20" s="1"/>
  <c r="Y18" i="20" s="1"/>
  <c r="S19" i="20"/>
  <c r="R20" i="20"/>
  <c r="S13" i="21"/>
  <c r="T13" i="21" s="1"/>
  <c r="X13" i="21" s="1"/>
  <c r="Y13" i="21" s="1"/>
  <c r="R14" i="21"/>
  <c r="AF16" i="21"/>
  <c r="AI15" i="21"/>
  <c r="K23" i="21"/>
  <c r="O23" i="21" s="1"/>
  <c r="J24" i="21"/>
  <c r="J35" i="20" l="1"/>
  <c r="K34" i="20"/>
  <c r="O34" i="20" s="1"/>
  <c r="T19" i="20"/>
  <c r="X19" i="20" s="1"/>
  <c r="Y19" i="20" s="1"/>
  <c r="S20" i="20"/>
  <c r="R21" i="20"/>
  <c r="AI19" i="20"/>
  <c r="AF20" i="20"/>
  <c r="S14" i="21"/>
  <c r="T14" i="21" s="1"/>
  <c r="X14" i="21" s="1"/>
  <c r="Y14" i="21" s="1"/>
  <c r="R15" i="21"/>
  <c r="AI16" i="21"/>
  <c r="AF17" i="21"/>
  <c r="K24" i="21"/>
  <c r="O24" i="21" s="1"/>
  <c r="J25" i="21"/>
  <c r="K35" i="20" l="1"/>
  <c r="O35" i="20" s="1"/>
  <c r="D114" i="20" s="1"/>
  <c r="J36" i="20"/>
  <c r="S21" i="20"/>
  <c r="R22" i="20"/>
  <c r="T20" i="20"/>
  <c r="X20" i="20" s="1"/>
  <c r="Y20" i="20" s="1"/>
  <c r="AI20" i="20"/>
  <c r="AF21" i="20"/>
  <c r="R16" i="21"/>
  <c r="S15" i="21"/>
  <c r="T15" i="21" s="1"/>
  <c r="X15" i="21" s="1"/>
  <c r="Y15" i="21" s="1"/>
  <c r="AI17" i="21"/>
  <c r="AF18" i="21"/>
  <c r="K25" i="21"/>
  <c r="O25" i="21" s="1"/>
  <c r="J26" i="21"/>
  <c r="K36" i="20" l="1"/>
  <c r="O36" i="20" s="1"/>
  <c r="J37" i="20"/>
  <c r="S22" i="20"/>
  <c r="R23" i="20"/>
  <c r="AI21" i="20"/>
  <c r="AF22" i="20"/>
  <c r="T21" i="20"/>
  <c r="X21" i="20" s="1"/>
  <c r="Y21" i="20" s="1"/>
  <c r="R17" i="21"/>
  <c r="S16" i="21"/>
  <c r="T16" i="21" s="1"/>
  <c r="X16" i="21" s="1"/>
  <c r="Y16" i="21" s="1"/>
  <c r="K26" i="21"/>
  <c r="O26" i="21" s="1"/>
  <c r="J27" i="21"/>
  <c r="AI18" i="21"/>
  <c r="AF19" i="21"/>
  <c r="K37" i="20" l="1"/>
  <c r="O37" i="20" s="1"/>
  <c r="J38" i="20"/>
  <c r="S23" i="20"/>
  <c r="R24" i="20"/>
  <c r="AI22" i="20"/>
  <c r="AF23" i="20"/>
  <c r="T22" i="20"/>
  <c r="X22" i="20" s="1"/>
  <c r="Y22" i="20" s="1"/>
  <c r="S17" i="21"/>
  <c r="T17" i="21" s="1"/>
  <c r="X17" i="21" s="1"/>
  <c r="Y17" i="21" s="1"/>
  <c r="R18" i="21"/>
  <c r="AF20" i="21"/>
  <c r="AI19" i="21"/>
  <c r="K27" i="21"/>
  <c r="O27" i="21" s="1"/>
  <c r="J28" i="21"/>
  <c r="J39" i="20" l="1"/>
  <c r="K38" i="20"/>
  <c r="O38" i="20" s="1"/>
  <c r="AI23" i="20"/>
  <c r="AF24" i="20"/>
  <c r="S24" i="20"/>
  <c r="R25" i="20"/>
  <c r="T23" i="20"/>
  <c r="X23" i="20" s="1"/>
  <c r="Y23" i="20" s="1"/>
  <c r="S18" i="21"/>
  <c r="T18" i="21" s="1"/>
  <c r="X18" i="21" s="1"/>
  <c r="Y18" i="21" s="1"/>
  <c r="R19" i="21"/>
  <c r="AF21" i="21"/>
  <c r="AI20" i="21"/>
  <c r="K28" i="21"/>
  <c r="O28" i="21" s="1"/>
  <c r="J29" i="21"/>
  <c r="J40" i="20" l="1"/>
  <c r="K39" i="20"/>
  <c r="O39" i="20" s="1"/>
  <c r="S25" i="20"/>
  <c r="R26" i="20"/>
  <c r="T24" i="20"/>
  <c r="X24" i="20" s="1"/>
  <c r="Y24" i="20" s="1"/>
  <c r="AF25" i="20"/>
  <c r="AI24" i="20"/>
  <c r="S19" i="21"/>
  <c r="T19" i="21" s="1"/>
  <c r="X19" i="21" s="1"/>
  <c r="Y19" i="21" s="1"/>
  <c r="R20" i="21"/>
  <c r="K29" i="21"/>
  <c r="O29" i="21" s="1"/>
  <c r="J30" i="21"/>
  <c r="AF22" i="21"/>
  <c r="AI21" i="21"/>
  <c r="K40" i="20" l="1"/>
  <c r="O40" i="20" s="1"/>
  <c r="J41" i="20"/>
  <c r="T25" i="20"/>
  <c r="X25" i="20" s="1"/>
  <c r="Y25" i="20" s="1"/>
  <c r="S26" i="20"/>
  <c r="R27" i="20"/>
  <c r="AI25" i="20"/>
  <c r="AF26" i="20"/>
  <c r="S20" i="21"/>
  <c r="T20" i="21" s="1"/>
  <c r="X20" i="21" s="1"/>
  <c r="Y20" i="21" s="1"/>
  <c r="R21" i="21"/>
  <c r="AF23" i="21"/>
  <c r="AI22" i="21"/>
  <c r="K30" i="21"/>
  <c r="O30" i="21" s="1"/>
  <c r="J31" i="21"/>
  <c r="K41" i="20" l="1"/>
  <c r="O41" i="20" s="1"/>
  <c r="J42" i="20"/>
  <c r="S27" i="20"/>
  <c r="R28" i="20"/>
  <c r="T26" i="20"/>
  <c r="X26" i="20" s="1"/>
  <c r="Y26" i="20" s="1"/>
  <c r="AI26" i="20"/>
  <c r="AF27" i="20"/>
  <c r="S21" i="21"/>
  <c r="T21" i="21" s="1"/>
  <c r="X21" i="21" s="1"/>
  <c r="Y21" i="21" s="1"/>
  <c r="R22" i="21"/>
  <c r="K31" i="21"/>
  <c r="O31" i="21" s="1"/>
  <c r="J32" i="21"/>
  <c r="AF24" i="21"/>
  <c r="AI23" i="21"/>
  <c r="J43" i="20" l="1"/>
  <c r="K42" i="20"/>
  <c r="O42" i="20" s="1"/>
  <c r="S28" i="20"/>
  <c r="R29" i="20"/>
  <c r="T27" i="20"/>
  <c r="X27" i="20" s="1"/>
  <c r="Y27" i="20" s="1"/>
  <c r="AI27" i="20"/>
  <c r="AF28" i="20"/>
  <c r="S22" i="21"/>
  <c r="T22" i="21" s="1"/>
  <c r="X22" i="21" s="1"/>
  <c r="Y22" i="21" s="1"/>
  <c r="R23" i="21"/>
  <c r="AI24" i="21"/>
  <c r="AF25" i="21"/>
  <c r="K32" i="21"/>
  <c r="O32" i="21" s="1"/>
  <c r="J33" i="21"/>
  <c r="K43" i="20" l="1"/>
  <c r="O43" i="20" s="1"/>
  <c r="J44" i="20"/>
  <c r="S29" i="20"/>
  <c r="R30" i="20"/>
  <c r="AI28" i="20"/>
  <c r="AF29" i="20"/>
  <c r="T28" i="20"/>
  <c r="X28" i="20" s="1"/>
  <c r="Y28" i="20" s="1"/>
  <c r="R24" i="21"/>
  <c r="S23" i="21"/>
  <c r="T23" i="21" s="1"/>
  <c r="X23" i="21" s="1"/>
  <c r="Y23" i="21" s="1"/>
  <c r="K33" i="21"/>
  <c r="O33" i="21" s="1"/>
  <c r="J34" i="21"/>
  <c r="AF26" i="21"/>
  <c r="AI25" i="21"/>
  <c r="J45" i="20" l="1"/>
  <c r="K44" i="20"/>
  <c r="O44" i="20"/>
  <c r="S30" i="20"/>
  <c r="R31" i="20"/>
  <c r="AI29" i="20"/>
  <c r="AF30" i="20"/>
  <c r="T29" i="20"/>
  <c r="X29" i="20" s="1"/>
  <c r="Y29" i="20" s="1"/>
  <c r="R25" i="21"/>
  <c r="S24" i="21"/>
  <c r="T24" i="21" s="1"/>
  <c r="X24" i="21" s="1"/>
  <c r="Y24" i="21" s="1"/>
  <c r="AF27" i="21"/>
  <c r="AI26" i="21"/>
  <c r="K34" i="21"/>
  <c r="O34" i="21" s="1"/>
  <c r="J35" i="21"/>
  <c r="J46" i="20" l="1"/>
  <c r="K45" i="20"/>
  <c r="O45" i="20" s="1"/>
  <c r="AI30" i="20"/>
  <c r="AF31" i="20"/>
  <c r="S31" i="20"/>
  <c r="R32" i="20"/>
  <c r="T30" i="20"/>
  <c r="X30" i="20" s="1"/>
  <c r="Y30" i="20" s="1"/>
  <c r="R26" i="21"/>
  <c r="S25" i="21"/>
  <c r="T25" i="21" s="1"/>
  <c r="X25" i="21" s="1"/>
  <c r="Y25" i="21" s="1"/>
  <c r="K35" i="21"/>
  <c r="O35" i="21" s="1"/>
  <c r="D114" i="21" s="1"/>
  <c r="J36" i="21"/>
  <c r="AI27" i="21"/>
  <c r="AF28" i="21"/>
  <c r="K46" i="20" l="1"/>
  <c r="O46" i="20" s="1"/>
  <c r="J47" i="20"/>
  <c r="AI31" i="20"/>
  <c r="AF32" i="20"/>
  <c r="S32" i="20"/>
  <c r="R33" i="20"/>
  <c r="T31" i="20"/>
  <c r="X31" i="20" s="1"/>
  <c r="Y31" i="20" s="1"/>
  <c r="R27" i="21"/>
  <c r="S26" i="21"/>
  <c r="T26" i="21" s="1"/>
  <c r="X26" i="21" s="1"/>
  <c r="Y26" i="21" s="1"/>
  <c r="K36" i="21"/>
  <c r="O36" i="21" s="1"/>
  <c r="J37" i="21"/>
  <c r="AI28" i="21"/>
  <c r="AF29" i="21"/>
  <c r="K47" i="20" l="1"/>
  <c r="O47" i="20" s="1"/>
  <c r="J48" i="20"/>
  <c r="T32" i="20"/>
  <c r="X32" i="20" s="1"/>
  <c r="Y32" i="20" s="1"/>
  <c r="AF33" i="20"/>
  <c r="AI32" i="20"/>
  <c r="S33" i="20"/>
  <c r="R34" i="20"/>
  <c r="R28" i="21"/>
  <c r="S27" i="21"/>
  <c r="T27" i="21" s="1"/>
  <c r="X27" i="21" s="1"/>
  <c r="Y27" i="21" s="1"/>
  <c r="K37" i="21"/>
  <c r="O37" i="21" s="1"/>
  <c r="J38" i="21"/>
  <c r="AI29" i="21"/>
  <c r="AF30" i="21"/>
  <c r="K48" i="20" l="1"/>
  <c r="O48" i="20" s="1"/>
  <c r="J49" i="20"/>
  <c r="T33" i="20"/>
  <c r="X33" i="20" s="1"/>
  <c r="Y33" i="20" s="1"/>
  <c r="AI33" i="20"/>
  <c r="AF34" i="20"/>
  <c r="S34" i="20"/>
  <c r="R35" i="20"/>
  <c r="R29" i="21"/>
  <c r="S28" i="21"/>
  <c r="T28" i="21" s="1"/>
  <c r="X28" i="21" s="1"/>
  <c r="Y28" i="21" s="1"/>
  <c r="K38" i="21"/>
  <c r="O38" i="21" s="1"/>
  <c r="J39" i="21"/>
  <c r="AI30" i="21"/>
  <c r="AF31" i="21"/>
  <c r="K49" i="20" l="1"/>
  <c r="O49" i="20" s="1"/>
  <c r="J50" i="20"/>
  <c r="AF35" i="20"/>
  <c r="AI34" i="20"/>
  <c r="T34" i="20"/>
  <c r="X34" i="20" s="1"/>
  <c r="Y34" i="20" s="1"/>
  <c r="S35" i="20"/>
  <c r="R36" i="20"/>
  <c r="R30" i="21"/>
  <c r="S29" i="21"/>
  <c r="T29" i="21" s="1"/>
  <c r="X29" i="21" s="1"/>
  <c r="Y29" i="21" s="1"/>
  <c r="K39" i="21"/>
  <c r="O39" i="21" s="1"/>
  <c r="J40" i="21"/>
  <c r="AF32" i="21"/>
  <c r="AI31" i="21"/>
  <c r="K50" i="20" l="1"/>
  <c r="O50" i="20" s="1"/>
  <c r="J51" i="20"/>
  <c r="T35" i="20"/>
  <c r="X35" i="20" s="1"/>
  <c r="S36" i="20"/>
  <c r="R37" i="20"/>
  <c r="AF36" i="20"/>
  <c r="AI35" i="20"/>
  <c r="C118" i="20" s="1"/>
  <c r="E118" i="20" s="1"/>
  <c r="D127" i="20" s="1"/>
  <c r="S30" i="21"/>
  <c r="T30" i="21" s="1"/>
  <c r="X30" i="21" s="1"/>
  <c r="Y30" i="21" s="1"/>
  <c r="R31" i="21"/>
  <c r="AF33" i="21"/>
  <c r="AI32" i="21"/>
  <c r="K40" i="21"/>
  <c r="O40" i="21" s="1"/>
  <c r="J41" i="21"/>
  <c r="K51" i="20" l="1"/>
  <c r="O51" i="20" s="1"/>
  <c r="J52" i="20"/>
  <c r="C114" i="20"/>
  <c r="Y35" i="20"/>
  <c r="E114" i="20" s="1"/>
  <c r="AF37" i="20"/>
  <c r="AI36" i="20"/>
  <c r="S37" i="20"/>
  <c r="R38" i="20"/>
  <c r="T36" i="20"/>
  <c r="X36" i="20" s="1"/>
  <c r="Y36" i="20" s="1"/>
  <c r="S31" i="21"/>
  <c r="T31" i="21" s="1"/>
  <c r="X31" i="21" s="1"/>
  <c r="Y31" i="21" s="1"/>
  <c r="R32" i="21"/>
  <c r="K41" i="21"/>
  <c r="O41" i="21" s="1"/>
  <c r="J42" i="21"/>
  <c r="AF34" i="21"/>
  <c r="AI33" i="21"/>
  <c r="J53" i="20" l="1"/>
  <c r="K52" i="20"/>
  <c r="O52" i="20" s="1"/>
  <c r="S38" i="20"/>
  <c r="R39" i="20"/>
  <c r="T37" i="20"/>
  <c r="X37" i="20" s="1"/>
  <c r="Y37" i="20" s="1"/>
  <c r="AF38" i="20"/>
  <c r="AI37" i="20"/>
  <c r="R33" i="21"/>
  <c r="S32" i="21"/>
  <c r="T32" i="21" s="1"/>
  <c r="X32" i="21" s="1"/>
  <c r="Y32" i="21" s="1"/>
  <c r="AF35" i="21"/>
  <c r="AI34" i="21"/>
  <c r="K42" i="21"/>
  <c r="O42" i="21" s="1"/>
  <c r="J43" i="21"/>
  <c r="K53" i="20" l="1"/>
  <c r="O53" i="20"/>
  <c r="J54" i="20"/>
  <c r="AF39" i="20"/>
  <c r="AI38" i="20"/>
  <c r="S39" i="20"/>
  <c r="R40" i="20"/>
  <c r="T38" i="20"/>
  <c r="X38" i="20" s="1"/>
  <c r="Y38" i="20" s="1"/>
  <c r="S33" i="21"/>
  <c r="T33" i="21" s="1"/>
  <c r="X33" i="21" s="1"/>
  <c r="Y33" i="21" s="1"/>
  <c r="R34" i="21"/>
  <c r="K43" i="21"/>
  <c r="O43" i="21" s="1"/>
  <c r="J44" i="21"/>
  <c r="AI35" i="21"/>
  <c r="C118" i="21" s="1"/>
  <c r="E118" i="21" s="1"/>
  <c r="D127" i="21" s="1"/>
  <c r="J22" i="24" s="1"/>
  <c r="AF36" i="21"/>
  <c r="K54" i="20" l="1"/>
  <c r="O54" i="20" s="1"/>
  <c r="J55" i="20"/>
  <c r="T39" i="20"/>
  <c r="X39" i="20" s="1"/>
  <c r="Y39" i="20" s="1"/>
  <c r="S40" i="20"/>
  <c r="R41" i="20"/>
  <c r="AI39" i="20"/>
  <c r="AF40" i="20"/>
  <c r="S34" i="21"/>
  <c r="T34" i="21" s="1"/>
  <c r="X34" i="21" s="1"/>
  <c r="Y34" i="21" s="1"/>
  <c r="R35" i="21"/>
  <c r="AF37" i="21"/>
  <c r="AI36" i="21"/>
  <c r="K44" i="21"/>
  <c r="O44" i="21" s="1"/>
  <c r="J45" i="21"/>
  <c r="J46" i="21" s="1"/>
  <c r="K55" i="20" l="1"/>
  <c r="O55" i="20" s="1"/>
  <c r="J56" i="20"/>
  <c r="T40" i="20"/>
  <c r="X40" i="20" s="1"/>
  <c r="Y40" i="20" s="1"/>
  <c r="S41" i="20"/>
  <c r="R42" i="20"/>
  <c r="AI40" i="20"/>
  <c r="AF41" i="20"/>
  <c r="S35" i="21"/>
  <c r="T35" i="21" s="1"/>
  <c r="X35" i="21" s="1"/>
  <c r="R36" i="21"/>
  <c r="J47" i="21"/>
  <c r="K46" i="21"/>
  <c r="O46" i="21" s="1"/>
  <c r="K45" i="21"/>
  <c r="O45" i="21" s="1"/>
  <c r="AI37" i="21"/>
  <c r="AF38" i="21"/>
  <c r="J57" i="20" l="1"/>
  <c r="K56" i="20"/>
  <c r="O56" i="20" s="1"/>
  <c r="S42" i="20"/>
  <c r="R43" i="20"/>
  <c r="T41" i="20"/>
  <c r="X41" i="20" s="1"/>
  <c r="Y41" i="20" s="1"/>
  <c r="AI41" i="20"/>
  <c r="AF42" i="20"/>
  <c r="S36" i="21"/>
  <c r="T36" i="21" s="1"/>
  <c r="X36" i="21" s="1"/>
  <c r="Y36" i="21" s="1"/>
  <c r="R37" i="21"/>
  <c r="Y35" i="21"/>
  <c r="E114" i="21" s="1"/>
  <c r="C114" i="21"/>
  <c r="J48" i="21"/>
  <c r="K47" i="21"/>
  <c r="O47" i="21" s="1"/>
  <c r="AI38" i="21"/>
  <c r="AF39" i="21"/>
  <c r="J58" i="20" l="1"/>
  <c r="K57" i="20"/>
  <c r="O57" i="20" s="1"/>
  <c r="S43" i="20"/>
  <c r="R44" i="20"/>
  <c r="AF43" i="20"/>
  <c r="AI42" i="20"/>
  <c r="T42" i="20"/>
  <c r="X42" i="20" s="1"/>
  <c r="Y42" i="20" s="1"/>
  <c r="S37" i="21"/>
  <c r="T37" i="21" s="1"/>
  <c r="X37" i="21" s="1"/>
  <c r="Y37" i="21" s="1"/>
  <c r="R38" i="21"/>
  <c r="J49" i="21"/>
  <c r="K48" i="21"/>
  <c r="O48" i="21" s="1"/>
  <c r="AF40" i="21"/>
  <c r="AI39" i="21"/>
  <c r="K58" i="20" l="1"/>
  <c r="O58" i="20" s="1"/>
  <c r="J59" i="20"/>
  <c r="AF44" i="20"/>
  <c r="AI43" i="20"/>
  <c r="S44" i="20"/>
  <c r="R45" i="20"/>
  <c r="T43" i="20"/>
  <c r="X43" i="20" s="1"/>
  <c r="Y43" i="20" s="1"/>
  <c r="R39" i="21"/>
  <c r="S38" i="21"/>
  <c r="T38" i="21" s="1"/>
  <c r="X38" i="21" s="1"/>
  <c r="Y38" i="21" s="1"/>
  <c r="J50" i="21"/>
  <c r="K49" i="21"/>
  <c r="O49" i="21" s="1"/>
  <c r="AI40" i="21"/>
  <c r="AF41" i="21"/>
  <c r="J60" i="20" l="1"/>
  <c r="K59" i="20"/>
  <c r="O59" i="20" s="1"/>
  <c r="S45" i="20"/>
  <c r="R46" i="20"/>
  <c r="T44" i="20"/>
  <c r="X44" i="20" s="1"/>
  <c r="Y44" i="20" s="1"/>
  <c r="AF45" i="20"/>
  <c r="AI44" i="20"/>
  <c r="R40" i="21"/>
  <c r="S39" i="21"/>
  <c r="T39" i="21" s="1"/>
  <c r="X39" i="21" s="1"/>
  <c r="Y39" i="21" s="1"/>
  <c r="J51" i="21"/>
  <c r="K50" i="21"/>
  <c r="O50" i="21" s="1"/>
  <c r="AI41" i="21"/>
  <c r="AF42" i="21"/>
  <c r="J61" i="20" l="1"/>
  <c r="K60" i="20"/>
  <c r="O60" i="20" s="1"/>
  <c r="S46" i="20"/>
  <c r="R47" i="20"/>
  <c r="AF46" i="20"/>
  <c r="AI45" i="20"/>
  <c r="T45" i="20"/>
  <c r="X45" i="20" s="1"/>
  <c r="Y45" i="20" s="1"/>
  <c r="S40" i="21"/>
  <c r="T40" i="21" s="1"/>
  <c r="X40" i="21" s="1"/>
  <c r="Y40" i="21" s="1"/>
  <c r="R41" i="21"/>
  <c r="J52" i="21"/>
  <c r="K51" i="21"/>
  <c r="O51" i="21" s="1"/>
  <c r="AI42" i="21"/>
  <c r="AF43" i="21"/>
  <c r="K61" i="20" l="1"/>
  <c r="J62" i="20"/>
  <c r="O61" i="20"/>
  <c r="AI46" i="20"/>
  <c r="AF47" i="20"/>
  <c r="S47" i="20"/>
  <c r="R48" i="20"/>
  <c r="T46" i="20"/>
  <c r="X46" i="20" s="1"/>
  <c r="Y46" i="20" s="1"/>
  <c r="R42" i="21"/>
  <c r="S41" i="21"/>
  <c r="T41" i="21" s="1"/>
  <c r="X41" i="21" s="1"/>
  <c r="Y41" i="21" s="1"/>
  <c r="J53" i="21"/>
  <c r="K52" i="21"/>
  <c r="O52" i="21" s="1"/>
  <c r="AF44" i="21"/>
  <c r="AI43" i="21"/>
  <c r="J63" i="20" l="1"/>
  <c r="K62" i="20"/>
  <c r="O62" i="20" s="1"/>
  <c r="S48" i="20"/>
  <c r="R49" i="20"/>
  <c r="T47" i="20"/>
  <c r="X47" i="20" s="1"/>
  <c r="Y47" i="20" s="1"/>
  <c r="AI47" i="20"/>
  <c r="AF48" i="20"/>
  <c r="S42" i="21"/>
  <c r="T42" i="21" s="1"/>
  <c r="X42" i="21" s="1"/>
  <c r="Y42" i="21" s="1"/>
  <c r="R43" i="21"/>
  <c r="J54" i="21"/>
  <c r="K53" i="21"/>
  <c r="O53" i="21" s="1"/>
  <c r="AI44" i="21"/>
  <c r="AF45" i="21"/>
  <c r="J64" i="20" l="1"/>
  <c r="K63" i="20"/>
  <c r="O63" i="20" s="1"/>
  <c r="S49" i="20"/>
  <c r="R50" i="20"/>
  <c r="T48" i="20"/>
  <c r="X48" i="20" s="1"/>
  <c r="Y48" i="20" s="1"/>
  <c r="AF49" i="20"/>
  <c r="AI48" i="20"/>
  <c r="S43" i="21"/>
  <c r="T43" i="21" s="1"/>
  <c r="X43" i="21" s="1"/>
  <c r="Y43" i="21" s="1"/>
  <c r="R44" i="21"/>
  <c r="J55" i="21"/>
  <c r="K54" i="21"/>
  <c r="O54" i="21" s="1"/>
  <c r="AI45" i="21"/>
  <c r="AF46" i="21"/>
  <c r="J65" i="20" l="1"/>
  <c r="K64" i="20"/>
  <c r="O64" i="20" s="1"/>
  <c r="AF50" i="20"/>
  <c r="AI49" i="20"/>
  <c r="S50" i="20"/>
  <c r="R51" i="20"/>
  <c r="T49" i="20"/>
  <c r="X49" i="20" s="1"/>
  <c r="Y49" i="20" s="1"/>
  <c r="S44" i="21"/>
  <c r="T44" i="21" s="1"/>
  <c r="X44" i="21" s="1"/>
  <c r="Y44" i="21" s="1"/>
  <c r="R45" i="21"/>
  <c r="K55" i="21"/>
  <c r="O55" i="21" s="1"/>
  <c r="J56" i="21"/>
  <c r="AF47" i="21"/>
  <c r="AI46" i="21"/>
  <c r="K65" i="20" l="1"/>
  <c r="O65" i="20" s="1"/>
  <c r="J66" i="20"/>
  <c r="S51" i="20"/>
  <c r="R52" i="20"/>
  <c r="T50" i="20"/>
  <c r="X50" i="20" s="1"/>
  <c r="Y50" i="20" s="1"/>
  <c r="AF51" i="20"/>
  <c r="AI50" i="20"/>
  <c r="S45" i="21"/>
  <c r="T45" i="21" s="1"/>
  <c r="X45" i="21" s="1"/>
  <c r="Y45" i="21" s="1"/>
  <c r="R46" i="21"/>
  <c r="J57" i="21"/>
  <c r="K56" i="21"/>
  <c r="O56" i="21" s="1"/>
  <c r="AI47" i="21"/>
  <c r="AF48" i="21"/>
  <c r="J67" i="20" l="1"/>
  <c r="K66" i="20"/>
  <c r="O66" i="20" s="1"/>
  <c r="S52" i="20"/>
  <c r="R53" i="20"/>
  <c r="AF52" i="20"/>
  <c r="AI51" i="20"/>
  <c r="T51" i="20"/>
  <c r="X51" i="20" s="1"/>
  <c r="Y51" i="20" s="1"/>
  <c r="S46" i="21"/>
  <c r="T46" i="21" s="1"/>
  <c r="X46" i="21" s="1"/>
  <c r="Y46" i="21" s="1"/>
  <c r="R47" i="21"/>
  <c r="J58" i="21"/>
  <c r="K57" i="21"/>
  <c r="O57" i="21" s="1"/>
  <c r="AF49" i="21"/>
  <c r="AI48" i="21"/>
  <c r="J68" i="20" l="1"/>
  <c r="K67" i="20"/>
  <c r="O67" i="20" s="1"/>
  <c r="AF53" i="20"/>
  <c r="AI52" i="20"/>
  <c r="T52" i="20"/>
  <c r="X52" i="20" s="1"/>
  <c r="Y52" i="20" s="1"/>
  <c r="S53" i="20"/>
  <c r="R54" i="20"/>
  <c r="R48" i="21"/>
  <c r="S47" i="21"/>
  <c r="T47" i="21" s="1"/>
  <c r="X47" i="21" s="1"/>
  <c r="Y47" i="21" s="1"/>
  <c r="J59" i="21"/>
  <c r="K58" i="21"/>
  <c r="O58" i="21" s="1"/>
  <c r="AF50" i="21"/>
  <c r="AI49" i="21"/>
  <c r="J69" i="20" l="1"/>
  <c r="K68" i="20"/>
  <c r="O68" i="20" s="1"/>
  <c r="T53" i="20"/>
  <c r="X53" i="20" s="1"/>
  <c r="Y53" i="20" s="1"/>
  <c r="S54" i="20"/>
  <c r="R55" i="20"/>
  <c r="AI53" i="20"/>
  <c r="AF54" i="20"/>
  <c r="R49" i="21"/>
  <c r="S48" i="21"/>
  <c r="T48" i="21" s="1"/>
  <c r="X48" i="21" s="1"/>
  <c r="Y48" i="21" s="1"/>
  <c r="J60" i="21"/>
  <c r="K59" i="21"/>
  <c r="O59" i="21" s="1"/>
  <c r="AI50" i="21"/>
  <c r="AF51" i="21"/>
  <c r="J70" i="20" l="1"/>
  <c r="K69" i="20"/>
  <c r="O69" i="20" s="1"/>
  <c r="S55" i="20"/>
  <c r="R56" i="20"/>
  <c r="T54" i="20"/>
  <c r="X54" i="20" s="1"/>
  <c r="Y54" i="20" s="1"/>
  <c r="AI54" i="20"/>
  <c r="AF55" i="20"/>
  <c r="S49" i="21"/>
  <c r="T49" i="21" s="1"/>
  <c r="X49" i="21" s="1"/>
  <c r="Y49" i="21" s="1"/>
  <c r="R50" i="21"/>
  <c r="J61" i="21"/>
  <c r="K60" i="21"/>
  <c r="O60" i="21" s="1"/>
  <c r="AI51" i="21"/>
  <c r="AF52" i="21"/>
  <c r="J71" i="20" l="1"/>
  <c r="K70" i="20"/>
  <c r="O70" i="20" s="1"/>
  <c r="S56" i="20"/>
  <c r="R57" i="20"/>
  <c r="AI55" i="20"/>
  <c r="AF56" i="20"/>
  <c r="T55" i="20"/>
  <c r="X55" i="20" s="1"/>
  <c r="Y55" i="20" s="1"/>
  <c r="R51" i="21"/>
  <c r="S50" i="21"/>
  <c r="T50" i="21" s="1"/>
  <c r="X50" i="21" s="1"/>
  <c r="Y50" i="21" s="1"/>
  <c r="J62" i="21"/>
  <c r="K61" i="21"/>
  <c r="O61" i="21" s="1"/>
  <c r="AF53" i="21"/>
  <c r="AI52" i="21"/>
  <c r="J72" i="20" l="1"/>
  <c r="K71" i="20"/>
  <c r="O71" i="20" s="1"/>
  <c r="S57" i="20"/>
  <c r="R58" i="20"/>
  <c r="AF57" i="20"/>
  <c r="AI56" i="20"/>
  <c r="T56" i="20"/>
  <c r="X56" i="20" s="1"/>
  <c r="Y56" i="20" s="1"/>
  <c r="S51" i="21"/>
  <c r="T51" i="21" s="1"/>
  <c r="X51" i="21" s="1"/>
  <c r="Y51" i="21" s="1"/>
  <c r="R52" i="21"/>
  <c r="J63" i="21"/>
  <c r="K62" i="21"/>
  <c r="O62" i="21" s="1"/>
  <c r="AF54" i="21"/>
  <c r="AI53" i="21"/>
  <c r="J73" i="20" l="1"/>
  <c r="K72" i="20"/>
  <c r="O72" i="20" s="1"/>
  <c r="S58" i="20"/>
  <c r="R59" i="20"/>
  <c r="J76" i="20"/>
  <c r="AI57" i="20"/>
  <c r="AF58" i="20"/>
  <c r="T57" i="20"/>
  <c r="X57" i="20" s="1"/>
  <c r="Y57" i="20" s="1"/>
  <c r="R53" i="21"/>
  <c r="S52" i="21"/>
  <c r="T52" i="21" s="1"/>
  <c r="X52" i="21" s="1"/>
  <c r="Y52" i="21" s="1"/>
  <c r="J64" i="21"/>
  <c r="K63" i="21"/>
  <c r="O63" i="21" s="1"/>
  <c r="AF55" i="21"/>
  <c r="AI54" i="21"/>
  <c r="J74" i="20" l="1"/>
  <c r="K73" i="20"/>
  <c r="O73" i="20" s="1"/>
  <c r="K76" i="20"/>
  <c r="O76" i="20" s="1"/>
  <c r="J77" i="20"/>
  <c r="AI58" i="20"/>
  <c r="AF59" i="20"/>
  <c r="S59" i="20"/>
  <c r="R60" i="20"/>
  <c r="T58" i="20"/>
  <c r="X58" i="20" s="1"/>
  <c r="Y58" i="20" s="1"/>
  <c r="R54" i="21"/>
  <c r="S53" i="21"/>
  <c r="T53" i="21" s="1"/>
  <c r="X53" i="21" s="1"/>
  <c r="Y53" i="21" s="1"/>
  <c r="AI55" i="21"/>
  <c r="AF56" i="21"/>
  <c r="J65" i="21"/>
  <c r="K64" i="21"/>
  <c r="O64" i="21" s="1"/>
  <c r="K74" i="20" l="1"/>
  <c r="O74" i="20"/>
  <c r="J75" i="20"/>
  <c r="S60" i="20"/>
  <c r="R61" i="20"/>
  <c r="T59" i="20"/>
  <c r="X59" i="20" s="1"/>
  <c r="Y59" i="20" s="1"/>
  <c r="AI59" i="20"/>
  <c r="AF60" i="20"/>
  <c r="K77" i="20"/>
  <c r="O77" i="20" s="1"/>
  <c r="J78" i="20"/>
  <c r="S54" i="21"/>
  <c r="T54" i="21" s="1"/>
  <c r="X54" i="21" s="1"/>
  <c r="Y54" i="21" s="1"/>
  <c r="R55" i="21"/>
  <c r="J66" i="21"/>
  <c r="K65" i="21"/>
  <c r="O65" i="21" s="1"/>
  <c r="AF57" i="21"/>
  <c r="AI56" i="21"/>
  <c r="K75" i="20" l="1"/>
  <c r="O75" i="20" s="1"/>
  <c r="S61" i="20"/>
  <c r="R62" i="20"/>
  <c r="AF61" i="20"/>
  <c r="AI60" i="20"/>
  <c r="K78" i="20"/>
  <c r="O78" i="20" s="1"/>
  <c r="J79" i="20"/>
  <c r="T60" i="20"/>
  <c r="X60" i="20" s="1"/>
  <c r="Y60" i="20" s="1"/>
  <c r="S55" i="21"/>
  <c r="T55" i="21" s="1"/>
  <c r="X55" i="21" s="1"/>
  <c r="Y55" i="21" s="1"/>
  <c r="R56" i="21"/>
  <c r="AI57" i="21"/>
  <c r="AF58" i="21"/>
  <c r="J67" i="21"/>
  <c r="K66" i="21"/>
  <c r="O66" i="21" s="1"/>
  <c r="AI61" i="20" l="1"/>
  <c r="AF62" i="20"/>
  <c r="K79" i="20"/>
  <c r="O79" i="20" s="1"/>
  <c r="J80" i="20"/>
  <c r="S62" i="20"/>
  <c r="R63" i="20"/>
  <c r="T61" i="20"/>
  <c r="X61" i="20" s="1"/>
  <c r="Y61" i="20" s="1"/>
  <c r="R57" i="21"/>
  <c r="S56" i="21"/>
  <c r="T56" i="21" s="1"/>
  <c r="X56" i="21" s="1"/>
  <c r="Y56" i="21" s="1"/>
  <c r="J68" i="21"/>
  <c r="K67" i="21"/>
  <c r="O67" i="21" s="1"/>
  <c r="AI58" i="21"/>
  <c r="AF59" i="21"/>
  <c r="S63" i="20" l="1"/>
  <c r="R64" i="20"/>
  <c r="AF63" i="20"/>
  <c r="AI62" i="20"/>
  <c r="T62" i="20"/>
  <c r="X62" i="20" s="1"/>
  <c r="Y62" i="20" s="1"/>
  <c r="K80" i="20"/>
  <c r="O80" i="20" s="1"/>
  <c r="J81" i="20"/>
  <c r="R58" i="21"/>
  <c r="S57" i="21"/>
  <c r="T57" i="21" s="1"/>
  <c r="X57" i="21" s="1"/>
  <c r="Y57" i="21" s="1"/>
  <c r="AF60" i="21"/>
  <c r="AI59" i="21"/>
  <c r="J69" i="21"/>
  <c r="K68" i="21"/>
  <c r="O68" i="21" s="1"/>
  <c r="AI63" i="20" l="1"/>
  <c r="AF64" i="20"/>
  <c r="S64" i="20"/>
  <c r="R65" i="20"/>
  <c r="K81" i="20"/>
  <c r="O81" i="20" s="1"/>
  <c r="J82" i="20"/>
  <c r="T63" i="20"/>
  <c r="X63" i="20" s="1"/>
  <c r="Y63" i="20" s="1"/>
  <c r="R59" i="21"/>
  <c r="S58" i="21"/>
  <c r="T58" i="21" s="1"/>
  <c r="X58" i="21" s="1"/>
  <c r="Y58" i="21" s="1"/>
  <c r="J70" i="21"/>
  <c r="K69" i="21"/>
  <c r="O69" i="21" s="1"/>
  <c r="AF61" i="21"/>
  <c r="AI60" i="21"/>
  <c r="K82" i="20" l="1"/>
  <c r="O82" i="20" s="1"/>
  <c r="J83" i="20"/>
  <c r="S65" i="20"/>
  <c r="R66" i="20"/>
  <c r="T64" i="20"/>
  <c r="X64" i="20" s="1"/>
  <c r="Y64" i="20" s="1"/>
  <c r="AF65" i="20"/>
  <c r="AI64" i="20"/>
  <c r="S59" i="21"/>
  <c r="T59" i="21" s="1"/>
  <c r="X59" i="21" s="1"/>
  <c r="Y59" i="21" s="1"/>
  <c r="R60" i="21"/>
  <c r="AI61" i="21"/>
  <c r="AF62" i="21"/>
  <c r="J71" i="21"/>
  <c r="K70" i="21"/>
  <c r="O70" i="21" s="1"/>
  <c r="K83" i="20" l="1"/>
  <c r="O83" i="20" s="1"/>
  <c r="J84" i="20"/>
  <c r="S66" i="20"/>
  <c r="R67" i="20"/>
  <c r="AF66" i="20"/>
  <c r="AI65" i="20"/>
  <c r="T65" i="20"/>
  <c r="X65" i="20" s="1"/>
  <c r="Y65" i="20" s="1"/>
  <c r="R61" i="21"/>
  <c r="S60" i="21"/>
  <c r="T60" i="21" s="1"/>
  <c r="X60" i="21" s="1"/>
  <c r="Y60" i="21" s="1"/>
  <c r="J72" i="21"/>
  <c r="K71" i="21"/>
  <c r="O71" i="21" s="1"/>
  <c r="AF63" i="21"/>
  <c r="AI62" i="21"/>
  <c r="T66" i="20" l="1"/>
  <c r="X66" i="20" s="1"/>
  <c r="Y66" i="20" s="1"/>
  <c r="AI66" i="20"/>
  <c r="AF67" i="20"/>
  <c r="K84" i="20"/>
  <c r="O84" i="20"/>
  <c r="J85" i="20"/>
  <c r="S67" i="20"/>
  <c r="R68" i="20"/>
  <c r="R62" i="21"/>
  <c r="S61" i="21"/>
  <c r="T61" i="21" s="1"/>
  <c r="X61" i="21" s="1"/>
  <c r="Y61" i="21" s="1"/>
  <c r="AF64" i="21"/>
  <c r="AI63" i="21"/>
  <c r="J73" i="21"/>
  <c r="K72" i="21"/>
  <c r="O72" i="21" s="1"/>
  <c r="K85" i="20" l="1"/>
  <c r="O85" i="20" s="1"/>
  <c r="J86" i="20"/>
  <c r="AI67" i="20"/>
  <c r="AF68" i="20"/>
  <c r="T67" i="20"/>
  <c r="X67" i="20" s="1"/>
  <c r="Y67" i="20" s="1"/>
  <c r="S68" i="20"/>
  <c r="R69" i="20"/>
  <c r="S62" i="21"/>
  <c r="T62" i="21" s="1"/>
  <c r="X62" i="21" s="1"/>
  <c r="Y62" i="21" s="1"/>
  <c r="R63" i="21"/>
  <c r="J74" i="21"/>
  <c r="K73" i="21"/>
  <c r="O73" i="21" s="1"/>
  <c r="AI64" i="21"/>
  <c r="AF65" i="21"/>
  <c r="AF69" i="20" l="1"/>
  <c r="AI68" i="20"/>
  <c r="T68" i="20"/>
  <c r="X68" i="20" s="1"/>
  <c r="Y68" i="20" s="1"/>
  <c r="K86" i="20"/>
  <c r="O86" i="20" s="1"/>
  <c r="J87" i="20"/>
  <c r="S69" i="20"/>
  <c r="R70" i="20"/>
  <c r="S63" i="21"/>
  <c r="T63" i="21" s="1"/>
  <c r="X63" i="21" s="1"/>
  <c r="Y63" i="21" s="1"/>
  <c r="R64" i="21"/>
  <c r="AI65" i="21"/>
  <c r="AF66" i="21"/>
  <c r="J75" i="21"/>
  <c r="K74" i="21"/>
  <c r="O74" i="21" s="1"/>
  <c r="K87" i="20" l="1"/>
  <c r="O87" i="20"/>
  <c r="J88" i="20"/>
  <c r="T69" i="20"/>
  <c r="X69" i="20" s="1"/>
  <c r="Y69" i="20" s="1"/>
  <c r="S70" i="20"/>
  <c r="R71" i="20"/>
  <c r="AF70" i="20"/>
  <c r="AI69" i="20"/>
  <c r="S64" i="21"/>
  <c r="T64" i="21" s="1"/>
  <c r="X64" i="21" s="1"/>
  <c r="Y64" i="21" s="1"/>
  <c r="R65" i="21"/>
  <c r="J76" i="21"/>
  <c r="K75" i="21"/>
  <c r="O75" i="21" s="1"/>
  <c r="AI66" i="21"/>
  <c r="AF67" i="21"/>
  <c r="T70" i="20" l="1"/>
  <c r="X70" i="20" s="1"/>
  <c r="Y70" i="20" s="1"/>
  <c r="S71" i="20"/>
  <c r="R72" i="20"/>
  <c r="K88" i="20"/>
  <c r="O88" i="20" s="1"/>
  <c r="J89" i="20"/>
  <c r="AI70" i="20"/>
  <c r="AF71" i="20"/>
  <c r="R66" i="21"/>
  <c r="S65" i="21"/>
  <c r="T65" i="21" s="1"/>
  <c r="X65" i="21" s="1"/>
  <c r="Y65" i="21" s="1"/>
  <c r="AF68" i="21"/>
  <c r="AI67" i="21"/>
  <c r="J77" i="21"/>
  <c r="K76" i="21"/>
  <c r="O76" i="21" s="1"/>
  <c r="K89" i="20" l="1"/>
  <c r="O89" i="20" s="1"/>
  <c r="J90" i="20"/>
  <c r="S72" i="20"/>
  <c r="R73" i="20"/>
  <c r="T71" i="20"/>
  <c r="X71" i="20" s="1"/>
  <c r="Y71" i="20" s="1"/>
  <c r="AI71" i="20"/>
  <c r="AF72" i="20"/>
  <c r="S66" i="21"/>
  <c r="T66" i="21" s="1"/>
  <c r="X66" i="21" s="1"/>
  <c r="Y66" i="21" s="1"/>
  <c r="R67" i="21"/>
  <c r="J78" i="21"/>
  <c r="K77" i="21"/>
  <c r="O77" i="21" s="1"/>
  <c r="AI68" i="21"/>
  <c r="AF69" i="21"/>
  <c r="S73" i="20" l="1"/>
  <c r="R74" i="20"/>
  <c r="T72" i="20"/>
  <c r="X72" i="20" s="1"/>
  <c r="Y72" i="20" s="1"/>
  <c r="K90" i="20"/>
  <c r="O90" i="20" s="1"/>
  <c r="J91" i="20"/>
  <c r="AF73" i="20"/>
  <c r="AI72" i="20"/>
  <c r="R68" i="21"/>
  <c r="S67" i="21"/>
  <c r="T67" i="21" s="1"/>
  <c r="X67" i="21" s="1"/>
  <c r="Y67" i="21" s="1"/>
  <c r="AI69" i="21"/>
  <c r="AF70" i="21"/>
  <c r="J79" i="21"/>
  <c r="K78" i="21"/>
  <c r="O78" i="21" s="1"/>
  <c r="I24" i="24"/>
  <c r="I20" i="24"/>
  <c r="I19" i="24"/>
  <c r="H24" i="24"/>
  <c r="H20" i="24"/>
  <c r="H19" i="24"/>
  <c r="AI73" i="20" l="1"/>
  <c r="AF74" i="20"/>
  <c r="K91" i="20"/>
  <c r="O91" i="20" s="1"/>
  <c r="J92" i="20"/>
  <c r="S74" i="20"/>
  <c r="R75" i="20"/>
  <c r="T73" i="20"/>
  <c r="X73" i="20" s="1"/>
  <c r="Y73" i="20" s="1"/>
  <c r="S68" i="21"/>
  <c r="T68" i="21" s="1"/>
  <c r="X68" i="21" s="1"/>
  <c r="Y68" i="21" s="1"/>
  <c r="R69" i="21"/>
  <c r="J80" i="21"/>
  <c r="K79" i="21"/>
  <c r="O79" i="21" s="1"/>
  <c r="AI70" i="21"/>
  <c r="AF71" i="21"/>
  <c r="T74" i="20" l="1"/>
  <c r="X74" i="20" s="1"/>
  <c r="Y74" i="20" s="1"/>
  <c r="K92" i="20"/>
  <c r="O92" i="20"/>
  <c r="J93" i="20"/>
  <c r="AF75" i="20"/>
  <c r="AI74" i="20"/>
  <c r="S75" i="20"/>
  <c r="R76" i="20"/>
  <c r="S69" i="21"/>
  <c r="T69" i="21" s="1"/>
  <c r="X69" i="21" s="1"/>
  <c r="Y69" i="21" s="1"/>
  <c r="R70" i="21"/>
  <c r="AF72" i="21"/>
  <c r="AI71" i="21"/>
  <c r="J81" i="21"/>
  <c r="K80" i="21"/>
  <c r="O80" i="21" s="1"/>
  <c r="F94" i="13"/>
  <c r="E94" i="13"/>
  <c r="C94" i="13"/>
  <c r="AI75" i="20" l="1"/>
  <c r="AF76" i="20"/>
  <c r="T75" i="20"/>
  <c r="X75" i="20" s="1"/>
  <c r="Y75" i="20" s="1"/>
  <c r="K93" i="20"/>
  <c r="O93" i="20" s="1"/>
  <c r="J94" i="20"/>
  <c r="S76" i="20"/>
  <c r="R77" i="20"/>
  <c r="H94" i="13"/>
  <c r="S70" i="21"/>
  <c r="T70" i="21" s="1"/>
  <c r="X70" i="21" s="1"/>
  <c r="Y70" i="21" s="1"/>
  <c r="R71" i="21"/>
  <c r="J82" i="21"/>
  <c r="K81" i="21"/>
  <c r="O81" i="21" s="1"/>
  <c r="AF73" i="21"/>
  <c r="AI72" i="21"/>
  <c r="R9" i="27"/>
  <c r="U9" i="27" s="1"/>
  <c r="X9" i="27" s="1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T85" i="18"/>
  <c r="AS85" i="18"/>
  <c r="AR85" i="18"/>
  <c r="AQ85" i="18"/>
  <c r="AP85" i="18"/>
  <c r="AO85" i="18"/>
  <c r="AN85" i="18"/>
  <c r="AM85" i="18"/>
  <c r="AL85" i="18"/>
  <c r="AT84" i="18"/>
  <c r="AS84" i="18"/>
  <c r="AR84" i="18"/>
  <c r="AQ84" i="18"/>
  <c r="AP84" i="18"/>
  <c r="AO84" i="18"/>
  <c r="AN84" i="18"/>
  <c r="AM84" i="18"/>
  <c r="AL84" i="18"/>
  <c r="AT83" i="18"/>
  <c r="AS83" i="18"/>
  <c r="AR83" i="18"/>
  <c r="AQ83" i="18"/>
  <c r="AP83" i="18"/>
  <c r="AO83" i="18"/>
  <c r="AN83" i="18"/>
  <c r="AM83" i="18"/>
  <c r="AL83" i="18"/>
  <c r="AT82" i="18"/>
  <c r="AS82" i="18"/>
  <c r="AR82" i="18"/>
  <c r="AQ82" i="18"/>
  <c r="AP82" i="18"/>
  <c r="AO82" i="18"/>
  <c r="AN82" i="18"/>
  <c r="AM82" i="18"/>
  <c r="AL82" i="18"/>
  <c r="AT81" i="18"/>
  <c r="AS81" i="18"/>
  <c r="AR81" i="18"/>
  <c r="AQ81" i="18"/>
  <c r="AP81" i="18"/>
  <c r="AO81" i="18"/>
  <c r="AN81" i="18"/>
  <c r="AM81" i="18"/>
  <c r="AL81" i="18"/>
  <c r="AT80" i="18"/>
  <c r="AS80" i="18"/>
  <c r="AR80" i="18"/>
  <c r="AQ80" i="18"/>
  <c r="AP80" i="18"/>
  <c r="AO80" i="18"/>
  <c r="AN80" i="18"/>
  <c r="AM80" i="18"/>
  <c r="AL80" i="18"/>
  <c r="AT79" i="18"/>
  <c r="AS79" i="18"/>
  <c r="AR79" i="18"/>
  <c r="AQ79" i="18"/>
  <c r="AP79" i="18"/>
  <c r="AO79" i="18"/>
  <c r="AN79" i="18"/>
  <c r="AM79" i="18"/>
  <c r="AL79" i="18"/>
  <c r="AT78" i="18"/>
  <c r="AS78" i="18"/>
  <c r="AR78" i="18"/>
  <c r="AQ78" i="18"/>
  <c r="AP78" i="18"/>
  <c r="AO78" i="18"/>
  <c r="AN78" i="18"/>
  <c r="AM78" i="18"/>
  <c r="AL78" i="18"/>
  <c r="AT77" i="18"/>
  <c r="AS77" i="18"/>
  <c r="AR77" i="18"/>
  <c r="AQ77" i="18"/>
  <c r="AP77" i="18"/>
  <c r="AO77" i="18"/>
  <c r="AN77" i="18"/>
  <c r="AM77" i="18"/>
  <c r="AL77" i="18"/>
  <c r="AT76" i="18"/>
  <c r="AS76" i="18"/>
  <c r="AR76" i="18"/>
  <c r="AQ76" i="18"/>
  <c r="AP76" i="18"/>
  <c r="AO76" i="18"/>
  <c r="AN76" i="18"/>
  <c r="AM76" i="18"/>
  <c r="AL76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A9" i="27" l="1"/>
  <c r="AD9" i="27" s="1"/>
  <c r="T76" i="20"/>
  <c r="X76" i="20" s="1"/>
  <c r="Y76" i="20" s="1"/>
  <c r="K94" i="20"/>
  <c r="O94" i="20" s="1"/>
  <c r="J95" i="20"/>
  <c r="AF77" i="20"/>
  <c r="AI76" i="20"/>
  <c r="S77" i="20"/>
  <c r="R78" i="20"/>
  <c r="R72" i="21"/>
  <c r="S71" i="21"/>
  <c r="T71" i="21" s="1"/>
  <c r="X71" i="21" s="1"/>
  <c r="Y71" i="21" s="1"/>
  <c r="AI73" i="21"/>
  <c r="AF74" i="21"/>
  <c r="J83" i="21"/>
  <c r="K82" i="21"/>
  <c r="O82" i="21" s="1"/>
  <c r="AQ165" i="13"/>
  <c r="AS163" i="13"/>
  <c r="AQ157" i="13"/>
  <c r="AR163" i="13"/>
  <c r="AQ163" i="13"/>
  <c r="AR162" i="13"/>
  <c r="AS161" i="13"/>
  <c r="AS158" i="13"/>
  <c r="K95" i="20" l="1"/>
  <c r="O95" i="20" s="1"/>
  <c r="D113" i="20" s="1"/>
  <c r="T77" i="20"/>
  <c r="X77" i="20" s="1"/>
  <c r="Y77" i="20" s="1"/>
  <c r="AI77" i="20"/>
  <c r="AF78" i="20"/>
  <c r="S78" i="20"/>
  <c r="R79" i="20"/>
  <c r="S72" i="21"/>
  <c r="T72" i="21" s="1"/>
  <c r="X72" i="21" s="1"/>
  <c r="Y72" i="21" s="1"/>
  <c r="R73" i="21"/>
  <c r="J84" i="21"/>
  <c r="K83" i="21"/>
  <c r="O83" i="21" s="1"/>
  <c r="AI74" i="21"/>
  <c r="AF75" i="21"/>
  <c r="AI78" i="20" l="1"/>
  <c r="AF79" i="20"/>
  <c r="S79" i="20"/>
  <c r="R80" i="20"/>
  <c r="T78" i="20"/>
  <c r="X78" i="20" s="1"/>
  <c r="Y78" i="20" s="1"/>
  <c r="S73" i="21"/>
  <c r="T73" i="21" s="1"/>
  <c r="X73" i="21" s="1"/>
  <c r="Y73" i="21" s="1"/>
  <c r="R74" i="21"/>
  <c r="AF76" i="21"/>
  <c r="AI75" i="21"/>
  <c r="J85" i="21"/>
  <c r="K84" i="21"/>
  <c r="O84" i="21" s="1"/>
  <c r="G20" i="24"/>
  <c r="G19" i="24"/>
  <c r="F19" i="24"/>
  <c r="F20" i="24"/>
  <c r="T79" i="20" l="1"/>
  <c r="X79" i="20" s="1"/>
  <c r="Y79" i="20" s="1"/>
  <c r="AI79" i="20"/>
  <c r="AF80" i="20"/>
  <c r="S80" i="20"/>
  <c r="R81" i="20"/>
  <c r="R75" i="21"/>
  <c r="S74" i="21"/>
  <c r="T74" i="21" s="1"/>
  <c r="X74" i="21" s="1"/>
  <c r="Y74" i="21" s="1"/>
  <c r="J86" i="21"/>
  <c r="K85" i="21"/>
  <c r="O85" i="21" s="1"/>
  <c r="AI76" i="21"/>
  <c r="AF77" i="21"/>
  <c r="S81" i="20" l="1"/>
  <c r="R82" i="20"/>
  <c r="T80" i="20"/>
  <c r="X80" i="20" s="1"/>
  <c r="Y80" i="20" s="1"/>
  <c r="AF81" i="20"/>
  <c r="AI80" i="20"/>
  <c r="S75" i="21"/>
  <c r="T75" i="21" s="1"/>
  <c r="X75" i="21" s="1"/>
  <c r="Y75" i="21" s="1"/>
  <c r="R76" i="21"/>
  <c r="AI77" i="21"/>
  <c r="AF78" i="21"/>
  <c r="J87" i="21"/>
  <c r="K86" i="21"/>
  <c r="O86" i="21" s="1"/>
  <c r="S82" i="20" l="1"/>
  <c r="R83" i="20"/>
  <c r="AF82" i="20"/>
  <c r="AI81" i="20"/>
  <c r="T81" i="20"/>
  <c r="X81" i="20" s="1"/>
  <c r="Y81" i="20" s="1"/>
  <c r="S76" i="21"/>
  <c r="T76" i="21" s="1"/>
  <c r="X76" i="21" s="1"/>
  <c r="Y76" i="21" s="1"/>
  <c r="R77" i="21"/>
  <c r="J88" i="21"/>
  <c r="K87" i="21"/>
  <c r="O87" i="21" s="1"/>
  <c r="AI78" i="21"/>
  <c r="AF79" i="21"/>
  <c r="AI82" i="20" l="1"/>
  <c r="AF83" i="20"/>
  <c r="S83" i="20"/>
  <c r="R84" i="20"/>
  <c r="T82" i="20"/>
  <c r="X82" i="20" s="1"/>
  <c r="Y82" i="20" s="1"/>
  <c r="R78" i="21"/>
  <c r="S77" i="21"/>
  <c r="T77" i="21" s="1"/>
  <c r="X77" i="21" s="1"/>
  <c r="Y77" i="21" s="1"/>
  <c r="AF80" i="21"/>
  <c r="AI79" i="21"/>
  <c r="J89" i="21"/>
  <c r="K88" i="21"/>
  <c r="O88" i="21" s="1"/>
  <c r="T83" i="20" l="1"/>
  <c r="X83" i="20" s="1"/>
  <c r="Y83" i="20" s="1"/>
  <c r="AF84" i="20"/>
  <c r="AI83" i="20"/>
  <c r="S84" i="20"/>
  <c r="R85" i="20"/>
  <c r="R79" i="21"/>
  <c r="S78" i="21"/>
  <c r="T78" i="21" s="1"/>
  <c r="X78" i="21" s="1"/>
  <c r="Y78" i="21" s="1"/>
  <c r="J90" i="21"/>
  <c r="K89" i="21"/>
  <c r="O89" i="21" s="1"/>
  <c r="AF81" i="21"/>
  <c r="AI80" i="21"/>
  <c r="S85" i="20" l="1"/>
  <c r="R86" i="20"/>
  <c r="T84" i="20"/>
  <c r="X84" i="20" s="1"/>
  <c r="Y84" i="20" s="1"/>
  <c r="AF85" i="20"/>
  <c r="AI84" i="20"/>
  <c r="R80" i="21"/>
  <c r="S79" i="21"/>
  <c r="T79" i="21" s="1"/>
  <c r="X79" i="21" s="1"/>
  <c r="Y79" i="21" s="1"/>
  <c r="AI81" i="21"/>
  <c r="AF82" i="21"/>
  <c r="J91" i="21"/>
  <c r="K90" i="21"/>
  <c r="O90" i="21" s="1"/>
  <c r="AF86" i="20" l="1"/>
  <c r="AI85" i="20"/>
  <c r="S86" i="20"/>
  <c r="R87" i="20"/>
  <c r="T85" i="20"/>
  <c r="X85" i="20" s="1"/>
  <c r="Y85" i="20" s="1"/>
  <c r="S80" i="21"/>
  <c r="T80" i="21" s="1"/>
  <c r="X80" i="21" s="1"/>
  <c r="Y80" i="21" s="1"/>
  <c r="R81" i="21"/>
  <c r="J92" i="21"/>
  <c r="K91" i="21"/>
  <c r="O91" i="21" s="1"/>
  <c r="AF83" i="21"/>
  <c r="AI82" i="21"/>
  <c r="T86" i="20" l="1"/>
  <c r="X86" i="20" s="1"/>
  <c r="Y86" i="20" s="1"/>
  <c r="S87" i="20"/>
  <c r="R88" i="20"/>
  <c r="AF87" i="20"/>
  <c r="AI86" i="20"/>
  <c r="S81" i="21"/>
  <c r="T81" i="21" s="1"/>
  <c r="X81" i="21" s="1"/>
  <c r="Y81" i="21" s="1"/>
  <c r="R82" i="21"/>
  <c r="AI83" i="21"/>
  <c r="AF84" i="21"/>
  <c r="J93" i="21"/>
  <c r="K92" i="21"/>
  <c r="O92" i="21" s="1"/>
  <c r="AF88" i="20" l="1"/>
  <c r="AI87" i="20"/>
  <c r="S88" i="20"/>
  <c r="R89" i="20"/>
  <c r="T87" i="20"/>
  <c r="X87" i="20" s="1"/>
  <c r="Y87" i="20" s="1"/>
  <c r="S82" i="21"/>
  <c r="T82" i="21" s="1"/>
  <c r="X82" i="21" s="1"/>
  <c r="Y82" i="21" s="1"/>
  <c r="R83" i="21"/>
  <c r="J94" i="21"/>
  <c r="K93" i="21"/>
  <c r="O93" i="21" s="1"/>
  <c r="AF85" i="21"/>
  <c r="AI84" i="21"/>
  <c r="S89" i="20" l="1"/>
  <c r="R90" i="20"/>
  <c r="T88" i="20"/>
  <c r="X88" i="20" s="1"/>
  <c r="Y88" i="20" s="1"/>
  <c r="AF89" i="20"/>
  <c r="AI88" i="20"/>
  <c r="S83" i="21"/>
  <c r="T83" i="21" s="1"/>
  <c r="X83" i="21" s="1"/>
  <c r="Y83" i="21" s="1"/>
  <c r="R84" i="21"/>
  <c r="AF86" i="21"/>
  <c r="AI85" i="21"/>
  <c r="J95" i="21"/>
  <c r="K94" i="21"/>
  <c r="O94" i="21" s="1"/>
  <c r="B53" i="27"/>
  <c r="B67" i="27"/>
  <c r="U4" i="27"/>
  <c r="X4" i="27"/>
  <c r="AA4" i="27"/>
  <c r="AD4" i="27"/>
  <c r="F94" i="18"/>
  <c r="F51" i="27" s="1"/>
  <c r="E94" i="18"/>
  <c r="AB68" i="18"/>
  <c r="F50" i="27"/>
  <c r="E49" i="27"/>
  <c r="E48" i="27"/>
  <c r="F90" i="18"/>
  <c r="F47" i="27" s="1"/>
  <c r="E90" i="18"/>
  <c r="E47" i="27" s="1"/>
  <c r="B47" i="27"/>
  <c r="F89" i="18"/>
  <c r="F46" i="27" s="1"/>
  <c r="E89" i="18"/>
  <c r="H89" i="18" s="1"/>
  <c r="F88" i="18"/>
  <c r="E88" i="18"/>
  <c r="B45" i="27"/>
  <c r="F87" i="18"/>
  <c r="E87" i="18"/>
  <c r="E44" i="27" s="1"/>
  <c r="F86" i="18"/>
  <c r="E86" i="18"/>
  <c r="E43" i="27" s="1"/>
  <c r="B43" i="27"/>
  <c r="F85" i="18"/>
  <c r="E85" i="18"/>
  <c r="F84" i="18"/>
  <c r="E84" i="18"/>
  <c r="F83" i="18"/>
  <c r="E83" i="18"/>
  <c r="E40" i="27" s="1"/>
  <c r="F82" i="18"/>
  <c r="E82" i="18"/>
  <c r="R10" i="27"/>
  <c r="U10" i="27" s="1"/>
  <c r="X10" i="27" s="1"/>
  <c r="AA10" i="27" s="1"/>
  <c r="AD10" i="27" s="1"/>
  <c r="R12" i="27"/>
  <c r="U12" i="27" s="1"/>
  <c r="X12" i="27" s="1"/>
  <c r="AA12" i="27" s="1"/>
  <c r="AD12" i="27" s="1"/>
  <c r="F10" i="13"/>
  <c r="L86" i="13" s="1"/>
  <c r="M9" i="26"/>
  <c r="F13" i="19"/>
  <c r="F10" i="19"/>
  <c r="U22" i="27"/>
  <c r="B24" i="27"/>
  <c r="B25" i="27"/>
  <c r="B95" i="13"/>
  <c r="C82" i="13"/>
  <c r="C23" i="27" s="1"/>
  <c r="C83" i="13"/>
  <c r="C24" i="27" s="1"/>
  <c r="C84" i="13"/>
  <c r="C25" i="27" s="1"/>
  <c r="C85" i="13"/>
  <c r="C26" i="27" s="1"/>
  <c r="C86" i="13"/>
  <c r="C27" i="27" s="1"/>
  <c r="C87" i="13"/>
  <c r="C28" i="27" s="1"/>
  <c r="C88" i="13"/>
  <c r="C29" i="27" s="1"/>
  <c r="C89" i="13"/>
  <c r="C30" i="27" s="1"/>
  <c r="C90" i="13"/>
  <c r="C31" i="27" s="1"/>
  <c r="C91" i="13"/>
  <c r="C32" i="27" s="1"/>
  <c r="C92" i="13"/>
  <c r="C33" i="27" s="1"/>
  <c r="C93" i="13"/>
  <c r="C34" i="27" s="1"/>
  <c r="X5" i="27"/>
  <c r="L69" i="27" s="1"/>
  <c r="B69" i="27"/>
  <c r="B71" i="27"/>
  <c r="U5" i="27"/>
  <c r="L53" i="27" s="1"/>
  <c r="B73" i="27"/>
  <c r="AD5" i="27"/>
  <c r="L101" i="27" s="1"/>
  <c r="B101" i="27"/>
  <c r="B74" i="27"/>
  <c r="O5" i="27"/>
  <c r="B75" i="27"/>
  <c r="R5" i="27"/>
  <c r="L37" i="27" s="1"/>
  <c r="B76" i="27"/>
  <c r="AA5" i="27"/>
  <c r="L85" i="27" s="1"/>
  <c r="B85" i="27"/>
  <c r="B87" i="27"/>
  <c r="C83" i="27"/>
  <c r="B83" i="27"/>
  <c r="B88" i="27"/>
  <c r="B89" i="27"/>
  <c r="B90" i="27"/>
  <c r="B91" i="27"/>
  <c r="B92" i="27"/>
  <c r="B93" i="27"/>
  <c r="B94" i="27"/>
  <c r="B99" i="27"/>
  <c r="B79" i="27"/>
  <c r="B81" i="27"/>
  <c r="B82" i="27"/>
  <c r="R6" i="27"/>
  <c r="U6" i="27" s="1"/>
  <c r="X6" i="27" s="1"/>
  <c r="AA6" i="27" s="1"/>
  <c r="AD6" i="27" s="1"/>
  <c r="E24" i="24"/>
  <c r="G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68" i="18"/>
  <c r="AB69" i="18"/>
  <c r="AB73" i="18"/>
  <c r="AC73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8" i="18"/>
  <c r="AD69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69" i="18"/>
  <c r="AE70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B77" i="27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23" i="26"/>
  <c r="AC23" i="26"/>
  <c r="AB26" i="26"/>
  <c r="AC26" i="26"/>
  <c r="AB29" i="26"/>
  <c r="AC29" i="26"/>
  <c r="AB35" i="26"/>
  <c r="AC35" i="26"/>
  <c r="AB41" i="26"/>
  <c r="AC41" i="26"/>
  <c r="AB47" i="26"/>
  <c r="AC47" i="26"/>
  <c r="AB53" i="26"/>
  <c r="AC53" i="26"/>
  <c r="AB65" i="26"/>
  <c r="AC6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B97" i="26"/>
  <c r="AC97" i="26"/>
  <c r="AB98" i="26"/>
  <c r="AC98" i="26"/>
  <c r="AB99" i="26"/>
  <c r="AC99" i="26"/>
  <c r="AB100" i="26"/>
  <c r="AC100" i="26"/>
  <c r="AB101" i="26"/>
  <c r="AC101" i="26"/>
  <c r="AB102" i="26"/>
  <c r="AC102" i="26"/>
  <c r="AB103" i="26"/>
  <c r="AC103" i="26"/>
  <c r="AB104" i="26"/>
  <c r="AC104" i="26"/>
  <c r="AB105" i="26"/>
  <c r="AC105" i="26"/>
  <c r="AB106" i="26"/>
  <c r="AC106" i="26"/>
  <c r="AB107" i="26"/>
  <c r="AC107" i="26"/>
  <c r="AB108" i="26"/>
  <c r="AC108" i="26"/>
  <c r="AB109" i="26"/>
  <c r="AC109" i="26"/>
  <c r="AB110" i="26"/>
  <c r="AC110" i="26"/>
  <c r="AB111" i="26"/>
  <c r="AC111" i="26"/>
  <c r="AB112" i="26"/>
  <c r="AC112" i="26"/>
  <c r="AB113" i="26"/>
  <c r="AC113" i="26"/>
  <c r="AB114" i="26"/>
  <c r="AC114" i="26"/>
  <c r="AB115" i="26"/>
  <c r="AC115" i="26"/>
  <c r="AB116" i="26"/>
  <c r="AC116" i="26"/>
  <c r="AB117" i="26"/>
  <c r="AC117" i="26"/>
  <c r="AB118" i="26"/>
  <c r="AC118" i="26"/>
  <c r="AB119" i="26"/>
  <c r="AC119" i="26"/>
  <c r="AB120" i="26"/>
  <c r="AC120" i="26"/>
  <c r="AB121" i="26"/>
  <c r="AC121" i="26"/>
  <c r="AB122" i="26"/>
  <c r="AC122" i="26"/>
  <c r="AB123" i="26"/>
  <c r="AC123" i="26"/>
  <c r="AB124" i="26"/>
  <c r="AC124" i="26"/>
  <c r="AB125" i="26"/>
  <c r="AC125" i="26"/>
  <c r="AB126" i="26"/>
  <c r="AC126" i="26"/>
  <c r="AB127" i="26"/>
  <c r="AC127" i="26"/>
  <c r="AB128" i="26"/>
  <c r="AC128" i="26"/>
  <c r="AB129" i="26"/>
  <c r="AC129" i="26"/>
  <c r="AB130" i="26"/>
  <c r="AC130" i="26"/>
  <c r="AB131" i="26"/>
  <c r="AC131" i="26"/>
  <c r="AB132" i="26"/>
  <c r="AC132" i="26"/>
  <c r="AB133" i="26"/>
  <c r="AC133" i="26"/>
  <c r="AB134" i="26"/>
  <c r="AC134" i="26"/>
  <c r="AB135" i="26"/>
  <c r="AC135" i="26"/>
  <c r="AB136" i="26"/>
  <c r="AC136" i="26"/>
  <c r="AB137" i="26"/>
  <c r="AC137" i="26"/>
  <c r="AB138" i="26"/>
  <c r="AC138" i="26"/>
  <c r="AB139" i="26"/>
  <c r="AC139" i="26"/>
  <c r="AB140" i="26"/>
  <c r="AC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47" i="26"/>
  <c r="AD53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D97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47" i="26"/>
  <c r="AE53" i="26"/>
  <c r="AE6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116" i="26"/>
  <c r="AE117" i="26"/>
  <c r="AE118" i="26"/>
  <c r="AE119" i="26"/>
  <c r="AE120" i="26"/>
  <c r="AE121" i="26"/>
  <c r="AE122" i="26"/>
  <c r="AE123" i="26"/>
  <c r="AE124" i="26"/>
  <c r="AE125" i="26"/>
  <c r="AE126" i="26"/>
  <c r="AE127" i="26"/>
  <c r="AE128" i="26"/>
  <c r="AE129" i="26"/>
  <c r="AE130" i="26"/>
  <c r="AE131" i="26"/>
  <c r="AE132" i="26"/>
  <c r="AE133" i="26"/>
  <c r="AE134" i="26"/>
  <c r="AE135" i="26"/>
  <c r="AE136" i="26"/>
  <c r="AE137" i="26"/>
  <c r="AE138" i="26"/>
  <c r="AE139" i="26"/>
  <c r="AE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5" i="26"/>
  <c r="F11" i="19"/>
  <c r="F11" i="13"/>
  <c r="N3" i="27"/>
  <c r="R4" i="27"/>
  <c r="B37" i="27"/>
  <c r="B38" i="27"/>
  <c r="B40" i="27"/>
  <c r="B41" i="27"/>
  <c r="B42" i="27"/>
  <c r="K42" i="27" s="1"/>
  <c r="B44" i="27"/>
  <c r="H44" i="27" s="1"/>
  <c r="B46" i="27"/>
  <c r="B48" i="27"/>
  <c r="B50" i="27"/>
  <c r="B54" i="27"/>
  <c r="B55" i="27"/>
  <c r="B56" i="27"/>
  <c r="B66" i="27"/>
  <c r="B70" i="27"/>
  <c r="B86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5" i="13"/>
  <c r="E35" i="27" s="1"/>
  <c r="F95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82" i="19"/>
  <c r="E55" i="27" s="1"/>
  <c r="F140" i="27"/>
  <c r="F82" i="19"/>
  <c r="F55" i="27" s="1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 s="1"/>
  <c r="G57" i="27"/>
  <c r="C58" i="27"/>
  <c r="D58" i="27"/>
  <c r="E85" i="19"/>
  <c r="F85" i="19"/>
  <c r="F58" i="27" s="1"/>
  <c r="G58" i="27"/>
  <c r="C59" i="27"/>
  <c r="D59" i="27"/>
  <c r="E86" i="19"/>
  <c r="E59" i="27" s="1"/>
  <c r="F86" i="19"/>
  <c r="F59" i="27" s="1"/>
  <c r="G59" i="27"/>
  <c r="C60" i="27"/>
  <c r="D60" i="27"/>
  <c r="E87" i="19"/>
  <c r="E60" i="27" s="1"/>
  <c r="F87" i="19"/>
  <c r="F60" i="27" s="1"/>
  <c r="G60" i="27"/>
  <c r="C61" i="27"/>
  <c r="D61" i="27"/>
  <c r="E88" i="19"/>
  <c r="F88" i="19"/>
  <c r="F61" i="27" s="1"/>
  <c r="G61" i="27"/>
  <c r="C62" i="27"/>
  <c r="D62" i="27"/>
  <c r="E89" i="19"/>
  <c r="E62" i="27" s="1"/>
  <c r="F89" i="19"/>
  <c r="F62" i="27" s="1"/>
  <c r="G62" i="27"/>
  <c r="C63" i="27"/>
  <c r="D63" i="27"/>
  <c r="E90" i="19"/>
  <c r="E63" i="27" s="1"/>
  <c r="F90" i="19"/>
  <c r="F63" i="27" s="1"/>
  <c r="G63" i="27"/>
  <c r="C64" i="27"/>
  <c r="D64" i="27"/>
  <c r="E91" i="19"/>
  <c r="E64" i="27" s="1"/>
  <c r="F91" i="19"/>
  <c r="F64" i="27" s="1"/>
  <c r="G64" i="27"/>
  <c r="C65" i="27"/>
  <c r="D65" i="27"/>
  <c r="E65" i="27"/>
  <c r="F65" i="27"/>
  <c r="G65" i="27"/>
  <c r="C66" i="27"/>
  <c r="D66" i="27"/>
  <c r="E66" i="27"/>
  <c r="G66" i="27"/>
  <c r="D67" i="27"/>
  <c r="E94" i="19"/>
  <c r="E67" i="27" s="1"/>
  <c r="F94" i="19"/>
  <c r="F67" i="27" s="1"/>
  <c r="G67" i="27"/>
  <c r="C71" i="27"/>
  <c r="D71" i="27"/>
  <c r="E71" i="27"/>
  <c r="F151" i="27"/>
  <c r="F71" i="27"/>
  <c r="G71" i="27"/>
  <c r="C72" i="27"/>
  <c r="D72" i="27"/>
  <c r="E72" i="27"/>
  <c r="F72" i="27"/>
  <c r="G72" i="27"/>
  <c r="C73" i="27"/>
  <c r="D73" i="27"/>
  <c r="E73" i="27"/>
  <c r="F73" i="27"/>
  <c r="G73" i="27"/>
  <c r="C74" i="27"/>
  <c r="D74" i="27"/>
  <c r="E74" i="27"/>
  <c r="F74" i="27"/>
  <c r="G74" i="27"/>
  <c r="C75" i="27"/>
  <c r="D75" i="27"/>
  <c r="E75" i="27"/>
  <c r="F75" i="27"/>
  <c r="G75" i="27"/>
  <c r="C76" i="27"/>
  <c r="D76" i="27"/>
  <c r="E76" i="27"/>
  <c r="F76" i="27"/>
  <c r="G76" i="27"/>
  <c r="C77" i="27"/>
  <c r="D77" i="27"/>
  <c r="E77" i="27"/>
  <c r="F77" i="27"/>
  <c r="G77" i="27"/>
  <c r="C78" i="27"/>
  <c r="D78" i="27"/>
  <c r="E78" i="27"/>
  <c r="F78" i="27"/>
  <c r="G78" i="27"/>
  <c r="C79" i="27"/>
  <c r="D79" i="27"/>
  <c r="E79" i="27"/>
  <c r="F79" i="27"/>
  <c r="G79" i="27"/>
  <c r="C80" i="27"/>
  <c r="D80" i="27"/>
  <c r="E80" i="27"/>
  <c r="F80" i="27"/>
  <c r="G80" i="27"/>
  <c r="C81" i="27"/>
  <c r="D81" i="27"/>
  <c r="E81" i="27"/>
  <c r="F81" i="27"/>
  <c r="G81" i="27"/>
  <c r="C82" i="27"/>
  <c r="D82" i="27"/>
  <c r="E82" i="27"/>
  <c r="F82" i="27"/>
  <c r="G82" i="27"/>
  <c r="D83" i="27"/>
  <c r="E83" i="27"/>
  <c r="F83" i="27"/>
  <c r="G83" i="27"/>
  <c r="C87" i="27"/>
  <c r="D87" i="27"/>
  <c r="E87" i="27"/>
  <c r="F87" i="27"/>
  <c r="G87" i="27"/>
  <c r="C88" i="27"/>
  <c r="D88" i="27"/>
  <c r="AD26" i="26"/>
  <c r="F88" i="27"/>
  <c r="G88" i="27"/>
  <c r="C89" i="27"/>
  <c r="D89" i="27"/>
  <c r="AD29" i="26"/>
  <c r="E89" i="27"/>
  <c r="F89" i="27"/>
  <c r="G89" i="27"/>
  <c r="C90" i="27"/>
  <c r="D90" i="27"/>
  <c r="E90" i="27"/>
  <c r="F90" i="27"/>
  <c r="G90" i="27"/>
  <c r="C91" i="27"/>
  <c r="D91" i="27"/>
  <c r="AD41" i="26"/>
  <c r="AE41" i="26"/>
  <c r="F91" i="27"/>
  <c r="G91" i="27"/>
  <c r="C92" i="27"/>
  <c r="D92" i="27"/>
  <c r="E92" i="27"/>
  <c r="F92" i="27"/>
  <c r="G92" i="27"/>
  <c r="C93" i="27"/>
  <c r="D93" i="27"/>
  <c r="E93" i="27"/>
  <c r="F93" i="27"/>
  <c r="G93" i="27"/>
  <c r="C94" i="27"/>
  <c r="D94" i="27"/>
  <c r="E94" i="27"/>
  <c r="F94" i="27"/>
  <c r="G94" i="27"/>
  <c r="C95" i="27"/>
  <c r="D95" i="27"/>
  <c r="E95" i="27"/>
  <c r="F95" i="27"/>
  <c r="G95" i="27"/>
  <c r="C96" i="27"/>
  <c r="D96" i="27"/>
  <c r="E96" i="27"/>
  <c r="F96" i="27"/>
  <c r="G96" i="27"/>
  <c r="C97" i="27"/>
  <c r="D97" i="27"/>
  <c r="E97" i="27"/>
  <c r="F97" i="27"/>
  <c r="G97" i="27"/>
  <c r="C98" i="27"/>
  <c r="D98" i="27"/>
  <c r="E98" i="27"/>
  <c r="F98" i="27"/>
  <c r="G98" i="27"/>
  <c r="D99" i="27"/>
  <c r="E99" i="27"/>
  <c r="F99" i="27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4" i="24"/>
  <c r="L24" i="24"/>
  <c r="M24" i="24"/>
  <c r="N24" i="24"/>
  <c r="O24" i="24"/>
  <c r="P24" i="24"/>
  <c r="Q24" i="24"/>
  <c r="R11" i="27"/>
  <c r="U11" i="27" s="1"/>
  <c r="X11" i="27" s="1"/>
  <c r="AA11" i="27" s="1"/>
  <c r="AD11" i="27" s="1"/>
  <c r="R13" i="27"/>
  <c r="U13" i="27" s="1"/>
  <c r="X13" i="27" s="1"/>
  <c r="AA13" i="27" s="1"/>
  <c r="AD13" i="27" s="1"/>
  <c r="G108" i="26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Q6" i="26"/>
  <c r="R6" i="26" s="1"/>
  <c r="S6" i="26" s="1"/>
  <c r="U6" i="26"/>
  <c r="V6" i="26"/>
  <c r="Q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 s="1"/>
  <c r="U158" i="26"/>
  <c r="V158" i="26"/>
  <c r="R159" i="26"/>
  <c r="S159" i="26" s="1"/>
  <c r="U159" i="26"/>
  <c r="V159" i="26"/>
  <c r="R160" i="26"/>
  <c r="S160" i="26" s="1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T164" i="26" s="1"/>
  <c r="U164" i="26"/>
  <c r="V164" i="26"/>
  <c r="R165" i="26"/>
  <c r="S165" i="26" s="1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S168" i="26" s="1"/>
  <c r="U168" i="26"/>
  <c r="V168" i="26"/>
  <c r="R169" i="26"/>
  <c r="S169" i="26" s="1"/>
  <c r="T169" i="26" s="1"/>
  <c r="U169" i="26"/>
  <c r="V169" i="26"/>
  <c r="R170" i="26"/>
  <c r="S170" i="26" s="1"/>
  <c r="U170" i="26"/>
  <c r="V170" i="26"/>
  <c r="R171" i="26"/>
  <c r="S171" i="26" s="1"/>
  <c r="T171" i="26" s="1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T179" i="26" s="1"/>
  <c r="U179" i="26"/>
  <c r="V179" i="26"/>
  <c r="R180" i="26"/>
  <c r="S180" i="26" s="1"/>
  <c r="U180" i="26"/>
  <c r="V180" i="26"/>
  <c r="R181" i="26"/>
  <c r="S181" i="26" s="1"/>
  <c r="T181" i="26" s="1"/>
  <c r="U181" i="26"/>
  <c r="V181" i="26"/>
  <c r="R182" i="26"/>
  <c r="S182" i="26" s="1"/>
  <c r="T182" i="26" s="1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S187" i="26" s="1"/>
  <c r="T187" i="26" s="1"/>
  <c r="U187" i="26"/>
  <c r="V187" i="26"/>
  <c r="R188" i="26"/>
  <c r="S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 s="1"/>
  <c r="T191" i="26" s="1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T195" i="26" s="1"/>
  <c r="U195" i="26"/>
  <c r="V195" i="26"/>
  <c r="R196" i="26"/>
  <c r="S196" i="26" s="1"/>
  <c r="U196" i="26"/>
  <c r="V196" i="26"/>
  <c r="R197" i="26"/>
  <c r="S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T200" i="26" s="1"/>
  <c r="U200" i="26"/>
  <c r="V200" i="26"/>
  <c r="R201" i="26"/>
  <c r="S201" i="26" s="1"/>
  <c r="U201" i="26"/>
  <c r="V201" i="26"/>
  <c r="R202" i="26"/>
  <c r="S202" i="26" s="1"/>
  <c r="T202" i="26" s="1"/>
  <c r="U202" i="26"/>
  <c r="V202" i="26"/>
  <c r="R203" i="26"/>
  <c r="S203" i="26" s="1"/>
  <c r="U203" i="26"/>
  <c r="V203" i="26"/>
  <c r="R204" i="26"/>
  <c r="S204" i="26" s="1"/>
  <c r="T204" i="26" s="1"/>
  <c r="U204" i="26"/>
  <c r="V204" i="26"/>
  <c r="R205" i="26"/>
  <c r="S205" i="26" s="1"/>
  <c r="T205" i="26" s="1"/>
  <c r="U205" i="26"/>
  <c r="V205" i="26"/>
  <c r="L6" i="26"/>
  <c r="N6" i="26"/>
  <c r="N7" i="26"/>
  <c r="M8" i="26"/>
  <c r="N8" i="26"/>
  <c r="N9" i="26"/>
  <c r="N10" i="26"/>
  <c r="L11" i="26"/>
  <c r="N11" i="26"/>
  <c r="N12" i="26"/>
  <c r="N13" i="26"/>
  <c r="N14" i="26"/>
  <c r="N15" i="26"/>
  <c r="M16" i="26"/>
  <c r="N16" i="26"/>
  <c r="N17" i="26"/>
  <c r="N18" i="26"/>
  <c r="L19" i="26"/>
  <c r="N19" i="26"/>
  <c r="N20" i="26"/>
  <c r="N21" i="26"/>
  <c r="N22" i="26"/>
  <c r="N23" i="26"/>
  <c r="M24" i="26"/>
  <c r="N24" i="26"/>
  <c r="N25" i="26"/>
  <c r="N26" i="26"/>
  <c r="L27" i="26"/>
  <c r="N27" i="26"/>
  <c r="N28" i="26"/>
  <c r="N29" i="26"/>
  <c r="N30" i="26"/>
  <c r="N31" i="26"/>
  <c r="M32" i="26"/>
  <c r="N32" i="26"/>
  <c r="N33" i="26"/>
  <c r="N34" i="26"/>
  <c r="L35" i="26"/>
  <c r="N35" i="26"/>
  <c r="N36" i="26"/>
  <c r="N37" i="26"/>
  <c r="N38" i="26"/>
  <c r="N39" i="26"/>
  <c r="M40" i="26"/>
  <c r="N40" i="26"/>
  <c r="N41" i="26"/>
  <c r="N42" i="26"/>
  <c r="L43" i="26"/>
  <c r="N43" i="26"/>
  <c r="N44" i="26"/>
  <c r="N45" i="26"/>
  <c r="N46" i="26"/>
  <c r="N47" i="26"/>
  <c r="M48" i="26"/>
  <c r="N48" i="26"/>
  <c r="N49" i="26"/>
  <c r="N50" i="26"/>
  <c r="L51" i="26"/>
  <c r="N51" i="26"/>
  <c r="N52" i="26"/>
  <c r="N53" i="26"/>
  <c r="N54" i="26"/>
  <c r="N55" i="26"/>
  <c r="M56" i="26"/>
  <c r="N56" i="26"/>
  <c r="N57" i="26"/>
  <c r="N58" i="26"/>
  <c r="L59" i="26"/>
  <c r="N59" i="26"/>
  <c r="N60" i="26"/>
  <c r="N61" i="26"/>
  <c r="N62" i="26"/>
  <c r="N63" i="26"/>
  <c r="M64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M102" i="26"/>
  <c r="N102" i="26"/>
  <c r="N103" i="26"/>
  <c r="M104" i="26"/>
  <c r="N104" i="26"/>
  <c r="N105" i="26"/>
  <c r="M106" i="26"/>
  <c r="N106" i="26"/>
  <c r="N107" i="26"/>
  <c r="M108" i="26"/>
  <c r="N108" i="26"/>
  <c r="N109" i="26"/>
  <c r="M110" i="26"/>
  <c r="N110" i="26"/>
  <c r="N111" i="26"/>
  <c r="M112" i="26"/>
  <c r="N112" i="26"/>
  <c r="N113" i="26"/>
  <c r="M114" i="26"/>
  <c r="N114" i="26"/>
  <c r="N115" i="26"/>
  <c r="M116" i="26"/>
  <c r="N116" i="26"/>
  <c r="N117" i="26"/>
  <c r="M118" i="26"/>
  <c r="N118" i="26"/>
  <c r="N119" i="26"/>
  <c r="M120" i="26"/>
  <c r="N120" i="26"/>
  <c r="N121" i="26"/>
  <c r="M122" i="26"/>
  <c r="N122" i="26"/>
  <c r="N123" i="26"/>
  <c r="M124" i="26"/>
  <c r="N124" i="26"/>
  <c r="N125" i="26"/>
  <c r="M126" i="26"/>
  <c r="N126" i="26"/>
  <c r="N127" i="26"/>
  <c r="M128" i="26"/>
  <c r="N128" i="26"/>
  <c r="N129" i="26"/>
  <c r="M130" i="26"/>
  <c r="N130" i="26"/>
  <c r="N131" i="26"/>
  <c r="L132" i="26"/>
  <c r="N132" i="26"/>
  <c r="N133" i="26"/>
  <c r="L134" i="26"/>
  <c r="N134" i="26"/>
  <c r="N135" i="26"/>
  <c r="L136" i="26"/>
  <c r="N136" i="26"/>
  <c r="N137" i="26"/>
  <c r="L138" i="26"/>
  <c r="N138" i="26"/>
  <c r="N139" i="26"/>
  <c r="L140" i="26"/>
  <c r="N140" i="26"/>
  <c r="N141" i="26"/>
  <c r="L142" i="26"/>
  <c r="N142" i="26"/>
  <c r="N143" i="26"/>
  <c r="L144" i="26"/>
  <c r="N144" i="26"/>
  <c r="N145" i="26"/>
  <c r="L146" i="26"/>
  <c r="N146" i="26"/>
  <c r="N147" i="26"/>
  <c r="L148" i="26"/>
  <c r="N148" i="26"/>
  <c r="N149" i="26"/>
  <c r="L150" i="26"/>
  <c r="N150" i="26"/>
  <c r="N151" i="26"/>
  <c r="J152" i="26"/>
  <c r="K152" i="26" s="1"/>
  <c r="N152" i="26"/>
  <c r="N153" i="26"/>
  <c r="J154" i="26"/>
  <c r="N154" i="26"/>
  <c r="N155" i="26"/>
  <c r="J156" i="26"/>
  <c r="K156" i="26" s="1"/>
  <c r="N156" i="26"/>
  <c r="N157" i="26"/>
  <c r="J158" i="26"/>
  <c r="N158" i="26"/>
  <c r="N159" i="26"/>
  <c r="J160" i="26"/>
  <c r="K160" i="26" s="1"/>
  <c r="N160" i="26"/>
  <c r="N161" i="26"/>
  <c r="J162" i="26"/>
  <c r="N162" i="26"/>
  <c r="N163" i="26"/>
  <c r="J164" i="26"/>
  <c r="K164" i="26" s="1"/>
  <c r="N164" i="26"/>
  <c r="N165" i="26"/>
  <c r="J166" i="26"/>
  <c r="N166" i="26"/>
  <c r="N167" i="26"/>
  <c r="J168" i="26"/>
  <c r="K168" i="26" s="1"/>
  <c r="N168" i="26"/>
  <c r="N169" i="26"/>
  <c r="J170" i="26"/>
  <c r="N170" i="26"/>
  <c r="N171" i="26"/>
  <c r="J172" i="26"/>
  <c r="K172" i="26" s="1"/>
  <c r="N172" i="26"/>
  <c r="N173" i="26"/>
  <c r="J174" i="26"/>
  <c r="N174" i="26"/>
  <c r="N175" i="26"/>
  <c r="N176" i="26"/>
  <c r="N177" i="26"/>
  <c r="N178" i="26"/>
  <c r="N179" i="26"/>
  <c r="N180" i="26"/>
  <c r="N181" i="26"/>
  <c r="N182" i="26"/>
  <c r="M183" i="26"/>
  <c r="N183" i="26"/>
  <c r="N184" i="26"/>
  <c r="M185" i="26"/>
  <c r="N185" i="26"/>
  <c r="N186" i="26"/>
  <c r="M187" i="26"/>
  <c r="N187" i="26"/>
  <c r="N188" i="26"/>
  <c r="M189" i="26"/>
  <c r="N189" i="26"/>
  <c r="N190" i="26"/>
  <c r="M191" i="26"/>
  <c r="N191" i="26"/>
  <c r="N192" i="26"/>
  <c r="M193" i="26"/>
  <c r="N193" i="26"/>
  <c r="N194" i="26"/>
  <c r="M195" i="26"/>
  <c r="N195" i="26"/>
  <c r="N196" i="26"/>
  <c r="M197" i="26"/>
  <c r="N197" i="26"/>
  <c r="N198" i="26"/>
  <c r="M199" i="26"/>
  <c r="N199" i="26"/>
  <c r="N200" i="26"/>
  <c r="M201" i="26"/>
  <c r="N201" i="26"/>
  <c r="N202" i="26"/>
  <c r="M203" i="26"/>
  <c r="N203" i="26"/>
  <c r="N204" i="26"/>
  <c r="M205" i="26"/>
  <c r="N205" i="26"/>
  <c r="F5" i="19"/>
  <c r="U30" i="19" s="1"/>
  <c r="F15" i="19"/>
  <c r="U34" i="19" s="1"/>
  <c r="F6" i="19"/>
  <c r="V6" i="19" s="1"/>
  <c r="U38" i="19"/>
  <c r="U62" i="19"/>
  <c r="U65" i="19"/>
  <c r="U66" i="19"/>
  <c r="U72" i="19"/>
  <c r="U73" i="19"/>
  <c r="U74" i="19"/>
  <c r="U80" i="19"/>
  <c r="U81" i="19"/>
  <c r="U82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0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L59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L86" i="19"/>
  <c r="N86" i="19"/>
  <c r="N87" i="19"/>
  <c r="N88" i="19"/>
  <c r="N89" i="19"/>
  <c r="N90" i="19"/>
  <c r="M91" i="19"/>
  <c r="N91" i="19"/>
  <c r="N92" i="19"/>
  <c r="N93" i="19"/>
  <c r="L94" i="19"/>
  <c r="N94" i="19"/>
  <c r="N95" i="19"/>
  <c r="M96" i="19"/>
  <c r="N96" i="19"/>
  <c r="N97" i="19"/>
  <c r="M98" i="19"/>
  <c r="N98" i="19"/>
  <c r="N99" i="19"/>
  <c r="M100" i="19"/>
  <c r="N100" i="19"/>
  <c r="N101" i="19"/>
  <c r="M102" i="19"/>
  <c r="N102" i="19"/>
  <c r="N103" i="19"/>
  <c r="M104" i="19"/>
  <c r="N104" i="19"/>
  <c r="N105" i="19"/>
  <c r="M106" i="19"/>
  <c r="N106" i="19"/>
  <c r="N107" i="19"/>
  <c r="M108" i="19"/>
  <c r="N108" i="19"/>
  <c r="N109" i="19"/>
  <c r="M110" i="19"/>
  <c r="N110" i="19"/>
  <c r="N111" i="19"/>
  <c r="M112" i="19"/>
  <c r="N112" i="19"/>
  <c r="N113" i="19"/>
  <c r="M114" i="19"/>
  <c r="N114" i="19"/>
  <c r="N115" i="19"/>
  <c r="M116" i="19"/>
  <c r="N116" i="19"/>
  <c r="N117" i="19"/>
  <c r="M118" i="19"/>
  <c r="N118" i="19"/>
  <c r="N119" i="19"/>
  <c r="M120" i="19"/>
  <c r="N120" i="19"/>
  <c r="N121" i="19"/>
  <c r="M122" i="19"/>
  <c r="N122" i="19"/>
  <c r="N123" i="19"/>
  <c r="M124" i="19"/>
  <c r="N124" i="19"/>
  <c r="N125" i="19"/>
  <c r="M126" i="19"/>
  <c r="N126" i="19"/>
  <c r="N127" i="19"/>
  <c r="M128" i="19"/>
  <c r="N128" i="19"/>
  <c r="N129" i="19"/>
  <c r="M130" i="19"/>
  <c r="N130" i="19"/>
  <c r="N131" i="19"/>
  <c r="M132" i="19"/>
  <c r="N132" i="19"/>
  <c r="N133" i="19"/>
  <c r="M134" i="19"/>
  <c r="N134" i="19"/>
  <c r="N135" i="19"/>
  <c r="M136" i="19"/>
  <c r="N136" i="19"/>
  <c r="N137" i="19"/>
  <c r="M138" i="19"/>
  <c r="N138" i="19"/>
  <c r="N139" i="19"/>
  <c r="M140" i="19"/>
  <c r="N140" i="19"/>
  <c r="N141" i="19"/>
  <c r="M142" i="19"/>
  <c r="N142" i="19"/>
  <c r="N143" i="19"/>
  <c r="M144" i="19"/>
  <c r="N144" i="19"/>
  <c r="N145" i="19"/>
  <c r="M146" i="19"/>
  <c r="N146" i="19"/>
  <c r="N147" i="19"/>
  <c r="M148" i="19"/>
  <c r="N148" i="19"/>
  <c r="N149" i="19"/>
  <c r="M150" i="19"/>
  <c r="N150" i="19"/>
  <c r="N151" i="19"/>
  <c r="M152" i="19"/>
  <c r="N152" i="19"/>
  <c r="N153" i="19"/>
  <c r="M154" i="19"/>
  <c r="N154" i="19"/>
  <c r="N155" i="19"/>
  <c r="M156" i="19"/>
  <c r="N156" i="19"/>
  <c r="N157" i="19"/>
  <c r="M158" i="19"/>
  <c r="N158" i="19"/>
  <c r="N159" i="19"/>
  <c r="M160" i="19"/>
  <c r="N160" i="19"/>
  <c r="N161" i="19"/>
  <c r="M162" i="19"/>
  <c r="N162" i="19"/>
  <c r="N163" i="19"/>
  <c r="M164" i="19"/>
  <c r="N164" i="19"/>
  <c r="N165" i="19"/>
  <c r="M166" i="19"/>
  <c r="N166" i="19"/>
  <c r="N167" i="19"/>
  <c r="M168" i="19"/>
  <c r="N168" i="19"/>
  <c r="N169" i="19"/>
  <c r="M170" i="19"/>
  <c r="N170" i="19"/>
  <c r="N171" i="19"/>
  <c r="M172" i="19"/>
  <c r="N172" i="19"/>
  <c r="N173" i="19"/>
  <c r="M174" i="19"/>
  <c r="N174" i="19"/>
  <c r="N175" i="19"/>
  <c r="M176" i="19"/>
  <c r="N176" i="19"/>
  <c r="N177" i="19"/>
  <c r="M178" i="19"/>
  <c r="N178" i="19"/>
  <c r="N179" i="19"/>
  <c r="M180" i="19"/>
  <c r="N180" i="19"/>
  <c r="N181" i="19"/>
  <c r="M182" i="19"/>
  <c r="N182" i="19"/>
  <c r="N183" i="19"/>
  <c r="M184" i="19"/>
  <c r="N184" i="19"/>
  <c r="N185" i="19"/>
  <c r="M186" i="19"/>
  <c r="N186" i="19"/>
  <c r="N187" i="19"/>
  <c r="M188" i="19"/>
  <c r="N188" i="19"/>
  <c r="N189" i="19"/>
  <c r="M190" i="19"/>
  <c r="N190" i="19"/>
  <c r="N191" i="19"/>
  <c r="M192" i="19"/>
  <c r="N192" i="19"/>
  <c r="N193" i="19"/>
  <c r="M194" i="19"/>
  <c r="N194" i="19"/>
  <c r="N195" i="19"/>
  <c r="M196" i="19"/>
  <c r="N196" i="19"/>
  <c r="N197" i="19"/>
  <c r="M198" i="19"/>
  <c r="N198" i="19"/>
  <c r="N199" i="19"/>
  <c r="M200" i="19"/>
  <c r="N200" i="19"/>
  <c r="N201" i="19"/>
  <c r="M202" i="19"/>
  <c r="N202" i="19"/>
  <c r="N203" i="19"/>
  <c r="M204" i="19"/>
  <c r="N204" i="19"/>
  <c r="N205" i="19"/>
  <c r="F19" i="18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 s="1"/>
  <c r="E36" i="18"/>
  <c r="F36" i="18" s="1"/>
  <c r="E37" i="18"/>
  <c r="F37" i="18" s="1"/>
  <c r="E38" i="18"/>
  <c r="F38" i="18" s="1"/>
  <c r="E39" i="18"/>
  <c r="F39" i="18" s="1"/>
  <c r="E40" i="18"/>
  <c r="F40" i="18" s="1"/>
  <c r="E41" i="18"/>
  <c r="F41" i="18" s="1"/>
  <c r="E42" i="18"/>
  <c r="F42" i="18" s="1"/>
  <c r="F5" i="18"/>
  <c r="U8" i="18" s="1"/>
  <c r="F15" i="18"/>
  <c r="F6" i="18"/>
  <c r="V7" i="18" s="1"/>
  <c r="U14" i="18"/>
  <c r="U18" i="18"/>
  <c r="V24" i="18"/>
  <c r="U27" i="18"/>
  <c r="V28" i="18"/>
  <c r="U39" i="18"/>
  <c r="V48" i="18"/>
  <c r="U50" i="18"/>
  <c r="V56" i="18"/>
  <c r="U59" i="18"/>
  <c r="V59" i="18"/>
  <c r="V63" i="18"/>
  <c r="U66" i="18"/>
  <c r="U67" i="18"/>
  <c r="V69" i="18"/>
  <c r="Q71" i="18"/>
  <c r="V71" i="18"/>
  <c r="Q72" i="18"/>
  <c r="U72" i="18"/>
  <c r="V72" i="18"/>
  <c r="Q73" i="18"/>
  <c r="Q74" i="18"/>
  <c r="U74" i="18"/>
  <c r="Q75" i="18"/>
  <c r="U75" i="18"/>
  <c r="Q76" i="18"/>
  <c r="U76" i="18"/>
  <c r="V76" i="18"/>
  <c r="Q77" i="18"/>
  <c r="U77" i="18"/>
  <c r="V77" i="18"/>
  <c r="Q78" i="18"/>
  <c r="U78" i="18"/>
  <c r="V78" i="18"/>
  <c r="Q79" i="18"/>
  <c r="U79" i="18"/>
  <c r="V79" i="18"/>
  <c r="Q80" i="18"/>
  <c r="U80" i="18"/>
  <c r="V80" i="18"/>
  <c r="Q81" i="18"/>
  <c r="U81" i="18"/>
  <c r="V81" i="18"/>
  <c r="Q82" i="18"/>
  <c r="U82" i="18"/>
  <c r="V82" i="18"/>
  <c r="Q83" i="18"/>
  <c r="U83" i="18"/>
  <c r="V83" i="18"/>
  <c r="Q84" i="18"/>
  <c r="U84" i="18"/>
  <c r="V84" i="18"/>
  <c r="Q85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E43" i="13"/>
  <c r="F43" i="13" s="1"/>
  <c r="E44" i="13"/>
  <c r="F44" i="13" s="1"/>
  <c r="E45" i="13"/>
  <c r="F45" i="13" s="1"/>
  <c r="E46" i="13"/>
  <c r="F46" i="13" s="1"/>
  <c r="F5" i="13"/>
  <c r="F15" i="13"/>
  <c r="U65" i="13" s="1"/>
  <c r="F6" i="13"/>
  <c r="V9" i="13" s="1"/>
  <c r="V36" i="13"/>
  <c r="V71" i="13"/>
  <c r="V75" i="13"/>
  <c r="U87" i="13"/>
  <c r="U91" i="13"/>
  <c r="U94" i="13"/>
  <c r="U103" i="13"/>
  <c r="U107" i="13"/>
  <c r="U110" i="13"/>
  <c r="U119" i="13"/>
  <c r="U123" i="13"/>
  <c r="U126" i="13"/>
  <c r="U135" i="13"/>
  <c r="V138" i="13"/>
  <c r="U139" i="13"/>
  <c r="V142" i="13"/>
  <c r="V143" i="13"/>
  <c r="V144" i="13"/>
  <c r="V147" i="13"/>
  <c r="U149" i="13"/>
  <c r="V149" i="13"/>
  <c r="U152" i="13"/>
  <c r="U153" i="13"/>
  <c r="V153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L120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L151" i="13"/>
  <c r="N151" i="13"/>
  <c r="N152" i="13"/>
  <c r="N153" i="13"/>
  <c r="N154" i="13"/>
  <c r="N155" i="13"/>
  <c r="N156" i="13"/>
  <c r="N157" i="13"/>
  <c r="N158" i="13"/>
  <c r="N159" i="13"/>
  <c r="N160" i="13"/>
  <c r="N161" i="13"/>
  <c r="N162" i="13"/>
  <c r="N163" i="13"/>
  <c r="N164" i="13"/>
  <c r="N165" i="13"/>
  <c r="N166" i="13"/>
  <c r="N167" i="13"/>
  <c r="N168" i="13"/>
  <c r="N169" i="13"/>
  <c r="N170" i="13"/>
  <c r="N171" i="13"/>
  <c r="N172" i="13"/>
  <c r="N173" i="13"/>
  <c r="N174" i="13"/>
  <c r="N175" i="13"/>
  <c r="N176" i="13"/>
  <c r="N177" i="13"/>
  <c r="N178" i="13"/>
  <c r="N179" i="13"/>
  <c r="N180" i="13"/>
  <c r="N181" i="13"/>
  <c r="N182" i="13"/>
  <c r="N183" i="13"/>
  <c r="N184" i="13"/>
  <c r="N185" i="13"/>
  <c r="N186" i="13"/>
  <c r="N187" i="13"/>
  <c r="N188" i="13"/>
  <c r="N189" i="13"/>
  <c r="N190" i="13"/>
  <c r="N191" i="13"/>
  <c r="N192" i="13"/>
  <c r="N193" i="13"/>
  <c r="N194" i="13"/>
  <c r="N195" i="13"/>
  <c r="N196" i="13"/>
  <c r="N197" i="13"/>
  <c r="N198" i="13"/>
  <c r="N199" i="13"/>
  <c r="N200" i="13"/>
  <c r="N201" i="13"/>
  <c r="N202" i="13"/>
  <c r="N203" i="13"/>
  <c r="N204" i="13"/>
  <c r="N205" i="13"/>
  <c r="AL35" i="26"/>
  <c r="AL29" i="26"/>
  <c r="AL26" i="26"/>
  <c r="AL23" i="26"/>
  <c r="AP35" i="26"/>
  <c r="AN35" i="26"/>
  <c r="AM35" i="26"/>
  <c r="AP29" i="26"/>
  <c r="AO29" i="26"/>
  <c r="AN29" i="26"/>
  <c r="AM29" i="26"/>
  <c r="AP26" i="26"/>
  <c r="AO26" i="26"/>
  <c r="AN26" i="26"/>
  <c r="AM26" i="26"/>
  <c r="AP23" i="26"/>
  <c r="AO23" i="26"/>
  <c r="AN23" i="26"/>
  <c r="AM23" i="26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4" i="26"/>
  <c r="H83" i="26"/>
  <c r="H82" i="26"/>
  <c r="S5" i="26"/>
  <c r="T5" i="26" s="1"/>
  <c r="V5" i="26"/>
  <c r="N5" i="26"/>
  <c r="D107" i="18"/>
  <c r="C107" i="18"/>
  <c r="D9" i="18"/>
  <c r="D107" i="13"/>
  <c r="C107" i="13"/>
  <c r="D9" i="13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S5" i="18"/>
  <c r="T5" i="18" s="1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2" i="19"/>
  <c r="D9" i="19"/>
  <c r="S5" i="19"/>
  <c r="N5" i="19"/>
  <c r="K25" i="24"/>
  <c r="L25" i="24"/>
  <c r="M25" i="24"/>
  <c r="N25" i="24"/>
  <c r="O25" i="24"/>
  <c r="P25" i="24"/>
  <c r="Q25" i="24"/>
  <c r="E20" i="24"/>
  <c r="E19" i="24"/>
  <c r="H93" i="13"/>
  <c r="R141" i="26"/>
  <c r="S141" i="26" s="1"/>
  <c r="R142" i="26"/>
  <c r="S142" i="26" s="1"/>
  <c r="R143" i="26"/>
  <c r="S143" i="26" s="1"/>
  <c r="R144" i="26"/>
  <c r="S144" i="26" s="1"/>
  <c r="R145" i="26"/>
  <c r="S145" i="26" s="1"/>
  <c r="R146" i="26"/>
  <c r="S146" i="26" s="1"/>
  <c r="R147" i="26"/>
  <c r="S147" i="26" s="1"/>
  <c r="R148" i="26"/>
  <c r="S148" i="26" s="1"/>
  <c r="R149" i="26"/>
  <c r="S149" i="26" s="1"/>
  <c r="R150" i="26"/>
  <c r="S150" i="26" s="1"/>
  <c r="R151" i="26"/>
  <c r="S151" i="26" s="1"/>
  <c r="R152" i="26"/>
  <c r="S152" i="26" s="1"/>
  <c r="R153" i="26"/>
  <c r="S153" i="26" s="1"/>
  <c r="R154" i="26"/>
  <c r="S154" i="26" s="1"/>
  <c r="R155" i="26"/>
  <c r="S155" i="26" s="1"/>
  <c r="B26" i="27"/>
  <c r="B27" i="27"/>
  <c r="B28" i="27"/>
  <c r="B29" i="27"/>
  <c r="B30" i="27"/>
  <c r="B31" i="27"/>
  <c r="B32" i="27"/>
  <c r="B33" i="27"/>
  <c r="B34" i="27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J45" i="27" l="1"/>
  <c r="U64" i="18"/>
  <c r="U46" i="18"/>
  <c r="V16" i="18"/>
  <c r="J41" i="27"/>
  <c r="H40" i="27"/>
  <c r="U8" i="13"/>
  <c r="V62" i="18"/>
  <c r="U38" i="18"/>
  <c r="U7" i="18"/>
  <c r="K43" i="27"/>
  <c r="U35" i="18"/>
  <c r="J50" i="27"/>
  <c r="U7" i="19"/>
  <c r="I48" i="27"/>
  <c r="L39" i="19"/>
  <c r="J47" i="27"/>
  <c r="I46" i="27"/>
  <c r="K95" i="21"/>
  <c r="O95" i="21" s="1"/>
  <c r="J96" i="21"/>
  <c r="I83" i="27"/>
  <c r="M202" i="13"/>
  <c r="M198" i="13"/>
  <c r="M194" i="13"/>
  <c r="M190" i="13"/>
  <c r="M186" i="13"/>
  <c r="M182" i="13"/>
  <c r="M178" i="13"/>
  <c r="M174" i="13"/>
  <c r="M170" i="13"/>
  <c r="M166" i="13"/>
  <c r="M161" i="13"/>
  <c r="L156" i="13"/>
  <c r="L41" i="13"/>
  <c r="L202" i="13"/>
  <c r="L198" i="13"/>
  <c r="L194" i="13"/>
  <c r="L190" i="13"/>
  <c r="L186" i="13"/>
  <c r="L182" i="13"/>
  <c r="L178" i="13"/>
  <c r="L174" i="13"/>
  <c r="L170" i="13"/>
  <c r="L166" i="13"/>
  <c r="L161" i="13"/>
  <c r="L147" i="13"/>
  <c r="M204" i="13"/>
  <c r="M200" i="13"/>
  <c r="M196" i="13"/>
  <c r="M192" i="13"/>
  <c r="M188" i="13"/>
  <c r="M184" i="13"/>
  <c r="M180" i="13"/>
  <c r="M176" i="13"/>
  <c r="M172" i="13"/>
  <c r="M168" i="13"/>
  <c r="L164" i="13"/>
  <c r="L204" i="13"/>
  <c r="L200" i="13"/>
  <c r="L196" i="13"/>
  <c r="L192" i="13"/>
  <c r="L188" i="13"/>
  <c r="L184" i="13"/>
  <c r="L180" i="13"/>
  <c r="L176" i="13"/>
  <c r="L172" i="13"/>
  <c r="L168" i="13"/>
  <c r="M158" i="13"/>
  <c r="L91" i="13"/>
  <c r="H87" i="19"/>
  <c r="K50" i="27"/>
  <c r="J204" i="13"/>
  <c r="J202" i="13"/>
  <c r="J200" i="13"/>
  <c r="J198" i="13"/>
  <c r="K198" i="13" s="1"/>
  <c r="J196" i="13"/>
  <c r="J194" i="13"/>
  <c r="K194" i="13" s="1"/>
  <c r="O194" i="13" s="1"/>
  <c r="J192" i="13"/>
  <c r="K192" i="13" s="1"/>
  <c r="J190" i="13"/>
  <c r="J188" i="13"/>
  <c r="J186" i="13"/>
  <c r="J184" i="13"/>
  <c r="J182" i="13"/>
  <c r="J180" i="13"/>
  <c r="J178" i="13"/>
  <c r="K178" i="13" s="1"/>
  <c r="J176" i="13"/>
  <c r="K176" i="13" s="1"/>
  <c r="O176" i="13" s="1"/>
  <c r="J174" i="13"/>
  <c r="K174" i="13" s="1"/>
  <c r="J172" i="13"/>
  <c r="J170" i="13"/>
  <c r="J168" i="13"/>
  <c r="J166" i="13"/>
  <c r="M163" i="13"/>
  <c r="L158" i="13"/>
  <c r="L155" i="13"/>
  <c r="L140" i="13"/>
  <c r="L136" i="13"/>
  <c r="L125" i="13"/>
  <c r="L105" i="13"/>
  <c r="L61" i="13"/>
  <c r="L163" i="13"/>
  <c r="M160" i="13"/>
  <c r="L150" i="13"/>
  <c r="M205" i="13"/>
  <c r="M203" i="13"/>
  <c r="M201" i="13"/>
  <c r="M199" i="13"/>
  <c r="M197" i="13"/>
  <c r="M195" i="13"/>
  <c r="M193" i="13"/>
  <c r="M191" i="13"/>
  <c r="M189" i="13"/>
  <c r="M187" i="13"/>
  <c r="M185" i="13"/>
  <c r="M183" i="13"/>
  <c r="M181" i="13"/>
  <c r="M179" i="13"/>
  <c r="M177" i="13"/>
  <c r="M175" i="13"/>
  <c r="M173" i="13"/>
  <c r="M171" i="13"/>
  <c r="M169" i="13"/>
  <c r="M167" i="13"/>
  <c r="M165" i="13"/>
  <c r="L160" i="13"/>
  <c r="M157" i="13"/>
  <c r="L154" i="13"/>
  <c r="L144" i="13"/>
  <c r="M139" i="13"/>
  <c r="L135" i="13"/>
  <c r="L129" i="13"/>
  <c r="L124" i="13"/>
  <c r="L110" i="13"/>
  <c r="L205" i="13"/>
  <c r="L203" i="13"/>
  <c r="L201" i="13"/>
  <c r="L199" i="13"/>
  <c r="L197" i="13"/>
  <c r="L195" i="13"/>
  <c r="L193" i="13"/>
  <c r="L191" i="13"/>
  <c r="L189" i="13"/>
  <c r="L187" i="13"/>
  <c r="L185" i="13"/>
  <c r="L183" i="13"/>
  <c r="L181" i="13"/>
  <c r="L179" i="13"/>
  <c r="L177" i="13"/>
  <c r="L175" i="13"/>
  <c r="L173" i="13"/>
  <c r="L171" i="13"/>
  <c r="L169" i="13"/>
  <c r="L167" i="13"/>
  <c r="L165" i="13"/>
  <c r="M162" i="13"/>
  <c r="L157" i="13"/>
  <c r="L149" i="13"/>
  <c r="L139" i="13"/>
  <c r="L21" i="13"/>
  <c r="M6" i="13"/>
  <c r="J205" i="13"/>
  <c r="J203" i="13"/>
  <c r="J201" i="13"/>
  <c r="J199" i="13"/>
  <c r="K199" i="13" s="1"/>
  <c r="J197" i="13"/>
  <c r="J195" i="13"/>
  <c r="K195" i="13" s="1"/>
  <c r="O195" i="13" s="1"/>
  <c r="J193" i="13"/>
  <c r="J191" i="13"/>
  <c r="J189" i="13"/>
  <c r="J187" i="13"/>
  <c r="J185" i="13"/>
  <c r="J183" i="13"/>
  <c r="K183" i="13" s="1"/>
  <c r="J181" i="13"/>
  <c r="J179" i="13"/>
  <c r="K179" i="13" s="1"/>
  <c r="J177" i="13"/>
  <c r="K177" i="13" s="1"/>
  <c r="J175" i="13"/>
  <c r="J173" i="13"/>
  <c r="J171" i="13"/>
  <c r="J169" i="13"/>
  <c r="J167" i="13"/>
  <c r="L162" i="13"/>
  <c r="M159" i="13"/>
  <c r="L153" i="13"/>
  <c r="L143" i="13"/>
  <c r="L134" i="13"/>
  <c r="L128" i="13"/>
  <c r="L80" i="13"/>
  <c r="L42" i="13"/>
  <c r="L9" i="13"/>
  <c r="M164" i="13"/>
  <c r="L159" i="13"/>
  <c r="M156" i="13"/>
  <c r="L138" i="13"/>
  <c r="H83" i="13"/>
  <c r="AI89" i="20"/>
  <c r="AF90" i="20"/>
  <c r="S90" i="20"/>
  <c r="R91" i="20"/>
  <c r="T89" i="20"/>
  <c r="X89" i="20" s="1"/>
  <c r="Y89" i="20" s="1"/>
  <c r="L4" i="27"/>
  <c r="AB195" i="27" s="1"/>
  <c r="H73" i="27"/>
  <c r="J48" i="27"/>
  <c r="K44" i="27"/>
  <c r="I44" i="27"/>
  <c r="J44" i="27"/>
  <c r="H91" i="13"/>
  <c r="H89" i="13"/>
  <c r="H87" i="13"/>
  <c r="H86" i="19"/>
  <c r="R85" i="21"/>
  <c r="S84" i="21"/>
  <c r="T84" i="21" s="1"/>
  <c r="X84" i="21" s="1"/>
  <c r="Y84" i="21" s="1"/>
  <c r="AI86" i="21"/>
  <c r="AF87" i="21"/>
  <c r="X169" i="26"/>
  <c r="H91" i="27"/>
  <c r="I77" i="27"/>
  <c r="H77" i="27"/>
  <c r="K77" i="27"/>
  <c r="J77" i="27"/>
  <c r="K83" i="27"/>
  <c r="J83" i="27"/>
  <c r="H83" i="27"/>
  <c r="L202" i="19"/>
  <c r="O202" i="19" s="1"/>
  <c r="L192" i="19"/>
  <c r="L178" i="19"/>
  <c r="L168" i="19"/>
  <c r="L156" i="19"/>
  <c r="L146" i="19"/>
  <c r="L136" i="19"/>
  <c r="L128" i="19"/>
  <c r="L118" i="19"/>
  <c r="L108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J136" i="19"/>
  <c r="K136" i="19" s="1"/>
  <c r="J134" i="19"/>
  <c r="K134" i="19" s="1"/>
  <c r="J132" i="19"/>
  <c r="K132" i="19" s="1"/>
  <c r="J130" i="19"/>
  <c r="K130" i="19" s="1"/>
  <c r="J128" i="19"/>
  <c r="K128" i="19" s="1"/>
  <c r="J126" i="19"/>
  <c r="J124" i="19"/>
  <c r="K124" i="19" s="1"/>
  <c r="J122" i="19"/>
  <c r="J120" i="19"/>
  <c r="K120" i="19" s="1"/>
  <c r="J118" i="19"/>
  <c r="J116" i="19"/>
  <c r="K116" i="19" s="1"/>
  <c r="J114" i="19"/>
  <c r="K114" i="19" s="1"/>
  <c r="J112" i="19"/>
  <c r="K112" i="19" s="1"/>
  <c r="J110" i="19"/>
  <c r="K110" i="19" s="1"/>
  <c r="J108" i="19"/>
  <c r="K108" i="19" s="1"/>
  <c r="J106" i="19"/>
  <c r="J104" i="19"/>
  <c r="J102" i="19"/>
  <c r="K102" i="19" s="1"/>
  <c r="J100" i="19"/>
  <c r="K100" i="19" s="1"/>
  <c r="J98" i="19"/>
  <c r="K98" i="19" s="1"/>
  <c r="J96" i="19"/>
  <c r="K96" i="19" s="1"/>
  <c r="M93" i="19"/>
  <c r="L88" i="19"/>
  <c r="L85" i="19"/>
  <c r="M51" i="19"/>
  <c r="L22" i="19"/>
  <c r="L9" i="19"/>
  <c r="L186" i="19"/>
  <c r="O186" i="19" s="1"/>
  <c r="L100" i="19"/>
  <c r="L93" i="19"/>
  <c r="M90" i="19"/>
  <c r="L81" i="19"/>
  <c r="L198" i="19"/>
  <c r="O198" i="19" s="1"/>
  <c r="L184" i="19"/>
  <c r="L176" i="19"/>
  <c r="L166" i="19"/>
  <c r="L158" i="19"/>
  <c r="L150" i="19"/>
  <c r="L138" i="19"/>
  <c r="L130" i="19"/>
  <c r="L122" i="19"/>
  <c r="L114" i="19"/>
  <c r="L102" i="19"/>
  <c r="M205" i="19"/>
  <c r="M203" i="19"/>
  <c r="M201" i="19"/>
  <c r="M199" i="19"/>
  <c r="M197" i="19"/>
  <c r="M195" i="19"/>
  <c r="M193" i="19"/>
  <c r="M191" i="19"/>
  <c r="M189" i="19"/>
  <c r="M187" i="19"/>
  <c r="M185" i="19"/>
  <c r="M183" i="19"/>
  <c r="M181" i="19"/>
  <c r="M179" i="19"/>
  <c r="M177" i="19"/>
  <c r="M175" i="19"/>
  <c r="M173" i="19"/>
  <c r="M171" i="19"/>
  <c r="M169" i="19"/>
  <c r="M167" i="19"/>
  <c r="M165" i="19"/>
  <c r="M163" i="19"/>
  <c r="M161" i="19"/>
  <c r="M159" i="19"/>
  <c r="M157" i="19"/>
  <c r="M155" i="19"/>
  <c r="M153" i="19"/>
  <c r="M151" i="19"/>
  <c r="M149" i="19"/>
  <c r="M147" i="19"/>
  <c r="M145" i="19"/>
  <c r="M143" i="19"/>
  <c r="M141" i="19"/>
  <c r="M139" i="19"/>
  <c r="M137" i="19"/>
  <c r="M135" i="19"/>
  <c r="M133" i="19"/>
  <c r="M131" i="19"/>
  <c r="M129" i="19"/>
  <c r="M127" i="19"/>
  <c r="M125" i="19"/>
  <c r="M123" i="19"/>
  <c r="M121" i="19"/>
  <c r="M119" i="19"/>
  <c r="M117" i="19"/>
  <c r="M115" i="19"/>
  <c r="M113" i="19"/>
  <c r="M111" i="19"/>
  <c r="M109" i="19"/>
  <c r="M107" i="19"/>
  <c r="M105" i="19"/>
  <c r="M103" i="19"/>
  <c r="M101" i="19"/>
  <c r="M99" i="19"/>
  <c r="M97" i="19"/>
  <c r="M95" i="19"/>
  <c r="L90" i="19"/>
  <c r="M87" i="19"/>
  <c r="L84" i="19"/>
  <c r="L56" i="19"/>
  <c r="M35" i="19"/>
  <c r="L21" i="19"/>
  <c r="L194" i="19"/>
  <c r="L144" i="19"/>
  <c r="L82" i="19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O171" i="19" s="1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L80" i="19"/>
  <c r="M75" i="19"/>
  <c r="L204" i="19"/>
  <c r="L196" i="19"/>
  <c r="L188" i="19"/>
  <c r="L180" i="19"/>
  <c r="L172" i="19"/>
  <c r="O172" i="19" s="1"/>
  <c r="L164" i="19"/>
  <c r="L160" i="19"/>
  <c r="L152" i="19"/>
  <c r="L142" i="19"/>
  <c r="L134" i="19"/>
  <c r="L126" i="19"/>
  <c r="L120" i="19"/>
  <c r="L112" i="19"/>
  <c r="L106" i="19"/>
  <c r="L98" i="19"/>
  <c r="L91" i="19"/>
  <c r="L78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K137" i="19" s="1"/>
  <c r="J135" i="19"/>
  <c r="K135" i="19" s="1"/>
  <c r="J133" i="19"/>
  <c r="K133" i="19" s="1"/>
  <c r="O133" i="19" s="1"/>
  <c r="J131" i="19"/>
  <c r="K131" i="19" s="1"/>
  <c r="J129" i="19"/>
  <c r="J127" i="19"/>
  <c r="K127" i="19" s="1"/>
  <c r="J125" i="19"/>
  <c r="K125" i="19" s="1"/>
  <c r="J123" i="19"/>
  <c r="K123" i="19" s="1"/>
  <c r="J121" i="19"/>
  <c r="K121" i="19" s="1"/>
  <c r="J119" i="19"/>
  <c r="K119" i="19" s="1"/>
  <c r="J117" i="19"/>
  <c r="K117" i="19" s="1"/>
  <c r="J115" i="19"/>
  <c r="K115" i="19" s="1"/>
  <c r="J113" i="19"/>
  <c r="J111" i="19"/>
  <c r="K111" i="19" s="1"/>
  <c r="J109" i="19"/>
  <c r="K109" i="19" s="1"/>
  <c r="J107" i="19"/>
  <c r="K107" i="19" s="1"/>
  <c r="J105" i="19"/>
  <c r="K105" i="19" s="1"/>
  <c r="J103" i="19"/>
  <c r="K103" i="19" s="1"/>
  <c r="J101" i="19"/>
  <c r="J99" i="19"/>
  <c r="K99" i="19" s="1"/>
  <c r="J97" i="19"/>
  <c r="L92" i="19"/>
  <c r="M89" i="19"/>
  <c r="M83" i="19"/>
  <c r="M27" i="19"/>
  <c r="L200" i="19"/>
  <c r="L190" i="19"/>
  <c r="L182" i="19"/>
  <c r="L174" i="19"/>
  <c r="L170" i="19"/>
  <c r="O170" i="19" s="1"/>
  <c r="L162" i="19"/>
  <c r="L154" i="19"/>
  <c r="O154" i="19" s="1"/>
  <c r="L148" i="19"/>
  <c r="L140" i="19"/>
  <c r="L132" i="19"/>
  <c r="L124" i="19"/>
  <c r="L116" i="19"/>
  <c r="L110" i="19"/>
  <c r="L104" i="19"/>
  <c r="L96" i="19"/>
  <c r="M88" i="19"/>
  <c r="L72" i="19"/>
  <c r="M94" i="19"/>
  <c r="L89" i="19"/>
  <c r="M86" i="19"/>
  <c r="L83" i="19"/>
  <c r="L79" i="19"/>
  <c r="M67" i="19"/>
  <c r="L12" i="19"/>
  <c r="H85" i="13"/>
  <c r="G27" i="13"/>
  <c r="L74" i="19"/>
  <c r="L70" i="19"/>
  <c r="L54" i="19"/>
  <c r="L37" i="19"/>
  <c r="L25" i="19"/>
  <c r="L77" i="19"/>
  <c r="L58" i="19"/>
  <c r="L41" i="19"/>
  <c r="L20" i="19"/>
  <c r="L73" i="19"/>
  <c r="L69" i="19"/>
  <c r="L36" i="19"/>
  <c r="L24" i="19"/>
  <c r="L7" i="19"/>
  <c r="L76" i="19"/>
  <c r="L52" i="19"/>
  <c r="L40" i="19"/>
  <c r="L11" i="19"/>
  <c r="L75" i="19"/>
  <c r="L71" i="19"/>
  <c r="L67" i="19"/>
  <c r="L55" i="19"/>
  <c r="L43" i="19"/>
  <c r="L26" i="19"/>
  <c r="L68" i="19"/>
  <c r="L57" i="19"/>
  <c r="L53" i="19"/>
  <c r="L42" i="19"/>
  <c r="L38" i="19"/>
  <c r="L27" i="19"/>
  <c r="L23" i="19"/>
  <c r="M19" i="19"/>
  <c r="L8" i="19"/>
  <c r="L64" i="19"/>
  <c r="L60" i="19"/>
  <c r="L49" i="19"/>
  <c r="L45" i="19"/>
  <c r="L34" i="19"/>
  <c r="L30" i="19"/>
  <c r="L19" i="19"/>
  <c r="L15" i="19"/>
  <c r="M11" i="19"/>
  <c r="L63" i="19"/>
  <c r="M59" i="19"/>
  <c r="L48" i="19"/>
  <c r="L44" i="19"/>
  <c r="L33" i="19"/>
  <c r="L29" i="19"/>
  <c r="L18" i="19"/>
  <c r="L14" i="19"/>
  <c r="L66" i="19"/>
  <c r="L62" i="19"/>
  <c r="L51" i="19"/>
  <c r="L47" i="19"/>
  <c r="M43" i="19"/>
  <c r="L32" i="19"/>
  <c r="L28" i="19"/>
  <c r="L17" i="19"/>
  <c r="L13" i="19"/>
  <c r="L6" i="19"/>
  <c r="L65" i="19"/>
  <c r="L61" i="19"/>
  <c r="L50" i="19"/>
  <c r="L46" i="19"/>
  <c r="L35" i="19"/>
  <c r="L31" i="19"/>
  <c r="L16" i="19"/>
  <c r="U83" i="19"/>
  <c r="U75" i="19"/>
  <c r="U67" i="19"/>
  <c r="U42" i="19"/>
  <c r="U10" i="19"/>
  <c r="U79" i="19"/>
  <c r="U71" i="19"/>
  <c r="U58" i="19"/>
  <c r="U26" i="19"/>
  <c r="U78" i="19"/>
  <c r="U70" i="19"/>
  <c r="U54" i="19"/>
  <c r="U22" i="19"/>
  <c r="U85" i="19"/>
  <c r="U77" i="19"/>
  <c r="U69" i="19"/>
  <c r="U50" i="19"/>
  <c r="U18" i="19"/>
  <c r="U84" i="19"/>
  <c r="U76" i="19"/>
  <c r="U68" i="19"/>
  <c r="U46" i="19"/>
  <c r="U14" i="19"/>
  <c r="M80" i="19"/>
  <c r="M72" i="19"/>
  <c r="M64" i="19"/>
  <c r="M56" i="19"/>
  <c r="M48" i="19"/>
  <c r="M40" i="19"/>
  <c r="M32" i="19"/>
  <c r="M24" i="19"/>
  <c r="M16" i="19"/>
  <c r="M8" i="19"/>
  <c r="V85" i="19"/>
  <c r="V81" i="19"/>
  <c r="V77" i="19"/>
  <c r="V73" i="19"/>
  <c r="V69" i="19"/>
  <c r="V65" i="19"/>
  <c r="V61" i="19"/>
  <c r="V57" i="19"/>
  <c r="V53" i="19"/>
  <c r="V49" i="19"/>
  <c r="V45" i="19"/>
  <c r="V41" i="19"/>
  <c r="V37" i="19"/>
  <c r="V33" i="19"/>
  <c r="V29" i="19"/>
  <c r="V25" i="19"/>
  <c r="V21" i="19"/>
  <c r="V17" i="19"/>
  <c r="V13" i="19"/>
  <c r="V9" i="19"/>
  <c r="U6" i="19"/>
  <c r="M85" i="19"/>
  <c r="M77" i="19"/>
  <c r="M69" i="19"/>
  <c r="M61" i="19"/>
  <c r="M53" i="19"/>
  <c r="M45" i="19"/>
  <c r="M37" i="19"/>
  <c r="M29" i="19"/>
  <c r="M21" i="19"/>
  <c r="M13" i="19"/>
  <c r="U61" i="19"/>
  <c r="U57" i="19"/>
  <c r="U53" i="19"/>
  <c r="U49" i="19"/>
  <c r="U45" i="19"/>
  <c r="U41" i="19"/>
  <c r="U37" i="19"/>
  <c r="U33" i="19"/>
  <c r="U29" i="19"/>
  <c r="U25" i="19"/>
  <c r="U21" i="19"/>
  <c r="U17" i="19"/>
  <c r="U13" i="19"/>
  <c r="U9" i="19"/>
  <c r="M82" i="19"/>
  <c r="M74" i="19"/>
  <c r="M66" i="19"/>
  <c r="M58" i="19"/>
  <c r="M50" i="19"/>
  <c r="M42" i="19"/>
  <c r="M34" i="19"/>
  <c r="M26" i="19"/>
  <c r="M18" i="19"/>
  <c r="M10" i="19"/>
  <c r="V84" i="19"/>
  <c r="V80" i="19"/>
  <c r="V76" i="19"/>
  <c r="V72" i="19"/>
  <c r="V68" i="19"/>
  <c r="V64" i="19"/>
  <c r="V60" i="19"/>
  <c r="V56" i="19"/>
  <c r="V52" i="19"/>
  <c r="V48" i="19"/>
  <c r="V44" i="19"/>
  <c r="V40" i="19"/>
  <c r="V36" i="19"/>
  <c r="V32" i="19"/>
  <c r="V28" i="19"/>
  <c r="V24" i="19"/>
  <c r="V20" i="19"/>
  <c r="V16" i="19"/>
  <c r="V12" i="19"/>
  <c r="V8" i="19"/>
  <c r="M5" i="19"/>
  <c r="O5" i="19" s="1"/>
  <c r="M79" i="19"/>
  <c r="M71" i="19"/>
  <c r="M63" i="19"/>
  <c r="M55" i="19"/>
  <c r="M47" i="19"/>
  <c r="M39" i="19"/>
  <c r="M31" i="19"/>
  <c r="M23" i="19"/>
  <c r="M15" i="19"/>
  <c r="M7" i="19"/>
  <c r="U64" i="19"/>
  <c r="U60" i="19"/>
  <c r="U56" i="19"/>
  <c r="U52" i="19"/>
  <c r="U48" i="19"/>
  <c r="U44" i="19"/>
  <c r="U40" i="19"/>
  <c r="U36" i="19"/>
  <c r="U32" i="19"/>
  <c r="U28" i="19"/>
  <c r="U24" i="19"/>
  <c r="U20" i="19"/>
  <c r="U16" i="19"/>
  <c r="U12" i="19"/>
  <c r="U8" i="19"/>
  <c r="V5" i="19"/>
  <c r="M84" i="19"/>
  <c r="M76" i="19"/>
  <c r="M68" i="19"/>
  <c r="M60" i="19"/>
  <c r="M52" i="19"/>
  <c r="M44" i="19"/>
  <c r="M36" i="19"/>
  <c r="M28" i="19"/>
  <c r="M20" i="19"/>
  <c r="M12" i="19"/>
  <c r="V83" i="19"/>
  <c r="V79" i="19"/>
  <c r="V75" i="19"/>
  <c r="V71" i="19"/>
  <c r="V67" i="19"/>
  <c r="V63" i="19"/>
  <c r="V59" i="19"/>
  <c r="V55" i="19"/>
  <c r="V51" i="19"/>
  <c r="V47" i="19"/>
  <c r="V43" i="19"/>
  <c r="V39" i="19"/>
  <c r="V35" i="19"/>
  <c r="V31" i="19"/>
  <c r="V27" i="19"/>
  <c r="V23" i="19"/>
  <c r="V19" i="19"/>
  <c r="V15" i="19"/>
  <c r="V11" i="19"/>
  <c r="V7" i="19"/>
  <c r="M81" i="19"/>
  <c r="M73" i="19"/>
  <c r="M65" i="19"/>
  <c r="M57" i="19"/>
  <c r="M49" i="19"/>
  <c r="M41" i="19"/>
  <c r="M33" i="19"/>
  <c r="M25" i="19"/>
  <c r="M17" i="19"/>
  <c r="M9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M78" i="19"/>
  <c r="M70" i="19"/>
  <c r="M62" i="19"/>
  <c r="M54" i="19"/>
  <c r="M46" i="19"/>
  <c r="M38" i="19"/>
  <c r="M30" i="19"/>
  <c r="M22" i="19"/>
  <c r="M14" i="19"/>
  <c r="M6" i="19"/>
  <c r="V82" i="19"/>
  <c r="V78" i="19"/>
  <c r="V74" i="19"/>
  <c r="V70" i="19"/>
  <c r="V66" i="19"/>
  <c r="V62" i="19"/>
  <c r="V58" i="19"/>
  <c r="V54" i="19"/>
  <c r="V50" i="19"/>
  <c r="V46" i="19"/>
  <c r="V42" i="19"/>
  <c r="V38" i="19"/>
  <c r="V34" i="19"/>
  <c r="V30" i="19"/>
  <c r="V26" i="19"/>
  <c r="V22" i="19"/>
  <c r="V18" i="19"/>
  <c r="V14" i="19"/>
  <c r="V10" i="19"/>
  <c r="U73" i="18"/>
  <c r="V70" i="18"/>
  <c r="U65" i="18"/>
  <c r="U61" i="18"/>
  <c r="V52" i="18"/>
  <c r="U42" i="18"/>
  <c r="U31" i="18"/>
  <c r="V20" i="18"/>
  <c r="U10" i="18"/>
  <c r="V75" i="18"/>
  <c r="U70" i="18"/>
  <c r="V67" i="18"/>
  <c r="V64" i="18"/>
  <c r="V60" i="18"/>
  <c r="U51" i="18"/>
  <c r="V40" i="18"/>
  <c r="U30" i="18"/>
  <c r="U19" i="18"/>
  <c r="V8" i="18"/>
  <c r="V74" i="18"/>
  <c r="U69" i="18"/>
  <c r="V66" i="18"/>
  <c r="U63" i="18"/>
  <c r="U58" i="18"/>
  <c r="U47" i="18"/>
  <c r="V36" i="18"/>
  <c r="U26" i="18"/>
  <c r="U15" i="18"/>
  <c r="U71" i="18"/>
  <c r="V68" i="18"/>
  <c r="U62" i="18"/>
  <c r="U55" i="18"/>
  <c r="V44" i="18"/>
  <c r="U34" i="18"/>
  <c r="U23" i="18"/>
  <c r="V12" i="18"/>
  <c r="V73" i="18"/>
  <c r="U68" i="18"/>
  <c r="V65" i="18"/>
  <c r="V61" i="18"/>
  <c r="U54" i="18"/>
  <c r="U43" i="18"/>
  <c r="V32" i="18"/>
  <c r="U22" i="18"/>
  <c r="U11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V9" i="18"/>
  <c r="U6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U9" i="18"/>
  <c r="U60" i="18"/>
  <c r="U56" i="18"/>
  <c r="U52" i="18"/>
  <c r="U48" i="18"/>
  <c r="U44" i="18"/>
  <c r="U40" i="18"/>
  <c r="U36" i="18"/>
  <c r="U32" i="18"/>
  <c r="U28" i="18"/>
  <c r="U24" i="18"/>
  <c r="U20" i="18"/>
  <c r="U16" i="18"/>
  <c r="U12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L116" i="13"/>
  <c r="L72" i="13"/>
  <c r="L46" i="13"/>
  <c r="L90" i="13"/>
  <c r="L52" i="13"/>
  <c r="L25" i="13"/>
  <c r="L101" i="13"/>
  <c r="L95" i="13"/>
  <c r="L76" i="13"/>
  <c r="L71" i="13"/>
  <c r="L57" i="13"/>
  <c r="L100" i="13"/>
  <c r="M75" i="13"/>
  <c r="L56" i="13"/>
  <c r="L37" i="13"/>
  <c r="K205" i="13"/>
  <c r="K201" i="13"/>
  <c r="K197" i="13"/>
  <c r="K193" i="13"/>
  <c r="K189" i="13"/>
  <c r="K187" i="13"/>
  <c r="K185" i="13"/>
  <c r="K181" i="13"/>
  <c r="K173" i="13"/>
  <c r="K171" i="13"/>
  <c r="K169" i="13"/>
  <c r="O169" i="13" s="1"/>
  <c r="L119" i="13"/>
  <c r="L114" i="13"/>
  <c r="L109" i="13"/>
  <c r="L104" i="13"/>
  <c r="L85" i="13"/>
  <c r="L75" i="13"/>
  <c r="L65" i="13"/>
  <c r="L60" i="13"/>
  <c r="L36" i="13"/>
  <c r="L123" i="13"/>
  <c r="L99" i="13"/>
  <c r="L94" i="13"/>
  <c r="L89" i="13"/>
  <c r="L79" i="13"/>
  <c r="L70" i="13"/>
  <c r="L55" i="13"/>
  <c r="L50" i="13"/>
  <c r="L45" i="13"/>
  <c r="L40" i="13"/>
  <c r="L24" i="13"/>
  <c r="L113" i="13"/>
  <c r="L74" i="13"/>
  <c r="L64" i="13"/>
  <c r="L59" i="13"/>
  <c r="L35" i="13"/>
  <c r="L29" i="13"/>
  <c r="L132" i="13"/>
  <c r="L117" i="13"/>
  <c r="L102" i="13"/>
  <c r="L98" i="13"/>
  <c r="L83" i="13"/>
  <c r="L49" i="13"/>
  <c r="K204" i="13"/>
  <c r="K202" i="13"/>
  <c r="K200" i="13"/>
  <c r="O200" i="13" s="1"/>
  <c r="K196" i="13"/>
  <c r="K188" i="13"/>
  <c r="K184" i="13"/>
  <c r="O184" i="13" s="1"/>
  <c r="K182" i="13"/>
  <c r="K180" i="13"/>
  <c r="O180" i="13" s="1"/>
  <c r="K172" i="13"/>
  <c r="K170" i="13"/>
  <c r="K168" i="13"/>
  <c r="L121" i="13"/>
  <c r="L106" i="13"/>
  <c r="L87" i="13"/>
  <c r="L68" i="13"/>
  <c r="L53" i="13"/>
  <c r="L38" i="13"/>
  <c r="L34" i="13"/>
  <c r="L15" i="13"/>
  <c r="V152" i="13"/>
  <c r="V148" i="13"/>
  <c r="U143" i="13"/>
  <c r="U138" i="13"/>
  <c r="U122" i="13"/>
  <c r="U106" i="13"/>
  <c r="U90" i="13"/>
  <c r="V69" i="13"/>
  <c r="V155" i="13"/>
  <c r="V151" i="13"/>
  <c r="U147" i="13"/>
  <c r="U142" i="13"/>
  <c r="U134" i="13"/>
  <c r="U118" i="13"/>
  <c r="U102" i="13"/>
  <c r="V85" i="13"/>
  <c r="V63" i="13"/>
  <c r="U155" i="13"/>
  <c r="U151" i="13"/>
  <c r="V146" i="13"/>
  <c r="V141" i="13"/>
  <c r="U131" i="13"/>
  <c r="U115" i="13"/>
  <c r="U99" i="13"/>
  <c r="V81" i="13"/>
  <c r="U59" i="13"/>
  <c r="V154" i="13"/>
  <c r="V150" i="13"/>
  <c r="U146" i="13"/>
  <c r="V140" i="13"/>
  <c r="U130" i="13"/>
  <c r="U114" i="13"/>
  <c r="U98" i="13"/>
  <c r="V80" i="13"/>
  <c r="U57" i="13"/>
  <c r="U154" i="13"/>
  <c r="U150" i="13"/>
  <c r="V145" i="13"/>
  <c r="V139" i="13"/>
  <c r="U127" i="13"/>
  <c r="U111" i="13"/>
  <c r="U95" i="13"/>
  <c r="V76" i="13"/>
  <c r="V44" i="13"/>
  <c r="V135" i="13"/>
  <c r="V131" i="13"/>
  <c r="V127" i="13"/>
  <c r="V123" i="13"/>
  <c r="V119" i="13"/>
  <c r="V115" i="13"/>
  <c r="V111" i="13"/>
  <c r="V107" i="13"/>
  <c r="V103" i="13"/>
  <c r="V99" i="13"/>
  <c r="V95" i="13"/>
  <c r="V91" i="13"/>
  <c r="V87" i="13"/>
  <c r="U83" i="13"/>
  <c r="U77" i="13"/>
  <c r="U72" i="13"/>
  <c r="V65" i="13"/>
  <c r="V59" i="13"/>
  <c r="U45" i="13"/>
  <c r="U14" i="13"/>
  <c r="V134" i="13"/>
  <c r="V130" i="13"/>
  <c r="V126" i="13"/>
  <c r="V122" i="13"/>
  <c r="V118" i="13"/>
  <c r="V114" i="13"/>
  <c r="V110" i="13"/>
  <c r="V106" i="13"/>
  <c r="V102" i="13"/>
  <c r="V98" i="13"/>
  <c r="V94" i="13"/>
  <c r="V90" i="13"/>
  <c r="V86" i="13"/>
  <c r="U81" i="13"/>
  <c r="U76" i="13"/>
  <c r="U71" i="13"/>
  <c r="V64" i="13"/>
  <c r="V57" i="13"/>
  <c r="U38" i="13"/>
  <c r="V137" i="13"/>
  <c r="V133" i="13"/>
  <c r="V129" i="13"/>
  <c r="V125" i="13"/>
  <c r="V121" i="13"/>
  <c r="V117" i="13"/>
  <c r="V113" i="13"/>
  <c r="V109" i="13"/>
  <c r="V105" i="13"/>
  <c r="V101" i="13"/>
  <c r="V97" i="13"/>
  <c r="V93" i="13"/>
  <c r="V89" i="13"/>
  <c r="U85" i="13"/>
  <c r="U80" i="13"/>
  <c r="U75" i="13"/>
  <c r="U69" i="13"/>
  <c r="U63" i="13"/>
  <c r="V56" i="13"/>
  <c r="V28" i="13"/>
  <c r="U145" i="13"/>
  <c r="U141" i="13"/>
  <c r="U137" i="13"/>
  <c r="U133" i="13"/>
  <c r="U129" i="13"/>
  <c r="U125" i="13"/>
  <c r="U121" i="13"/>
  <c r="U117" i="13"/>
  <c r="U113" i="13"/>
  <c r="U109" i="13"/>
  <c r="U105" i="13"/>
  <c r="U101" i="13"/>
  <c r="U97" i="13"/>
  <c r="U93" i="13"/>
  <c r="U89" i="13"/>
  <c r="V84" i="13"/>
  <c r="V79" i="13"/>
  <c r="V73" i="13"/>
  <c r="V68" i="13"/>
  <c r="V61" i="13"/>
  <c r="U54" i="13"/>
  <c r="V27" i="13"/>
  <c r="V136" i="13"/>
  <c r="V132" i="13"/>
  <c r="V128" i="13"/>
  <c r="V124" i="13"/>
  <c r="V120" i="13"/>
  <c r="V116" i="13"/>
  <c r="V112" i="13"/>
  <c r="V108" i="13"/>
  <c r="V104" i="13"/>
  <c r="V100" i="13"/>
  <c r="V96" i="13"/>
  <c r="V92" i="13"/>
  <c r="V88" i="13"/>
  <c r="U84" i="13"/>
  <c r="U79" i="13"/>
  <c r="U73" i="13"/>
  <c r="V67" i="13"/>
  <c r="U61" i="13"/>
  <c r="U53" i="13"/>
  <c r="U22" i="13"/>
  <c r="U148" i="13"/>
  <c r="U144" i="13"/>
  <c r="U140" i="13"/>
  <c r="U136" i="13"/>
  <c r="U132" i="13"/>
  <c r="U128" i="13"/>
  <c r="U124" i="13"/>
  <c r="U120" i="13"/>
  <c r="U116" i="13"/>
  <c r="U112" i="13"/>
  <c r="U108" i="13"/>
  <c r="U104" i="13"/>
  <c r="U100" i="13"/>
  <c r="U96" i="13"/>
  <c r="U92" i="13"/>
  <c r="U88" i="13"/>
  <c r="V83" i="13"/>
  <c r="V77" i="13"/>
  <c r="V72" i="13"/>
  <c r="U67" i="13"/>
  <c r="V60" i="13"/>
  <c r="U46" i="13"/>
  <c r="V19" i="13"/>
  <c r="G46" i="13"/>
  <c r="B51" i="27"/>
  <c r="K51" i="27" s="1"/>
  <c r="AE72" i="18"/>
  <c r="AD71" i="18"/>
  <c r="AC74" i="18"/>
  <c r="AC70" i="18"/>
  <c r="AB66" i="18"/>
  <c r="AN35" i="18"/>
  <c r="AB33" i="18"/>
  <c r="AE71" i="18"/>
  <c r="AD70" i="18"/>
  <c r="AB74" i="18"/>
  <c r="AC69" i="18"/>
  <c r="AC20" i="18"/>
  <c r="AE68" i="18"/>
  <c r="AD75" i="18"/>
  <c r="AD67" i="18"/>
  <c r="AC72" i="18"/>
  <c r="AM75" i="18"/>
  <c r="AN74" i="18"/>
  <c r="AO73" i="18"/>
  <c r="AP72" i="18"/>
  <c r="AN60" i="18"/>
  <c r="AP50" i="18"/>
  <c r="AM45" i="18"/>
  <c r="AM35" i="18"/>
  <c r="AL71" i="18"/>
  <c r="AO60" i="18"/>
  <c r="AM74" i="18"/>
  <c r="AN73" i="18"/>
  <c r="AO72" i="18"/>
  <c r="AP71" i="18"/>
  <c r="AM60" i="18"/>
  <c r="AO50" i="18"/>
  <c r="AL45" i="18"/>
  <c r="AL35" i="18"/>
  <c r="AP75" i="18"/>
  <c r="AP45" i="18"/>
  <c r="AO74" i="18"/>
  <c r="AL74" i="18"/>
  <c r="AM73" i="18"/>
  <c r="AN72" i="18"/>
  <c r="AO71" i="18"/>
  <c r="AL60" i="18"/>
  <c r="AN50" i="18"/>
  <c r="AP40" i="18"/>
  <c r="AN55" i="18"/>
  <c r="AN75" i="18"/>
  <c r="AL55" i="18"/>
  <c r="AL73" i="18"/>
  <c r="AM72" i="18"/>
  <c r="AN71" i="18"/>
  <c r="AP55" i="18"/>
  <c r="AM50" i="18"/>
  <c r="AO40" i="18"/>
  <c r="AN45" i="18"/>
  <c r="AL72" i="18"/>
  <c r="AM71" i="18"/>
  <c r="AO55" i="18"/>
  <c r="AL50" i="18"/>
  <c r="AN40" i="18"/>
  <c r="AM40" i="18"/>
  <c r="AP35" i="18"/>
  <c r="AO75" i="18"/>
  <c r="AP74" i="18"/>
  <c r="AP60" i="18"/>
  <c r="AM55" i="18"/>
  <c r="AO45" i="18"/>
  <c r="AL40" i="18"/>
  <c r="AP73" i="18"/>
  <c r="AE75" i="18"/>
  <c r="AE67" i="18"/>
  <c r="AD74" i="18"/>
  <c r="AD66" i="18"/>
  <c r="AB72" i="18"/>
  <c r="AC67" i="18"/>
  <c r="AL23" i="18"/>
  <c r="AE74" i="18"/>
  <c r="AE66" i="18"/>
  <c r="AD73" i="18"/>
  <c r="AC75" i="18"/>
  <c r="AC71" i="18"/>
  <c r="AB67" i="18"/>
  <c r="AE73" i="18"/>
  <c r="AE45" i="18"/>
  <c r="AD72" i="18"/>
  <c r="AB71" i="18"/>
  <c r="AC66" i="18"/>
  <c r="E42" i="27"/>
  <c r="AT35" i="26"/>
  <c r="AS26" i="26"/>
  <c r="AS29" i="26"/>
  <c r="AD23" i="26"/>
  <c r="AE29" i="26"/>
  <c r="AE26" i="26"/>
  <c r="E91" i="27"/>
  <c r="AE23" i="26"/>
  <c r="E88" i="27"/>
  <c r="AE35" i="26"/>
  <c r="AO35" i="26"/>
  <c r="AS35" i="26" s="1"/>
  <c r="AD35" i="26"/>
  <c r="H85" i="26"/>
  <c r="X164" i="26"/>
  <c r="C94" i="18"/>
  <c r="AL75" i="18" s="1"/>
  <c r="AL68" i="18"/>
  <c r="AM67" i="18"/>
  <c r="AN66" i="18"/>
  <c r="AL67" i="18"/>
  <c r="AM66" i="18"/>
  <c r="AP70" i="18"/>
  <c r="AL66" i="18"/>
  <c r="AO70" i="18"/>
  <c r="AP69" i="18"/>
  <c r="AN70" i="18"/>
  <c r="AO69" i="18"/>
  <c r="AP68" i="18"/>
  <c r="AM70" i="18"/>
  <c r="AN69" i="18"/>
  <c r="AO68" i="18"/>
  <c r="AP67" i="18"/>
  <c r="AM69" i="18"/>
  <c r="AN68" i="18"/>
  <c r="AO67" i="18"/>
  <c r="AP66" i="18"/>
  <c r="AL69" i="18"/>
  <c r="AM68" i="18"/>
  <c r="AN67" i="18"/>
  <c r="AO66" i="18"/>
  <c r="M5" i="18"/>
  <c r="L19" i="18"/>
  <c r="L6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M205" i="18"/>
  <c r="M201" i="18"/>
  <c r="M197" i="18"/>
  <c r="M94" i="18"/>
  <c r="L89" i="18"/>
  <c r="M78" i="18"/>
  <c r="L73" i="18"/>
  <c r="L49" i="18"/>
  <c r="M36" i="18"/>
  <c r="L204" i="18"/>
  <c r="L200" i="18"/>
  <c r="L93" i="18"/>
  <c r="M82" i="18"/>
  <c r="L77" i="18"/>
  <c r="M66" i="18"/>
  <c r="M60" i="18"/>
  <c r="L41" i="18"/>
  <c r="L12" i="18"/>
  <c r="H105" i="27"/>
  <c r="I103" i="27"/>
  <c r="K114" i="27"/>
  <c r="K112" i="27"/>
  <c r="K110" i="27"/>
  <c r="K108" i="27"/>
  <c r="K106" i="27"/>
  <c r="K104" i="27"/>
  <c r="H103" i="27"/>
  <c r="J114" i="27"/>
  <c r="J112" i="27"/>
  <c r="J110" i="27"/>
  <c r="J108" i="27"/>
  <c r="J106" i="27"/>
  <c r="J104" i="27"/>
  <c r="I114" i="27"/>
  <c r="I112" i="27"/>
  <c r="I110" i="27"/>
  <c r="I108" i="27"/>
  <c r="I106" i="27"/>
  <c r="I104" i="27"/>
  <c r="H114" i="27"/>
  <c r="H112" i="27"/>
  <c r="H110" i="27"/>
  <c r="H108" i="27"/>
  <c r="H106" i="27"/>
  <c r="H104" i="27"/>
  <c r="K115" i="27"/>
  <c r="K113" i="27"/>
  <c r="K111" i="27"/>
  <c r="K109" i="27"/>
  <c r="K107" i="27"/>
  <c r="K105" i="27"/>
  <c r="J115" i="27"/>
  <c r="J113" i="27"/>
  <c r="J111" i="27"/>
  <c r="J109" i="27"/>
  <c r="J107" i="27"/>
  <c r="J105" i="27"/>
  <c r="K103" i="27"/>
  <c r="I115" i="27"/>
  <c r="I113" i="27"/>
  <c r="I111" i="27"/>
  <c r="I109" i="27"/>
  <c r="I107" i="27"/>
  <c r="I105" i="27"/>
  <c r="J103" i="27"/>
  <c r="H115" i="27"/>
  <c r="H113" i="27"/>
  <c r="H111" i="27"/>
  <c r="H109" i="27"/>
  <c r="H107" i="27"/>
  <c r="AT26" i="26"/>
  <c r="AQ26" i="26"/>
  <c r="AQ35" i="26"/>
  <c r="AR26" i="26"/>
  <c r="AR35" i="26"/>
  <c r="AQ29" i="26"/>
  <c r="J204" i="26"/>
  <c r="K204" i="26" s="1"/>
  <c r="J202" i="26"/>
  <c r="K202" i="26" s="1"/>
  <c r="J200" i="26"/>
  <c r="K200" i="26" s="1"/>
  <c r="J198" i="26"/>
  <c r="K198" i="26" s="1"/>
  <c r="J196" i="26"/>
  <c r="K196" i="26" s="1"/>
  <c r="J194" i="26"/>
  <c r="K194" i="26" s="1"/>
  <c r="J192" i="26"/>
  <c r="K192" i="26" s="1"/>
  <c r="J190" i="26"/>
  <c r="K190" i="26" s="1"/>
  <c r="J188" i="26"/>
  <c r="K188" i="26" s="1"/>
  <c r="J186" i="26"/>
  <c r="K186" i="26" s="1"/>
  <c r="J184" i="26"/>
  <c r="K184" i="26" s="1"/>
  <c r="L182" i="26"/>
  <c r="L180" i="26"/>
  <c r="L178" i="26"/>
  <c r="L176" i="26"/>
  <c r="M174" i="26"/>
  <c r="M172" i="26"/>
  <c r="M170" i="26"/>
  <c r="M168" i="26"/>
  <c r="M166" i="26"/>
  <c r="M164" i="26"/>
  <c r="M162" i="26"/>
  <c r="M160" i="26"/>
  <c r="M158" i="26"/>
  <c r="M156" i="26"/>
  <c r="M154" i="26"/>
  <c r="M152" i="26"/>
  <c r="L99" i="26"/>
  <c r="L97" i="26"/>
  <c r="L95" i="26"/>
  <c r="L93" i="26"/>
  <c r="L91" i="26"/>
  <c r="L89" i="26"/>
  <c r="L87" i="26"/>
  <c r="L85" i="26"/>
  <c r="L83" i="26"/>
  <c r="L81" i="26"/>
  <c r="L79" i="26"/>
  <c r="L77" i="26"/>
  <c r="L75" i="26"/>
  <c r="L73" i="26"/>
  <c r="L71" i="26"/>
  <c r="L69" i="26"/>
  <c r="L67" i="26"/>
  <c r="L65" i="26"/>
  <c r="M62" i="26"/>
  <c r="L57" i="26"/>
  <c r="M54" i="26"/>
  <c r="L49" i="26"/>
  <c r="M46" i="26"/>
  <c r="L41" i="26"/>
  <c r="M38" i="26"/>
  <c r="L33" i="26"/>
  <c r="M30" i="26"/>
  <c r="L25" i="26"/>
  <c r="M22" i="26"/>
  <c r="L17" i="26"/>
  <c r="M14" i="26"/>
  <c r="L9" i="26"/>
  <c r="M6" i="26"/>
  <c r="AR29" i="26"/>
  <c r="J182" i="26"/>
  <c r="K182" i="26" s="1"/>
  <c r="J180" i="26"/>
  <c r="K180" i="26" s="1"/>
  <c r="J178" i="26"/>
  <c r="K178" i="26" s="1"/>
  <c r="J176" i="26"/>
  <c r="K176" i="26" s="1"/>
  <c r="L174" i="26"/>
  <c r="L172" i="26"/>
  <c r="L170" i="26"/>
  <c r="L168" i="26"/>
  <c r="L166" i="26"/>
  <c r="L164" i="26"/>
  <c r="L162" i="26"/>
  <c r="L160" i="26"/>
  <c r="L158" i="26"/>
  <c r="L156" i="26"/>
  <c r="L154" i="26"/>
  <c r="L152" i="26"/>
  <c r="M150" i="26"/>
  <c r="M148" i="26"/>
  <c r="M146" i="26"/>
  <c r="M144" i="26"/>
  <c r="M142" i="26"/>
  <c r="M140" i="26"/>
  <c r="M138" i="26"/>
  <c r="M136" i="26"/>
  <c r="M134" i="26"/>
  <c r="M132" i="26"/>
  <c r="L62" i="26"/>
  <c r="M59" i="26"/>
  <c r="L54" i="26"/>
  <c r="M51" i="26"/>
  <c r="L46" i="26"/>
  <c r="M43" i="26"/>
  <c r="L38" i="26"/>
  <c r="M35" i="26"/>
  <c r="L30" i="26"/>
  <c r="M27" i="26"/>
  <c r="L22" i="26"/>
  <c r="M19" i="26"/>
  <c r="L14" i="26"/>
  <c r="M11" i="26"/>
  <c r="J6" i="26"/>
  <c r="J7" i="26" s="1"/>
  <c r="AT29" i="26"/>
  <c r="L205" i="26"/>
  <c r="L203" i="26"/>
  <c r="L201" i="26"/>
  <c r="L199" i="26"/>
  <c r="L197" i="26"/>
  <c r="L195" i="26"/>
  <c r="L193" i="26"/>
  <c r="L191" i="26"/>
  <c r="L189" i="26"/>
  <c r="L187" i="26"/>
  <c r="L185" i="26"/>
  <c r="L183" i="26"/>
  <c r="M181" i="26"/>
  <c r="M179" i="26"/>
  <c r="M177" i="26"/>
  <c r="M175" i="26"/>
  <c r="J150" i="26"/>
  <c r="K150" i="26" s="1"/>
  <c r="J148" i="26"/>
  <c r="K148" i="26" s="1"/>
  <c r="J146" i="26"/>
  <c r="K146" i="26" s="1"/>
  <c r="J144" i="26"/>
  <c r="K144" i="26" s="1"/>
  <c r="J142" i="26"/>
  <c r="K142" i="26" s="1"/>
  <c r="L130" i="26"/>
  <c r="L128" i="26"/>
  <c r="L126" i="26"/>
  <c r="L124" i="26"/>
  <c r="L122" i="26"/>
  <c r="L120" i="26"/>
  <c r="L118" i="26"/>
  <c r="L116" i="26"/>
  <c r="L114" i="26"/>
  <c r="L112" i="26"/>
  <c r="L110" i="26"/>
  <c r="L108" i="26"/>
  <c r="L106" i="26"/>
  <c r="L104" i="26"/>
  <c r="L102" i="26"/>
  <c r="M100" i="26"/>
  <c r="M98" i="26"/>
  <c r="M96" i="26"/>
  <c r="M94" i="26"/>
  <c r="M92" i="26"/>
  <c r="M90" i="26"/>
  <c r="M88" i="26"/>
  <c r="M86" i="26"/>
  <c r="M84" i="26"/>
  <c r="M82" i="26"/>
  <c r="M80" i="26"/>
  <c r="M78" i="26"/>
  <c r="M76" i="26"/>
  <c r="M74" i="26"/>
  <c r="M72" i="26"/>
  <c r="M70" i="26"/>
  <c r="M68" i="26"/>
  <c r="M66" i="26"/>
  <c r="L64" i="26"/>
  <c r="M61" i="26"/>
  <c r="L56" i="26"/>
  <c r="M53" i="26"/>
  <c r="L48" i="26"/>
  <c r="M45" i="26"/>
  <c r="L40" i="26"/>
  <c r="M37" i="26"/>
  <c r="L32" i="26"/>
  <c r="M29" i="26"/>
  <c r="L24" i="26"/>
  <c r="M21" i="26"/>
  <c r="L16" i="26"/>
  <c r="M13" i="26"/>
  <c r="L8" i="26"/>
  <c r="J205" i="26"/>
  <c r="J203" i="26"/>
  <c r="K203" i="26" s="1"/>
  <c r="J201" i="26"/>
  <c r="K201" i="26" s="1"/>
  <c r="J199" i="26"/>
  <c r="K199" i="26" s="1"/>
  <c r="J197" i="26"/>
  <c r="K197" i="26" s="1"/>
  <c r="J195" i="26"/>
  <c r="K195" i="26" s="1"/>
  <c r="J193" i="26"/>
  <c r="K193" i="26" s="1"/>
  <c r="J191" i="26"/>
  <c r="K191" i="26" s="1"/>
  <c r="J189" i="26"/>
  <c r="K189" i="26" s="1"/>
  <c r="J187" i="26"/>
  <c r="K187" i="26" s="1"/>
  <c r="J185" i="26"/>
  <c r="K185" i="26" s="1"/>
  <c r="L181" i="26"/>
  <c r="L179" i="26"/>
  <c r="L177" i="26"/>
  <c r="L175" i="26"/>
  <c r="M173" i="26"/>
  <c r="M171" i="26"/>
  <c r="M169" i="26"/>
  <c r="M167" i="26"/>
  <c r="M165" i="26"/>
  <c r="M163" i="26"/>
  <c r="M161" i="26"/>
  <c r="M159" i="26"/>
  <c r="M157" i="26"/>
  <c r="M155" i="26"/>
  <c r="M153" i="26"/>
  <c r="M151" i="26"/>
  <c r="L100" i="26"/>
  <c r="L98" i="26"/>
  <c r="L96" i="26"/>
  <c r="L94" i="26"/>
  <c r="L92" i="26"/>
  <c r="L90" i="26"/>
  <c r="L88" i="26"/>
  <c r="L86" i="26"/>
  <c r="L84" i="26"/>
  <c r="L82" i="26"/>
  <c r="L80" i="26"/>
  <c r="L78" i="26"/>
  <c r="L76" i="26"/>
  <c r="L74" i="26"/>
  <c r="L72" i="26"/>
  <c r="L70" i="26"/>
  <c r="L68" i="26"/>
  <c r="L66" i="26"/>
  <c r="L61" i="26"/>
  <c r="M58" i="26"/>
  <c r="L53" i="26"/>
  <c r="M50" i="26"/>
  <c r="L45" i="26"/>
  <c r="M42" i="26"/>
  <c r="L37" i="26"/>
  <c r="M34" i="26"/>
  <c r="L29" i="26"/>
  <c r="M26" i="26"/>
  <c r="L21" i="26"/>
  <c r="M18" i="26"/>
  <c r="L13" i="26"/>
  <c r="M10" i="26"/>
  <c r="M5" i="26"/>
  <c r="O5" i="26" s="1"/>
  <c r="J183" i="26"/>
  <c r="K183" i="26" s="1"/>
  <c r="J181" i="26"/>
  <c r="K181" i="26" s="1"/>
  <c r="J179" i="26"/>
  <c r="K179" i="26" s="1"/>
  <c r="J177" i="26"/>
  <c r="K177" i="26" s="1"/>
  <c r="L173" i="26"/>
  <c r="L171" i="26"/>
  <c r="L169" i="26"/>
  <c r="L167" i="26"/>
  <c r="L165" i="26"/>
  <c r="L163" i="26"/>
  <c r="L161" i="26"/>
  <c r="L159" i="26"/>
  <c r="L157" i="26"/>
  <c r="L155" i="26"/>
  <c r="L153" i="26"/>
  <c r="L151" i="26"/>
  <c r="M149" i="26"/>
  <c r="M147" i="26"/>
  <c r="M145" i="26"/>
  <c r="M143" i="26"/>
  <c r="M141" i="26"/>
  <c r="M139" i="26"/>
  <c r="M137" i="26"/>
  <c r="M135" i="26"/>
  <c r="M133" i="26"/>
  <c r="M131" i="26"/>
  <c r="M63" i="26"/>
  <c r="L58" i="26"/>
  <c r="M55" i="26"/>
  <c r="L50" i="26"/>
  <c r="M47" i="26"/>
  <c r="L42" i="26"/>
  <c r="M39" i="26"/>
  <c r="L34" i="26"/>
  <c r="M31" i="26"/>
  <c r="L26" i="26"/>
  <c r="M23" i="26"/>
  <c r="L18" i="26"/>
  <c r="M15" i="26"/>
  <c r="L10" i="26"/>
  <c r="M7" i="26"/>
  <c r="M204" i="26"/>
  <c r="M202" i="26"/>
  <c r="M200" i="26"/>
  <c r="M198" i="26"/>
  <c r="M196" i="26"/>
  <c r="M194" i="26"/>
  <c r="M192" i="26"/>
  <c r="M190" i="26"/>
  <c r="M188" i="26"/>
  <c r="M186" i="26"/>
  <c r="M184" i="26"/>
  <c r="J175" i="26"/>
  <c r="K175" i="26" s="1"/>
  <c r="J173" i="26"/>
  <c r="K173" i="26" s="1"/>
  <c r="J171" i="26"/>
  <c r="K171" i="26" s="1"/>
  <c r="J169" i="26"/>
  <c r="K169" i="26" s="1"/>
  <c r="J167" i="26"/>
  <c r="K167" i="26" s="1"/>
  <c r="J165" i="26"/>
  <c r="K165" i="26" s="1"/>
  <c r="J163" i="26"/>
  <c r="K163" i="26" s="1"/>
  <c r="J161" i="26"/>
  <c r="K161" i="26" s="1"/>
  <c r="J159" i="26"/>
  <c r="K159" i="26" s="1"/>
  <c r="J157" i="26"/>
  <c r="K157" i="26" s="1"/>
  <c r="J155" i="26"/>
  <c r="K155" i="26" s="1"/>
  <c r="J153" i="26"/>
  <c r="K153" i="26" s="1"/>
  <c r="L149" i="26"/>
  <c r="L147" i="26"/>
  <c r="L145" i="26"/>
  <c r="L143" i="26"/>
  <c r="L141" i="26"/>
  <c r="L139" i="26"/>
  <c r="L137" i="26"/>
  <c r="L135" i="26"/>
  <c r="L133" i="26"/>
  <c r="L131" i="26"/>
  <c r="M129" i="26"/>
  <c r="M127" i="26"/>
  <c r="M125" i="26"/>
  <c r="M123" i="26"/>
  <c r="M121" i="26"/>
  <c r="M119" i="26"/>
  <c r="M117" i="26"/>
  <c r="M115" i="26"/>
  <c r="M113" i="26"/>
  <c r="M111" i="26"/>
  <c r="M109" i="26"/>
  <c r="M107" i="26"/>
  <c r="M105" i="26"/>
  <c r="M103" i="26"/>
  <c r="M101" i="26"/>
  <c r="L63" i="26"/>
  <c r="M60" i="26"/>
  <c r="L55" i="26"/>
  <c r="M52" i="26"/>
  <c r="L47" i="26"/>
  <c r="M44" i="26"/>
  <c r="L39" i="26"/>
  <c r="M36" i="26"/>
  <c r="L31" i="26"/>
  <c r="M28" i="26"/>
  <c r="L23" i="26"/>
  <c r="M20" i="26"/>
  <c r="L15" i="26"/>
  <c r="M12" i="26"/>
  <c r="L7" i="26"/>
  <c r="L204" i="26"/>
  <c r="L202" i="26"/>
  <c r="L200" i="26"/>
  <c r="L198" i="26"/>
  <c r="L196" i="26"/>
  <c r="L194" i="26"/>
  <c r="L192" i="26"/>
  <c r="L190" i="26"/>
  <c r="L188" i="26"/>
  <c r="L186" i="26"/>
  <c r="L184" i="26"/>
  <c r="M182" i="26"/>
  <c r="M180" i="26"/>
  <c r="M178" i="26"/>
  <c r="M176" i="26"/>
  <c r="J151" i="26"/>
  <c r="K151" i="26" s="1"/>
  <c r="J149" i="26"/>
  <c r="K149" i="26" s="1"/>
  <c r="J147" i="26"/>
  <c r="K147" i="26" s="1"/>
  <c r="J145" i="26"/>
  <c r="K145" i="26" s="1"/>
  <c r="J143" i="26"/>
  <c r="K143" i="26" s="1"/>
  <c r="J141" i="26"/>
  <c r="K141" i="26" s="1"/>
  <c r="L129" i="26"/>
  <c r="L127" i="26"/>
  <c r="L125" i="26"/>
  <c r="L123" i="26"/>
  <c r="L121" i="26"/>
  <c r="L119" i="26"/>
  <c r="L117" i="26"/>
  <c r="L115" i="26"/>
  <c r="L113" i="26"/>
  <c r="L111" i="26"/>
  <c r="L109" i="26"/>
  <c r="L107" i="26"/>
  <c r="L105" i="26"/>
  <c r="L103" i="26"/>
  <c r="L101" i="26"/>
  <c r="M99" i="26"/>
  <c r="M97" i="26"/>
  <c r="M95" i="26"/>
  <c r="M93" i="26"/>
  <c r="M91" i="26"/>
  <c r="M89" i="26"/>
  <c r="M87" i="26"/>
  <c r="M85" i="26"/>
  <c r="M83" i="26"/>
  <c r="M81" i="26"/>
  <c r="M79" i="26"/>
  <c r="M77" i="26"/>
  <c r="M75" i="26"/>
  <c r="M73" i="26"/>
  <c r="M71" i="26"/>
  <c r="M69" i="26"/>
  <c r="M67" i="26"/>
  <c r="M65" i="26"/>
  <c r="L60" i="26"/>
  <c r="M57" i="26"/>
  <c r="L52" i="26"/>
  <c r="M49" i="26"/>
  <c r="L44" i="26"/>
  <c r="M41" i="26"/>
  <c r="L36" i="26"/>
  <c r="M33" i="26"/>
  <c r="L28" i="26"/>
  <c r="M25" i="26"/>
  <c r="L20" i="26"/>
  <c r="M17" i="26"/>
  <c r="L12" i="26"/>
  <c r="X202" i="26"/>
  <c r="X200" i="26"/>
  <c r="X185" i="26"/>
  <c r="X204" i="26"/>
  <c r="X191" i="26"/>
  <c r="AT23" i="26"/>
  <c r="AS23" i="26"/>
  <c r="AR23" i="26"/>
  <c r="AQ23" i="26"/>
  <c r="K205" i="26"/>
  <c r="K174" i="26"/>
  <c r="K170" i="26"/>
  <c r="K166" i="26"/>
  <c r="K162" i="26"/>
  <c r="K158" i="26"/>
  <c r="K154" i="26"/>
  <c r="R7" i="26"/>
  <c r="X190" i="26"/>
  <c r="X182" i="26"/>
  <c r="X187" i="26"/>
  <c r="X179" i="26"/>
  <c r="X171" i="26"/>
  <c r="J91" i="27"/>
  <c r="H88" i="27"/>
  <c r="K99" i="27"/>
  <c r="K93" i="27"/>
  <c r="K90" i="27"/>
  <c r="X5" i="26"/>
  <c r="J99" i="27"/>
  <c r="J93" i="27"/>
  <c r="J90" i="27"/>
  <c r="I99" i="27"/>
  <c r="H93" i="27"/>
  <c r="H90" i="27"/>
  <c r="H99" i="27"/>
  <c r="I93" i="27"/>
  <c r="H89" i="27"/>
  <c r="I87" i="27"/>
  <c r="I92" i="27"/>
  <c r="K89" i="27"/>
  <c r="J87" i="27"/>
  <c r="I94" i="27"/>
  <c r="J94" i="27"/>
  <c r="I91" i="27"/>
  <c r="B95" i="27"/>
  <c r="H92" i="27"/>
  <c r="J89" i="27"/>
  <c r="K92" i="27"/>
  <c r="J92" i="27"/>
  <c r="H94" i="27"/>
  <c r="I89" i="27"/>
  <c r="H87" i="27"/>
  <c r="I90" i="27"/>
  <c r="K88" i="27"/>
  <c r="K91" i="27"/>
  <c r="J88" i="27"/>
  <c r="K94" i="27"/>
  <c r="I88" i="27"/>
  <c r="K87" i="27"/>
  <c r="X166" i="26"/>
  <c r="H82" i="27"/>
  <c r="I82" i="27"/>
  <c r="J82" i="27"/>
  <c r="K82" i="27"/>
  <c r="H79" i="27"/>
  <c r="K79" i="27"/>
  <c r="B78" i="27"/>
  <c r="J78" i="27" s="1"/>
  <c r="I81" i="27"/>
  <c r="J81" i="27"/>
  <c r="K81" i="27"/>
  <c r="H81" i="27"/>
  <c r="B80" i="27"/>
  <c r="B72" i="27"/>
  <c r="I72" i="27" s="1"/>
  <c r="J79" i="27"/>
  <c r="I79" i="27"/>
  <c r="I71" i="27"/>
  <c r="I76" i="27"/>
  <c r="H75" i="27"/>
  <c r="K73" i="27"/>
  <c r="H71" i="27"/>
  <c r="H76" i="27"/>
  <c r="J73" i="27"/>
  <c r="I73" i="27"/>
  <c r="K74" i="27"/>
  <c r="K75" i="27"/>
  <c r="J74" i="27"/>
  <c r="K71" i="27"/>
  <c r="K76" i="27"/>
  <c r="J75" i="27"/>
  <c r="I74" i="27"/>
  <c r="J71" i="27"/>
  <c r="J76" i="27"/>
  <c r="I75" i="27"/>
  <c r="H74" i="27"/>
  <c r="X195" i="26"/>
  <c r="X205" i="26"/>
  <c r="T177" i="26"/>
  <c r="X177" i="26" s="1"/>
  <c r="T151" i="26"/>
  <c r="X151" i="26" s="1"/>
  <c r="T150" i="26"/>
  <c r="X150" i="26" s="1"/>
  <c r="T142" i="26"/>
  <c r="X142" i="26" s="1"/>
  <c r="T143" i="26"/>
  <c r="X143" i="26" s="1"/>
  <c r="T141" i="26"/>
  <c r="X141" i="26" s="1"/>
  <c r="T149" i="26"/>
  <c r="X149" i="26" s="1"/>
  <c r="T148" i="26"/>
  <c r="X148" i="26" s="1"/>
  <c r="T155" i="26"/>
  <c r="X155" i="26" s="1"/>
  <c r="T154" i="26"/>
  <c r="X154" i="26" s="1"/>
  <c r="T146" i="26"/>
  <c r="X146" i="26" s="1"/>
  <c r="T147" i="26"/>
  <c r="X147" i="26" s="1"/>
  <c r="T145" i="26"/>
  <c r="X145" i="26" s="1"/>
  <c r="T153" i="26"/>
  <c r="X153" i="26" s="1"/>
  <c r="T152" i="26"/>
  <c r="X152" i="26" s="1"/>
  <c r="T144" i="26"/>
  <c r="X144" i="26" s="1"/>
  <c r="T192" i="26"/>
  <c r="X192" i="26" s="1"/>
  <c r="T188" i="26"/>
  <c r="X188" i="26" s="1"/>
  <c r="X181" i="26"/>
  <c r="T174" i="26"/>
  <c r="X174" i="26" s="1"/>
  <c r="T165" i="26"/>
  <c r="X165" i="26" s="1"/>
  <c r="T197" i="26"/>
  <c r="X197" i="26" s="1"/>
  <c r="X183" i="26"/>
  <c r="T162" i="26"/>
  <c r="X162" i="26" s="1"/>
  <c r="T157" i="26"/>
  <c r="X157" i="26" s="1"/>
  <c r="T186" i="26"/>
  <c r="X186" i="26" s="1"/>
  <c r="T194" i="26"/>
  <c r="X194" i="26" s="1"/>
  <c r="T176" i="26"/>
  <c r="X176" i="26" s="1"/>
  <c r="T167" i="26"/>
  <c r="X167" i="26" s="1"/>
  <c r="T159" i="26"/>
  <c r="X159" i="26" s="1"/>
  <c r="T6" i="26"/>
  <c r="X6" i="26" s="1"/>
  <c r="T199" i="26"/>
  <c r="X199" i="26" s="1"/>
  <c r="T178" i="26"/>
  <c r="X178" i="26" s="1"/>
  <c r="T173" i="26"/>
  <c r="X173" i="26" s="1"/>
  <c r="T203" i="26"/>
  <c r="X203" i="26" s="1"/>
  <c r="T201" i="26"/>
  <c r="X201" i="26" s="1"/>
  <c r="T196" i="26"/>
  <c r="X196" i="26" s="1"/>
  <c r="T180" i="26"/>
  <c r="X180" i="26" s="1"/>
  <c r="T161" i="26"/>
  <c r="X161" i="26" s="1"/>
  <c r="T156" i="26"/>
  <c r="X156" i="26" s="1"/>
  <c r="T193" i="26"/>
  <c r="X193" i="26" s="1"/>
  <c r="T189" i="26"/>
  <c r="X189" i="26" s="1"/>
  <c r="T175" i="26"/>
  <c r="X175" i="26" s="1"/>
  <c r="T160" i="26"/>
  <c r="X160" i="26" s="1"/>
  <c r="T198" i="26"/>
  <c r="X198" i="26" s="1"/>
  <c r="T184" i="26"/>
  <c r="X184" i="26" s="1"/>
  <c r="T172" i="26"/>
  <c r="X172" i="26" s="1"/>
  <c r="T170" i="26"/>
  <c r="X170" i="26" s="1"/>
  <c r="T168" i="26"/>
  <c r="X168" i="26" s="1"/>
  <c r="X163" i="26"/>
  <c r="T158" i="26"/>
  <c r="X158" i="26" s="1"/>
  <c r="G37" i="18"/>
  <c r="G32" i="18"/>
  <c r="G41" i="18"/>
  <c r="G38" i="13"/>
  <c r="G37" i="13"/>
  <c r="G44" i="13"/>
  <c r="G30" i="13"/>
  <c r="S177" i="13"/>
  <c r="G35" i="13"/>
  <c r="G39" i="13"/>
  <c r="S199" i="13"/>
  <c r="S191" i="13"/>
  <c r="S183" i="13"/>
  <c r="S175" i="13"/>
  <c r="S167" i="13"/>
  <c r="S204" i="13"/>
  <c r="S196" i="13"/>
  <c r="S188" i="13"/>
  <c r="S180" i="13"/>
  <c r="S172" i="13"/>
  <c r="S198" i="13"/>
  <c r="S190" i="13"/>
  <c r="S182" i="13"/>
  <c r="S174" i="13"/>
  <c r="S166" i="13"/>
  <c r="S185" i="13"/>
  <c r="S203" i="13"/>
  <c r="T203" i="13" s="1"/>
  <c r="S195" i="13"/>
  <c r="S187" i="13"/>
  <c r="S179" i="13"/>
  <c r="S171" i="13"/>
  <c r="S200" i="13"/>
  <c r="S192" i="13"/>
  <c r="S184" i="13"/>
  <c r="S176" i="13"/>
  <c r="S168" i="13"/>
  <c r="S193" i="13"/>
  <c r="S205" i="13"/>
  <c r="S197" i="13"/>
  <c r="S189" i="13"/>
  <c r="S181" i="13"/>
  <c r="S173" i="13"/>
  <c r="S201" i="13"/>
  <c r="T201" i="13" s="1"/>
  <c r="S169" i="13"/>
  <c r="S202" i="13"/>
  <c r="S194" i="13"/>
  <c r="S186" i="13"/>
  <c r="S178" i="13"/>
  <c r="S170" i="13"/>
  <c r="F42" i="27"/>
  <c r="AO35" i="18"/>
  <c r="AP29" i="18"/>
  <c r="AM28" i="18"/>
  <c r="AO21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L85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8" i="13"/>
  <c r="AN71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AE57" i="13"/>
  <c r="K32" i="27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AP12" i="13"/>
  <c r="K25" i="27"/>
  <c r="X199" i="19"/>
  <c r="X191" i="19"/>
  <c r="X159" i="19"/>
  <c r="X143" i="19"/>
  <c r="X135" i="19"/>
  <c r="X103" i="19"/>
  <c r="X153" i="19"/>
  <c r="X129" i="19"/>
  <c r="X195" i="19"/>
  <c r="X187" i="19"/>
  <c r="X139" i="19"/>
  <c r="X189" i="19"/>
  <c r="X181" i="19"/>
  <c r="X149" i="19"/>
  <c r="X117" i="19"/>
  <c r="X169" i="19"/>
  <c r="X105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J27" i="27"/>
  <c r="K27" i="27"/>
  <c r="H27" i="27"/>
  <c r="I27" i="27"/>
  <c r="K186" i="13"/>
  <c r="J32" i="27"/>
  <c r="J30" i="27"/>
  <c r="I26" i="27"/>
  <c r="J26" i="27"/>
  <c r="K203" i="13"/>
  <c r="J25" i="27"/>
  <c r="I25" i="27"/>
  <c r="X205" i="19"/>
  <c r="X201" i="19"/>
  <c r="X165" i="19"/>
  <c r="X145" i="19"/>
  <c r="X141" i="19"/>
  <c r="X101" i="19"/>
  <c r="X155" i="19"/>
  <c r="X151" i="19"/>
  <c r="X131" i="19"/>
  <c r="X119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E29" i="18"/>
  <c r="AO34" i="18"/>
  <c r="AE44" i="18"/>
  <c r="AE49" i="18"/>
  <c r="AE5" i="18"/>
  <c r="V193" i="27"/>
  <c r="V177" i="27"/>
  <c r="V209" i="27"/>
  <c r="L5" i="27"/>
  <c r="Q84" i="27" s="1"/>
  <c r="R84" i="27" s="1"/>
  <c r="O172" i="13"/>
  <c r="O182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G36" i="18"/>
  <c r="J49" i="27"/>
  <c r="H41" i="27"/>
  <c r="H45" i="27"/>
  <c r="G40" i="18"/>
  <c r="G33" i="18"/>
  <c r="G28" i="18"/>
  <c r="O190" i="19"/>
  <c r="O174" i="19"/>
  <c r="O166" i="19"/>
  <c r="K129" i="19"/>
  <c r="K113" i="19"/>
  <c r="K104" i="19"/>
  <c r="O104" i="19" s="1"/>
  <c r="K101" i="19"/>
  <c r="K97" i="19"/>
  <c r="T180" i="19"/>
  <c r="X180" i="19" s="1"/>
  <c r="X179" i="19"/>
  <c r="X177" i="19"/>
  <c r="K138" i="19"/>
  <c r="O138" i="19" s="1"/>
  <c r="K126" i="19"/>
  <c r="O126" i="19" s="1"/>
  <c r="K122" i="19"/>
  <c r="K118" i="19"/>
  <c r="K106" i="19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V178" i="27"/>
  <c r="V176" i="27"/>
  <c r="V175" i="27"/>
  <c r="V174" i="27"/>
  <c r="V172" i="27"/>
  <c r="I11" i="24"/>
  <c r="S24" i="27" s="1"/>
  <c r="G29" i="18"/>
  <c r="Q6" i="18"/>
  <c r="R6" i="18" s="1"/>
  <c r="Q9" i="18"/>
  <c r="Q13" i="18"/>
  <c r="Q14" i="18"/>
  <c r="Q8" i="18"/>
  <c r="Q12" i="18"/>
  <c r="Q7" i="18"/>
  <c r="Q11" i="18"/>
  <c r="Q10" i="18"/>
  <c r="G42" i="18"/>
  <c r="G38" i="18"/>
  <c r="G34" i="18"/>
  <c r="G30" i="18"/>
  <c r="G26" i="18"/>
  <c r="Q15" i="18" s="1"/>
  <c r="G39" i="18"/>
  <c r="Q58" i="18" s="1"/>
  <c r="G27" i="18"/>
  <c r="Q18" i="18" s="1"/>
  <c r="G35" i="18"/>
  <c r="G31" i="18"/>
  <c r="J6" i="18"/>
  <c r="X5" i="18"/>
  <c r="H50" i="27"/>
  <c r="I45" i="27"/>
  <c r="I47" i="27"/>
  <c r="K49" i="27"/>
  <c r="K41" i="27"/>
  <c r="H43" i="27"/>
  <c r="K45" i="27"/>
  <c r="H48" i="27"/>
  <c r="L48" i="27" s="1"/>
  <c r="K47" i="27"/>
  <c r="J43" i="27"/>
  <c r="I41" i="27"/>
  <c r="H46" i="27"/>
  <c r="H51" i="27" l="1"/>
  <c r="O187" i="13"/>
  <c r="O108" i="19"/>
  <c r="O159" i="26"/>
  <c r="O158" i="19"/>
  <c r="O171" i="13"/>
  <c r="O201" i="13"/>
  <c r="L83" i="27"/>
  <c r="O199" i="13"/>
  <c r="O198" i="13"/>
  <c r="O168" i="13"/>
  <c r="O202" i="13"/>
  <c r="O165" i="19"/>
  <c r="K72" i="27"/>
  <c r="O155" i="26"/>
  <c r="O185" i="26"/>
  <c r="O201" i="26"/>
  <c r="O142" i="19"/>
  <c r="O149" i="19"/>
  <c r="O181" i="19"/>
  <c r="O197" i="19"/>
  <c r="O120" i="19"/>
  <c r="J51" i="27"/>
  <c r="Q68" i="18"/>
  <c r="Q69" i="18"/>
  <c r="Q70" i="18"/>
  <c r="Q67" i="18"/>
  <c r="I51" i="27"/>
  <c r="O106" i="19"/>
  <c r="O185" i="13"/>
  <c r="J97" i="21"/>
  <c r="K96" i="21"/>
  <c r="O96" i="21" s="1"/>
  <c r="O152" i="26"/>
  <c r="O168" i="26"/>
  <c r="O189" i="26"/>
  <c r="O184" i="26"/>
  <c r="O200" i="26"/>
  <c r="O205" i="26"/>
  <c r="O122" i="19"/>
  <c r="O101" i="19"/>
  <c r="O168" i="19"/>
  <c r="O117" i="19"/>
  <c r="O184" i="19"/>
  <c r="O124" i="19"/>
  <c r="O200" i="19"/>
  <c r="O173" i="19"/>
  <c r="O112" i="19"/>
  <c r="O110" i="19"/>
  <c r="O96" i="19"/>
  <c r="O127" i="19"/>
  <c r="O114" i="19"/>
  <c r="H94" i="18"/>
  <c r="AL70" i="18"/>
  <c r="O183" i="13"/>
  <c r="K166" i="13"/>
  <c r="O166" i="13" s="1"/>
  <c r="K167" i="13"/>
  <c r="O167" i="13" s="1"/>
  <c r="O192" i="13"/>
  <c r="O174" i="13"/>
  <c r="L44" i="27"/>
  <c r="O177" i="13"/>
  <c r="O193" i="13"/>
  <c r="K190" i="13"/>
  <c r="O190" i="13" s="1"/>
  <c r="O179" i="13"/>
  <c r="O205" i="13"/>
  <c r="K175" i="13"/>
  <c r="O175" i="13" s="1"/>
  <c r="K191" i="13"/>
  <c r="O191" i="13" s="1"/>
  <c r="O167" i="19"/>
  <c r="O156" i="19"/>
  <c r="O199" i="19"/>
  <c r="O140" i="19"/>
  <c r="O103" i="19"/>
  <c r="O192" i="19"/>
  <c r="O188" i="19"/>
  <c r="O144" i="19"/>
  <c r="O143" i="19"/>
  <c r="O176" i="19"/>
  <c r="O100" i="19"/>
  <c r="O116" i="19"/>
  <c r="O132" i="19"/>
  <c r="O105" i="19"/>
  <c r="O121" i="19"/>
  <c r="O137" i="19"/>
  <c r="O98" i="19"/>
  <c r="O118" i="19"/>
  <c r="O119" i="19"/>
  <c r="O109" i="19"/>
  <c r="O125" i="19"/>
  <c r="O102" i="19"/>
  <c r="O151" i="19"/>
  <c r="O162" i="19"/>
  <c r="O183" i="19"/>
  <c r="O160" i="19"/>
  <c r="O204" i="19"/>
  <c r="O135" i="19"/>
  <c r="O169" i="19"/>
  <c r="O165" i="26"/>
  <c r="J72" i="27"/>
  <c r="H72" i="27"/>
  <c r="S91" i="20"/>
  <c r="R92" i="20"/>
  <c r="T90" i="20"/>
  <c r="X90" i="20" s="1"/>
  <c r="Y90" i="20" s="1"/>
  <c r="AF91" i="20"/>
  <c r="AI90" i="20"/>
  <c r="Q60" i="18"/>
  <c r="Q66" i="18"/>
  <c r="Q59" i="18"/>
  <c r="L50" i="27"/>
  <c r="Q64" i="18"/>
  <c r="Q63" i="18"/>
  <c r="Q65" i="18"/>
  <c r="O188" i="26"/>
  <c r="O204" i="26"/>
  <c r="O156" i="26"/>
  <c r="O172" i="26"/>
  <c r="O143" i="26"/>
  <c r="O142" i="26"/>
  <c r="O99" i="19"/>
  <c r="O115" i="19"/>
  <c r="O131" i="19"/>
  <c r="O147" i="19"/>
  <c r="O163" i="19"/>
  <c r="O179" i="19"/>
  <c r="O195" i="19"/>
  <c r="O145" i="19"/>
  <c r="O161" i="19"/>
  <c r="O177" i="19"/>
  <c r="O193" i="19"/>
  <c r="O134" i="19"/>
  <c r="O107" i="19"/>
  <c r="O123" i="19"/>
  <c r="O187" i="19"/>
  <c r="O203" i="19"/>
  <c r="O139" i="19"/>
  <c r="O164" i="19"/>
  <c r="O136" i="19"/>
  <c r="O196" i="19"/>
  <c r="O155" i="19"/>
  <c r="O148" i="19"/>
  <c r="O180" i="19"/>
  <c r="O111" i="19"/>
  <c r="O159" i="19"/>
  <c r="O175" i="19"/>
  <c r="O191" i="19"/>
  <c r="O130" i="19"/>
  <c r="Q121" i="27"/>
  <c r="R121" i="27" s="1"/>
  <c r="Q57" i="27"/>
  <c r="R57" i="27" s="1"/>
  <c r="Q140" i="27"/>
  <c r="R140" i="27" s="1"/>
  <c r="Q130" i="27"/>
  <c r="R130" i="27" s="1"/>
  <c r="Q79" i="27"/>
  <c r="R79" i="27" s="1"/>
  <c r="Q56" i="27"/>
  <c r="R56" i="27" s="1"/>
  <c r="I78" i="27"/>
  <c r="L77" i="27"/>
  <c r="AT15" i="18"/>
  <c r="AR33" i="18"/>
  <c r="AT25" i="18"/>
  <c r="AS21" i="18"/>
  <c r="H49" i="27"/>
  <c r="L49" i="27" s="1"/>
  <c r="AR23" i="18"/>
  <c r="AQ23" i="18"/>
  <c r="Q89" i="27"/>
  <c r="R89" i="27" s="1"/>
  <c r="Q47" i="27"/>
  <c r="R47" i="27" s="1"/>
  <c r="Q196" i="27"/>
  <c r="R196" i="27" s="1"/>
  <c r="Q98" i="27"/>
  <c r="R98" i="27" s="1"/>
  <c r="Q156" i="27"/>
  <c r="R156" i="27" s="1"/>
  <c r="Q68" i="27"/>
  <c r="R68" i="27" s="1"/>
  <c r="Q66" i="27"/>
  <c r="R66" i="27" s="1"/>
  <c r="Q34" i="27"/>
  <c r="R34" i="27" s="1"/>
  <c r="Q111" i="27"/>
  <c r="R111" i="27" s="1"/>
  <c r="AT97" i="13"/>
  <c r="Z113" i="27" s="1"/>
  <c r="AQ28" i="18"/>
  <c r="AS35" i="18"/>
  <c r="Q20" i="18"/>
  <c r="Q27" i="18"/>
  <c r="Q16" i="18"/>
  <c r="L112" i="27"/>
  <c r="L106" i="27"/>
  <c r="O164" i="26"/>
  <c r="L104" i="27"/>
  <c r="L108" i="27"/>
  <c r="S85" i="21"/>
  <c r="T85" i="21" s="1"/>
  <c r="X85" i="21" s="1"/>
  <c r="Y85" i="21" s="1"/>
  <c r="R86" i="21"/>
  <c r="L109" i="27"/>
  <c r="AI87" i="21"/>
  <c r="AF88" i="21"/>
  <c r="AB213" i="27"/>
  <c r="L115" i="27"/>
  <c r="O149" i="26"/>
  <c r="O144" i="26"/>
  <c r="L82" i="27"/>
  <c r="L73" i="27"/>
  <c r="L81" i="27"/>
  <c r="L79" i="27"/>
  <c r="K78" i="27"/>
  <c r="H78" i="27"/>
  <c r="O178" i="19"/>
  <c r="O205" i="19"/>
  <c r="O185" i="19"/>
  <c r="O150" i="19"/>
  <c r="O182" i="19"/>
  <c r="O157" i="19"/>
  <c r="O189" i="19"/>
  <c r="O141" i="19"/>
  <c r="O201" i="19"/>
  <c r="O153" i="19"/>
  <c r="O194" i="19"/>
  <c r="O128" i="19"/>
  <c r="O97" i="19"/>
  <c r="O113" i="19"/>
  <c r="O129" i="19"/>
  <c r="O146" i="19"/>
  <c r="T169" i="13"/>
  <c r="X169" i="13" s="1"/>
  <c r="AQ72" i="13"/>
  <c r="T171" i="13"/>
  <c r="X171" i="13" s="1"/>
  <c r="T189" i="13"/>
  <c r="T178" i="13"/>
  <c r="X178" i="13" s="1"/>
  <c r="T197" i="13"/>
  <c r="X197" i="13" s="1"/>
  <c r="T167" i="13"/>
  <c r="X167" i="13" s="1"/>
  <c r="T172" i="13"/>
  <c r="X172" i="13" s="1"/>
  <c r="T175" i="13"/>
  <c r="X175" i="13" s="1"/>
  <c r="T193" i="13"/>
  <c r="X193" i="13" s="1"/>
  <c r="T205" i="13"/>
  <c r="X205" i="13" s="1"/>
  <c r="T179" i="13"/>
  <c r="X179" i="13" s="1"/>
  <c r="X5" i="19"/>
  <c r="Y5" i="19" s="1"/>
  <c r="O170" i="13"/>
  <c r="O178" i="13"/>
  <c r="O197" i="13"/>
  <c r="O188" i="13"/>
  <c r="O204" i="13"/>
  <c r="O181" i="13"/>
  <c r="O173" i="13"/>
  <c r="O196" i="13"/>
  <c r="O189" i="13"/>
  <c r="O186" i="13"/>
  <c r="O203" i="13"/>
  <c r="Q38" i="18"/>
  <c r="Q19" i="18"/>
  <c r="Q17" i="18"/>
  <c r="AT75" i="18"/>
  <c r="AS75" i="18"/>
  <c r="AR75" i="18"/>
  <c r="AQ75" i="18"/>
  <c r="AT40" i="18"/>
  <c r="AQ40" i="18"/>
  <c r="AR40" i="18"/>
  <c r="AS40" i="18"/>
  <c r="AQ74" i="18"/>
  <c r="AT74" i="18"/>
  <c r="AS74" i="18"/>
  <c r="AR74" i="18"/>
  <c r="AB75" i="18"/>
  <c r="AR35" i="18"/>
  <c r="AT23" i="18"/>
  <c r="AR50" i="18"/>
  <c r="AT50" i="18"/>
  <c r="AQ50" i="18"/>
  <c r="AS50" i="18"/>
  <c r="AQ60" i="18"/>
  <c r="AR60" i="18"/>
  <c r="AT60" i="18"/>
  <c r="AS60" i="18"/>
  <c r="AT35" i="18"/>
  <c r="AQ35" i="18"/>
  <c r="AS45" i="18"/>
  <c r="AR45" i="18"/>
  <c r="AT45" i="18"/>
  <c r="AQ45" i="18"/>
  <c r="AS23" i="18"/>
  <c r="AT73" i="18"/>
  <c r="AS73" i="18"/>
  <c r="AR73" i="18"/>
  <c r="AQ73" i="18"/>
  <c r="AQ71" i="18"/>
  <c r="AT71" i="18"/>
  <c r="AR71" i="18"/>
  <c r="AS71" i="18"/>
  <c r="AS72" i="18"/>
  <c r="AQ72" i="18"/>
  <c r="AT72" i="18"/>
  <c r="AR72" i="18"/>
  <c r="AT55" i="18"/>
  <c r="AS55" i="18"/>
  <c r="AR55" i="18"/>
  <c r="AQ55" i="18"/>
  <c r="O174" i="26"/>
  <c r="O182" i="26"/>
  <c r="O198" i="26"/>
  <c r="O158" i="26"/>
  <c r="O161" i="26"/>
  <c r="O145" i="26"/>
  <c r="O171" i="26"/>
  <c r="O179" i="26"/>
  <c r="O195" i="26"/>
  <c r="O167" i="26"/>
  <c r="O180" i="26"/>
  <c r="O183" i="26"/>
  <c r="O199" i="26"/>
  <c r="O166" i="26"/>
  <c r="O196" i="26"/>
  <c r="O150" i="26"/>
  <c r="O175" i="26"/>
  <c r="O187" i="26"/>
  <c r="O203" i="26"/>
  <c r="O153" i="26"/>
  <c r="O169" i="26"/>
  <c r="O181" i="26"/>
  <c r="L89" i="27"/>
  <c r="AT67" i="18"/>
  <c r="AS67" i="18"/>
  <c r="AR67" i="18"/>
  <c r="AQ67" i="18"/>
  <c r="AS69" i="18"/>
  <c r="AR69" i="18"/>
  <c r="AQ69" i="18"/>
  <c r="AT69" i="18"/>
  <c r="AT66" i="18"/>
  <c r="AS66" i="18"/>
  <c r="AR66" i="18"/>
  <c r="AQ66" i="18"/>
  <c r="AR70" i="18"/>
  <c r="AQ70" i="18"/>
  <c r="AT70" i="18"/>
  <c r="AS70" i="18"/>
  <c r="AT68" i="18"/>
  <c r="AS68" i="18"/>
  <c r="AR68" i="18"/>
  <c r="AQ68" i="18"/>
  <c r="C51" i="27"/>
  <c r="L51" i="27" s="1"/>
  <c r="AB70" i="18"/>
  <c r="L103" i="27"/>
  <c r="L110" i="27"/>
  <c r="L113" i="27"/>
  <c r="L105" i="27"/>
  <c r="L107" i="27"/>
  <c r="L111" i="27"/>
  <c r="L114" i="27"/>
  <c r="O202" i="26"/>
  <c r="O186" i="26"/>
  <c r="O157" i="26"/>
  <c r="O148" i="26"/>
  <c r="O141" i="26"/>
  <c r="O173" i="26"/>
  <c r="O163" i="26"/>
  <c r="O170" i="26"/>
  <c r="O191" i="26"/>
  <c r="O154" i="26"/>
  <c r="O194" i="26"/>
  <c r="O147" i="26"/>
  <c r="O178" i="26"/>
  <c r="O160" i="26"/>
  <c r="O176" i="26"/>
  <c r="L87" i="27"/>
  <c r="O151" i="26"/>
  <c r="O197" i="26"/>
  <c r="K6" i="26"/>
  <c r="O6" i="26" s="1"/>
  <c r="Y6" i="26" s="1"/>
  <c r="O177" i="26"/>
  <c r="O190" i="26"/>
  <c r="O193" i="26"/>
  <c r="O192" i="26"/>
  <c r="O146" i="26"/>
  <c r="O162" i="26"/>
  <c r="L90" i="27"/>
  <c r="L91" i="27"/>
  <c r="J8" i="26"/>
  <c r="K7" i="26"/>
  <c r="O7" i="26" s="1"/>
  <c r="L93" i="27"/>
  <c r="Y5" i="26"/>
  <c r="L94" i="27"/>
  <c r="L88" i="27"/>
  <c r="L92" i="27"/>
  <c r="S7" i="26"/>
  <c r="R8" i="26"/>
  <c r="H95" i="27"/>
  <c r="I95" i="27"/>
  <c r="J95" i="27"/>
  <c r="K95" i="27"/>
  <c r="L75" i="27"/>
  <c r="L76" i="27"/>
  <c r="H23" i="24"/>
  <c r="L74" i="27"/>
  <c r="L71" i="27"/>
  <c r="H80" i="27"/>
  <c r="I80" i="27"/>
  <c r="J80" i="27"/>
  <c r="K80" i="27"/>
  <c r="T170" i="13"/>
  <c r="T181" i="13"/>
  <c r="T192" i="13"/>
  <c r="T166" i="13"/>
  <c r="T196" i="13"/>
  <c r="X201" i="13"/>
  <c r="X203" i="13"/>
  <c r="T200" i="13"/>
  <c r="T174" i="13"/>
  <c r="T204" i="13"/>
  <c r="T177" i="13"/>
  <c r="T188" i="13"/>
  <c r="T186" i="13"/>
  <c r="T182" i="13"/>
  <c r="T173" i="13"/>
  <c r="T184" i="13"/>
  <c r="T185" i="13"/>
  <c r="T194" i="13"/>
  <c r="T190" i="13"/>
  <c r="T202" i="13"/>
  <c r="T187" i="13"/>
  <c r="T198" i="13"/>
  <c r="T183" i="13"/>
  <c r="T168" i="13"/>
  <c r="T195" i="13"/>
  <c r="T191" i="13"/>
  <c r="T176" i="13"/>
  <c r="T180" i="13"/>
  <c r="T199" i="13"/>
  <c r="Q202" i="27"/>
  <c r="R202" i="27" s="1"/>
  <c r="Q138" i="27"/>
  <c r="R138" i="27" s="1"/>
  <c r="Q165" i="27"/>
  <c r="R165" i="27" s="1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05" i="13"/>
  <c r="Z121" i="27" s="1"/>
  <c r="AT113" i="13"/>
  <c r="Z129" i="27" s="1"/>
  <c r="AR105" i="13"/>
  <c r="X121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Q55" i="13"/>
  <c r="AS55" i="13"/>
  <c r="AR55" i="13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S85" i="13"/>
  <c r="AR85" i="13"/>
  <c r="AT85" i="13"/>
  <c r="AQ85" i="13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S105" i="13"/>
  <c r="Y121" i="27" s="1"/>
  <c r="AQ105" i="13"/>
  <c r="W12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Y141" i="27" s="1"/>
  <c r="AR125" i="13"/>
  <c r="X141" i="27" s="1"/>
  <c r="AT125" i="13"/>
  <c r="Z141" i="27" s="1"/>
  <c r="AQ125" i="13"/>
  <c r="W141" i="27" s="1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T55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J7" i="13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J98" i="21" l="1"/>
  <c r="K97" i="21"/>
  <c r="O97" i="21" s="1"/>
  <c r="L72" i="27"/>
  <c r="AG70" i="18"/>
  <c r="AG71" i="18" s="1"/>
  <c r="AG72" i="18" s="1"/>
  <c r="AG73" i="18" s="1"/>
  <c r="AG74" i="18" s="1"/>
  <c r="AF92" i="20"/>
  <c r="AI91" i="20"/>
  <c r="S92" i="20"/>
  <c r="R93" i="20"/>
  <c r="T91" i="20"/>
  <c r="X91" i="20" s="1"/>
  <c r="Y91" i="20" s="1"/>
  <c r="L78" i="27"/>
  <c r="S86" i="21"/>
  <c r="T86" i="21" s="1"/>
  <c r="X86" i="21" s="1"/>
  <c r="Y86" i="21" s="1"/>
  <c r="R87" i="21"/>
  <c r="AF89" i="21"/>
  <c r="AI88" i="21"/>
  <c r="X189" i="13"/>
  <c r="X184" i="13"/>
  <c r="X173" i="13"/>
  <c r="X166" i="13"/>
  <c r="X181" i="13"/>
  <c r="X188" i="13"/>
  <c r="O6" i="13"/>
  <c r="AG75" i="18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K8" i="26"/>
  <c r="O8" i="26" s="1"/>
  <c r="J9" i="26"/>
  <c r="S8" i="26"/>
  <c r="T8" i="26" s="1"/>
  <c r="X8" i="26" s="1"/>
  <c r="R9" i="26"/>
  <c r="T7" i="26"/>
  <c r="X7" i="26" s="1"/>
  <c r="B97" i="27"/>
  <c r="B96" i="27"/>
  <c r="L95" i="27"/>
  <c r="L80" i="27"/>
  <c r="X199" i="13"/>
  <c r="X202" i="13"/>
  <c r="X182" i="13"/>
  <c r="X177" i="13"/>
  <c r="X196" i="13"/>
  <c r="X170" i="13"/>
  <c r="X180" i="13"/>
  <c r="X191" i="13"/>
  <c r="X183" i="13"/>
  <c r="X185" i="13"/>
  <c r="X186" i="13"/>
  <c r="X204" i="13"/>
  <c r="X176" i="13"/>
  <c r="X195" i="13"/>
  <c r="X198" i="13"/>
  <c r="X190" i="13"/>
  <c r="X174" i="13"/>
  <c r="X192" i="13"/>
  <c r="X168" i="13"/>
  <c r="X187" i="13"/>
  <c r="X194" i="13"/>
  <c r="X200" i="13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13" i="27"/>
  <c r="V170" i="27"/>
  <c r="V158" i="27"/>
  <c r="V117" i="27"/>
  <c r="V118" i="27"/>
  <c r="V121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Q165" i="13"/>
  <c r="C9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18" i="13"/>
  <c r="Q82" i="13"/>
  <c r="Q113" i="13"/>
  <c r="Q22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56" i="13"/>
  <c r="Q23" i="13"/>
  <c r="Q125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55" i="13"/>
  <c r="Q66" i="13"/>
  <c r="Q116" i="13"/>
  <c r="Q104" i="13"/>
  <c r="Q7" i="13"/>
  <c r="Q149" i="13"/>
  <c r="AF7" i="13"/>
  <c r="AI6" i="13"/>
  <c r="K7" i="13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J99" i="21" l="1"/>
  <c r="K98" i="21"/>
  <c r="O98" i="21" s="1"/>
  <c r="AB70" i="13"/>
  <c r="AL70" i="13"/>
  <c r="AL65" i="13"/>
  <c r="AB65" i="13"/>
  <c r="S93" i="20"/>
  <c r="R94" i="20"/>
  <c r="T92" i="20"/>
  <c r="X92" i="20" s="1"/>
  <c r="Y92" i="20" s="1"/>
  <c r="AF93" i="20"/>
  <c r="AI92" i="20"/>
  <c r="AB75" i="13"/>
  <c r="AL75" i="13"/>
  <c r="Q86" i="13"/>
  <c r="Q88" i="13"/>
  <c r="Q91" i="13"/>
  <c r="S87" i="21"/>
  <c r="T87" i="21" s="1"/>
  <c r="X87" i="21" s="1"/>
  <c r="Y87" i="21" s="1"/>
  <c r="R88" i="21"/>
  <c r="AF90" i="21"/>
  <c r="AI89" i="21"/>
  <c r="Q87" i="13"/>
  <c r="Q89" i="13"/>
  <c r="Q90" i="13"/>
  <c r="O7" i="13"/>
  <c r="Y8" i="26"/>
  <c r="J10" i="26"/>
  <c r="K9" i="26"/>
  <c r="O9" i="26" s="1"/>
  <c r="Y7" i="26"/>
  <c r="S9" i="26"/>
  <c r="T9" i="26" s="1"/>
  <c r="X9" i="26" s="1"/>
  <c r="R10" i="26"/>
  <c r="H96" i="27"/>
  <c r="I96" i="27"/>
  <c r="J96" i="27"/>
  <c r="K96" i="27"/>
  <c r="I97" i="27"/>
  <c r="J97" i="27"/>
  <c r="K97" i="27"/>
  <c r="H97" i="27"/>
  <c r="AE13" i="26"/>
  <c r="AN5" i="26"/>
  <c r="AP5" i="26"/>
  <c r="AO5" i="26"/>
  <c r="R6" i="13"/>
  <c r="R7" i="13" s="1"/>
  <c r="V21" i="27"/>
  <c r="AL155" i="13"/>
  <c r="AB155" i="13"/>
  <c r="Q163" i="13"/>
  <c r="Q153" i="13"/>
  <c r="Q162" i="13"/>
  <c r="Q152" i="13"/>
  <c r="Q159" i="13"/>
  <c r="Q160" i="13"/>
  <c r="Q164" i="13"/>
  <c r="Q161" i="13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5" i="13"/>
  <c r="Q148" i="13"/>
  <c r="Q155" i="13"/>
  <c r="Q158" i="13"/>
  <c r="Q156" i="13"/>
  <c r="Q151" i="13"/>
  <c r="AI7" i="13"/>
  <c r="AF8" i="13"/>
  <c r="K8" i="13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J100" i="21" l="1"/>
  <c r="K99" i="21"/>
  <c r="O99" i="21" s="1"/>
  <c r="AR70" i="13"/>
  <c r="AQ70" i="13"/>
  <c r="AT70" i="13"/>
  <c r="AS70" i="13"/>
  <c r="AH65" i="13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65" i="13"/>
  <c r="AG66" i="13" s="1"/>
  <c r="AG67" i="13" s="1"/>
  <c r="AG68" i="13" s="1"/>
  <c r="AG69" i="13" s="1"/>
  <c r="AG70" i="13" s="1"/>
  <c r="AG71" i="13" s="1"/>
  <c r="AG72" i="13" s="1"/>
  <c r="AG73" i="13" s="1"/>
  <c r="AG74" i="13" s="1"/>
  <c r="AQ65" i="13"/>
  <c r="AT65" i="13"/>
  <c r="AS65" i="13"/>
  <c r="AR65" i="13"/>
  <c r="AF94" i="20"/>
  <c r="AI93" i="20"/>
  <c r="S94" i="20"/>
  <c r="R95" i="20"/>
  <c r="S95" i="20" s="1"/>
  <c r="T93" i="20"/>
  <c r="X93" i="20" s="1"/>
  <c r="Y93" i="20" s="1"/>
  <c r="AT75" i="13"/>
  <c r="AQ75" i="13"/>
  <c r="AR75" i="13"/>
  <c r="AS75" i="13"/>
  <c r="AG75" i="13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R89" i="21"/>
  <c r="S88" i="21"/>
  <c r="T88" i="21" s="1"/>
  <c r="X88" i="21" s="1"/>
  <c r="Y88" i="21" s="1"/>
  <c r="AF91" i="21"/>
  <c r="AI90" i="21"/>
  <c r="O8" i="13"/>
  <c r="Y9" i="26"/>
  <c r="AN7" i="26"/>
  <c r="AD59" i="26"/>
  <c r="AB57" i="26"/>
  <c r="AB6" i="26"/>
  <c r="AM24" i="26"/>
  <c r="AD62" i="26"/>
  <c r="AO30" i="26"/>
  <c r="AD51" i="26"/>
  <c r="AM9" i="26"/>
  <c r="AD39" i="26"/>
  <c r="AD20" i="26"/>
  <c r="AD45" i="26"/>
  <c r="AE11" i="26"/>
  <c r="AN18" i="26"/>
  <c r="AE9" i="26"/>
  <c r="AE37" i="26"/>
  <c r="AM32" i="26"/>
  <c r="AL8" i="26"/>
  <c r="AP31" i="26"/>
  <c r="AB22" i="26"/>
  <c r="AP7" i="26"/>
  <c r="AD36" i="26"/>
  <c r="AN8" i="26"/>
  <c r="AO13" i="26"/>
  <c r="AB11" i="26"/>
  <c r="AC8" i="26"/>
  <c r="AC16" i="26"/>
  <c r="AE30" i="26"/>
  <c r="AC24" i="26"/>
  <c r="AL19" i="26"/>
  <c r="AE17" i="26"/>
  <c r="AC28" i="26"/>
  <c r="AE33" i="26"/>
  <c r="AM10" i="26"/>
  <c r="AE46" i="26"/>
  <c r="J11" i="26"/>
  <c r="K10" i="26"/>
  <c r="O10" i="26" s="1"/>
  <c r="AM21" i="26"/>
  <c r="AM18" i="26"/>
  <c r="AC58" i="26"/>
  <c r="AB51" i="26"/>
  <c r="AD21" i="26"/>
  <c r="AO32" i="26"/>
  <c r="AM13" i="26"/>
  <c r="AB16" i="26"/>
  <c r="AB42" i="26"/>
  <c r="AD17" i="26"/>
  <c r="AC64" i="26"/>
  <c r="AM30" i="26"/>
  <c r="AL15" i="26"/>
  <c r="AE16" i="26"/>
  <c r="AD9" i="26"/>
  <c r="AB59" i="26"/>
  <c r="AL21" i="26"/>
  <c r="AP12" i="26"/>
  <c r="AC13" i="26"/>
  <c r="AC48" i="26"/>
  <c r="AD28" i="26"/>
  <c r="AE63" i="26"/>
  <c r="AL9" i="26"/>
  <c r="AP9" i="26"/>
  <c r="AC7" i="26"/>
  <c r="AE44" i="26"/>
  <c r="AL14" i="26"/>
  <c r="AP24" i="26"/>
  <c r="AP25" i="26"/>
  <c r="AC20" i="26"/>
  <c r="AC55" i="26"/>
  <c r="AB34" i="26"/>
  <c r="AL34" i="26"/>
  <c r="AM6" i="26"/>
  <c r="AB43" i="26"/>
  <c r="AE49" i="26"/>
  <c r="AC15" i="26"/>
  <c r="AL10" i="26"/>
  <c r="AP17" i="26"/>
  <c r="AE52" i="26"/>
  <c r="AC11" i="26"/>
  <c r="AB44" i="26"/>
  <c r="AO21" i="26"/>
  <c r="AP16" i="26"/>
  <c r="AD16" i="26"/>
  <c r="AD43" i="26"/>
  <c r="AE64" i="26"/>
  <c r="AD37" i="26"/>
  <c r="AM19" i="26"/>
  <c r="AM14" i="26"/>
  <c r="AB10" i="26"/>
  <c r="AE60" i="26"/>
  <c r="AB12" i="26"/>
  <c r="AN27" i="26"/>
  <c r="AO16" i="26"/>
  <c r="AD19" i="26"/>
  <c r="AC37" i="26"/>
  <c r="AE15" i="26"/>
  <c r="AL22" i="26"/>
  <c r="AP34" i="26"/>
  <c r="AO7" i="26"/>
  <c r="AD57" i="26"/>
  <c r="AB13" i="26"/>
  <c r="AO27" i="26"/>
  <c r="AC62" i="26"/>
  <c r="AC44" i="26"/>
  <c r="AB61" i="26"/>
  <c r="AD55" i="26"/>
  <c r="AD40" i="26"/>
  <c r="AL32" i="26"/>
  <c r="AP21" i="26"/>
  <c r="AD54" i="26"/>
  <c r="AB32" i="26"/>
  <c r="AB21" i="26"/>
  <c r="AL16" i="26"/>
  <c r="AO15" i="26"/>
  <c r="AB54" i="26"/>
  <c r="AE7" i="26"/>
  <c r="AD50" i="26"/>
  <c r="AN30" i="26"/>
  <c r="AP27" i="26"/>
  <c r="AE19" i="26"/>
  <c r="AC31" i="26"/>
  <c r="AB36" i="26"/>
  <c r="S10" i="26"/>
  <c r="R11" i="26"/>
  <c r="AL25" i="26"/>
  <c r="AP13" i="26"/>
  <c r="AB62" i="26"/>
  <c r="AD31" i="26"/>
  <c r="AE31" i="26"/>
  <c r="AL28" i="26"/>
  <c r="AO18" i="26"/>
  <c r="AC34" i="26"/>
  <c r="AC60" i="26"/>
  <c r="AB37" i="26"/>
  <c r="AO28" i="26"/>
  <c r="AM7" i="26"/>
  <c r="AC12" i="26"/>
  <c r="AC21" i="26"/>
  <c r="AC61" i="26"/>
  <c r="AN34" i="26"/>
  <c r="AP8" i="26"/>
  <c r="AE18" i="26"/>
  <c r="AE56" i="26"/>
  <c r="AE22" i="26"/>
  <c r="AL6" i="26"/>
  <c r="AP19" i="26"/>
  <c r="AN17" i="26"/>
  <c r="AB55" i="26"/>
  <c r="AD42" i="26"/>
  <c r="AD10" i="26"/>
  <c r="AO33" i="26"/>
  <c r="AM15" i="26"/>
  <c r="AC19" i="26"/>
  <c r="AE62" i="26"/>
  <c r="AC33" i="26"/>
  <c r="AC30" i="26"/>
  <c r="AN19" i="26"/>
  <c r="AL31" i="26"/>
  <c r="AB39" i="26"/>
  <c r="AD61" i="26"/>
  <c r="AD46" i="26"/>
  <c r="AE14" i="26"/>
  <c r="AO11" i="26"/>
  <c r="AB24" i="26"/>
  <c r="AB63" i="26"/>
  <c r="AC42" i="26"/>
  <c r="AM28" i="26"/>
  <c r="AP20" i="26"/>
  <c r="AE58" i="26"/>
  <c r="AE43" i="26"/>
  <c r="AE36" i="26"/>
  <c r="AL13" i="26"/>
  <c r="AP10" i="26"/>
  <c r="AC50" i="26"/>
  <c r="AE12" i="26"/>
  <c r="AD64" i="26"/>
  <c r="AN24" i="26"/>
  <c r="AO12" i="26"/>
  <c r="AB19" i="26"/>
  <c r="AE61" i="26"/>
  <c r="AD7" i="26"/>
  <c r="AO25" i="26"/>
  <c r="AP33" i="26"/>
  <c r="AE8" i="26"/>
  <c r="AE39" i="26"/>
  <c r="AC18" i="26"/>
  <c r="AN32" i="26"/>
  <c r="AP28" i="26"/>
  <c r="AE54" i="26"/>
  <c r="AD18" i="26"/>
  <c r="AE45" i="26"/>
  <c r="AB64" i="26"/>
  <c r="AM33" i="26"/>
  <c r="AP22" i="26"/>
  <c r="AD49" i="26"/>
  <c r="AB28" i="26"/>
  <c r="AC56" i="26"/>
  <c r="AD63" i="26"/>
  <c r="AN21" i="26"/>
  <c r="AP30" i="26"/>
  <c r="AD48" i="26"/>
  <c r="AD12" i="26"/>
  <c r="AE25" i="26"/>
  <c r="AB8" i="26"/>
  <c r="AM22" i="26"/>
  <c r="AN10" i="26"/>
  <c r="AB40" i="26"/>
  <c r="AE24" i="26"/>
  <c r="AD14" i="26"/>
  <c r="AC38" i="26"/>
  <c r="AD15" i="26"/>
  <c r="AE59" i="26"/>
  <c r="AC51" i="26"/>
  <c r="AB15" i="26"/>
  <c r="AL18" i="26"/>
  <c r="AB14" i="26"/>
  <c r="AB17" i="26"/>
  <c r="AO24" i="26"/>
  <c r="AM17" i="26"/>
  <c r="AO8" i="26"/>
  <c r="AN13" i="26"/>
  <c r="AD27" i="26"/>
  <c r="AC14" i="26"/>
  <c r="AE6" i="26"/>
  <c r="AO34" i="26"/>
  <c r="AL24" i="26"/>
  <c r="AN9" i="26"/>
  <c r="AO17" i="26"/>
  <c r="AC17" i="26"/>
  <c r="AD38" i="26"/>
  <c r="AD11" i="26"/>
  <c r="AC63" i="26"/>
  <c r="AO22" i="26"/>
  <c r="AO19" i="26"/>
  <c r="AB33" i="26"/>
  <c r="AB48" i="26"/>
  <c r="AE28" i="26"/>
  <c r="AB49" i="26"/>
  <c r="AM31" i="26"/>
  <c r="AN6" i="26"/>
  <c r="AC52" i="26"/>
  <c r="AC25" i="26"/>
  <c r="AC22" i="26"/>
  <c r="AO31" i="26"/>
  <c r="AM11" i="26"/>
  <c r="AB52" i="26"/>
  <c r="AD32" i="26"/>
  <c r="AE51" i="26"/>
  <c r="AE40" i="26"/>
  <c r="AL27" i="26"/>
  <c r="AM12" i="26"/>
  <c r="AC45" i="26"/>
  <c r="AB38" i="26"/>
  <c r="AC9" i="26"/>
  <c r="AN25" i="26"/>
  <c r="AO14" i="26"/>
  <c r="AE48" i="26"/>
  <c r="AD44" i="26"/>
  <c r="AC32" i="26"/>
  <c r="AL12" i="26"/>
  <c r="AN14" i="26"/>
  <c r="AB20" i="26"/>
  <c r="AB9" i="26"/>
  <c r="AE55" i="26"/>
  <c r="AN33" i="26"/>
  <c r="AP6" i="26"/>
  <c r="AC6" i="26"/>
  <c r="AB31" i="26"/>
  <c r="AE50" i="26"/>
  <c r="AN31" i="26"/>
  <c r="AP32" i="26"/>
  <c r="AD34" i="26"/>
  <c r="AD56" i="26"/>
  <c r="AC46" i="26"/>
  <c r="AM20" i="26"/>
  <c r="AM16" i="26"/>
  <c r="AE34" i="26"/>
  <c r="AE20" i="26"/>
  <c r="AD13" i="26"/>
  <c r="AO20" i="26"/>
  <c r="AP14" i="26"/>
  <c r="AD58" i="26"/>
  <c r="AC10" i="26"/>
  <c r="AC43" i="26"/>
  <c r="AD8" i="26"/>
  <c r="AL17" i="26"/>
  <c r="AP11" i="26"/>
  <c r="AD52" i="26"/>
  <c r="AE10" i="26"/>
  <c r="AC36" i="26"/>
  <c r="AL20" i="26"/>
  <c r="AN16" i="26"/>
  <c r="AE57" i="26"/>
  <c r="AE32" i="26"/>
  <c r="AD25" i="26"/>
  <c r="AM25" i="26"/>
  <c r="AN11" i="26"/>
  <c r="AD24" i="26"/>
  <c r="AB56" i="26"/>
  <c r="AB46" i="26"/>
  <c r="AN22" i="26"/>
  <c r="AO10" i="26"/>
  <c r="AC59" i="26"/>
  <c r="AC54" i="26"/>
  <c r="AE42" i="26"/>
  <c r="AN20" i="26"/>
  <c r="AO6" i="26"/>
  <c r="AC27" i="26"/>
  <c r="AD6" i="26"/>
  <c r="AG6" i="26" s="1"/>
  <c r="AB58" i="26"/>
  <c r="AL33" i="26"/>
  <c r="AP15" i="26"/>
  <c r="AB27" i="26"/>
  <c r="AC49" i="26"/>
  <c r="AD30" i="26"/>
  <c r="AN28" i="26"/>
  <c r="AP18" i="26"/>
  <c r="AC40" i="26"/>
  <c r="AB25" i="26"/>
  <c r="AD22" i="26"/>
  <c r="AL30" i="26"/>
  <c r="AL7" i="26"/>
  <c r="AO9" i="26"/>
  <c r="AE38" i="26"/>
  <c r="AD33" i="26"/>
  <c r="AM27" i="26"/>
  <c r="AN15" i="26"/>
  <c r="AC39" i="26"/>
  <c r="AB18" i="26"/>
  <c r="AB7" i="26"/>
  <c r="AL11" i="26"/>
  <c r="AM8" i="26"/>
  <c r="AE27" i="26"/>
  <c r="AD60" i="26"/>
  <c r="AE21" i="26"/>
  <c r="AM34" i="26"/>
  <c r="AN12" i="26"/>
  <c r="AC57" i="26"/>
  <c r="AB30" i="26"/>
  <c r="L97" i="27"/>
  <c r="B98" i="27"/>
  <c r="AE5" i="26"/>
  <c r="AM5" i="26"/>
  <c r="AD5" i="26"/>
  <c r="AC5" i="26"/>
  <c r="L96" i="27"/>
  <c r="S7" i="13"/>
  <c r="R8" i="13"/>
  <c r="R9" i="13" s="1"/>
  <c r="S6" i="13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L59" i="27"/>
  <c r="I60" i="27"/>
  <c r="K60" i="27"/>
  <c r="J60" i="27"/>
  <c r="H60" i="27"/>
  <c r="AH165" i="13"/>
  <c r="AG165" i="13"/>
  <c r="AF9" i="13"/>
  <c r="AI8" i="13"/>
  <c r="K9" i="13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AH6" i="26" l="1"/>
  <c r="J101" i="21"/>
  <c r="K100" i="21"/>
  <c r="O100" i="21" s="1"/>
  <c r="AF6" i="26"/>
  <c r="AF7" i="26" s="1"/>
  <c r="T95" i="20"/>
  <c r="X95" i="20" s="1"/>
  <c r="T94" i="20"/>
  <c r="X94" i="20" s="1"/>
  <c r="Y94" i="20" s="1"/>
  <c r="AI94" i="20"/>
  <c r="AF95" i="20"/>
  <c r="AI95" i="20" s="1"/>
  <c r="R90" i="21"/>
  <c r="S89" i="21"/>
  <c r="T89" i="21" s="1"/>
  <c r="X89" i="21" s="1"/>
  <c r="Y89" i="21" s="1"/>
  <c r="AI91" i="21"/>
  <c r="AF92" i="21"/>
  <c r="O9" i="13"/>
  <c r="AQ19" i="26"/>
  <c r="AR19" i="26"/>
  <c r="AS19" i="26"/>
  <c r="AT19" i="26"/>
  <c r="AG7" i="26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R8" i="26"/>
  <c r="AQ8" i="26"/>
  <c r="AT8" i="26"/>
  <c r="AS8" i="26"/>
  <c r="K11" i="26"/>
  <c r="O11" i="26" s="1"/>
  <c r="J12" i="26"/>
  <c r="AT22" i="26"/>
  <c r="AS22" i="26"/>
  <c r="AR22" i="26"/>
  <c r="AQ22" i="26"/>
  <c r="AT11" i="26"/>
  <c r="AS11" i="26"/>
  <c r="AR11" i="26"/>
  <c r="AQ11" i="26"/>
  <c r="AI6" i="26"/>
  <c r="AT16" i="26"/>
  <c r="AS16" i="26"/>
  <c r="AR16" i="26"/>
  <c r="AQ16" i="26"/>
  <c r="AT14" i="26"/>
  <c r="AS14" i="26"/>
  <c r="AR14" i="26"/>
  <c r="AQ14" i="26"/>
  <c r="AT17" i="26"/>
  <c r="AS17" i="26"/>
  <c r="AR17" i="26"/>
  <c r="AQ17" i="26"/>
  <c r="AH7" i="26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T18" i="26"/>
  <c r="AS18" i="26"/>
  <c r="AR18" i="26"/>
  <c r="AQ18" i="26"/>
  <c r="AT34" i="26"/>
  <c r="AS34" i="26"/>
  <c r="AR34" i="26"/>
  <c r="AQ34" i="26"/>
  <c r="AT21" i="26"/>
  <c r="AS21" i="26"/>
  <c r="AR21" i="26"/>
  <c r="AQ21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AT6" i="26"/>
  <c r="AS6" i="26"/>
  <c r="AR6" i="26"/>
  <c r="AQ6" i="26"/>
  <c r="AT31" i="26"/>
  <c r="AS31" i="26"/>
  <c r="AR31" i="26"/>
  <c r="AQ31" i="26"/>
  <c r="AT30" i="26"/>
  <c r="AS30" i="26"/>
  <c r="AR30" i="26"/>
  <c r="AQ30" i="26"/>
  <c r="AT25" i="26"/>
  <c r="AS25" i="26"/>
  <c r="AR25" i="26"/>
  <c r="AQ25" i="26"/>
  <c r="AT9" i="26"/>
  <c r="AS9" i="26"/>
  <c r="AR9" i="26"/>
  <c r="AQ9" i="26"/>
  <c r="AT20" i="26"/>
  <c r="AS20" i="26"/>
  <c r="AR20" i="26"/>
  <c r="AQ20" i="26"/>
  <c r="AT12" i="26"/>
  <c r="AS12" i="26"/>
  <c r="AR12" i="26"/>
  <c r="AQ12" i="26"/>
  <c r="AT13" i="26"/>
  <c r="AS13" i="26"/>
  <c r="AR13" i="26"/>
  <c r="AQ13" i="26"/>
  <c r="S11" i="26"/>
  <c r="T11" i="26" s="1"/>
  <c r="X11" i="26" s="1"/>
  <c r="R12" i="26"/>
  <c r="AT32" i="26"/>
  <c r="AS32" i="26"/>
  <c r="AR32" i="26"/>
  <c r="AQ32" i="26"/>
  <c r="AT10" i="26"/>
  <c r="AS10" i="26"/>
  <c r="AR10" i="26"/>
  <c r="AQ10" i="26"/>
  <c r="AT33" i="26"/>
  <c r="AS33" i="26"/>
  <c r="AR33" i="26"/>
  <c r="AQ33" i="26"/>
  <c r="T10" i="26"/>
  <c r="X10" i="26" s="1"/>
  <c r="AT15" i="26"/>
  <c r="AS15" i="26"/>
  <c r="AR15" i="26"/>
  <c r="AQ15" i="26"/>
  <c r="AT7" i="26"/>
  <c r="AS7" i="26"/>
  <c r="AR7" i="26"/>
  <c r="AQ7" i="26"/>
  <c r="AT27" i="26"/>
  <c r="AS27" i="26"/>
  <c r="AR27" i="26"/>
  <c r="AQ27" i="26"/>
  <c r="AT24" i="26"/>
  <c r="AS24" i="26"/>
  <c r="AR24" i="26"/>
  <c r="AQ24" i="26"/>
  <c r="AT28" i="26"/>
  <c r="AS28" i="26"/>
  <c r="AR28" i="26"/>
  <c r="AQ28" i="26"/>
  <c r="K98" i="27"/>
  <c r="H98" i="27"/>
  <c r="I98" i="27"/>
  <c r="J98" i="27"/>
  <c r="AB60" i="26"/>
  <c r="T6" i="13"/>
  <c r="S8" i="13"/>
  <c r="T7" i="13"/>
  <c r="V171" i="27"/>
  <c r="S9" i="13"/>
  <c r="R10" i="13"/>
  <c r="L60" i="27"/>
  <c r="B62" i="27"/>
  <c r="B61" i="27"/>
  <c r="AI9" i="13"/>
  <c r="AF10" i="13"/>
  <c r="K10" i="13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Q4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J102" i="21" l="1"/>
  <c r="K101" i="21"/>
  <c r="O101" i="21" s="1"/>
  <c r="Y95" i="20"/>
  <c r="C113" i="20"/>
  <c r="E113" i="20" s="1"/>
  <c r="C127" i="20" s="1"/>
  <c r="F127" i="20" s="1"/>
  <c r="S90" i="21"/>
  <c r="T90" i="21" s="1"/>
  <c r="X90" i="21" s="1"/>
  <c r="Y90" i="21" s="1"/>
  <c r="R91" i="21"/>
  <c r="AI92" i="21"/>
  <c r="AF93" i="21"/>
  <c r="O10" i="13"/>
  <c r="Y11" i="26"/>
  <c r="AB50" i="26"/>
  <c r="AB45" i="26"/>
  <c r="AH45" i="26" s="1"/>
  <c r="AH46" i="26" s="1"/>
  <c r="AH47" i="26" s="1"/>
  <c r="AH48" i="26" s="1"/>
  <c r="AH49" i="26" s="1"/>
  <c r="K12" i="26"/>
  <c r="O12" i="26" s="1"/>
  <c r="J13" i="26"/>
  <c r="Y10" i="26"/>
  <c r="AF8" i="26"/>
  <c r="AI7" i="26"/>
  <c r="S12" i="26"/>
  <c r="R13" i="26"/>
  <c r="H94" i="26"/>
  <c r="C99" i="27"/>
  <c r="L99" i="27" s="1"/>
  <c r="AB5" i="26"/>
  <c r="AL5" i="26"/>
  <c r="L98" i="27"/>
  <c r="X7" i="13"/>
  <c r="Y7" i="13" s="1"/>
  <c r="T8" i="13"/>
  <c r="X6" i="13"/>
  <c r="Y6" i="13" s="1"/>
  <c r="T9" i="13"/>
  <c r="AM35" i="19"/>
  <c r="AN50" i="19"/>
  <c r="AO35" i="19"/>
  <c r="AL40" i="19"/>
  <c r="AN40" i="19"/>
  <c r="Q46" i="19"/>
  <c r="S10" i="13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J103" i="21" l="1"/>
  <c r="K102" i="21"/>
  <c r="O102" i="21" s="1"/>
  <c r="S91" i="21"/>
  <c r="T91" i="21" s="1"/>
  <c r="X91" i="21" s="1"/>
  <c r="R92" i="21"/>
  <c r="AI93" i="21"/>
  <c r="AF94" i="21"/>
  <c r="O11" i="13"/>
  <c r="AG45" i="26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G66" i="26" s="1"/>
  <c r="AG67" i="26" s="1"/>
  <c r="AG68" i="26" s="1"/>
  <c r="AG69" i="26" s="1"/>
  <c r="AG70" i="26" s="1"/>
  <c r="AG71" i="26" s="1"/>
  <c r="AG72" i="26" s="1"/>
  <c r="AG73" i="26" s="1"/>
  <c r="AG74" i="26" s="1"/>
  <c r="AG75" i="26" s="1"/>
  <c r="AG76" i="26" s="1"/>
  <c r="AG77" i="26" s="1"/>
  <c r="AG78" i="26" s="1"/>
  <c r="AG79" i="26" s="1"/>
  <c r="AG80" i="26" s="1"/>
  <c r="AG81" i="26" s="1"/>
  <c r="AG82" i="26" s="1"/>
  <c r="AG83" i="26" s="1"/>
  <c r="AG84" i="26" s="1"/>
  <c r="AG85" i="26" s="1"/>
  <c r="AG86" i="26" s="1"/>
  <c r="AG87" i="26" s="1"/>
  <c r="AG88" i="26" s="1"/>
  <c r="AG89" i="26" s="1"/>
  <c r="AG90" i="26" s="1"/>
  <c r="AG91" i="26" s="1"/>
  <c r="AG92" i="26" s="1"/>
  <c r="AG93" i="26" s="1"/>
  <c r="AG94" i="26" s="1"/>
  <c r="AG95" i="26" s="1"/>
  <c r="AG96" i="26" s="1"/>
  <c r="AG97" i="26" s="1"/>
  <c r="AG98" i="26" s="1"/>
  <c r="AG99" i="26" s="1"/>
  <c r="AG100" i="26" s="1"/>
  <c r="AG101" i="26" s="1"/>
  <c r="AG102" i="26" s="1"/>
  <c r="AG103" i="26" s="1"/>
  <c r="AG104" i="26" s="1"/>
  <c r="AG105" i="26" s="1"/>
  <c r="AG106" i="26" s="1"/>
  <c r="AG107" i="26" s="1"/>
  <c r="AG108" i="26" s="1"/>
  <c r="AG109" i="26" s="1"/>
  <c r="AG110" i="26" s="1"/>
  <c r="AG111" i="26" s="1"/>
  <c r="AG112" i="26" s="1"/>
  <c r="AG113" i="26" s="1"/>
  <c r="AG114" i="26" s="1"/>
  <c r="AG115" i="26" s="1"/>
  <c r="AG116" i="26" s="1"/>
  <c r="AG117" i="26" s="1"/>
  <c r="AG118" i="26" s="1"/>
  <c r="AG119" i="26" s="1"/>
  <c r="AG120" i="26" s="1"/>
  <c r="AG121" i="26" s="1"/>
  <c r="AG122" i="26" s="1"/>
  <c r="AG123" i="26" s="1"/>
  <c r="AG124" i="26" s="1"/>
  <c r="AG125" i="26" s="1"/>
  <c r="AG126" i="26" s="1"/>
  <c r="AG127" i="26" s="1"/>
  <c r="AG128" i="26" s="1"/>
  <c r="AG129" i="26" s="1"/>
  <c r="AG130" i="26" s="1"/>
  <c r="AG131" i="26" s="1"/>
  <c r="AG132" i="26" s="1"/>
  <c r="AG133" i="26" s="1"/>
  <c r="AG134" i="26" s="1"/>
  <c r="AG135" i="26" s="1"/>
  <c r="AG136" i="26" s="1"/>
  <c r="AG137" i="26" s="1"/>
  <c r="AG138" i="26" s="1"/>
  <c r="AG139" i="26" s="1"/>
  <c r="AG140" i="26" s="1"/>
  <c r="AH50" i="26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H66" i="26" s="1"/>
  <c r="AH67" i="26" s="1"/>
  <c r="AH68" i="26" s="1"/>
  <c r="AH69" i="26" s="1"/>
  <c r="AH70" i="26" s="1"/>
  <c r="AH71" i="26" s="1"/>
  <c r="AH72" i="26" s="1"/>
  <c r="AH73" i="26" s="1"/>
  <c r="AH74" i="26" s="1"/>
  <c r="AH75" i="26" s="1"/>
  <c r="AH76" i="26" s="1"/>
  <c r="AH77" i="26" s="1"/>
  <c r="AH78" i="26" s="1"/>
  <c r="AH79" i="26" s="1"/>
  <c r="AH80" i="26" s="1"/>
  <c r="AH81" i="26" s="1"/>
  <c r="AH82" i="26" s="1"/>
  <c r="AH83" i="26" s="1"/>
  <c r="AH84" i="26" s="1"/>
  <c r="AH85" i="26" s="1"/>
  <c r="AH86" i="26" s="1"/>
  <c r="AH87" i="26" s="1"/>
  <c r="AH88" i="26" s="1"/>
  <c r="AH89" i="26" s="1"/>
  <c r="AH90" i="26" s="1"/>
  <c r="AH91" i="26" s="1"/>
  <c r="AH92" i="26" s="1"/>
  <c r="AH93" i="26" s="1"/>
  <c r="AH94" i="26" s="1"/>
  <c r="AH95" i="26" s="1"/>
  <c r="AH96" i="26" s="1"/>
  <c r="AH97" i="26" s="1"/>
  <c r="AH98" i="26" s="1"/>
  <c r="AH99" i="26" s="1"/>
  <c r="AH100" i="26" s="1"/>
  <c r="AH101" i="26" s="1"/>
  <c r="AH102" i="26" s="1"/>
  <c r="AH103" i="26" s="1"/>
  <c r="AH104" i="26" s="1"/>
  <c r="AH105" i="26" s="1"/>
  <c r="AH106" i="26" s="1"/>
  <c r="AH107" i="26" s="1"/>
  <c r="AH108" i="26" s="1"/>
  <c r="AH109" i="26" s="1"/>
  <c r="AH110" i="26" s="1"/>
  <c r="AH111" i="26" s="1"/>
  <c r="AH112" i="26" s="1"/>
  <c r="AH113" i="26" s="1"/>
  <c r="AH114" i="26" s="1"/>
  <c r="AH115" i="26" s="1"/>
  <c r="AH116" i="26" s="1"/>
  <c r="AH117" i="26" s="1"/>
  <c r="AH118" i="26" s="1"/>
  <c r="AH119" i="26" s="1"/>
  <c r="AH120" i="26" s="1"/>
  <c r="AH121" i="26" s="1"/>
  <c r="AH122" i="26" s="1"/>
  <c r="AH123" i="26" s="1"/>
  <c r="AH124" i="26" s="1"/>
  <c r="AH125" i="26" s="1"/>
  <c r="AH126" i="26" s="1"/>
  <c r="AH127" i="26" s="1"/>
  <c r="AH128" i="26" s="1"/>
  <c r="AH129" i="26" s="1"/>
  <c r="AH130" i="26" s="1"/>
  <c r="AH131" i="26" s="1"/>
  <c r="AH132" i="26" s="1"/>
  <c r="AH133" i="26" s="1"/>
  <c r="AH134" i="26" s="1"/>
  <c r="AH135" i="26" s="1"/>
  <c r="AH136" i="26" s="1"/>
  <c r="AH137" i="26" s="1"/>
  <c r="AH138" i="26" s="1"/>
  <c r="AH139" i="26" s="1"/>
  <c r="AH140" i="26" s="1"/>
  <c r="K13" i="26"/>
  <c r="O13" i="26" s="1"/>
  <c r="J14" i="26"/>
  <c r="AF9" i="26"/>
  <c r="AI8" i="26"/>
  <c r="T12" i="26"/>
  <c r="X12" i="26" s="1"/>
  <c r="S13" i="26"/>
  <c r="T13" i="26" s="1"/>
  <c r="X13" i="26" s="1"/>
  <c r="R14" i="26"/>
  <c r="X8" i="13"/>
  <c r="Y8" i="13" s="1"/>
  <c r="T10" i="13"/>
  <c r="X9" i="13"/>
  <c r="Y9" i="13" s="1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R12" i="13"/>
  <c r="AE69" i="19"/>
  <c r="L62" i="27"/>
  <c r="B65" i="27"/>
  <c r="B63" i="27"/>
  <c r="L61" i="27"/>
  <c r="AI11" i="13"/>
  <c r="AF12" i="13"/>
  <c r="K12" i="13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J104" i="21" l="1"/>
  <c r="K103" i="21"/>
  <c r="O103" i="21" s="1"/>
  <c r="R93" i="21"/>
  <c r="S92" i="21"/>
  <c r="T92" i="21" s="1"/>
  <c r="X92" i="21" s="1"/>
  <c r="Y92" i="21" s="1"/>
  <c r="Y91" i="21"/>
  <c r="AF95" i="21"/>
  <c r="AI94" i="21"/>
  <c r="O12" i="13"/>
  <c r="J15" i="26"/>
  <c r="K14" i="26"/>
  <c r="O14" i="26" s="1"/>
  <c r="Y13" i="26"/>
  <c r="Y12" i="26"/>
  <c r="AI9" i="26"/>
  <c r="AF10" i="26"/>
  <c r="S14" i="26"/>
  <c r="R15" i="26"/>
  <c r="T11" i="13"/>
  <c r="X10" i="13"/>
  <c r="Y10" i="13" s="1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J14" i="13"/>
  <c r="Q54" i="19"/>
  <c r="Q53" i="19"/>
  <c r="S8" i="19"/>
  <c r="T8" i="19" s="1"/>
  <c r="X8" i="19" s="1"/>
  <c r="Y8" i="19" s="1"/>
  <c r="R9" i="19"/>
  <c r="C9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AI95" i="21" l="1"/>
  <c r="AF96" i="21"/>
  <c r="J105" i="21"/>
  <c r="K104" i="21"/>
  <c r="O104" i="21" s="1"/>
  <c r="R94" i="21"/>
  <c r="S93" i="21"/>
  <c r="T93" i="21" s="1"/>
  <c r="X93" i="21" s="1"/>
  <c r="O13" i="13"/>
  <c r="J16" i="26"/>
  <c r="K15" i="26"/>
  <c r="O15" i="26" s="1"/>
  <c r="T14" i="26"/>
  <c r="X14" i="26" s="1"/>
  <c r="AF11" i="26"/>
  <c r="AI10" i="26"/>
  <c r="S15" i="26"/>
  <c r="T15" i="26" s="1"/>
  <c r="X15" i="26" s="1"/>
  <c r="R16" i="26"/>
  <c r="T12" i="13"/>
  <c r="X11" i="13"/>
  <c r="Y11" i="13" s="1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Y6" i="19"/>
  <c r="AY7" i="19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94" i="27"/>
  <c r="AB94" i="27" s="1"/>
  <c r="AA50" i="27"/>
  <c r="AB50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110" i="27"/>
  <c r="AB110" i="27" s="1"/>
  <c r="AA165" i="27"/>
  <c r="AB165" i="27" s="1"/>
  <c r="AA93" i="27"/>
  <c r="AB93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6" i="27" s="1"/>
  <c r="AB76" i="27" s="1"/>
  <c r="AI13" i="13"/>
  <c r="AF14" i="13"/>
  <c r="K14" i="13"/>
  <c r="J15" i="13"/>
  <c r="Q64" i="19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J106" i="21" l="1"/>
  <c r="K105" i="21"/>
  <c r="O105" i="21" s="1"/>
  <c r="AI96" i="21"/>
  <c r="AF97" i="21"/>
  <c r="AA88" i="27"/>
  <c r="AB88" i="27" s="1"/>
  <c r="AA92" i="27"/>
  <c r="AB92" i="27" s="1"/>
  <c r="AA90" i="27"/>
  <c r="AB90" i="27" s="1"/>
  <c r="AA91" i="27"/>
  <c r="AB91" i="27" s="1"/>
  <c r="Y93" i="21"/>
  <c r="R95" i="21"/>
  <c r="S94" i="21"/>
  <c r="T94" i="21" s="1"/>
  <c r="X94" i="21" s="1"/>
  <c r="Y94" i="21" s="1"/>
  <c r="O14" i="13"/>
  <c r="Y15" i="26"/>
  <c r="K16" i="26"/>
  <c r="O16" i="26" s="1"/>
  <c r="J17" i="26"/>
  <c r="AI11" i="26"/>
  <c r="AF12" i="26"/>
  <c r="Y14" i="26"/>
  <c r="S16" i="26"/>
  <c r="R17" i="26"/>
  <c r="AQ61" i="19"/>
  <c r="W77" i="27" s="1"/>
  <c r="T13" i="13"/>
  <c r="X12" i="13"/>
  <c r="Y12" i="13" s="1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87" i="27" s="1"/>
  <c r="AB87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AF98" i="21" l="1"/>
  <c r="AI97" i="21"/>
  <c r="S95" i="21"/>
  <c r="T95" i="21" s="1"/>
  <c r="X95" i="21" s="1"/>
  <c r="Y95" i="21" s="1"/>
  <c r="R96" i="21"/>
  <c r="J107" i="21"/>
  <c r="K106" i="21"/>
  <c r="O106" i="21" s="1"/>
  <c r="AA82" i="27"/>
  <c r="AB82" i="27" s="1"/>
  <c r="AA22" i="27"/>
  <c r="AB22" i="27" s="1"/>
  <c r="AA21" i="27"/>
  <c r="AB21" i="27" s="1"/>
  <c r="AA85" i="27"/>
  <c r="AB85" i="27" s="1"/>
  <c r="AA86" i="27"/>
  <c r="AB86" i="27" s="1"/>
  <c r="O15" i="13"/>
  <c r="J18" i="26"/>
  <c r="K17" i="26"/>
  <c r="O17" i="26" s="1"/>
  <c r="T16" i="26"/>
  <c r="X16" i="26" s="1"/>
  <c r="Y16" i="26" s="1"/>
  <c r="AI12" i="26"/>
  <c r="AF13" i="26"/>
  <c r="S17" i="26"/>
  <c r="T17" i="26" s="1"/>
  <c r="X17" i="26" s="1"/>
  <c r="R18" i="26"/>
  <c r="X13" i="13"/>
  <c r="Y13" i="13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S15" i="13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J108" i="21" l="1"/>
  <c r="K107" i="21"/>
  <c r="O107" i="21" s="1"/>
  <c r="R97" i="21"/>
  <c r="S96" i="21"/>
  <c r="T96" i="21" s="1"/>
  <c r="X96" i="21" s="1"/>
  <c r="AF99" i="21"/>
  <c r="AI98" i="21"/>
  <c r="Y17" i="26"/>
  <c r="O16" i="13"/>
  <c r="K18" i="26"/>
  <c r="O18" i="26" s="1"/>
  <c r="J19" i="26"/>
  <c r="AF14" i="26"/>
  <c r="AI13" i="26"/>
  <c r="S18" i="26"/>
  <c r="R19" i="26"/>
  <c r="X14" i="13"/>
  <c r="Y14" i="13" s="1"/>
  <c r="T15" i="13"/>
  <c r="S16" i="13"/>
  <c r="R17" i="13"/>
  <c r="D4" i="27"/>
  <c r="P11" i="24" s="1"/>
  <c r="AI7" i="19"/>
  <c r="AF8" i="19"/>
  <c r="AF17" i="13"/>
  <c r="AI16" i="13"/>
  <c r="K17" i="13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AF100" i="21" l="1"/>
  <c r="AI99" i="21"/>
  <c r="Y96" i="21"/>
  <c r="S97" i="21"/>
  <c r="T97" i="21" s="1"/>
  <c r="X97" i="21" s="1"/>
  <c r="Y97" i="21" s="1"/>
  <c r="R98" i="21"/>
  <c r="J109" i="21"/>
  <c r="K108" i="21"/>
  <c r="O108" i="21" s="1"/>
  <c r="O17" i="13"/>
  <c r="K19" i="26"/>
  <c r="O19" i="26" s="1"/>
  <c r="J20" i="26"/>
  <c r="S19" i="26"/>
  <c r="T19" i="26" s="1"/>
  <c r="X19" i="26" s="1"/>
  <c r="Y19" i="26" s="1"/>
  <c r="R20" i="26"/>
  <c r="T18" i="26"/>
  <c r="X18" i="26" s="1"/>
  <c r="Y18" i="26" s="1"/>
  <c r="AF15" i="26"/>
  <c r="AI14" i="26"/>
  <c r="X15" i="13"/>
  <c r="Y15" i="13" s="1"/>
  <c r="T16" i="13"/>
  <c r="R18" i="13"/>
  <c r="S17" i="13"/>
  <c r="D6" i="27"/>
  <c r="P13" i="24" s="1"/>
  <c r="AI8" i="19"/>
  <c r="AF9" i="19"/>
  <c r="AF18" i="13"/>
  <c r="AI17" i="13"/>
  <c r="K18" i="13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J110" i="21" l="1"/>
  <c r="K109" i="21"/>
  <c r="O109" i="21" s="1"/>
  <c r="R99" i="21"/>
  <c r="S98" i="21"/>
  <c r="T98" i="21" s="1"/>
  <c r="X98" i="21" s="1"/>
  <c r="AI100" i="21"/>
  <c r="AF101" i="21"/>
  <c r="O18" i="13"/>
  <c r="J21" i="26"/>
  <c r="K20" i="26"/>
  <c r="O20" i="26" s="1"/>
  <c r="S20" i="26"/>
  <c r="R21" i="26"/>
  <c r="AI15" i="26"/>
  <c r="AF16" i="26"/>
  <c r="X16" i="13"/>
  <c r="Y16" i="13" s="1"/>
  <c r="T17" i="13"/>
  <c r="R19" i="13"/>
  <c r="S18" i="13"/>
  <c r="AI9" i="19"/>
  <c r="AF10" i="19"/>
  <c r="AF19" i="13"/>
  <c r="AI18" i="13"/>
  <c r="K19" i="13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AF102" i="21" l="1"/>
  <c r="AI101" i="21"/>
  <c r="Y98" i="21"/>
  <c r="S99" i="21"/>
  <c r="T99" i="21" s="1"/>
  <c r="X99" i="21" s="1"/>
  <c r="Y99" i="21" s="1"/>
  <c r="R100" i="21"/>
  <c r="J111" i="21"/>
  <c r="K110" i="21"/>
  <c r="O110" i="21" s="1"/>
  <c r="O19" i="13"/>
  <c r="J22" i="26"/>
  <c r="K21" i="26"/>
  <c r="O21" i="26" s="1"/>
  <c r="S21" i="26"/>
  <c r="T21" i="26" s="1"/>
  <c r="X21" i="26" s="1"/>
  <c r="R22" i="26"/>
  <c r="AF17" i="26"/>
  <c r="AI16" i="26"/>
  <c r="T20" i="26"/>
  <c r="X20" i="26" s="1"/>
  <c r="Y20" i="26" s="1"/>
  <c r="X17" i="13"/>
  <c r="Y17" i="13" s="1"/>
  <c r="T18" i="13"/>
  <c r="S19" i="13"/>
  <c r="R20" i="13"/>
  <c r="AF11" i="19"/>
  <c r="AI10" i="19"/>
  <c r="AF20" i="13"/>
  <c r="AI19" i="13"/>
  <c r="K20" i="13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J112" i="21" l="1"/>
  <c r="K111" i="21"/>
  <c r="O111" i="21" s="1"/>
  <c r="R101" i="21"/>
  <c r="S100" i="21"/>
  <c r="T100" i="21" s="1"/>
  <c r="X100" i="21" s="1"/>
  <c r="AF103" i="21"/>
  <c r="AI102" i="21"/>
  <c r="O20" i="13"/>
  <c r="Y21" i="26"/>
  <c r="K22" i="26"/>
  <c r="O22" i="26" s="1"/>
  <c r="J23" i="26"/>
  <c r="AF18" i="26"/>
  <c r="AI17" i="26"/>
  <c r="S22" i="26"/>
  <c r="R23" i="26"/>
  <c r="X18" i="13"/>
  <c r="Y18" i="13" s="1"/>
  <c r="T19" i="13"/>
  <c r="S20" i="13"/>
  <c r="R21" i="13"/>
  <c r="AI11" i="19"/>
  <c r="AF12" i="19"/>
  <c r="AI20" i="13"/>
  <c r="AF21" i="13"/>
  <c r="K21" i="13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AF104" i="21" l="1"/>
  <c r="AI103" i="21"/>
  <c r="Y100" i="21"/>
  <c r="R102" i="21"/>
  <c r="S101" i="21"/>
  <c r="T101" i="21" s="1"/>
  <c r="X101" i="21" s="1"/>
  <c r="Y101" i="21" s="1"/>
  <c r="J113" i="21"/>
  <c r="K112" i="21"/>
  <c r="O112" i="21" s="1"/>
  <c r="O21" i="13"/>
  <c r="J24" i="26"/>
  <c r="K23" i="26"/>
  <c r="O23" i="26" s="1"/>
  <c r="AF19" i="26"/>
  <c r="AI18" i="26"/>
  <c r="S23" i="26"/>
  <c r="T23" i="26" s="1"/>
  <c r="X23" i="26" s="1"/>
  <c r="Y23" i="26" s="1"/>
  <c r="R24" i="26"/>
  <c r="T22" i="26"/>
  <c r="X22" i="26" s="1"/>
  <c r="Y22" i="26" s="1"/>
  <c r="T20" i="13"/>
  <c r="X19" i="13"/>
  <c r="Y19" i="13" s="1"/>
  <c r="R22" i="13"/>
  <c r="S21" i="13"/>
  <c r="AF13" i="19"/>
  <c r="AI12" i="19"/>
  <c r="AF22" i="13"/>
  <c r="AI21" i="13"/>
  <c r="K22" i="13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J114" i="21" l="1"/>
  <c r="K113" i="21"/>
  <c r="O113" i="21" s="1"/>
  <c r="R103" i="21"/>
  <c r="S102" i="21"/>
  <c r="T102" i="21" s="1"/>
  <c r="X102" i="21" s="1"/>
  <c r="AI104" i="21"/>
  <c r="AF105" i="21"/>
  <c r="O22" i="13"/>
  <c r="J25" i="26"/>
  <c r="K24" i="26"/>
  <c r="O24" i="26" s="1"/>
  <c r="S24" i="26"/>
  <c r="R25" i="26"/>
  <c r="AI19" i="26"/>
  <c r="AF20" i="26"/>
  <c r="X20" i="13"/>
  <c r="Y20" i="13" s="1"/>
  <c r="T21" i="13"/>
  <c r="S22" i="13"/>
  <c r="R23" i="13"/>
  <c r="AF14" i="19"/>
  <c r="AI13" i="19"/>
  <c r="AF23" i="13"/>
  <c r="AI22" i="13"/>
  <c r="K23" i="13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Y102" i="21" l="1"/>
  <c r="S103" i="21"/>
  <c r="T103" i="21" s="1"/>
  <c r="X103" i="21" s="1"/>
  <c r="Y103" i="21" s="1"/>
  <c r="R104" i="21"/>
  <c r="AF106" i="21"/>
  <c r="AI105" i="21"/>
  <c r="J115" i="21"/>
  <c r="K114" i="21"/>
  <c r="O114" i="21" s="1"/>
  <c r="O23" i="13"/>
  <c r="J26" i="26"/>
  <c r="K25" i="26"/>
  <c r="O25" i="26" s="1"/>
  <c r="AI20" i="26"/>
  <c r="AF21" i="26"/>
  <c r="S25" i="26"/>
  <c r="T25" i="26" s="1"/>
  <c r="X25" i="26" s="1"/>
  <c r="R26" i="26"/>
  <c r="T24" i="26"/>
  <c r="X24" i="26" s="1"/>
  <c r="Y24" i="26" s="1"/>
  <c r="T22" i="13"/>
  <c r="X21" i="13"/>
  <c r="Y21" i="13" s="1"/>
  <c r="R24" i="13"/>
  <c r="S23" i="13"/>
  <c r="AF15" i="19"/>
  <c r="AI14" i="19"/>
  <c r="AF24" i="13"/>
  <c r="AI23" i="13"/>
  <c r="K24" i="13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AF107" i="21" l="1"/>
  <c r="AI106" i="21"/>
  <c r="J116" i="21"/>
  <c r="K115" i="21"/>
  <c r="O115" i="21" s="1"/>
  <c r="R105" i="21"/>
  <c r="S104" i="21"/>
  <c r="T104" i="21" s="1"/>
  <c r="X104" i="21" s="1"/>
  <c r="Y104" i="21" s="1"/>
  <c r="O24" i="13"/>
  <c r="Y25" i="26"/>
  <c r="K26" i="26"/>
  <c r="O26" i="26" s="1"/>
  <c r="J27" i="26"/>
  <c r="S26" i="26"/>
  <c r="R27" i="26"/>
  <c r="AI21" i="26"/>
  <c r="AF22" i="26"/>
  <c r="X22" i="13"/>
  <c r="Y22" i="13" s="1"/>
  <c r="T23" i="13"/>
  <c r="R25" i="13"/>
  <c r="S24" i="13"/>
  <c r="AF16" i="19"/>
  <c r="AI15" i="19"/>
  <c r="AI24" i="13"/>
  <c r="AF25" i="13"/>
  <c r="K25" i="13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R106" i="21" l="1"/>
  <c r="S105" i="21"/>
  <c r="T105" i="21" s="1"/>
  <c r="X105" i="21" s="1"/>
  <c r="Y105" i="21" s="1"/>
  <c r="J117" i="21"/>
  <c r="K116" i="21"/>
  <c r="O116" i="21" s="1"/>
  <c r="AF108" i="21"/>
  <c r="AI107" i="21"/>
  <c r="O25" i="13"/>
  <c r="J28" i="26"/>
  <c r="K27" i="26"/>
  <c r="O27" i="26" s="1"/>
  <c r="AF23" i="26"/>
  <c r="AI22" i="26"/>
  <c r="S27" i="26"/>
  <c r="T27" i="26" s="1"/>
  <c r="X27" i="26" s="1"/>
  <c r="R28" i="26"/>
  <c r="T26" i="26"/>
  <c r="X26" i="26" s="1"/>
  <c r="Y26" i="26" s="1"/>
  <c r="T24" i="13"/>
  <c r="X23" i="13"/>
  <c r="Y23" i="13" s="1"/>
  <c r="S25" i="13"/>
  <c r="R26" i="13"/>
  <c r="AI16" i="19"/>
  <c r="AF17" i="19"/>
  <c r="AF26" i="13"/>
  <c r="AI25" i="13"/>
  <c r="K26" i="13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107" i="21" l="1"/>
  <c r="S106" i="21"/>
  <c r="T106" i="21" s="1"/>
  <c r="X106" i="21" s="1"/>
  <c r="Y106" i="21" s="1"/>
  <c r="AF109" i="21"/>
  <c r="AI108" i="21"/>
  <c r="J118" i="21"/>
  <c r="K117" i="21"/>
  <c r="O117" i="21" s="1"/>
  <c r="O26" i="13"/>
  <c r="Y27" i="26"/>
  <c r="K28" i="26"/>
  <c r="O28" i="26" s="1"/>
  <c r="J29" i="26"/>
  <c r="S28" i="26"/>
  <c r="R29" i="26"/>
  <c r="AI23" i="26"/>
  <c r="AF24" i="26"/>
  <c r="X24" i="13"/>
  <c r="Y24" i="13" s="1"/>
  <c r="R27" i="13"/>
  <c r="S26" i="13"/>
  <c r="T25" i="13"/>
  <c r="AI17" i="19"/>
  <c r="AF18" i="19"/>
  <c r="Y26" i="18"/>
  <c r="AF27" i="13"/>
  <c r="AI26" i="13"/>
  <c r="K27" i="13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J119" i="21" l="1"/>
  <c r="K118" i="21"/>
  <c r="O118" i="21" s="1"/>
  <c r="AI109" i="21"/>
  <c r="AF110" i="21"/>
  <c r="R108" i="21"/>
  <c r="S107" i="21"/>
  <c r="T107" i="21" s="1"/>
  <c r="X107" i="21" s="1"/>
  <c r="Y107" i="21" s="1"/>
  <c r="O27" i="13"/>
  <c r="J30" i="26"/>
  <c r="K29" i="26"/>
  <c r="O29" i="26" s="1"/>
  <c r="S29" i="26"/>
  <c r="T29" i="26" s="1"/>
  <c r="X29" i="26" s="1"/>
  <c r="R30" i="26"/>
  <c r="T28" i="26"/>
  <c r="X28" i="26" s="1"/>
  <c r="Y28" i="26" s="1"/>
  <c r="AI24" i="26"/>
  <c r="AF25" i="26"/>
  <c r="X25" i="13"/>
  <c r="Y25" i="13" s="1"/>
  <c r="T26" i="13"/>
  <c r="S27" i="13"/>
  <c r="R28" i="13"/>
  <c r="AI18" i="19"/>
  <c r="AF19" i="19"/>
  <c r="AI27" i="13"/>
  <c r="AF28" i="13"/>
  <c r="K28" i="13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R109" i="21" l="1"/>
  <c r="S108" i="21"/>
  <c r="T108" i="21" s="1"/>
  <c r="X108" i="21" s="1"/>
  <c r="Y108" i="21" s="1"/>
  <c r="AI110" i="21"/>
  <c r="AF111" i="21"/>
  <c r="J120" i="21"/>
  <c r="K119" i="21"/>
  <c r="O119" i="21" s="1"/>
  <c r="O28" i="13"/>
  <c r="Y29" i="26"/>
  <c r="K30" i="26"/>
  <c r="O30" i="26" s="1"/>
  <c r="J31" i="26"/>
  <c r="S30" i="26"/>
  <c r="R31" i="26"/>
  <c r="AF26" i="26"/>
  <c r="AI25" i="26"/>
  <c r="X26" i="13"/>
  <c r="Y26" i="13" s="1"/>
  <c r="S28" i="13"/>
  <c r="R29" i="13"/>
  <c r="T27" i="13"/>
  <c r="AI19" i="19"/>
  <c r="AF20" i="19"/>
  <c r="AF29" i="13"/>
  <c r="AI28" i="13"/>
  <c r="K29" i="13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J121" i="21" l="1"/>
  <c r="K120" i="21"/>
  <c r="O120" i="21" s="1"/>
  <c r="AF112" i="21"/>
  <c r="AI111" i="21"/>
  <c r="R110" i="21"/>
  <c r="S109" i="21"/>
  <c r="T109" i="21" s="1"/>
  <c r="X109" i="21" s="1"/>
  <c r="Y109" i="21" s="1"/>
  <c r="O29" i="13"/>
  <c r="K31" i="26"/>
  <c r="O31" i="26" s="1"/>
  <c r="J32" i="26"/>
  <c r="AI26" i="26"/>
  <c r="AF27" i="26"/>
  <c r="T30" i="26"/>
  <c r="X30" i="26" s="1"/>
  <c r="Y30" i="26" s="1"/>
  <c r="S31" i="26"/>
  <c r="T31" i="26" s="1"/>
  <c r="X31" i="26" s="1"/>
  <c r="R32" i="26"/>
  <c r="T28" i="13"/>
  <c r="X27" i="13"/>
  <c r="Y27" i="13" s="1"/>
  <c r="S29" i="13"/>
  <c r="R30" i="13"/>
  <c r="AF21" i="19"/>
  <c r="AI20" i="19"/>
  <c r="AI29" i="13"/>
  <c r="AF30" i="13"/>
  <c r="K30" i="13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111" i="21" l="1"/>
  <c r="S110" i="21"/>
  <c r="T110" i="21" s="1"/>
  <c r="X110" i="21" s="1"/>
  <c r="Y110" i="21" s="1"/>
  <c r="AF113" i="21"/>
  <c r="AI112" i="21"/>
  <c r="J122" i="21"/>
  <c r="K121" i="21"/>
  <c r="O121" i="21" s="1"/>
  <c r="O30" i="13"/>
  <c r="Y31" i="26"/>
  <c r="K32" i="26"/>
  <c r="O32" i="26" s="1"/>
  <c r="J33" i="26"/>
  <c r="S32" i="26"/>
  <c r="R33" i="26"/>
  <c r="AI27" i="26"/>
  <c r="AF28" i="26"/>
  <c r="T29" i="13"/>
  <c r="X28" i="13"/>
  <c r="Y28" i="13" s="1"/>
  <c r="R31" i="13"/>
  <c r="S30" i="13"/>
  <c r="AI21" i="19"/>
  <c r="AF22" i="19"/>
  <c r="AF31" i="13"/>
  <c r="AI30" i="13"/>
  <c r="K31" i="13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J123" i="21" l="1"/>
  <c r="K122" i="21"/>
  <c r="O122" i="21" s="1"/>
  <c r="AI113" i="21"/>
  <c r="AF114" i="21"/>
  <c r="S111" i="21"/>
  <c r="T111" i="21" s="1"/>
  <c r="X111" i="21" s="1"/>
  <c r="Y111" i="21" s="1"/>
  <c r="R112" i="21"/>
  <c r="O31" i="13"/>
  <c r="K33" i="26"/>
  <c r="O33" i="26" s="1"/>
  <c r="J34" i="26"/>
  <c r="D123" i="26" s="1"/>
  <c r="E123" i="26" s="1"/>
  <c r="E127" i="26" s="1"/>
  <c r="I23" i="24" s="1"/>
  <c r="AI28" i="26"/>
  <c r="AF29" i="26"/>
  <c r="S33" i="26"/>
  <c r="T33" i="26" s="1"/>
  <c r="X33" i="26" s="1"/>
  <c r="R34" i="26"/>
  <c r="T32" i="26"/>
  <c r="X32" i="26" s="1"/>
  <c r="Y32" i="26" s="1"/>
  <c r="T30" i="13"/>
  <c r="X29" i="13"/>
  <c r="Y29" i="13" s="1"/>
  <c r="R32" i="13"/>
  <c r="S31" i="13"/>
  <c r="AI22" i="19"/>
  <c r="AF23" i="19"/>
  <c r="AI31" i="13"/>
  <c r="AF32" i="13"/>
  <c r="K32" i="13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AI114" i="21" l="1"/>
  <c r="AF115" i="21"/>
  <c r="R113" i="21"/>
  <c r="S112" i="21"/>
  <c r="T112" i="21" s="1"/>
  <c r="X112" i="21" s="1"/>
  <c r="Y112" i="21" s="1"/>
  <c r="J124" i="21"/>
  <c r="K123" i="21"/>
  <c r="O123" i="21" s="1"/>
  <c r="O32" i="13"/>
  <c r="Y33" i="26"/>
  <c r="J35" i="26"/>
  <c r="K34" i="26"/>
  <c r="O34" i="26" s="1"/>
  <c r="S34" i="26"/>
  <c r="R35" i="26"/>
  <c r="AI29" i="26"/>
  <c r="AF30" i="26"/>
  <c r="X30" i="13"/>
  <c r="Y30" i="13" s="1"/>
  <c r="T31" i="13"/>
  <c r="R33" i="13"/>
  <c r="S32" i="13"/>
  <c r="AF24" i="19"/>
  <c r="AI23" i="19"/>
  <c r="AF33" i="13"/>
  <c r="AI32" i="13"/>
  <c r="K33" i="13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S113" i="21" l="1"/>
  <c r="T113" i="21" s="1"/>
  <c r="X113" i="21" s="1"/>
  <c r="Y113" i="21" s="1"/>
  <c r="R114" i="21"/>
  <c r="AF116" i="21"/>
  <c r="AI115" i="21"/>
  <c r="J125" i="21"/>
  <c r="K124" i="21"/>
  <c r="O124" i="21" s="1"/>
  <c r="O33" i="13"/>
  <c r="J36" i="26"/>
  <c r="K35" i="26"/>
  <c r="O35" i="26" s="1"/>
  <c r="D114" i="26" s="1"/>
  <c r="S35" i="26"/>
  <c r="T35" i="26" s="1"/>
  <c r="X35" i="26" s="1"/>
  <c r="R36" i="26"/>
  <c r="AF31" i="26"/>
  <c r="AI30" i="26"/>
  <c r="T34" i="26"/>
  <c r="X34" i="26" s="1"/>
  <c r="Y34" i="26" s="1"/>
  <c r="H22" i="24"/>
  <c r="X31" i="13"/>
  <c r="Y31" i="13" s="1"/>
  <c r="T32" i="13"/>
  <c r="S33" i="13"/>
  <c r="R34" i="13"/>
  <c r="AF25" i="19"/>
  <c r="AI24" i="19"/>
  <c r="AF34" i="13"/>
  <c r="AI33" i="13"/>
  <c r="K34" i="13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AF117" i="21" l="1"/>
  <c r="AI116" i="21"/>
  <c r="J126" i="21"/>
  <c r="K125" i="21"/>
  <c r="O125" i="21" s="1"/>
  <c r="R115" i="21"/>
  <c r="S114" i="21"/>
  <c r="T114" i="21" s="1"/>
  <c r="X114" i="21" s="1"/>
  <c r="Y114" i="21" s="1"/>
  <c r="O34" i="13"/>
  <c r="J37" i="26"/>
  <c r="K36" i="26"/>
  <c r="O36" i="26" s="1"/>
  <c r="AI31" i="26"/>
  <c r="AF32" i="26"/>
  <c r="S36" i="26"/>
  <c r="R37" i="26"/>
  <c r="C114" i="26"/>
  <c r="Y35" i="26"/>
  <c r="E114" i="26" s="1"/>
  <c r="T33" i="13"/>
  <c r="X32" i="13"/>
  <c r="Y32" i="13" s="1"/>
  <c r="R35" i="13"/>
  <c r="S34" i="13"/>
  <c r="AI25" i="19"/>
  <c r="AF26" i="19"/>
  <c r="AF35" i="13"/>
  <c r="AI34" i="13"/>
  <c r="K35" i="13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S115" i="21" l="1"/>
  <c r="T115" i="21" s="1"/>
  <c r="X115" i="21" s="1"/>
  <c r="Y115" i="21" s="1"/>
  <c r="R116" i="21"/>
  <c r="J127" i="21"/>
  <c r="K126" i="21"/>
  <c r="O126" i="21" s="1"/>
  <c r="AI117" i="21"/>
  <c r="AF118" i="21"/>
  <c r="O35" i="13"/>
  <c r="J38" i="26"/>
  <c r="K37" i="26"/>
  <c r="O37" i="26" s="1"/>
  <c r="S37" i="26"/>
  <c r="T37" i="26" s="1"/>
  <c r="X37" i="26" s="1"/>
  <c r="Y37" i="26" s="1"/>
  <c r="R38" i="26"/>
  <c r="T36" i="26"/>
  <c r="X36" i="26" s="1"/>
  <c r="Y36" i="26" s="1"/>
  <c r="AI32" i="26"/>
  <c r="AF33" i="26"/>
  <c r="X33" i="13"/>
  <c r="Y33" i="13" s="1"/>
  <c r="T34" i="13"/>
  <c r="R36" i="13"/>
  <c r="S35" i="13"/>
  <c r="AI26" i="19"/>
  <c r="AF27" i="19"/>
  <c r="AF36" i="13"/>
  <c r="AI35" i="13"/>
  <c r="C118" i="13" s="1"/>
  <c r="E118" i="13" s="1"/>
  <c r="D127" i="13" s="1"/>
  <c r="E22" i="24" s="1"/>
  <c r="D114" i="13"/>
  <c r="K36" i="13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J128" i="21" l="1"/>
  <c r="K127" i="21"/>
  <c r="O127" i="21" s="1"/>
  <c r="AI118" i="21"/>
  <c r="AF119" i="21"/>
  <c r="R117" i="21"/>
  <c r="S116" i="21"/>
  <c r="T116" i="21" s="1"/>
  <c r="X116" i="21" s="1"/>
  <c r="Y116" i="21" s="1"/>
  <c r="O36" i="13"/>
  <c r="J39" i="26"/>
  <c r="K38" i="26"/>
  <c r="O38" i="26" s="1"/>
  <c r="S38" i="26"/>
  <c r="R39" i="26"/>
  <c r="AF34" i="26"/>
  <c r="AI33" i="26"/>
  <c r="X34" i="13"/>
  <c r="Y34" i="13" s="1"/>
  <c r="T35" i="13"/>
  <c r="S36" i="13"/>
  <c r="R37" i="13"/>
  <c r="AI27" i="19"/>
  <c r="AF28" i="19"/>
  <c r="AI36" i="13"/>
  <c r="AF37" i="13"/>
  <c r="K37" i="13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R118" i="21" l="1"/>
  <c r="S117" i="21"/>
  <c r="T117" i="21" s="1"/>
  <c r="X117" i="21" s="1"/>
  <c r="Y117" i="21" s="1"/>
  <c r="AF120" i="21"/>
  <c r="AI119" i="21"/>
  <c r="J129" i="21"/>
  <c r="K128" i="21"/>
  <c r="O128" i="21" s="1"/>
  <c r="O37" i="13"/>
  <c r="K39" i="26"/>
  <c r="O39" i="26" s="1"/>
  <c r="J40" i="26"/>
  <c r="T38" i="26"/>
  <c r="X38" i="26" s="1"/>
  <c r="Y38" i="26" s="1"/>
  <c r="AI34" i="26"/>
  <c r="AF35" i="26"/>
  <c r="S39" i="26"/>
  <c r="T39" i="26" s="1"/>
  <c r="X39" i="26" s="1"/>
  <c r="R40" i="26"/>
  <c r="X35" i="13"/>
  <c r="R38" i="13"/>
  <c r="S37" i="13"/>
  <c r="T36" i="13"/>
  <c r="AF29" i="19"/>
  <c r="AI28" i="19"/>
  <c r="AF38" i="13"/>
  <c r="AI37" i="13"/>
  <c r="K38" i="13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J130" i="21" l="1"/>
  <c r="K129" i="21"/>
  <c r="O129" i="21" s="1"/>
  <c r="AF121" i="21"/>
  <c r="AI120" i="21"/>
  <c r="R119" i="21"/>
  <c r="S118" i="21"/>
  <c r="T118" i="21" s="1"/>
  <c r="X118" i="21" s="1"/>
  <c r="Y118" i="21" s="1"/>
  <c r="O38" i="13"/>
  <c r="Y39" i="26"/>
  <c r="J41" i="26"/>
  <c r="K40" i="26"/>
  <c r="O40" i="26" s="1"/>
  <c r="AI35" i="26"/>
  <c r="C118" i="26" s="1"/>
  <c r="E118" i="26" s="1"/>
  <c r="D127" i="26" s="1"/>
  <c r="I22" i="24" s="1"/>
  <c r="AF36" i="26"/>
  <c r="S40" i="26"/>
  <c r="R41" i="26"/>
  <c r="X36" i="13"/>
  <c r="Y36" i="13" s="1"/>
  <c r="C114" i="13"/>
  <c r="Y35" i="13"/>
  <c r="E114" i="13" s="1"/>
  <c r="T37" i="13"/>
  <c r="R39" i="13"/>
  <c r="S38" i="13"/>
  <c r="AF30" i="19"/>
  <c r="AI29" i="19"/>
  <c r="AF39" i="13"/>
  <c r="AI38" i="13"/>
  <c r="K39" i="13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120" i="21" l="1"/>
  <c r="S119" i="21"/>
  <c r="T119" i="21" s="1"/>
  <c r="X119" i="21" s="1"/>
  <c r="Y119" i="21" s="1"/>
  <c r="AI121" i="21"/>
  <c r="AF122" i="21"/>
  <c r="J131" i="21"/>
  <c r="K130" i="21"/>
  <c r="O130" i="21" s="1"/>
  <c r="O39" i="13"/>
  <c r="K41" i="26"/>
  <c r="O41" i="26" s="1"/>
  <c r="J42" i="26"/>
  <c r="T40" i="26"/>
  <c r="X40" i="26" s="1"/>
  <c r="Y40" i="26" s="1"/>
  <c r="AI36" i="26"/>
  <c r="AF37" i="26"/>
  <c r="S41" i="26"/>
  <c r="T41" i="26" s="1"/>
  <c r="X41" i="26" s="1"/>
  <c r="R42" i="26"/>
  <c r="T38" i="13"/>
  <c r="X37" i="13"/>
  <c r="Y37" i="13" s="1"/>
  <c r="S39" i="13"/>
  <c r="R40" i="13"/>
  <c r="AF31" i="19"/>
  <c r="AI30" i="19"/>
  <c r="AF40" i="13"/>
  <c r="AI39" i="13"/>
  <c r="K40" i="13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Y41" i="26" l="1"/>
  <c r="J132" i="21"/>
  <c r="K131" i="21"/>
  <c r="O131" i="21" s="1"/>
  <c r="AI122" i="21"/>
  <c r="AF123" i="21"/>
  <c r="R121" i="21"/>
  <c r="S120" i="21"/>
  <c r="T120" i="21" s="1"/>
  <c r="X120" i="21" s="1"/>
  <c r="Y120" i="21" s="1"/>
  <c r="O40" i="13"/>
  <c r="J43" i="26"/>
  <c r="K42" i="26"/>
  <c r="O42" i="26" s="1"/>
  <c r="AF38" i="26"/>
  <c r="AI37" i="26"/>
  <c r="S42" i="26"/>
  <c r="R43" i="26"/>
  <c r="T39" i="13"/>
  <c r="X38" i="13"/>
  <c r="Y38" i="13" s="1"/>
  <c r="S40" i="13"/>
  <c r="R41" i="13"/>
  <c r="AF32" i="19"/>
  <c r="AI31" i="19"/>
  <c r="AI40" i="13"/>
  <c r="AF41" i="13"/>
  <c r="K41" i="13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R122" i="21" l="1"/>
  <c r="S121" i="21"/>
  <c r="T121" i="21" s="1"/>
  <c r="X121" i="21" s="1"/>
  <c r="Y121" i="21" s="1"/>
  <c r="AF124" i="21"/>
  <c r="AI123" i="21"/>
  <c r="J133" i="21"/>
  <c r="K132" i="21"/>
  <c r="O132" i="21" s="1"/>
  <c r="O41" i="13"/>
  <c r="J44" i="26"/>
  <c r="K43" i="26"/>
  <c r="O43" i="26" s="1"/>
  <c r="T42" i="26"/>
  <c r="X42" i="26" s="1"/>
  <c r="Y42" i="26" s="1"/>
  <c r="S43" i="26"/>
  <c r="T43" i="26" s="1"/>
  <c r="X43" i="26" s="1"/>
  <c r="R44" i="26"/>
  <c r="AI38" i="26"/>
  <c r="AF39" i="26"/>
  <c r="X39" i="13"/>
  <c r="Y39" i="13" s="1"/>
  <c r="R42" i="13"/>
  <c r="S41" i="13"/>
  <c r="T40" i="13"/>
  <c r="AF33" i="19"/>
  <c r="AI32" i="19"/>
  <c r="AI41" i="13"/>
  <c r="AF42" i="13"/>
  <c r="K42" i="13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J134" i="21" l="1"/>
  <c r="K133" i="21"/>
  <c r="O133" i="21" s="1"/>
  <c r="AF125" i="21"/>
  <c r="AI124" i="21"/>
  <c r="S122" i="21"/>
  <c r="T122" i="21" s="1"/>
  <c r="X122" i="21" s="1"/>
  <c r="Y122" i="21" s="1"/>
  <c r="R123" i="21"/>
  <c r="O42" i="13"/>
  <c r="Y43" i="26"/>
  <c r="J45" i="26"/>
  <c r="K44" i="26"/>
  <c r="O44" i="26" s="1"/>
  <c r="S44" i="26"/>
  <c r="R45" i="26"/>
  <c r="AI39" i="26"/>
  <c r="AF40" i="26"/>
  <c r="X40" i="13"/>
  <c r="Y40" i="13" s="1"/>
  <c r="T41" i="13"/>
  <c r="S42" i="13"/>
  <c r="R43" i="13"/>
  <c r="AI33" i="19"/>
  <c r="AF34" i="19"/>
  <c r="AF43" i="13"/>
  <c r="AI42" i="13"/>
  <c r="K43" i="13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R124" i="21" l="1"/>
  <c r="S123" i="21"/>
  <c r="T123" i="21" s="1"/>
  <c r="X123" i="21" s="1"/>
  <c r="Y123" i="21" s="1"/>
  <c r="AI125" i="21"/>
  <c r="AF126" i="21"/>
  <c r="J135" i="21"/>
  <c r="K134" i="21"/>
  <c r="O134" i="21" s="1"/>
  <c r="O43" i="13"/>
  <c r="K45" i="26"/>
  <c r="O45" i="26" s="1"/>
  <c r="J46" i="26"/>
  <c r="T44" i="26"/>
  <c r="X44" i="26" s="1"/>
  <c r="Y44" i="26" s="1"/>
  <c r="AI40" i="26"/>
  <c r="AF41" i="26"/>
  <c r="S45" i="26"/>
  <c r="T45" i="26" s="1"/>
  <c r="X45" i="26" s="1"/>
  <c r="R46" i="26"/>
  <c r="X41" i="13"/>
  <c r="Y41" i="13" s="1"/>
  <c r="T42" i="13"/>
  <c r="R44" i="13"/>
  <c r="S43" i="13"/>
  <c r="AI34" i="19"/>
  <c r="AF35" i="19"/>
  <c r="AF44" i="13"/>
  <c r="AI43" i="13"/>
  <c r="K44" i="13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Y45" i="26" l="1"/>
  <c r="J136" i="21"/>
  <c r="K135" i="21"/>
  <c r="O135" i="21" s="1"/>
  <c r="AI126" i="21"/>
  <c r="AF127" i="21"/>
  <c r="R125" i="21"/>
  <c r="S124" i="21"/>
  <c r="T124" i="21" s="1"/>
  <c r="X124" i="21" s="1"/>
  <c r="Y124" i="21" s="1"/>
  <c r="O44" i="13"/>
  <c r="K46" i="26"/>
  <c r="O46" i="26" s="1"/>
  <c r="J47" i="26"/>
  <c r="AF42" i="26"/>
  <c r="AI41" i="26"/>
  <c r="S46" i="26"/>
  <c r="R47" i="26"/>
  <c r="X42" i="13"/>
  <c r="Y42" i="13" s="1"/>
  <c r="T43" i="13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S125" i="21" l="1"/>
  <c r="T125" i="21" s="1"/>
  <c r="X125" i="21" s="1"/>
  <c r="Y125" i="21" s="1"/>
  <c r="R126" i="21"/>
  <c r="AF128" i="21"/>
  <c r="AI127" i="21"/>
  <c r="J137" i="21"/>
  <c r="K136" i="21"/>
  <c r="O136" i="21" s="1"/>
  <c r="O45" i="13"/>
  <c r="K47" i="26"/>
  <c r="O47" i="26" s="1"/>
  <c r="J48" i="26"/>
  <c r="T46" i="26"/>
  <c r="X46" i="26" s="1"/>
  <c r="Y46" i="26" s="1"/>
  <c r="S47" i="26"/>
  <c r="T47" i="26" s="1"/>
  <c r="X47" i="26" s="1"/>
  <c r="R48" i="26"/>
  <c r="AI42" i="26"/>
  <c r="AF43" i="26"/>
  <c r="X43" i="13"/>
  <c r="Y43" i="13" s="1"/>
  <c r="T44" i="13"/>
  <c r="R46" i="13"/>
  <c r="S45" i="13"/>
  <c r="R22" i="24"/>
  <c r="J33" i="24"/>
  <c r="K33" i="24" s="1"/>
  <c r="AI36" i="19"/>
  <c r="AF37" i="19"/>
  <c r="AF46" i="13"/>
  <c r="AI45" i="13"/>
  <c r="K46" i="13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J138" i="21" l="1"/>
  <c r="K137" i="21"/>
  <c r="O137" i="21" s="1"/>
  <c r="AF129" i="21"/>
  <c r="AI128" i="21"/>
  <c r="R127" i="21"/>
  <c r="S126" i="21"/>
  <c r="T126" i="21" s="1"/>
  <c r="X126" i="21" s="1"/>
  <c r="Y126" i="21" s="1"/>
  <c r="O46" i="13"/>
  <c r="Y47" i="26"/>
  <c r="J49" i="26"/>
  <c r="K48" i="26"/>
  <c r="O48" i="26" s="1"/>
  <c r="S48" i="26"/>
  <c r="R49" i="26"/>
  <c r="AF44" i="26"/>
  <c r="AI43" i="26"/>
  <c r="X44" i="13"/>
  <c r="Y44" i="13" s="1"/>
  <c r="T45" i="13"/>
  <c r="S46" i="13"/>
  <c r="R47" i="13"/>
  <c r="AI37" i="19"/>
  <c r="AF38" i="19"/>
  <c r="AF47" i="13"/>
  <c r="AI46" i="13"/>
  <c r="K47" i="13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R128" i="21" l="1"/>
  <c r="S127" i="21"/>
  <c r="T127" i="21" s="1"/>
  <c r="X127" i="21" s="1"/>
  <c r="Y127" i="21" s="1"/>
  <c r="AF130" i="21"/>
  <c r="AI129" i="21"/>
  <c r="J139" i="21"/>
  <c r="K138" i="21"/>
  <c r="O138" i="21" s="1"/>
  <c r="O47" i="13"/>
  <c r="K49" i="26"/>
  <c r="O49" i="26" s="1"/>
  <c r="J50" i="26"/>
  <c r="J51" i="26" s="1"/>
  <c r="AI44" i="26"/>
  <c r="AF45" i="26"/>
  <c r="S49" i="26"/>
  <c r="T49" i="26" s="1"/>
  <c r="X49" i="26" s="1"/>
  <c r="R50" i="26"/>
  <c r="T48" i="26"/>
  <c r="X48" i="26" s="1"/>
  <c r="Y48" i="26" s="1"/>
  <c r="X45" i="13"/>
  <c r="Y45" i="13" s="1"/>
  <c r="S47" i="13"/>
  <c r="R48" i="13"/>
  <c r="T46" i="13"/>
  <c r="AI38" i="19"/>
  <c r="AF39" i="19"/>
  <c r="AF48" i="13"/>
  <c r="AI47" i="13"/>
  <c r="K48" i="13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Y49" i="26" l="1"/>
  <c r="J140" i="21"/>
  <c r="K140" i="21" s="1"/>
  <c r="O140" i="21" s="1"/>
  <c r="D113" i="21" s="1"/>
  <c r="K139" i="21"/>
  <c r="O139" i="21" s="1"/>
  <c r="AI130" i="21"/>
  <c r="AF131" i="21"/>
  <c r="R129" i="21"/>
  <c r="S128" i="21"/>
  <c r="T128" i="21" s="1"/>
  <c r="X128" i="21" s="1"/>
  <c r="Y128" i="21" s="1"/>
  <c r="O48" i="13"/>
  <c r="J52" i="26"/>
  <c r="K51" i="26"/>
  <c r="O51" i="26" s="1"/>
  <c r="K50" i="26"/>
  <c r="O50" i="26" s="1"/>
  <c r="S50" i="26"/>
  <c r="R51" i="26"/>
  <c r="AF46" i="26"/>
  <c r="AI45" i="26"/>
  <c r="X46" i="13"/>
  <c r="Y46" i="13" s="1"/>
  <c r="S48" i="13"/>
  <c r="R49" i="13"/>
  <c r="T47" i="13"/>
  <c r="AF40" i="19"/>
  <c r="AI39" i="19"/>
  <c r="AF49" i="13"/>
  <c r="AI48" i="13"/>
  <c r="K49" i="13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R130" i="21" l="1"/>
  <c r="S129" i="21"/>
  <c r="T129" i="21" s="1"/>
  <c r="X129" i="21" s="1"/>
  <c r="Y129" i="21" s="1"/>
  <c r="AF132" i="21"/>
  <c r="AI131" i="21"/>
  <c r="O49" i="13"/>
  <c r="J53" i="26"/>
  <c r="K52" i="26"/>
  <c r="O52" i="26" s="1"/>
  <c r="AI46" i="26"/>
  <c r="AF47" i="26"/>
  <c r="S51" i="26"/>
  <c r="T51" i="26" s="1"/>
  <c r="X51" i="26" s="1"/>
  <c r="Y51" i="26" s="1"/>
  <c r="R52" i="26"/>
  <c r="T50" i="26"/>
  <c r="X50" i="26" s="1"/>
  <c r="Y50" i="26" s="1"/>
  <c r="T48" i="13"/>
  <c r="X47" i="13"/>
  <c r="Y47" i="13" s="1"/>
  <c r="S49" i="13"/>
  <c r="R50" i="13"/>
  <c r="AI40" i="19"/>
  <c r="AF41" i="19"/>
  <c r="AF50" i="13"/>
  <c r="AI49" i="13"/>
  <c r="K50" i="13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AF133" i="21" l="1"/>
  <c r="AI132" i="21"/>
  <c r="R131" i="21"/>
  <c r="S130" i="21"/>
  <c r="T130" i="21" s="1"/>
  <c r="X130" i="21" s="1"/>
  <c r="Y130" i="21" s="1"/>
  <c r="O50" i="13"/>
  <c r="J54" i="26"/>
  <c r="K53" i="26"/>
  <c r="O53" i="26" s="1"/>
  <c r="S52" i="26"/>
  <c r="R53" i="26"/>
  <c r="AI47" i="26"/>
  <c r="AF48" i="26"/>
  <c r="X48" i="13"/>
  <c r="Y48" i="13" s="1"/>
  <c r="R51" i="13"/>
  <c r="S50" i="13"/>
  <c r="T49" i="13"/>
  <c r="AF42" i="19"/>
  <c r="AI41" i="19"/>
  <c r="AI50" i="13"/>
  <c r="AF51" i="13"/>
  <c r="K51" i="13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S131" i="21" l="1"/>
  <c r="T131" i="21" s="1"/>
  <c r="X131" i="21" s="1"/>
  <c r="Y131" i="21" s="1"/>
  <c r="R132" i="21"/>
  <c r="AF134" i="21"/>
  <c r="AI133" i="21"/>
  <c r="O51" i="13"/>
  <c r="J55" i="26"/>
  <c r="K54" i="26"/>
  <c r="O54" i="26" s="1"/>
  <c r="AI48" i="26"/>
  <c r="AF49" i="26"/>
  <c r="S53" i="26"/>
  <c r="T53" i="26" s="1"/>
  <c r="X53" i="26" s="1"/>
  <c r="Y53" i="26" s="1"/>
  <c r="R54" i="26"/>
  <c r="T52" i="26"/>
  <c r="X52" i="26" s="1"/>
  <c r="Y52" i="26" s="1"/>
  <c r="T50" i="13"/>
  <c r="X49" i="13"/>
  <c r="Y49" i="13" s="1"/>
  <c r="R52" i="13"/>
  <c r="S51" i="13"/>
  <c r="AI42" i="19"/>
  <c r="AF43" i="19"/>
  <c r="AI51" i="13"/>
  <c r="AF52" i="13"/>
  <c r="K52" i="13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AI134" i="21" l="1"/>
  <c r="AF135" i="21"/>
  <c r="R133" i="21"/>
  <c r="S132" i="21"/>
  <c r="T132" i="21" s="1"/>
  <c r="X132" i="21" s="1"/>
  <c r="Y132" i="21" s="1"/>
  <c r="O52" i="13"/>
  <c r="J56" i="26"/>
  <c r="K55" i="26"/>
  <c r="O55" i="26" s="1"/>
  <c r="S54" i="26"/>
  <c r="R55" i="26"/>
  <c r="AF50" i="26"/>
  <c r="AI49" i="26"/>
  <c r="T51" i="13"/>
  <c r="X50" i="13"/>
  <c r="Y50" i="13" s="1"/>
  <c r="R53" i="13"/>
  <c r="S52" i="13"/>
  <c r="AF44" i="19"/>
  <c r="AI43" i="19"/>
  <c r="AI52" i="13"/>
  <c r="AF53" i="13"/>
  <c r="J57" i="19"/>
  <c r="K56" i="19"/>
  <c r="O56" i="19" s="1"/>
  <c r="K53" i="13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133" i="21" l="1"/>
  <c r="T133" i="21" s="1"/>
  <c r="X133" i="21" s="1"/>
  <c r="Y133" i="21" s="1"/>
  <c r="R134" i="21"/>
  <c r="AF136" i="21"/>
  <c r="AI135" i="21"/>
  <c r="O53" i="13"/>
  <c r="J57" i="26"/>
  <c r="K56" i="26"/>
  <c r="O56" i="26" s="1"/>
  <c r="AI50" i="26"/>
  <c r="AF51" i="26"/>
  <c r="S55" i="26"/>
  <c r="T55" i="26" s="1"/>
  <c r="X55" i="26" s="1"/>
  <c r="Y55" i="26" s="1"/>
  <c r="R56" i="26"/>
  <c r="T54" i="26"/>
  <c r="X54" i="26" s="1"/>
  <c r="Y54" i="26" s="1"/>
  <c r="T52" i="13"/>
  <c r="X51" i="13"/>
  <c r="Y51" i="13" s="1"/>
  <c r="S53" i="13"/>
  <c r="R54" i="13"/>
  <c r="AI44" i="19"/>
  <c r="AF45" i="19"/>
  <c r="AI53" i="13"/>
  <c r="AF54" i="13"/>
  <c r="K57" i="19"/>
  <c r="O57" i="19" s="1"/>
  <c r="J58" i="19"/>
  <c r="K54" i="13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AF137" i="21" l="1"/>
  <c r="AI136" i="21"/>
  <c r="S134" i="21"/>
  <c r="T134" i="21" s="1"/>
  <c r="X134" i="21" s="1"/>
  <c r="Y134" i="21" s="1"/>
  <c r="R135" i="21"/>
  <c r="O54" i="13"/>
  <c r="J58" i="26"/>
  <c r="K57" i="26"/>
  <c r="O57" i="26" s="1"/>
  <c r="S56" i="26"/>
  <c r="R57" i="26"/>
  <c r="AF52" i="26"/>
  <c r="AI51" i="26"/>
  <c r="X52" i="13"/>
  <c r="Y52" i="13" s="1"/>
  <c r="T53" i="13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135" i="21" l="1"/>
  <c r="T135" i="21" s="1"/>
  <c r="X135" i="21" s="1"/>
  <c r="Y135" i="21" s="1"/>
  <c r="R136" i="21"/>
  <c r="AI137" i="21"/>
  <c r="AF138" i="21"/>
  <c r="O55" i="13"/>
  <c r="K58" i="26"/>
  <c r="O58" i="26" s="1"/>
  <c r="J59" i="26"/>
  <c r="T56" i="26"/>
  <c r="X56" i="26" s="1"/>
  <c r="Y56" i="26" s="1"/>
  <c r="S57" i="26"/>
  <c r="T57" i="26" s="1"/>
  <c r="X57" i="26" s="1"/>
  <c r="Y57" i="26" s="1"/>
  <c r="R58" i="26"/>
  <c r="AI52" i="26"/>
  <c r="AF53" i="26"/>
  <c r="X53" i="13"/>
  <c r="Y53" i="13" s="1"/>
  <c r="T54" i="13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J57" i="13"/>
  <c r="R52" i="19"/>
  <c r="S51" i="19"/>
  <c r="T51" i="19" s="1"/>
  <c r="X51" i="19" s="1"/>
  <c r="Y55" i="18"/>
  <c r="AF62" i="18"/>
  <c r="AH60" i="18"/>
  <c r="AI59" i="18"/>
  <c r="AI138" i="21" l="1"/>
  <c r="AF139" i="21"/>
  <c r="R137" i="21"/>
  <c r="S136" i="21"/>
  <c r="T136" i="21" s="1"/>
  <c r="X136" i="21" s="1"/>
  <c r="Y136" i="21" s="1"/>
  <c r="O56" i="13"/>
  <c r="K59" i="26"/>
  <c r="O59" i="26" s="1"/>
  <c r="J60" i="26"/>
  <c r="S58" i="26"/>
  <c r="T58" i="26" s="1"/>
  <c r="X58" i="26" s="1"/>
  <c r="Y58" i="26" s="1"/>
  <c r="R59" i="26"/>
  <c r="AF54" i="26"/>
  <c r="AI53" i="26"/>
  <c r="X54" i="13"/>
  <c r="Y54" i="13" s="1"/>
  <c r="T55" i="13"/>
  <c r="R57" i="13"/>
  <c r="S56" i="13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J58" i="13"/>
  <c r="Y51" i="19"/>
  <c r="S52" i="19"/>
  <c r="T52" i="19" s="1"/>
  <c r="X52" i="19" s="1"/>
  <c r="Y52" i="19" s="1"/>
  <c r="R53" i="19"/>
  <c r="AH61" i="18"/>
  <c r="AI60" i="18"/>
  <c r="AF63" i="18"/>
  <c r="R138" i="21" l="1"/>
  <c r="S137" i="21"/>
  <c r="T137" i="21" s="1"/>
  <c r="X137" i="21" s="1"/>
  <c r="Y137" i="21" s="1"/>
  <c r="AF140" i="21"/>
  <c r="AI140" i="21" s="1"/>
  <c r="AI139" i="21"/>
  <c r="O57" i="13"/>
  <c r="J61" i="26"/>
  <c r="K60" i="26"/>
  <c r="O60" i="26" s="1"/>
  <c r="S59" i="26"/>
  <c r="T59" i="26" s="1"/>
  <c r="X59" i="26" s="1"/>
  <c r="Y59" i="26" s="1"/>
  <c r="R60" i="26"/>
  <c r="AI54" i="26"/>
  <c r="AF55" i="26"/>
  <c r="T56" i="13"/>
  <c r="X55" i="13"/>
  <c r="Y55" i="13" s="1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J59" i="13"/>
  <c r="S53" i="19"/>
  <c r="T53" i="19" s="1"/>
  <c r="X53" i="19" s="1"/>
  <c r="R54" i="19"/>
  <c r="AF64" i="18"/>
  <c r="AH62" i="18"/>
  <c r="AI61" i="18"/>
  <c r="R139" i="21" l="1"/>
  <c r="S138" i="21"/>
  <c r="T138" i="21" s="1"/>
  <c r="X138" i="21" s="1"/>
  <c r="Y138" i="21" s="1"/>
  <c r="O58" i="13"/>
  <c r="J62" i="26"/>
  <c r="K61" i="26"/>
  <c r="O61" i="26" s="1"/>
  <c r="AI55" i="26"/>
  <c r="AF56" i="26"/>
  <c r="S60" i="26"/>
  <c r="T60" i="26" s="1"/>
  <c r="X60" i="26" s="1"/>
  <c r="Y60" i="26" s="1"/>
  <c r="R61" i="26"/>
  <c r="X56" i="13"/>
  <c r="Y56" i="13" s="1"/>
  <c r="R59" i="13"/>
  <c r="S58" i="13"/>
  <c r="T57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J60" i="13"/>
  <c r="R55" i="19"/>
  <c r="S54" i="19"/>
  <c r="T54" i="19" s="1"/>
  <c r="X54" i="19" s="1"/>
  <c r="Y54" i="19" s="1"/>
  <c r="Y53" i="19"/>
  <c r="AH63" i="18"/>
  <c r="AI62" i="18"/>
  <c r="AF65" i="18"/>
  <c r="R140" i="21" l="1"/>
  <c r="S140" i="21" s="1"/>
  <c r="T140" i="21" s="1"/>
  <c r="X140" i="21" s="1"/>
  <c r="S139" i="21"/>
  <c r="T139" i="21" s="1"/>
  <c r="X139" i="21" s="1"/>
  <c r="Y139" i="21" s="1"/>
  <c r="O59" i="13"/>
  <c r="K62" i="26"/>
  <c r="O62" i="26" s="1"/>
  <c r="J63" i="26"/>
  <c r="S61" i="26"/>
  <c r="T61" i="26" s="1"/>
  <c r="X61" i="26" s="1"/>
  <c r="Y61" i="26" s="1"/>
  <c r="R62" i="26"/>
  <c r="AI56" i="26"/>
  <c r="AF57" i="26"/>
  <c r="X57" i="13"/>
  <c r="Y57" i="13" s="1"/>
  <c r="T58" i="13"/>
  <c r="S59" i="13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J61" i="13"/>
  <c r="AF66" i="18"/>
  <c r="AH64" i="18"/>
  <c r="AI63" i="18"/>
  <c r="Y140" i="21" l="1"/>
  <c r="C113" i="21"/>
  <c r="E113" i="21" s="1"/>
  <c r="C127" i="21" s="1"/>
  <c r="O60" i="13"/>
  <c r="K63" i="26"/>
  <c r="O63" i="26" s="1"/>
  <c r="J64" i="26"/>
  <c r="AF58" i="26"/>
  <c r="AI57" i="26"/>
  <c r="S62" i="26"/>
  <c r="T62" i="26" s="1"/>
  <c r="X62" i="26" s="1"/>
  <c r="Y62" i="26" s="1"/>
  <c r="R63" i="26"/>
  <c r="X58" i="13"/>
  <c r="Y58" i="13" s="1"/>
  <c r="T59" i="13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J62" i="13"/>
  <c r="AH65" i="18"/>
  <c r="AI64" i="18"/>
  <c r="AF67" i="18"/>
  <c r="F127" i="21" l="1"/>
  <c r="J21" i="24"/>
  <c r="O61" i="13"/>
  <c r="J65" i="26"/>
  <c r="K64" i="26"/>
  <c r="O64" i="26" s="1"/>
  <c r="S63" i="26"/>
  <c r="T63" i="26" s="1"/>
  <c r="X63" i="26" s="1"/>
  <c r="Y63" i="26" s="1"/>
  <c r="R64" i="26"/>
  <c r="AI58" i="26"/>
  <c r="AF59" i="26"/>
  <c r="X59" i="13"/>
  <c r="Y59" i="13" s="1"/>
  <c r="T60" i="13"/>
  <c r="S61" i="13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J63" i="13"/>
  <c r="AF68" i="18"/>
  <c r="AH66" i="18"/>
  <c r="AI65" i="18"/>
  <c r="K65" i="26" l="1"/>
  <c r="O65" i="26" s="1"/>
  <c r="J66" i="26"/>
  <c r="O62" i="13"/>
  <c r="AF60" i="26"/>
  <c r="AI59" i="26"/>
  <c r="S64" i="26"/>
  <c r="T64" i="26" s="1"/>
  <c r="X64" i="26" s="1"/>
  <c r="Y64" i="26" s="1"/>
  <c r="R65" i="26"/>
  <c r="X60" i="13"/>
  <c r="Y60" i="13" s="1"/>
  <c r="T61" i="13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J64" i="13"/>
  <c r="AH67" i="18"/>
  <c r="AI66" i="18"/>
  <c r="AF69" i="18"/>
  <c r="K66" i="26" l="1"/>
  <c r="O66" i="26" s="1"/>
  <c r="J67" i="26"/>
  <c r="S65" i="26"/>
  <c r="T65" i="26" s="1"/>
  <c r="X65" i="26" s="1"/>
  <c r="Y65" i="26" s="1"/>
  <c r="R66" i="26"/>
  <c r="O63" i="13"/>
  <c r="AI60" i="26"/>
  <c r="AF61" i="26"/>
  <c r="X61" i="13"/>
  <c r="Y61" i="13" s="1"/>
  <c r="T62" i="13"/>
  <c r="R64" i="13"/>
  <c r="S63" i="13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J65" i="13"/>
  <c r="AF70" i="18"/>
  <c r="AH68" i="18"/>
  <c r="AI67" i="18"/>
  <c r="S66" i="26" l="1"/>
  <c r="T66" i="26" s="1"/>
  <c r="X66" i="26" s="1"/>
  <c r="R67" i="26"/>
  <c r="K67" i="26"/>
  <c r="J68" i="26"/>
  <c r="O67" i="26"/>
  <c r="O64" i="13"/>
  <c r="AF62" i="26"/>
  <c r="AI61" i="26"/>
  <c r="T63" i="13"/>
  <c r="X62" i="13"/>
  <c r="Y62" i="13" s="1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J66" i="13"/>
  <c r="AH69" i="18"/>
  <c r="AI68" i="18"/>
  <c r="AF71" i="18"/>
  <c r="K68" i="26" l="1"/>
  <c r="O68" i="26" s="1"/>
  <c r="J69" i="26"/>
  <c r="S67" i="26"/>
  <c r="T67" i="26" s="1"/>
  <c r="X67" i="26" s="1"/>
  <c r="Y67" i="26" s="1"/>
  <c r="R68" i="26"/>
  <c r="Y66" i="26"/>
  <c r="O65" i="13"/>
  <c r="AI62" i="26"/>
  <c r="AF63" i="26"/>
  <c r="X63" i="13"/>
  <c r="Y63" i="13" s="1"/>
  <c r="T64" i="13"/>
  <c r="R66" i="13"/>
  <c r="S65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O67" i="18" s="1"/>
  <c r="J68" i="18"/>
  <c r="S66" i="18"/>
  <c r="T66" i="18" s="1"/>
  <c r="X66" i="18" s="1"/>
  <c r="Y66" i="18" s="1"/>
  <c r="R67" i="18"/>
  <c r="K66" i="13"/>
  <c r="J67" i="13"/>
  <c r="AF72" i="18"/>
  <c r="AH70" i="18"/>
  <c r="AI69" i="18"/>
  <c r="S68" i="26" l="1"/>
  <c r="T68" i="26" s="1"/>
  <c r="X68" i="26" s="1"/>
  <c r="R69" i="26"/>
  <c r="K69" i="26"/>
  <c r="O69" i="26" s="1"/>
  <c r="J70" i="26"/>
  <c r="O66" i="13"/>
  <c r="AI63" i="26"/>
  <c r="AF64" i="26"/>
  <c r="X64" i="13"/>
  <c r="Y64" i="13" s="1"/>
  <c r="T65" i="13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J68" i="13"/>
  <c r="AH71" i="18"/>
  <c r="AI70" i="18"/>
  <c r="AF73" i="18"/>
  <c r="K70" i="26" l="1"/>
  <c r="O70" i="26" s="1"/>
  <c r="J71" i="26"/>
  <c r="S69" i="26"/>
  <c r="T69" i="26" s="1"/>
  <c r="X69" i="26" s="1"/>
  <c r="Y69" i="26" s="1"/>
  <c r="R70" i="26"/>
  <c r="Y68" i="26"/>
  <c r="O67" i="13"/>
  <c r="AI64" i="26"/>
  <c r="AF65" i="26"/>
  <c r="X65" i="13"/>
  <c r="Y65" i="13" s="1"/>
  <c r="T66" i="13"/>
  <c r="S67" i="13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J69" i="13"/>
  <c r="AF74" i="18"/>
  <c r="AH72" i="18"/>
  <c r="AI71" i="18"/>
  <c r="S70" i="26" l="1"/>
  <c r="T70" i="26" s="1"/>
  <c r="X70" i="26" s="1"/>
  <c r="R71" i="26"/>
  <c r="AI65" i="26"/>
  <c r="AF66" i="26"/>
  <c r="J72" i="26"/>
  <c r="K71" i="26"/>
  <c r="O71" i="26" s="1"/>
  <c r="O68" i="13"/>
  <c r="T67" i="13"/>
  <c r="X66" i="13"/>
  <c r="Y66" i="13" s="1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J70" i="13"/>
  <c r="AH73" i="18"/>
  <c r="AI72" i="18"/>
  <c r="AF75" i="18"/>
  <c r="J73" i="26" l="1"/>
  <c r="K72" i="26"/>
  <c r="O72" i="26" s="1"/>
  <c r="AF67" i="26"/>
  <c r="AI66" i="26"/>
  <c r="S71" i="26"/>
  <c r="T71" i="26" s="1"/>
  <c r="X71" i="26" s="1"/>
  <c r="Y71" i="26" s="1"/>
  <c r="R72" i="26"/>
  <c r="Y70" i="26"/>
  <c r="O69" i="13"/>
  <c r="X67" i="13"/>
  <c r="Y67" i="13" s="1"/>
  <c r="R70" i="13"/>
  <c r="S69" i="13"/>
  <c r="T68" i="13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J71" i="13"/>
  <c r="AF76" i="18"/>
  <c r="AH74" i="18"/>
  <c r="AI73" i="18"/>
  <c r="AI67" i="26" l="1"/>
  <c r="AF68" i="26"/>
  <c r="S72" i="26"/>
  <c r="T72" i="26" s="1"/>
  <c r="X72" i="26" s="1"/>
  <c r="Y72" i="26" s="1"/>
  <c r="R73" i="26"/>
  <c r="K73" i="26"/>
  <c r="O73" i="26" s="1"/>
  <c r="J74" i="26"/>
  <c r="O70" i="13"/>
  <c r="T69" i="13"/>
  <c r="X68" i="13"/>
  <c r="Y68" i="13" s="1"/>
  <c r="R71" i="13"/>
  <c r="S70" i="13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J72" i="13"/>
  <c r="AH75" i="18"/>
  <c r="AI74" i="18"/>
  <c r="AF77" i="18"/>
  <c r="S73" i="26" l="1"/>
  <c r="T73" i="26" s="1"/>
  <c r="X73" i="26" s="1"/>
  <c r="R74" i="26"/>
  <c r="AF69" i="26"/>
  <c r="AI68" i="26"/>
  <c r="K74" i="26"/>
  <c r="O74" i="26" s="1"/>
  <c r="J75" i="26"/>
  <c r="O71" i="13"/>
  <c r="T70" i="13"/>
  <c r="X69" i="13"/>
  <c r="Y69" i="13" s="1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J73" i="13"/>
  <c r="AF78" i="18"/>
  <c r="AH76" i="18"/>
  <c r="AI75" i="18"/>
  <c r="K75" i="26" l="1"/>
  <c r="J76" i="26"/>
  <c r="O75" i="26"/>
  <c r="AI69" i="26"/>
  <c r="AF70" i="26"/>
  <c r="S74" i="26"/>
  <c r="T74" i="26" s="1"/>
  <c r="X74" i="26" s="1"/>
  <c r="Y74" i="26" s="1"/>
  <c r="R75" i="26"/>
  <c r="Y73" i="26"/>
  <c r="O72" i="13"/>
  <c r="X70" i="13"/>
  <c r="Y70" i="13" s="1"/>
  <c r="S72" i="13"/>
  <c r="R73" i="13"/>
  <c r="T71" i="13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J74" i="13"/>
  <c r="AH77" i="18"/>
  <c r="AI76" i="18"/>
  <c r="AF79" i="18"/>
  <c r="AF71" i="26" l="1"/>
  <c r="AI70" i="26"/>
  <c r="S75" i="26"/>
  <c r="T75" i="26" s="1"/>
  <c r="X75" i="26" s="1"/>
  <c r="Y75" i="26" s="1"/>
  <c r="R76" i="26"/>
  <c r="K76" i="26"/>
  <c r="O76" i="26" s="1"/>
  <c r="J77" i="26"/>
  <c r="O73" i="13"/>
  <c r="T72" i="13"/>
  <c r="X71" i="13"/>
  <c r="Y71" i="13" s="1"/>
  <c r="S73" i="13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O75" i="18" s="1"/>
  <c r="J76" i="18"/>
  <c r="S74" i="18"/>
  <c r="R75" i="18"/>
  <c r="K74" i="13"/>
  <c r="J75" i="13"/>
  <c r="AF80" i="18"/>
  <c r="AH78" i="18"/>
  <c r="AI77" i="18"/>
  <c r="K77" i="26" l="1"/>
  <c r="O77" i="26" s="1"/>
  <c r="J78" i="26"/>
  <c r="S76" i="26"/>
  <c r="T76" i="26" s="1"/>
  <c r="X76" i="26" s="1"/>
  <c r="Y76" i="26" s="1"/>
  <c r="R77" i="26"/>
  <c r="AF72" i="26"/>
  <c r="AI71" i="26"/>
  <c r="O74" i="13"/>
  <c r="T73" i="13"/>
  <c r="X72" i="13"/>
  <c r="Y72" i="13" s="1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J76" i="13"/>
  <c r="AH79" i="18"/>
  <c r="AI78" i="18"/>
  <c r="AF81" i="18"/>
  <c r="S77" i="26" l="1"/>
  <c r="T77" i="26" s="1"/>
  <c r="X77" i="26" s="1"/>
  <c r="Y77" i="26" s="1"/>
  <c r="R78" i="26"/>
  <c r="AF73" i="26"/>
  <c r="AI72" i="26"/>
  <c r="K78" i="26"/>
  <c r="O78" i="26" s="1"/>
  <c r="J79" i="26"/>
  <c r="O75" i="13"/>
  <c r="X73" i="13"/>
  <c r="Y73" i="13" s="1"/>
  <c r="S75" i="13"/>
  <c r="R76" i="13"/>
  <c r="T74" i="13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J77" i="13"/>
  <c r="AF82" i="18"/>
  <c r="AH80" i="18"/>
  <c r="AI79" i="18"/>
  <c r="K79" i="26" l="1"/>
  <c r="O79" i="26" s="1"/>
  <c r="J80" i="26"/>
  <c r="AF74" i="26"/>
  <c r="AI73" i="26"/>
  <c r="S78" i="26"/>
  <c r="T78" i="26" s="1"/>
  <c r="X78" i="26" s="1"/>
  <c r="Y78" i="26" s="1"/>
  <c r="R79" i="26"/>
  <c r="O76" i="13"/>
  <c r="T75" i="13"/>
  <c r="X74" i="13"/>
  <c r="Y74" i="13" s="1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J78" i="13"/>
  <c r="AH81" i="18"/>
  <c r="AI80" i="18"/>
  <c r="AF83" i="18"/>
  <c r="AF75" i="26" l="1"/>
  <c r="AI74" i="26"/>
  <c r="S79" i="26"/>
  <c r="T79" i="26" s="1"/>
  <c r="X79" i="26" s="1"/>
  <c r="Y79" i="26" s="1"/>
  <c r="R80" i="26"/>
  <c r="K80" i="26"/>
  <c r="O80" i="26" s="1"/>
  <c r="J81" i="26"/>
  <c r="O77" i="13"/>
  <c r="X75" i="13"/>
  <c r="Y75" i="13" s="1"/>
  <c r="T76" i="13"/>
  <c r="R78" i="13"/>
  <c r="S77" i="13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O79" i="18" s="1"/>
  <c r="J80" i="18"/>
  <c r="S78" i="18"/>
  <c r="T78" i="18" s="1"/>
  <c r="X78" i="18" s="1"/>
  <c r="Y78" i="18" s="1"/>
  <c r="R79" i="18"/>
  <c r="T77" i="18"/>
  <c r="X77" i="18" s="1"/>
  <c r="Y77" i="18" s="1"/>
  <c r="K78" i="13"/>
  <c r="J79" i="13"/>
  <c r="AF84" i="18"/>
  <c r="AH82" i="18"/>
  <c r="AI81" i="18"/>
  <c r="J82" i="26" l="1"/>
  <c r="K81" i="26"/>
  <c r="O81" i="26" s="1"/>
  <c r="S80" i="26"/>
  <c r="T80" i="26" s="1"/>
  <c r="X80" i="26" s="1"/>
  <c r="Y80" i="26" s="1"/>
  <c r="R81" i="26"/>
  <c r="AI75" i="26"/>
  <c r="AF76" i="26"/>
  <c r="O78" i="13"/>
  <c r="X76" i="13"/>
  <c r="Y76" i="13" s="1"/>
  <c r="T77" i="13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J80" i="13"/>
  <c r="AH83" i="18"/>
  <c r="AI82" i="18"/>
  <c r="AF85" i="18"/>
  <c r="S81" i="26" l="1"/>
  <c r="T81" i="26" s="1"/>
  <c r="X81" i="26" s="1"/>
  <c r="Y81" i="26" s="1"/>
  <c r="R82" i="26"/>
  <c r="AF77" i="26"/>
  <c r="AI76" i="26"/>
  <c r="K82" i="26"/>
  <c r="O82" i="26" s="1"/>
  <c r="J83" i="26"/>
  <c r="O79" i="13"/>
  <c r="X77" i="13"/>
  <c r="Y77" i="13" s="1"/>
  <c r="T78" i="13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J81" i="13"/>
  <c r="AF86" i="18"/>
  <c r="AH84" i="18"/>
  <c r="AI83" i="18"/>
  <c r="AI77" i="26" l="1"/>
  <c r="AF78" i="26"/>
  <c r="K83" i="26"/>
  <c r="O83" i="26" s="1"/>
  <c r="J84" i="26"/>
  <c r="S82" i="26"/>
  <c r="T82" i="26" s="1"/>
  <c r="X82" i="26" s="1"/>
  <c r="Y82" i="26" s="1"/>
  <c r="R83" i="26"/>
  <c r="O80" i="13"/>
  <c r="X78" i="13"/>
  <c r="Y78" i="13" s="1"/>
  <c r="R81" i="13"/>
  <c r="S80" i="13"/>
  <c r="T79" i="13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J82" i="13"/>
  <c r="AH85" i="18"/>
  <c r="AI84" i="18"/>
  <c r="AF87" i="18"/>
  <c r="S83" i="26" l="1"/>
  <c r="T83" i="26" s="1"/>
  <c r="X83" i="26" s="1"/>
  <c r="Y83" i="26" s="1"/>
  <c r="R84" i="26"/>
  <c r="K84" i="26"/>
  <c r="J85" i="26"/>
  <c r="O84" i="26"/>
  <c r="AF79" i="26"/>
  <c r="AI78" i="26"/>
  <c r="O81" i="13"/>
  <c r="X79" i="13"/>
  <c r="Y79" i="13" s="1"/>
  <c r="T80" i="13"/>
  <c r="S81" i="13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J83" i="13"/>
  <c r="AF88" i="18"/>
  <c r="AH86" i="18"/>
  <c r="AI85" i="18"/>
  <c r="K85" i="26" l="1"/>
  <c r="J86" i="26"/>
  <c r="O85" i="26"/>
  <c r="S84" i="26"/>
  <c r="T84" i="26" s="1"/>
  <c r="X84" i="26" s="1"/>
  <c r="Y84" i="26" s="1"/>
  <c r="R85" i="26"/>
  <c r="AF80" i="26"/>
  <c r="AI79" i="26"/>
  <c r="O82" i="13"/>
  <c r="T81" i="13"/>
  <c r="X80" i="13"/>
  <c r="Y80" i="13" s="1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J84" i="13"/>
  <c r="AH87" i="18"/>
  <c r="AI86" i="18"/>
  <c r="AF89" i="18"/>
  <c r="S85" i="26" l="1"/>
  <c r="T85" i="26" s="1"/>
  <c r="X85" i="26" s="1"/>
  <c r="Y85" i="26" s="1"/>
  <c r="R86" i="26"/>
  <c r="AF81" i="26"/>
  <c r="AI80" i="26"/>
  <c r="K86" i="26"/>
  <c r="O86" i="26" s="1"/>
  <c r="J87" i="26"/>
  <c r="O83" i="13"/>
  <c r="X81" i="13"/>
  <c r="Y81" i="13" s="1"/>
  <c r="T82" i="13"/>
  <c r="S83" i="13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J85" i="13"/>
  <c r="AF90" i="18"/>
  <c r="AH88" i="18"/>
  <c r="AI87" i="18"/>
  <c r="K87" i="26" l="1"/>
  <c r="O87" i="26" s="1"/>
  <c r="J88" i="26"/>
  <c r="AF82" i="26"/>
  <c r="AI81" i="26"/>
  <c r="S86" i="26"/>
  <c r="T86" i="26" s="1"/>
  <c r="X86" i="26" s="1"/>
  <c r="Y86" i="26" s="1"/>
  <c r="R87" i="26"/>
  <c r="O84" i="13"/>
  <c r="X82" i="13"/>
  <c r="Y82" i="13" s="1"/>
  <c r="T83" i="13"/>
  <c r="R85" i="13"/>
  <c r="S84" i="13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J86" i="13"/>
  <c r="AH89" i="18"/>
  <c r="AI88" i="18"/>
  <c r="AF91" i="18"/>
  <c r="S87" i="26" l="1"/>
  <c r="T87" i="26" s="1"/>
  <c r="X87" i="26" s="1"/>
  <c r="Y87" i="26" s="1"/>
  <c r="R88" i="26"/>
  <c r="AF83" i="26"/>
  <c r="AI82" i="26"/>
  <c r="K88" i="26"/>
  <c r="O88" i="26" s="1"/>
  <c r="J89" i="26"/>
  <c r="O85" i="13"/>
  <c r="X83" i="13"/>
  <c r="Y83" i="13" s="1"/>
  <c r="T84" i="13"/>
  <c r="R86" i="13"/>
  <c r="S85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J87" i="13"/>
  <c r="AF92" i="18"/>
  <c r="AH90" i="18"/>
  <c r="AI89" i="18"/>
  <c r="K89" i="26" l="1"/>
  <c r="J90" i="26"/>
  <c r="O89" i="26"/>
  <c r="AI83" i="26"/>
  <c r="AF84" i="26"/>
  <c r="S88" i="26"/>
  <c r="T88" i="26" s="1"/>
  <c r="X88" i="26" s="1"/>
  <c r="Y88" i="26" s="1"/>
  <c r="R89" i="26"/>
  <c r="O86" i="13"/>
  <c r="X84" i="13"/>
  <c r="Y84" i="13" s="1"/>
  <c r="T85" i="13"/>
  <c r="R87" i="13"/>
  <c r="S86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J88" i="13"/>
  <c r="AH91" i="18"/>
  <c r="AI90" i="18"/>
  <c r="AF93" i="18"/>
  <c r="AF85" i="26" l="1"/>
  <c r="AI84" i="26"/>
  <c r="S89" i="26"/>
  <c r="T89" i="26" s="1"/>
  <c r="X89" i="26" s="1"/>
  <c r="Y89" i="26" s="1"/>
  <c r="R90" i="26"/>
  <c r="K90" i="26"/>
  <c r="O90" i="26" s="1"/>
  <c r="J91" i="26"/>
  <c r="O87" i="13"/>
  <c r="X85" i="13"/>
  <c r="Y85" i="13" s="1"/>
  <c r="T86" i="13"/>
  <c r="R88" i="13"/>
  <c r="S87" i="13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J89" i="13"/>
  <c r="AF94" i="18"/>
  <c r="AH92" i="18"/>
  <c r="AI91" i="18"/>
  <c r="K91" i="26" l="1"/>
  <c r="J92" i="26"/>
  <c r="O91" i="26"/>
  <c r="S90" i="26"/>
  <c r="T90" i="26" s="1"/>
  <c r="X90" i="26" s="1"/>
  <c r="Y90" i="26" s="1"/>
  <c r="R91" i="26"/>
  <c r="AI85" i="26"/>
  <c r="AF86" i="26"/>
  <c r="O88" i="13"/>
  <c r="X86" i="13"/>
  <c r="Y86" i="13" s="1"/>
  <c r="T87" i="13"/>
  <c r="S88" i="13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O90" i="18" s="1"/>
  <c r="J91" i="18"/>
  <c r="S89" i="18"/>
  <c r="T89" i="18" s="1"/>
  <c r="X89" i="18" s="1"/>
  <c r="Y89" i="18" s="1"/>
  <c r="R90" i="18"/>
  <c r="K89" i="13"/>
  <c r="J90" i="13"/>
  <c r="AH93" i="18"/>
  <c r="AI92" i="18"/>
  <c r="AF95" i="18"/>
  <c r="AF96" i="18" s="1"/>
  <c r="S91" i="26" l="1"/>
  <c r="T91" i="26" s="1"/>
  <c r="X91" i="26" s="1"/>
  <c r="Y91" i="26" s="1"/>
  <c r="R92" i="26"/>
  <c r="K92" i="26"/>
  <c r="J93" i="26"/>
  <c r="O92" i="26"/>
  <c r="AF87" i="26"/>
  <c r="AI86" i="26"/>
  <c r="O89" i="13"/>
  <c r="X87" i="13"/>
  <c r="Y87" i="13" s="1"/>
  <c r="R90" i="13"/>
  <c r="S89" i="13"/>
  <c r="T88" i="13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J91" i="13"/>
  <c r="AH94" i="18"/>
  <c r="AI93" i="18"/>
  <c r="K93" i="26" l="1"/>
  <c r="O93" i="26" s="1"/>
  <c r="J94" i="26"/>
  <c r="S92" i="26"/>
  <c r="R93" i="26"/>
  <c r="AF88" i="26"/>
  <c r="AI87" i="26"/>
  <c r="O90" i="13"/>
  <c r="X88" i="13"/>
  <c r="Y88" i="13" s="1"/>
  <c r="T89" i="13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J92" i="13"/>
  <c r="AH95" i="18"/>
  <c r="AI94" i="18"/>
  <c r="AI88" i="26" l="1"/>
  <c r="AF89" i="26"/>
  <c r="T92" i="26"/>
  <c r="X92" i="26" s="1"/>
  <c r="Y92" i="26" s="1"/>
  <c r="S93" i="26"/>
  <c r="T93" i="26" s="1"/>
  <c r="X93" i="26" s="1"/>
  <c r="Y93" i="26" s="1"/>
  <c r="R94" i="26"/>
  <c r="K94" i="26"/>
  <c r="O94" i="26" s="1"/>
  <c r="J95" i="26"/>
  <c r="J96" i="26" s="1"/>
  <c r="O91" i="13"/>
  <c r="X89" i="13"/>
  <c r="Y89" i="13" s="1"/>
  <c r="T90" i="13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J93" i="13"/>
  <c r="K96" i="26" l="1"/>
  <c r="J97" i="26"/>
  <c r="O96" i="26"/>
  <c r="K95" i="26"/>
  <c r="O95" i="26" s="1"/>
  <c r="S94" i="26"/>
  <c r="T94" i="26" s="1"/>
  <c r="X94" i="26" s="1"/>
  <c r="Y94" i="26" s="1"/>
  <c r="R95" i="26"/>
  <c r="AF90" i="26"/>
  <c r="AI89" i="26"/>
  <c r="O92" i="13"/>
  <c r="X90" i="13"/>
  <c r="Y90" i="13" s="1"/>
  <c r="T91" i="13"/>
  <c r="R93" i="13"/>
  <c r="S92" i="13"/>
  <c r="AI83" i="19"/>
  <c r="AF84" i="19"/>
  <c r="S88" i="19"/>
  <c r="R89" i="19"/>
  <c r="AF93" i="13"/>
  <c r="AI92" i="13"/>
  <c r="K94" i="18"/>
  <c r="O94" i="18" s="1"/>
  <c r="J95" i="18"/>
  <c r="T92" i="18"/>
  <c r="X92" i="18" s="1"/>
  <c r="Y92" i="18" s="1"/>
  <c r="AH97" i="18"/>
  <c r="AI96" i="18"/>
  <c r="S93" i="18"/>
  <c r="R94" i="18"/>
  <c r="AF100" i="18"/>
  <c r="K93" i="13"/>
  <c r="J94" i="13"/>
  <c r="K97" i="26" l="1"/>
  <c r="O97" i="26" s="1"/>
  <c r="J98" i="26"/>
  <c r="S95" i="26"/>
  <c r="T95" i="26" s="1"/>
  <c r="X95" i="26" s="1"/>
  <c r="R96" i="26"/>
  <c r="AF91" i="26"/>
  <c r="AI90" i="26"/>
  <c r="O93" i="13"/>
  <c r="H21" i="24"/>
  <c r="H25" i="24" s="1"/>
  <c r="X91" i="13"/>
  <c r="Y91" i="13" s="1"/>
  <c r="T92" i="13"/>
  <c r="S93" i="13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J95" i="13"/>
  <c r="S96" i="26" l="1"/>
  <c r="R97" i="26"/>
  <c r="K98" i="26"/>
  <c r="J99" i="26"/>
  <c r="O98" i="26"/>
  <c r="Y95" i="26"/>
  <c r="AI91" i="26"/>
  <c r="AF92" i="26"/>
  <c r="O94" i="13"/>
  <c r="T93" i="13"/>
  <c r="X92" i="13"/>
  <c r="Y92" i="13" s="1"/>
  <c r="R95" i="13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J96" i="13"/>
  <c r="K99" i="26" l="1"/>
  <c r="O99" i="26" s="1"/>
  <c r="J100" i="26"/>
  <c r="S97" i="26"/>
  <c r="T97" i="26" s="1"/>
  <c r="X97" i="26" s="1"/>
  <c r="Y97" i="26" s="1"/>
  <c r="R98" i="26"/>
  <c r="T96" i="26"/>
  <c r="X96" i="26" s="1"/>
  <c r="AF93" i="26"/>
  <c r="AI92" i="26"/>
  <c r="O95" i="13"/>
  <c r="X93" i="13"/>
  <c r="Y93" i="13" s="1"/>
  <c r="T94" i="13"/>
  <c r="S95" i="13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J97" i="13"/>
  <c r="Y96" i="26" l="1"/>
  <c r="S98" i="26"/>
  <c r="T98" i="26" s="1"/>
  <c r="X98" i="26" s="1"/>
  <c r="Y98" i="26" s="1"/>
  <c r="R99" i="26"/>
  <c r="K100" i="26"/>
  <c r="O100" i="26" s="1"/>
  <c r="J101" i="26"/>
  <c r="AI93" i="26"/>
  <c r="AF94" i="26"/>
  <c r="O96" i="13"/>
  <c r="X94" i="13"/>
  <c r="Y94" i="13" s="1"/>
  <c r="T95" i="13"/>
  <c r="R97" i="13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J98" i="13"/>
  <c r="S99" i="26" l="1"/>
  <c r="T99" i="26" s="1"/>
  <c r="X99" i="26" s="1"/>
  <c r="R100" i="26"/>
  <c r="K101" i="26"/>
  <c r="O101" i="26" s="1"/>
  <c r="J102" i="26"/>
  <c r="AF95" i="26"/>
  <c r="AI94" i="26"/>
  <c r="O97" i="13"/>
  <c r="X95" i="13"/>
  <c r="Y95" i="13" s="1"/>
  <c r="T96" i="13"/>
  <c r="S97" i="13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J99" i="13"/>
  <c r="AI95" i="26" l="1"/>
  <c r="AF96" i="26"/>
  <c r="K102" i="26"/>
  <c r="O102" i="26" s="1"/>
  <c r="J103" i="26"/>
  <c r="S100" i="26"/>
  <c r="R101" i="26"/>
  <c r="Y99" i="26"/>
  <c r="O98" i="13"/>
  <c r="T97" i="13"/>
  <c r="X96" i="13"/>
  <c r="Y96" i="13" s="1"/>
  <c r="S98" i="13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J100" i="13"/>
  <c r="K103" i="26" l="1"/>
  <c r="J104" i="26"/>
  <c r="O103" i="26"/>
  <c r="AI96" i="26"/>
  <c r="AF97" i="26"/>
  <c r="S101" i="26"/>
  <c r="T101" i="26" s="1"/>
  <c r="X101" i="26" s="1"/>
  <c r="Y101" i="26" s="1"/>
  <c r="R102" i="26"/>
  <c r="T100" i="26"/>
  <c r="X100" i="26" s="1"/>
  <c r="O99" i="13"/>
  <c r="X97" i="13"/>
  <c r="Y97" i="13" s="1"/>
  <c r="R100" i="13"/>
  <c r="S99" i="13"/>
  <c r="T98" i="13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J101" i="13"/>
  <c r="Y100" i="26" l="1"/>
  <c r="AI97" i="26"/>
  <c r="AF98" i="26"/>
  <c r="K104" i="26"/>
  <c r="O104" i="26" s="1"/>
  <c r="J105" i="26"/>
  <c r="S102" i="26"/>
  <c r="T102" i="26" s="1"/>
  <c r="X102" i="26" s="1"/>
  <c r="Y102" i="26" s="1"/>
  <c r="R103" i="26"/>
  <c r="O100" i="13"/>
  <c r="T99" i="13"/>
  <c r="X98" i="13"/>
  <c r="Y98" i="13" s="1"/>
  <c r="S100" i="13"/>
  <c r="R101" i="13"/>
  <c r="Y94" i="19"/>
  <c r="C113" i="19"/>
  <c r="E113" i="19" s="1"/>
  <c r="C127" i="19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J102" i="13"/>
  <c r="K105" i="26" l="1"/>
  <c r="J106" i="26"/>
  <c r="O105" i="26"/>
  <c r="AF99" i="26"/>
  <c r="AI98" i="26"/>
  <c r="S103" i="26"/>
  <c r="T103" i="26" s="1"/>
  <c r="X103" i="26" s="1"/>
  <c r="Y103" i="26" s="1"/>
  <c r="R104" i="26"/>
  <c r="O101" i="13"/>
  <c r="T100" i="13"/>
  <c r="X99" i="13"/>
  <c r="Y99" i="13" s="1"/>
  <c r="R102" i="13"/>
  <c r="S101" i="13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J103" i="13"/>
  <c r="S104" i="26" l="1"/>
  <c r="T104" i="26" s="1"/>
  <c r="X104" i="26" s="1"/>
  <c r="Y104" i="26" s="1"/>
  <c r="R105" i="26"/>
  <c r="AF100" i="26"/>
  <c r="AI99" i="26"/>
  <c r="K106" i="26"/>
  <c r="O106" i="26" s="1"/>
  <c r="J107" i="26"/>
  <c r="O102" i="13"/>
  <c r="T101" i="13"/>
  <c r="X100" i="13"/>
  <c r="Y100" i="13" s="1"/>
  <c r="R103" i="13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J104" i="13"/>
  <c r="AF101" i="26" l="1"/>
  <c r="AI100" i="26"/>
  <c r="K107" i="26"/>
  <c r="O107" i="26" s="1"/>
  <c r="J108" i="26"/>
  <c r="S105" i="26"/>
  <c r="T105" i="26" s="1"/>
  <c r="X105" i="26" s="1"/>
  <c r="Y105" i="26" s="1"/>
  <c r="R106" i="26"/>
  <c r="O103" i="13"/>
  <c r="X101" i="13"/>
  <c r="Y101" i="13" s="1"/>
  <c r="T102" i="13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J105" i="13"/>
  <c r="S106" i="26" l="1"/>
  <c r="T106" i="26" s="1"/>
  <c r="X106" i="26" s="1"/>
  <c r="Y106" i="26" s="1"/>
  <c r="R107" i="26"/>
  <c r="K108" i="26"/>
  <c r="J109" i="26"/>
  <c r="O108" i="26"/>
  <c r="AF102" i="26"/>
  <c r="AI101" i="26"/>
  <c r="O104" i="13"/>
  <c r="X102" i="13"/>
  <c r="Y102" i="13" s="1"/>
  <c r="S104" i="13"/>
  <c r="R105" i="13"/>
  <c r="T103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J106" i="13"/>
  <c r="AI102" i="26" l="1"/>
  <c r="AF103" i="26"/>
  <c r="K109" i="26"/>
  <c r="O109" i="26" s="1"/>
  <c r="J110" i="26"/>
  <c r="S107" i="26"/>
  <c r="T107" i="26" s="1"/>
  <c r="X107" i="26" s="1"/>
  <c r="Y107" i="26" s="1"/>
  <c r="R108" i="26"/>
  <c r="O105" i="13"/>
  <c r="X103" i="13"/>
  <c r="Y103" i="13" s="1"/>
  <c r="T104" i="13"/>
  <c r="R106" i="13"/>
  <c r="S105" i="13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J107" i="13"/>
  <c r="AF104" i="26" l="1"/>
  <c r="AI103" i="26"/>
  <c r="S108" i="26"/>
  <c r="R109" i="26"/>
  <c r="K110" i="26"/>
  <c r="O110" i="26" s="1"/>
  <c r="J111" i="26"/>
  <c r="O106" i="13"/>
  <c r="T105" i="13"/>
  <c r="X104" i="13"/>
  <c r="Y104" i="13" s="1"/>
  <c r="S106" i="13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J108" i="13"/>
  <c r="S109" i="26" l="1"/>
  <c r="T109" i="26" s="1"/>
  <c r="X109" i="26" s="1"/>
  <c r="Y109" i="26" s="1"/>
  <c r="R110" i="26"/>
  <c r="T108" i="26"/>
  <c r="X108" i="26" s="1"/>
  <c r="Y108" i="26" s="1"/>
  <c r="K111" i="26"/>
  <c r="O111" i="26" s="1"/>
  <c r="J112" i="26"/>
  <c r="AI104" i="26"/>
  <c r="AF105" i="26"/>
  <c r="O107" i="13"/>
  <c r="T106" i="13"/>
  <c r="X105" i="13"/>
  <c r="Y105" i="13" s="1"/>
  <c r="S107" i="13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J109" i="13"/>
  <c r="K112" i="26" l="1"/>
  <c r="J113" i="26"/>
  <c r="O112" i="26"/>
  <c r="S110" i="26"/>
  <c r="T110" i="26" s="1"/>
  <c r="X110" i="26" s="1"/>
  <c r="Y110" i="26" s="1"/>
  <c r="R111" i="26"/>
  <c r="AF106" i="26"/>
  <c r="AI105" i="26"/>
  <c r="O108" i="13"/>
  <c r="T107" i="13"/>
  <c r="X106" i="13"/>
  <c r="Y106" i="13" s="1"/>
  <c r="R109" i="13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J110" i="13"/>
  <c r="AF107" i="26" l="1"/>
  <c r="AI106" i="26"/>
  <c r="K113" i="26"/>
  <c r="J114" i="26"/>
  <c r="O113" i="26"/>
  <c r="S111" i="26"/>
  <c r="T111" i="26" s="1"/>
  <c r="X111" i="26" s="1"/>
  <c r="Y111" i="26" s="1"/>
  <c r="R112" i="26"/>
  <c r="O109" i="13"/>
  <c r="X107" i="13"/>
  <c r="Y107" i="13" s="1"/>
  <c r="T108" i="13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J111" i="13"/>
  <c r="K114" i="26" l="1"/>
  <c r="O114" i="26" s="1"/>
  <c r="J115" i="26"/>
  <c r="S112" i="26"/>
  <c r="R113" i="26"/>
  <c r="AF108" i="26"/>
  <c r="AI107" i="26"/>
  <c r="O110" i="13"/>
  <c r="X108" i="13"/>
  <c r="Y108" i="13" s="1"/>
  <c r="R111" i="13"/>
  <c r="S110" i="13"/>
  <c r="T109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J112" i="13"/>
  <c r="AF109" i="26" l="1"/>
  <c r="AI108" i="26"/>
  <c r="T112" i="26"/>
  <c r="X112" i="26" s="1"/>
  <c r="Y112" i="26" s="1"/>
  <c r="K115" i="26"/>
  <c r="O115" i="26" s="1"/>
  <c r="J116" i="26"/>
  <c r="S113" i="26"/>
  <c r="T113" i="26" s="1"/>
  <c r="X113" i="26" s="1"/>
  <c r="Y113" i="26" s="1"/>
  <c r="R114" i="26"/>
  <c r="O111" i="13"/>
  <c r="T110" i="13"/>
  <c r="X109" i="13"/>
  <c r="Y109" i="13" s="1"/>
  <c r="R112" i="13"/>
  <c r="S111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J113" i="13"/>
  <c r="K116" i="26" l="1"/>
  <c r="J117" i="26"/>
  <c r="O116" i="26"/>
  <c r="S114" i="26"/>
  <c r="T114" i="26" s="1"/>
  <c r="X114" i="26" s="1"/>
  <c r="Y114" i="26" s="1"/>
  <c r="R115" i="26"/>
  <c r="AF110" i="26"/>
  <c r="AI109" i="26"/>
  <c r="O112" i="13"/>
  <c r="T111" i="13"/>
  <c r="X110" i="13"/>
  <c r="Y110" i="13" s="1"/>
  <c r="S112" i="13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J114" i="13"/>
  <c r="AI110" i="26" l="1"/>
  <c r="AF111" i="26"/>
  <c r="J118" i="26"/>
  <c r="K117" i="26"/>
  <c r="O117" i="26" s="1"/>
  <c r="S115" i="26"/>
  <c r="R116" i="26"/>
  <c r="O113" i="13"/>
  <c r="T112" i="13"/>
  <c r="X111" i="13"/>
  <c r="Y111" i="13" s="1"/>
  <c r="S113" i="13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J115" i="13"/>
  <c r="T115" i="26" l="1"/>
  <c r="X115" i="26" s="1"/>
  <c r="Y115" i="26" s="1"/>
  <c r="AF112" i="26"/>
  <c r="AI111" i="26"/>
  <c r="S116" i="26"/>
  <c r="T116" i="26" s="1"/>
  <c r="X116" i="26" s="1"/>
  <c r="Y116" i="26" s="1"/>
  <c r="R117" i="26"/>
  <c r="K118" i="26"/>
  <c r="O118" i="26" s="1"/>
  <c r="J119" i="26"/>
  <c r="O114" i="13"/>
  <c r="X112" i="13"/>
  <c r="Y112" i="13" s="1"/>
  <c r="R115" i="13"/>
  <c r="S114" i="13"/>
  <c r="T113" i="13"/>
  <c r="AF115" i="13"/>
  <c r="AI114" i="13"/>
  <c r="AH119" i="18"/>
  <c r="AI118" i="18"/>
  <c r="AF122" i="18"/>
  <c r="S115" i="18"/>
  <c r="R116" i="18"/>
  <c r="K116" i="18"/>
  <c r="O116" i="18" s="1"/>
  <c r="J117" i="18"/>
  <c r="K115" i="13"/>
  <c r="J116" i="13"/>
  <c r="K119" i="26" l="1"/>
  <c r="J120" i="26"/>
  <c r="O119" i="26"/>
  <c r="S117" i="26"/>
  <c r="R118" i="26"/>
  <c r="AI112" i="26"/>
  <c r="AF113" i="26"/>
  <c r="O115" i="13"/>
  <c r="X113" i="13"/>
  <c r="Y113" i="13" s="1"/>
  <c r="T114" i="13"/>
  <c r="R116" i="13"/>
  <c r="S115" i="13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J117" i="13"/>
  <c r="T117" i="26" l="1"/>
  <c r="X117" i="26" s="1"/>
  <c r="Y117" i="26" s="1"/>
  <c r="AF114" i="26"/>
  <c r="AI113" i="26"/>
  <c r="K120" i="26"/>
  <c r="O120" i="26" s="1"/>
  <c r="J121" i="26"/>
  <c r="S118" i="26"/>
  <c r="T118" i="26" s="1"/>
  <c r="X118" i="26" s="1"/>
  <c r="Y118" i="26" s="1"/>
  <c r="R119" i="26"/>
  <c r="O116" i="13"/>
  <c r="T115" i="13"/>
  <c r="X114" i="13"/>
  <c r="Y114" i="13" s="1"/>
  <c r="R117" i="13"/>
  <c r="S116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J118" i="13"/>
  <c r="K121" i="26" l="1"/>
  <c r="J122" i="26"/>
  <c r="O121" i="26"/>
  <c r="AF115" i="26"/>
  <c r="AI114" i="26"/>
  <c r="S119" i="26"/>
  <c r="R120" i="26"/>
  <c r="O117" i="13"/>
  <c r="X115" i="13"/>
  <c r="Y115" i="13" s="1"/>
  <c r="T116" i="13"/>
  <c r="R118" i="13"/>
  <c r="S117" i="13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J119" i="13"/>
  <c r="AF116" i="26" l="1"/>
  <c r="AI115" i="26"/>
  <c r="T119" i="26"/>
  <c r="X119" i="26" s="1"/>
  <c r="Y119" i="26" s="1"/>
  <c r="K122" i="26"/>
  <c r="O122" i="26" s="1"/>
  <c r="J123" i="26"/>
  <c r="S120" i="26"/>
  <c r="T120" i="26" s="1"/>
  <c r="X120" i="26" s="1"/>
  <c r="Y120" i="26" s="1"/>
  <c r="R121" i="26"/>
  <c r="O118" i="13"/>
  <c r="T117" i="13"/>
  <c r="X116" i="13"/>
  <c r="Y116" i="13" s="1"/>
  <c r="S118" i="13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J120" i="13"/>
  <c r="K123" i="26" l="1"/>
  <c r="J124" i="26"/>
  <c r="O123" i="26"/>
  <c r="S121" i="26"/>
  <c r="R122" i="26"/>
  <c r="AF117" i="26"/>
  <c r="AI116" i="26"/>
  <c r="O119" i="13"/>
  <c r="X117" i="13"/>
  <c r="Y117" i="13" s="1"/>
  <c r="R120" i="13"/>
  <c r="S119" i="13"/>
  <c r="T118" i="13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J121" i="13"/>
  <c r="AF118" i="26" l="1"/>
  <c r="AI117" i="26"/>
  <c r="S122" i="26"/>
  <c r="T122" i="26" s="1"/>
  <c r="X122" i="26" s="1"/>
  <c r="Y122" i="26" s="1"/>
  <c r="R123" i="26"/>
  <c r="K124" i="26"/>
  <c r="O124" i="26" s="1"/>
  <c r="J125" i="26"/>
  <c r="J126" i="26" s="1"/>
  <c r="T121" i="26"/>
  <c r="X121" i="26" s="1"/>
  <c r="Y121" i="26" s="1"/>
  <c r="O120" i="13"/>
  <c r="T119" i="13"/>
  <c r="X118" i="13"/>
  <c r="Y118" i="13" s="1"/>
  <c r="S120" i="13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J122" i="13"/>
  <c r="K126" i="26" l="1"/>
  <c r="J127" i="26"/>
  <c r="O126" i="26"/>
  <c r="S123" i="26"/>
  <c r="R124" i="26"/>
  <c r="K125" i="26"/>
  <c r="O125" i="26" s="1"/>
  <c r="AI118" i="26"/>
  <c r="AF119" i="26"/>
  <c r="O121" i="13"/>
  <c r="X119" i="13"/>
  <c r="Y119" i="13" s="1"/>
  <c r="T120" i="13"/>
  <c r="S121" i="13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J123" i="13"/>
  <c r="K127" i="26" l="1"/>
  <c r="J128" i="26"/>
  <c r="O127" i="26"/>
  <c r="AF120" i="26"/>
  <c r="AI119" i="26"/>
  <c r="S124" i="26"/>
  <c r="T124" i="26" s="1"/>
  <c r="X124" i="26" s="1"/>
  <c r="Y124" i="26" s="1"/>
  <c r="R125" i="26"/>
  <c r="T123" i="26"/>
  <c r="X123" i="26" s="1"/>
  <c r="Y123" i="26" s="1"/>
  <c r="O122" i="13"/>
  <c r="X120" i="13"/>
  <c r="Y120" i="13" s="1"/>
  <c r="S122" i="13"/>
  <c r="R123" i="13"/>
  <c r="T121" i="13"/>
  <c r="AF123" i="13"/>
  <c r="AI122" i="13"/>
  <c r="AH127" i="18"/>
  <c r="AI126" i="18"/>
  <c r="AF130" i="18"/>
  <c r="K124" i="18"/>
  <c r="O124" i="18" s="1"/>
  <c r="J125" i="18"/>
  <c r="S123" i="18"/>
  <c r="R124" i="18"/>
  <c r="K123" i="13"/>
  <c r="J124" i="13"/>
  <c r="K128" i="26" l="1"/>
  <c r="O128" i="26" s="1"/>
  <c r="J129" i="26"/>
  <c r="S125" i="26"/>
  <c r="T125" i="26" s="1"/>
  <c r="X125" i="26" s="1"/>
  <c r="Y125" i="26" s="1"/>
  <c r="R126" i="26"/>
  <c r="AI120" i="26"/>
  <c r="AF121" i="26"/>
  <c r="O123" i="13"/>
  <c r="X121" i="13"/>
  <c r="Y121" i="13" s="1"/>
  <c r="R124" i="13"/>
  <c r="S123" i="13"/>
  <c r="T122" i="13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J125" i="13"/>
  <c r="S126" i="26" l="1"/>
  <c r="T126" i="26" s="1"/>
  <c r="X126" i="26" s="1"/>
  <c r="R127" i="26"/>
  <c r="K129" i="26"/>
  <c r="J130" i="26"/>
  <c r="O129" i="26"/>
  <c r="AF122" i="26"/>
  <c r="AI121" i="26"/>
  <c r="J126" i="13"/>
  <c r="K126" i="13" s="1"/>
  <c r="O124" i="13"/>
  <c r="T123" i="13"/>
  <c r="X122" i="13"/>
  <c r="Y122" i="13" s="1"/>
  <c r="R125" i="13"/>
  <c r="S124" i="13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K130" i="26" l="1"/>
  <c r="O130" i="26" s="1"/>
  <c r="J131" i="26"/>
  <c r="S127" i="26"/>
  <c r="T127" i="26" s="1"/>
  <c r="X127" i="26" s="1"/>
  <c r="Y127" i="26" s="1"/>
  <c r="R128" i="26"/>
  <c r="Y126" i="26"/>
  <c r="AF123" i="26"/>
  <c r="AI122" i="26"/>
  <c r="O126" i="13"/>
  <c r="O125" i="13"/>
  <c r="T124" i="13"/>
  <c r="X123" i="13"/>
  <c r="Y123" i="13" s="1"/>
  <c r="S125" i="13"/>
  <c r="R126" i="13"/>
  <c r="AF126" i="13"/>
  <c r="AI125" i="13"/>
  <c r="K127" i="13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S128" i="26" l="1"/>
  <c r="T128" i="26" s="1"/>
  <c r="X128" i="26" s="1"/>
  <c r="R129" i="26"/>
  <c r="K131" i="26"/>
  <c r="J132" i="26"/>
  <c r="O131" i="26"/>
  <c r="AF124" i="26"/>
  <c r="AI123" i="26"/>
  <c r="O127" i="13"/>
  <c r="X124" i="13"/>
  <c r="Y124" i="13" s="1"/>
  <c r="T125" i="13"/>
  <c r="R127" i="13"/>
  <c r="S126" i="13"/>
  <c r="AF127" i="13"/>
  <c r="AI126" i="13"/>
  <c r="K128" i="13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K132" i="26" l="1"/>
  <c r="J133" i="26"/>
  <c r="O132" i="26"/>
  <c r="S129" i="26"/>
  <c r="T129" i="26" s="1"/>
  <c r="X129" i="26" s="1"/>
  <c r="Y129" i="26" s="1"/>
  <c r="R130" i="26"/>
  <c r="Y128" i="26"/>
  <c r="AF125" i="26"/>
  <c r="AI124" i="26"/>
  <c r="O128" i="13"/>
  <c r="X125" i="13"/>
  <c r="Y125" i="13" s="1"/>
  <c r="T126" i="13"/>
  <c r="S127" i="13"/>
  <c r="R128" i="13"/>
  <c r="K129" i="13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AI125" i="26" l="1"/>
  <c r="AF126" i="26"/>
  <c r="S130" i="26"/>
  <c r="T130" i="26" s="1"/>
  <c r="X130" i="26" s="1"/>
  <c r="R131" i="26"/>
  <c r="K133" i="26"/>
  <c r="J134" i="26"/>
  <c r="O133" i="26"/>
  <c r="O129" i="13"/>
  <c r="T127" i="13"/>
  <c r="X126" i="13"/>
  <c r="Y126" i="13" s="1"/>
  <c r="R129" i="13"/>
  <c r="S128" i="13"/>
  <c r="AF129" i="13"/>
  <c r="AI128" i="13"/>
  <c r="K130" i="13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J135" i="26" l="1"/>
  <c r="K134" i="26"/>
  <c r="O134" i="26" s="1"/>
  <c r="S131" i="26"/>
  <c r="T131" i="26" s="1"/>
  <c r="X131" i="26" s="1"/>
  <c r="Y131" i="26" s="1"/>
  <c r="R132" i="26"/>
  <c r="Y130" i="26"/>
  <c r="AF127" i="26"/>
  <c r="AI126" i="26"/>
  <c r="O130" i="13"/>
  <c r="X127" i="13"/>
  <c r="Y127" i="13" s="1"/>
  <c r="T128" i="13"/>
  <c r="S129" i="13"/>
  <c r="R130" i="13"/>
  <c r="AF130" i="13"/>
  <c r="AI129" i="13"/>
  <c r="K131" i="13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AI127" i="26" l="1"/>
  <c r="AF128" i="26"/>
  <c r="S132" i="26"/>
  <c r="T132" i="26" s="1"/>
  <c r="X132" i="26" s="1"/>
  <c r="R133" i="26"/>
  <c r="K135" i="26"/>
  <c r="J136" i="26"/>
  <c r="O135" i="26"/>
  <c r="O131" i="13"/>
  <c r="X128" i="13"/>
  <c r="Y128" i="13" s="1"/>
  <c r="T129" i="13"/>
  <c r="R131" i="13"/>
  <c r="S130" i="13"/>
  <c r="K132" i="13"/>
  <c r="J133" i="13"/>
  <c r="AF131" i="13"/>
  <c r="AI130" i="13"/>
  <c r="AF138" i="18"/>
  <c r="AH135" i="18"/>
  <c r="AI134" i="18"/>
  <c r="S131" i="18"/>
  <c r="R132" i="18"/>
  <c r="K132" i="18"/>
  <c r="O132" i="18" s="1"/>
  <c r="J133" i="18"/>
  <c r="K136" i="26" l="1"/>
  <c r="J137" i="26"/>
  <c r="O136" i="26"/>
  <c r="S133" i="26"/>
  <c r="T133" i="26" s="1"/>
  <c r="X133" i="26" s="1"/>
  <c r="Y133" i="26" s="1"/>
  <c r="R134" i="26"/>
  <c r="Y132" i="26"/>
  <c r="AI128" i="26"/>
  <c r="AF129" i="26"/>
  <c r="O132" i="13"/>
  <c r="T130" i="13"/>
  <c r="X129" i="13"/>
  <c r="Y129" i="13" s="1"/>
  <c r="S131" i="13"/>
  <c r="R132" i="13"/>
  <c r="K133" i="13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S134" i="26" l="1"/>
  <c r="T134" i="26" s="1"/>
  <c r="X134" i="26" s="1"/>
  <c r="R135" i="26"/>
  <c r="K137" i="26"/>
  <c r="O137" i="26" s="1"/>
  <c r="J138" i="26"/>
  <c r="AF130" i="26"/>
  <c r="AI129" i="26"/>
  <c r="O133" i="13"/>
  <c r="T131" i="13"/>
  <c r="X130" i="13"/>
  <c r="Y130" i="13" s="1"/>
  <c r="R133" i="13"/>
  <c r="S132" i="13"/>
  <c r="K134" i="13"/>
  <c r="J135" i="13"/>
  <c r="AF133" i="13"/>
  <c r="AI132" i="13"/>
  <c r="T132" i="18"/>
  <c r="X132" i="18" s="1"/>
  <c r="Y132" i="18" s="1"/>
  <c r="S133" i="18"/>
  <c r="R134" i="18"/>
  <c r="K134" i="18"/>
  <c r="O134" i="18" s="1"/>
  <c r="J135" i="18"/>
  <c r="AF140" i="18"/>
  <c r="AH137" i="18"/>
  <c r="AI136" i="18"/>
  <c r="K138" i="26" l="1"/>
  <c r="O138" i="26" s="1"/>
  <c r="J139" i="26"/>
  <c r="AF131" i="26"/>
  <c r="AI130" i="26"/>
  <c r="S135" i="26"/>
  <c r="T135" i="26" s="1"/>
  <c r="X135" i="26" s="1"/>
  <c r="Y135" i="26" s="1"/>
  <c r="R136" i="26"/>
  <c r="Y134" i="26"/>
  <c r="O134" i="13"/>
  <c r="T132" i="13"/>
  <c r="X131" i="13"/>
  <c r="Y131" i="13" s="1"/>
  <c r="R134" i="13"/>
  <c r="S133" i="13"/>
  <c r="AF134" i="13"/>
  <c r="AI133" i="13"/>
  <c r="K135" i="13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AF132" i="26" l="1"/>
  <c r="AI131" i="26"/>
  <c r="S136" i="26"/>
  <c r="T136" i="26" s="1"/>
  <c r="X136" i="26" s="1"/>
  <c r="Y136" i="26" s="1"/>
  <c r="R137" i="26"/>
  <c r="K139" i="26"/>
  <c r="O139" i="26" s="1"/>
  <c r="J140" i="26"/>
  <c r="O135" i="13"/>
  <c r="T133" i="13"/>
  <c r="X132" i="13"/>
  <c r="Y132" i="13" s="1"/>
  <c r="S134" i="13"/>
  <c r="R135" i="13"/>
  <c r="K136" i="13"/>
  <c r="J137" i="13"/>
  <c r="AF135" i="13"/>
  <c r="AI134" i="13"/>
  <c r="AF142" i="18"/>
  <c r="K136" i="18"/>
  <c r="O136" i="18" s="1"/>
  <c r="J137" i="18"/>
  <c r="AH139" i="18"/>
  <c r="AI138" i="18"/>
  <c r="S135" i="18"/>
  <c r="R136" i="18"/>
  <c r="S137" i="26" l="1"/>
  <c r="T137" i="26" s="1"/>
  <c r="X137" i="26" s="1"/>
  <c r="Y137" i="26" s="1"/>
  <c r="R138" i="26"/>
  <c r="K140" i="26"/>
  <c r="O140" i="26" s="1"/>
  <c r="D113" i="26" s="1"/>
  <c r="AF133" i="26"/>
  <c r="AI132" i="26"/>
  <c r="O136" i="13"/>
  <c r="X133" i="13"/>
  <c r="Y133" i="13" s="1"/>
  <c r="T134" i="13"/>
  <c r="R136" i="13"/>
  <c r="S135" i="13"/>
  <c r="AF136" i="13"/>
  <c r="AI135" i="13"/>
  <c r="K137" i="13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AI133" i="26" l="1"/>
  <c r="AF134" i="26"/>
  <c r="S138" i="26"/>
  <c r="T138" i="26" s="1"/>
  <c r="X138" i="26" s="1"/>
  <c r="Y138" i="26" s="1"/>
  <c r="R139" i="26"/>
  <c r="O137" i="13"/>
  <c r="X134" i="13"/>
  <c r="Y134" i="13" s="1"/>
  <c r="T135" i="13"/>
  <c r="R137" i="13"/>
  <c r="S136" i="13"/>
  <c r="K138" i="13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S139" i="26" l="1"/>
  <c r="T139" i="26" s="1"/>
  <c r="X139" i="26" s="1"/>
  <c r="Y139" i="26" s="1"/>
  <c r="R140" i="26"/>
  <c r="S140" i="26" s="1"/>
  <c r="T140" i="26" s="1"/>
  <c r="X140" i="26" s="1"/>
  <c r="AF135" i="26"/>
  <c r="AI134" i="26"/>
  <c r="O138" i="13"/>
  <c r="T136" i="13"/>
  <c r="X135" i="13"/>
  <c r="Y135" i="13" s="1"/>
  <c r="S137" i="13"/>
  <c r="R138" i="13"/>
  <c r="AF138" i="13"/>
  <c r="AI137" i="13"/>
  <c r="K139" i="13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AI135" i="26" l="1"/>
  <c r="AF136" i="26"/>
  <c r="Y140" i="26"/>
  <c r="C113" i="26"/>
  <c r="E113" i="26" s="1"/>
  <c r="C127" i="26" s="1"/>
  <c r="O139" i="13"/>
  <c r="X136" i="13"/>
  <c r="Y136" i="13" s="1"/>
  <c r="T137" i="13"/>
  <c r="R139" i="13"/>
  <c r="S138" i="13"/>
  <c r="AF139" i="13"/>
  <c r="AI138" i="13"/>
  <c r="K140" i="13"/>
  <c r="J141" i="13"/>
  <c r="AF146" i="18"/>
  <c r="S139" i="18"/>
  <c r="R140" i="18"/>
  <c r="K140" i="18"/>
  <c r="O140" i="18" s="1"/>
  <c r="J141" i="18"/>
  <c r="AH143" i="18"/>
  <c r="AI142" i="18"/>
  <c r="AF137" i="26" l="1"/>
  <c r="AI136" i="26"/>
  <c r="F127" i="26"/>
  <c r="I21" i="24"/>
  <c r="O140" i="13"/>
  <c r="X137" i="13"/>
  <c r="Y137" i="13" s="1"/>
  <c r="T138" i="13"/>
  <c r="S139" i="13"/>
  <c r="R140" i="13"/>
  <c r="K141" i="13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I25" i="24" l="1"/>
  <c r="AF138" i="26"/>
  <c r="AI137" i="26"/>
  <c r="O141" i="13"/>
  <c r="X138" i="13"/>
  <c r="Y138" i="13" s="1"/>
  <c r="T139" i="13"/>
  <c r="R141" i="13"/>
  <c r="S140" i="13"/>
  <c r="AF141" i="13"/>
  <c r="AI140" i="13"/>
  <c r="K142" i="13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AF139" i="26" l="1"/>
  <c r="AI138" i="26"/>
  <c r="O142" i="13"/>
  <c r="T140" i="13"/>
  <c r="X139" i="13"/>
  <c r="Y139" i="13" s="1"/>
  <c r="R142" i="13"/>
  <c r="S141" i="13"/>
  <c r="AF142" i="13"/>
  <c r="AI141" i="13"/>
  <c r="K143" i="13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AI139" i="26" l="1"/>
  <c r="AF140" i="26"/>
  <c r="AI140" i="26" s="1"/>
  <c r="O143" i="13"/>
  <c r="T141" i="13"/>
  <c r="X140" i="13"/>
  <c r="Y140" i="13" s="1"/>
  <c r="R143" i="13"/>
  <c r="S142" i="13"/>
  <c r="AF143" i="13"/>
  <c r="AI142" i="13"/>
  <c r="K144" i="13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O144" i="13" l="1"/>
  <c r="T142" i="13"/>
  <c r="X141" i="13"/>
  <c r="Y141" i="13" s="1"/>
  <c r="S143" i="13"/>
  <c r="R144" i="13"/>
  <c r="AF144" i="13"/>
  <c r="AI143" i="13"/>
  <c r="K145" i="13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O145" i="13" l="1"/>
  <c r="T143" i="13"/>
  <c r="X142" i="13"/>
  <c r="Y142" i="13" s="1"/>
  <c r="S144" i="13"/>
  <c r="R145" i="13"/>
  <c r="AF145" i="13"/>
  <c r="AI144" i="13"/>
  <c r="K146" i="13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O146" i="13" l="1"/>
  <c r="X143" i="13"/>
  <c r="Y143" i="13" s="1"/>
  <c r="R146" i="13"/>
  <c r="S145" i="13"/>
  <c r="T144" i="13"/>
  <c r="K147" i="13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O147" i="13" l="1"/>
  <c r="X144" i="13"/>
  <c r="Y144" i="13" s="1"/>
  <c r="T145" i="13"/>
  <c r="S146" i="13"/>
  <c r="R147" i="13"/>
  <c r="AF147" i="13"/>
  <c r="AI146" i="13"/>
  <c r="K148" i="13"/>
  <c r="J149" i="13"/>
  <c r="S147" i="18"/>
  <c r="R148" i="18"/>
  <c r="K148" i="18"/>
  <c r="O148" i="18" s="1"/>
  <c r="J149" i="18"/>
  <c r="AH151" i="18"/>
  <c r="AI150" i="18"/>
  <c r="AF154" i="18"/>
  <c r="O148" i="13" l="1"/>
  <c r="X145" i="13"/>
  <c r="Y145" i="13" s="1"/>
  <c r="T146" i="13"/>
  <c r="S147" i="13"/>
  <c r="R148" i="13"/>
  <c r="AF148" i="13"/>
  <c r="AI147" i="13"/>
  <c r="K149" i="13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O149" i="13" l="1"/>
  <c r="T147" i="13"/>
  <c r="X146" i="13"/>
  <c r="Y146" i="13" s="1"/>
  <c r="S148" i="13"/>
  <c r="R149" i="13"/>
  <c r="AF149" i="13"/>
  <c r="AI148" i="13"/>
  <c r="J151" i="13"/>
  <c r="K150" i="13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O150" i="13" l="1"/>
  <c r="X147" i="13"/>
  <c r="Y147" i="13" s="1"/>
  <c r="S149" i="13"/>
  <c r="R150" i="13"/>
  <c r="T148" i="13"/>
  <c r="AF150" i="13"/>
  <c r="AI149" i="13"/>
  <c r="K151" i="13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O151" i="13" l="1"/>
  <c r="T149" i="13"/>
  <c r="X148" i="13"/>
  <c r="Y148" i="13" s="1"/>
  <c r="R151" i="13"/>
  <c r="S150" i="13"/>
  <c r="K152" i="13"/>
  <c r="J153" i="13"/>
  <c r="AF151" i="13"/>
  <c r="AI150" i="13"/>
  <c r="S151" i="18"/>
  <c r="R152" i="18"/>
  <c r="K152" i="18"/>
  <c r="O152" i="18" s="1"/>
  <c r="J153" i="18"/>
  <c r="AF158" i="18"/>
  <c r="AH155" i="18"/>
  <c r="AI154" i="18"/>
  <c r="O152" i="13" l="1"/>
  <c r="X149" i="13"/>
  <c r="Y149" i="13" s="1"/>
  <c r="T150" i="13"/>
  <c r="S151" i="13"/>
  <c r="R152" i="13"/>
  <c r="K153" i="13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O153" i="13" l="1"/>
  <c r="X150" i="13"/>
  <c r="Y150" i="13" s="1"/>
  <c r="T151" i="13"/>
  <c r="S152" i="13"/>
  <c r="R153" i="13"/>
  <c r="AF153" i="13"/>
  <c r="AI152" i="13"/>
  <c r="K154" i="13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O154" i="13" l="1"/>
  <c r="X151" i="13"/>
  <c r="Y151" i="13" s="1"/>
  <c r="T152" i="13"/>
  <c r="S153" i="13"/>
  <c r="R154" i="13"/>
  <c r="K155" i="13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O155" i="13" l="1"/>
  <c r="X152" i="13"/>
  <c r="Y152" i="13" s="1"/>
  <c r="S154" i="13"/>
  <c r="R155" i="13"/>
  <c r="T153" i="13"/>
  <c r="K156" i="13"/>
  <c r="J157" i="13"/>
  <c r="AF155" i="13"/>
  <c r="AI154" i="13"/>
  <c r="K156" i="18"/>
  <c r="O156" i="18" s="1"/>
  <c r="J157" i="18"/>
  <c r="S155" i="18"/>
  <c r="R156" i="18"/>
  <c r="AF162" i="18"/>
  <c r="AH159" i="18"/>
  <c r="AI158" i="18"/>
  <c r="O156" i="13" l="1"/>
  <c r="T154" i="13"/>
  <c r="X153" i="13"/>
  <c r="Y153" i="13" s="1"/>
  <c r="S155" i="13"/>
  <c r="R156" i="13"/>
  <c r="AF156" i="13"/>
  <c r="AI155" i="13"/>
  <c r="K157" i="13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O157" i="13" l="1"/>
  <c r="X154" i="13"/>
  <c r="Y154" i="13" s="1"/>
  <c r="S156" i="13"/>
  <c r="R157" i="13"/>
  <c r="T155" i="13"/>
  <c r="AF157" i="13"/>
  <c r="AI156" i="13"/>
  <c r="K158" i="13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O158" i="13" l="1"/>
  <c r="T156" i="13"/>
  <c r="X155" i="13"/>
  <c r="Y155" i="13" s="1"/>
  <c r="R158" i="13"/>
  <c r="S157" i="13"/>
  <c r="K159" i="13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O159" i="13" l="1"/>
  <c r="X156" i="13"/>
  <c r="Y156" i="13" s="1"/>
  <c r="T157" i="13"/>
  <c r="S158" i="13"/>
  <c r="R159" i="13"/>
  <c r="K160" i="13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O160" i="13" l="1"/>
  <c r="X157" i="13"/>
  <c r="Y157" i="13" s="1"/>
  <c r="T158" i="13"/>
  <c r="S159" i="13"/>
  <c r="R160" i="13"/>
  <c r="AF160" i="13"/>
  <c r="AI159" i="13"/>
  <c r="K161" i="13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O161" i="13" l="1"/>
  <c r="X158" i="13"/>
  <c r="Y158" i="13" s="1"/>
  <c r="R161" i="13"/>
  <c r="S160" i="13"/>
  <c r="T159" i="13"/>
  <c r="K162" i="13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O162" i="13" l="1"/>
  <c r="X159" i="13"/>
  <c r="Y159" i="13" s="1"/>
  <c r="T160" i="13"/>
  <c r="S161" i="13"/>
  <c r="R162" i="13"/>
  <c r="AF162" i="13"/>
  <c r="AI161" i="13"/>
  <c r="K163" i="13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O163" i="13" l="1"/>
  <c r="X160" i="13"/>
  <c r="Y160" i="13" s="1"/>
  <c r="T161" i="13"/>
  <c r="S162" i="13"/>
  <c r="R163" i="13"/>
  <c r="K164" i="13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O164" i="13" l="1"/>
  <c r="X161" i="13"/>
  <c r="Y161" i="13" s="1"/>
  <c r="T162" i="13"/>
  <c r="R164" i="13"/>
  <c r="S163" i="13"/>
  <c r="AF164" i="13"/>
  <c r="AI163" i="13"/>
  <c r="K165" i="13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O165" i="13" l="1"/>
  <c r="X162" i="13"/>
  <c r="Y162" i="13" s="1"/>
  <c r="T163" i="13"/>
  <c r="R165" i="13"/>
  <c r="S164" i="13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T164" i="13" l="1"/>
  <c r="X163" i="13"/>
  <c r="Y163" i="13" s="1"/>
  <c r="S165" i="13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T165" i="13" l="1"/>
  <c r="X164" i="13"/>
  <c r="AF174" i="18"/>
  <c r="AH171" i="18"/>
  <c r="AI170" i="18"/>
  <c r="S167" i="18"/>
  <c r="R168" i="18"/>
  <c r="K168" i="18"/>
  <c r="O168" i="18" s="1"/>
  <c r="J169" i="18"/>
  <c r="X165" i="13" l="1"/>
  <c r="Y165" i="13" s="1"/>
  <c r="K169" i="18"/>
  <c r="O169" i="18" s="1"/>
  <c r="J170" i="18"/>
  <c r="AH172" i="18"/>
  <c r="AI171" i="18"/>
  <c r="S168" i="18"/>
  <c r="R169" i="18"/>
  <c r="T167" i="18"/>
  <c r="X167" i="18" s="1"/>
  <c r="Y167" i="18" s="1"/>
  <c r="AF175" i="18"/>
  <c r="C113" i="13" l="1"/>
  <c r="E113" i="13" s="1"/>
  <c r="C127" i="13" s="1"/>
  <c r="E21" i="24" s="1"/>
  <c r="E25" i="24" s="1"/>
  <c r="AH173" i="18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F127" i="13" l="1"/>
  <c r="AF177" i="18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</calcChain>
</file>

<file path=xl/sharedStrings.xml><?xml version="1.0" encoding="utf-8"?>
<sst xmlns="http://schemas.openxmlformats.org/spreadsheetml/2006/main" count="2030" uniqueCount="306">
  <si>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</si>
  <si>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</si>
  <si>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</si>
  <si>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</si>
  <si>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</si>
  <si>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</si>
  <si>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</si>
  <si>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</si>
  <si>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</si>
  <si>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</si>
  <si>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</si>
  <si>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</si>
  <si>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</si>
  <si>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</si>
  <si>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</si>
  <si>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</si>
  <si>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</si>
  <si>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</si>
  <si>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</si>
  <si>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</si>
  <si>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</si>
  <si>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</si>
  <si>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</si>
  <si>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</si>
  <si>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</si>
  <si>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</si>
  <si>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</si>
  <si>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</si>
  <si>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</si>
  <si>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</si>
  <si>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</si>
  <si>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</si>
  <si>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</si>
  <si>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</si>
  <si>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</si>
  <si>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</si>
  <si>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</si>
  <si>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</si>
  <si>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</si>
  <si>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</si>
  <si>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</si>
  <si>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</si>
  <si>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</si>
  <si>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</si>
  <si>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</si>
  <si>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</si>
  <si>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</si>
  <si>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</si>
  <si>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</si>
  <si>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</si>
  <si>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</si>
  <si>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</si>
  <si>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</si>
  <si>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</si>
  <si>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</si>
  <si>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</si>
  <si>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</si>
  <si>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</si>
  <si>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</si>
  <si>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</si>
  <si>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</si>
  <si>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</si>
  <si>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</si>
  <si>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</si>
  <si>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</si>
  <si>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</si>
  <si>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</si>
  <si>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</si>
  <si>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</si>
  <si>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</si>
  <si>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</si>
  <si>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</si>
  <si>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</si>
  <si>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</si>
  <si>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</si>
  <si>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</si>
  <si>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</si>
  <si>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</si>
  <si>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</si>
  <si>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</si>
  <si>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</si>
  <si>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</si>
  <si>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</si>
  <si>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</si>
  <si>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</si>
  <si>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</si>
  <si>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</si>
  <si>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</si>
  <si>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</si>
  <si>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</si>
  <si>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</si>
  <si>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</si>
  <si>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</si>
  <si>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</si>
  <si>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</si>
  <si>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</si>
  <si>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</si>
  <si>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</si>
  <si>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</si>
  <si>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</si>
  <si>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</si>
  <si>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</si>
  <si>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</si>
  <si>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</si>
  <si>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</si>
  <si>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</si>
  <si>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</si>
  <si>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</si>
  <si>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</si>
  <si>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</si>
  <si>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</si>
  <si>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</si>
  <si>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</si>
  <si>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</si>
  <si>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</si>
  <si>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</si>
  <si>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</si>
  <si>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</si>
  <si>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</si>
  <si>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</si>
  <si>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</si>
  <si>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</si>
  <si>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</si>
  <si>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</si>
  <si>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</si>
  <si>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</si>
  <si>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</si>
  <si>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</si>
  <si>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</si>
  <si>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</si>
  <si>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</si>
  <si>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</si>
  <si>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</si>
  <si>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</si>
  <si>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</si>
  <si>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</si>
  <si>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</si>
  <si>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</si>
  <si>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</si>
  <si>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</si>
  <si>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</si>
  <si>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</si>
  <si>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</si>
  <si>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</si>
  <si>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</si>
  <si>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</si>
  <si>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</si>
  <si>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</si>
  <si>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</si>
  <si>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</si>
  <si>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</si>
  <si>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</si>
  <si>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</si>
  <si>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</si>
  <si>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</si>
  <si>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</si>
  <si>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</si>
  <si>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</si>
  <si>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</si>
  <si>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</si>
  <si>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</si>
  <si>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</si>
  <si>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</si>
  <si>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</si>
  <si>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</si>
  <si>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</si>
  <si>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</si>
  <si>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</si>
  <si>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</si>
  <si>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</si>
  <si>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</si>
  <si>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</si>
  <si>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</si>
  <si>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</si>
  <si>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</si>
  <si>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</si>
  <si>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</si>
  <si>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</si>
  <si>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</si>
  <si>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</si>
  <si>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</si>
  <si>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</si>
  <si>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</si>
  <si>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</si>
  <si>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</si>
  <si>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</si>
  <si>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</si>
  <si>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</si>
  <si>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</si>
  <si>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</si>
  <si>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</si>
  <si>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</si>
  <si>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</si>
  <si>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</si>
  <si>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</si>
  <si>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</si>
  <si>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</si>
  <si>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</si>
  <si>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</si>
  <si>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</si>
  <si>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</si>
  <si>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</si>
  <si>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</si>
  <si>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</si>
  <si>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</si>
  <si>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</si>
  <si>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</si>
  <si>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</si>
  <si>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</si>
  <si>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</si>
  <si>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</si>
  <si>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</si>
  <si>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</si>
  <si>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</si>
  <si>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</si>
  <si>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</si>
  <si>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</si>
  <si>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</si>
  <si>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</si>
  <si>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</si>
  <si>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</si>
  <si>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</si>
  <si>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</si>
  <si>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</si>
  <si>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</si>
  <si>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</si>
  <si>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</si>
  <si>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</si>
  <si>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</si>
  <si>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</si>
  <si>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</si>
  <si>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</si>
  <si>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</si>
  <si>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</si>
  <si>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</si>
  <si>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</si>
  <si>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</si>
  <si>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</si>
  <si>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</si>
  <si>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</si>
  <si>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</si>
  <si>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</si>
  <si>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</si>
  <si>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</si>
  <si>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</si>
  <si>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</si>
  <si>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</si>
  <si>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</si>
  <si>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</si>
  <si>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</si>
  <si>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</si>
  <si>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</si>
  <si>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</si>
  <si>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</si>
  <si>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</si>
  <si>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</si>
  <si>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</si>
  <si>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</si>
  <si>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</si>
  <si>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</si>
  <si>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</si>
  <si>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</si>
  <si>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</si>
  <si>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</si>
  <si>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Douglas</t>
  </si>
  <si>
    <t>Gibier/regarnis</t>
  </si>
  <si>
    <t>Forest Management Tables - Hummel and Christies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</si>
  <si>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cultures agricoles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</si>
  <si>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 l'état cultivé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</si>
  <si>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</si>
  <si>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Sequoia Sempervirens</t>
  </si>
  <si>
    <t>Classe de fertilité 6 (moyenne)</t>
  </si>
  <si>
    <t>Facteur expansion branche</t>
  </si>
  <si>
    <t>Indre-et-Loire (37)</t>
  </si>
  <si>
    <t>Centre-Val de Loire</t>
  </si>
  <si>
    <t>Pin Laricio de Corse</t>
  </si>
  <si>
    <t>http://documents.irevues.inist.fr/bitstream/handle/2042/24705/RFF_1965_12_818.pdf?sequence=1</t>
  </si>
  <si>
    <t>Classe de fertilité moyenne</t>
  </si>
  <si>
    <t>Tables de Décourt pour le pin laricio en Sologne - 1965</t>
  </si>
  <si>
    <t>Tables de Décourt pour le Douglas au Nord-Ouest du Massif Central</t>
  </si>
  <si>
    <t>Forte</t>
  </si>
  <si>
    <t>La Celle-Guenand</t>
  </si>
  <si>
    <t>https://nouvelle-aquitaine.cnpf.fr/data/cedre_rapport_juillet_2010.pdf</t>
  </si>
  <si>
    <t>https://bretagne-paysdelaloire.cnpf.fr/data/cedre_20de_20l_atlas_1.pdf</t>
  </si>
  <si>
    <t>https://www.researchgate.net/publication/331591354_Comprendre_et_agir_contre_le_deperissement_du_cedre_de_l'atlas_Cedrus_atlantica_en_Ardeche</t>
  </si>
  <si>
    <t>Tables de Jean Toth pour le Sud de la France</t>
  </si>
  <si>
    <t>Jean Toth - Le cèdre en France</t>
  </si>
  <si>
    <t>D'après les rapport des CRPF de Nouvelle-Aquitaine, Bretagne et Auvergne-Rhône-Alpes sur le Cèdre de l'Atlas, celui-ci présente une croissance très supérieure à celle modélisée dans les courbes de Jean Toth, très spécifiques au climat méditerranéen.
La classe de fertilité la plus élevée a donc été retenue (forte).</t>
  </si>
  <si>
    <t>Cèdre de l'Atlas (1/2)</t>
  </si>
  <si>
    <t>Cèdre de l'Atlas (2/2)</t>
  </si>
  <si>
    <t>Livre de Jean TOTH - Le cèdre en France</t>
  </si>
  <si>
    <t>CLASSE FERTILITE 1</t>
  </si>
  <si>
    <t>VOLUME SUR PIED AVANT ECLAIRCIE</t>
  </si>
  <si>
    <t>ECLAIRCIES</t>
  </si>
  <si>
    <t>VOLUME SUR PIED APRES ECLAIRCIE</t>
  </si>
  <si>
    <t xml:space="preserve">cumul </t>
  </si>
  <si>
    <t>coupe rase</t>
  </si>
  <si>
    <t>CUMUL</t>
  </si>
  <si>
    <t>Tables brittaniques pour le Sapin de Vancouver (suggérée par les tables britanniques)</t>
  </si>
  <si>
    <t>Aucune table n'est disponible pour cette essence en France à ce jour. 
Classe de fertilité 26 (forte)</t>
  </si>
  <si>
    <t>Tables anglaises pour le chêne</t>
  </si>
  <si>
    <t>Chene sessile</t>
  </si>
  <si>
    <t>e / Charme / Alisier / Cormier / Poirier</t>
  </si>
  <si>
    <t>Charme</t>
  </si>
  <si>
    <t>Tables anglaises pour le hêtre (équivalence proposée par les tables anglaises)</t>
  </si>
  <si>
    <t>Classe de fertilité 8 (forte)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</si>
</sst>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0.0&quot; €/ha/an&quot;"/>
    <numFmt numFmtId="177" formatCode="&quot;à N+&quot;0"/>
    <numFmt numFmtId="178" formatCode="0.0"/>
    <numFmt numFmtId="179" formatCode="_-* #,##0\ &quot;€&quot;_-;\-* #,##0\ &quot;€&quot;_-;_-* &quot;-&quot;??\ &quot;€&quot;_-;_-@_-"/>
    <numFmt numFmtId="180" formatCode="_-* #,##0.0\ _€_-;\-* #,##0.0\ _€_-;_-* &quot;-&quot;??\ _€_-;_-@_-"/>
    <numFmt numFmtId="181" formatCode="&quot;Année &quot;0"/>
    <numFmt numFmtId="182" formatCode="#,##0\ &quot;€&quot;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name val="Gill Sans MT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47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3" fillId="0" borderId="0" xfId="0" applyFont="1" applyAlignment="1">
      <alignment wrapText="1"/>
    </xf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0" fillId="0" borderId="38" xfId="1" applyNumberFormat="1" applyFont="1" applyBorder="1" applyAlignment="1">
      <alignment horizontal="center"/>
    </xf>
    <xf numFmtId="165" fontId="0" fillId="0" borderId="23" xfId="0" applyNumberFormat="1" applyBorder="1"/>
    <xf numFmtId="165" fontId="0" fillId="0" borderId="24" xfId="0" applyNumberFormat="1" applyBorder="1"/>
    <xf numFmtId="0" fontId="0" fillId="0" borderId="33" xfId="0" applyBorder="1"/>
    <xf numFmtId="0" fontId="0" fillId="0" borderId="34" xfId="0" applyBorder="1"/>
    <xf numFmtId="170" fontId="0" fillId="0" borderId="34" xfId="0" applyNumberFormat="1" applyBorder="1"/>
    <xf numFmtId="0" fontId="0" fillId="0" borderId="36" xfId="0" applyBorder="1"/>
    <xf numFmtId="170" fontId="0" fillId="0" borderId="37" xfId="0" applyNumberFormat="1" applyBorder="1"/>
    <xf numFmtId="0" fontId="0" fillId="0" borderId="40" xfId="0" applyBorder="1"/>
    <xf numFmtId="170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4" fontId="0" fillId="0" borderId="42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/>
    </xf>
    <xf numFmtId="165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7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7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7" fontId="11" fillId="0" borderId="38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2" fontId="12" fillId="0" borderId="55" xfId="0" applyNumberFormat="1" applyFont="1" applyBorder="1"/>
    <xf numFmtId="172" fontId="12" fillId="0" borderId="56" xfId="0" applyNumberFormat="1" applyFont="1" applyBorder="1"/>
    <xf numFmtId="171" fontId="14" fillId="0" borderId="47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8" fontId="13" fillId="0" borderId="48" xfId="0" applyNumberFormat="1" applyFont="1" applyBorder="1" applyAlignment="1">
      <alignment horizontal="center" vertical="center"/>
    </xf>
    <xf numFmtId="168" fontId="13" fillId="0" borderId="49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1" fontId="14" fillId="0" borderId="53" xfId="0" applyNumberFormat="1" applyFont="1" applyBorder="1" applyAlignment="1">
      <alignment horizontal="center" vertical="center"/>
    </xf>
    <xf numFmtId="168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170" fontId="2" fillId="3" borderId="31" xfId="0" applyNumberFormat="1" applyFont="1" applyFill="1" applyBorder="1"/>
    <xf numFmtId="170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0" fillId="0" borderId="41" xfId="0" applyNumberFormat="1" applyBorder="1"/>
    <xf numFmtId="165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5" fontId="0" fillId="0" borderId="29" xfId="1" applyNumberFormat="1" applyFont="1" applyBorder="1" applyAlignment="1">
      <alignment horizontal="center"/>
    </xf>
    <xf numFmtId="165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70" fontId="2" fillId="3" borderId="37" xfId="0" applyNumberFormat="1" applyFont="1" applyFill="1" applyBorder="1"/>
    <xf numFmtId="165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5" fontId="0" fillId="2" borderId="23" xfId="1" applyNumberFormat="1" applyFont="1" applyFill="1" applyBorder="1" applyAlignment="1">
      <alignment horizontal="center"/>
    </xf>
    <xf numFmtId="165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2" fontId="13" fillId="0" borderId="0" xfId="0" applyNumberFormat="1" applyFont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23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29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5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3" fontId="0" fillId="2" borderId="21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23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46" xfId="1" applyNumberFormat="1" applyFont="1" applyFill="1" applyBorder="1" applyAlignment="1">
      <alignment horizontal="center"/>
    </xf>
    <xf numFmtId="165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33" xfId="1" applyNumberFormat="1" applyFont="1" applyFill="1" applyBorder="1"/>
    <xf numFmtId="169" fontId="11" fillId="0" borderId="34" xfId="1" applyNumberFormat="1" applyFont="1" applyFill="1" applyBorder="1"/>
    <xf numFmtId="169" fontId="11" fillId="0" borderId="35" xfId="1" applyNumberFormat="1" applyFont="1" applyFill="1" applyBorder="1"/>
    <xf numFmtId="169" fontId="11" fillId="0" borderId="36" xfId="1" applyNumberFormat="1" applyFont="1" applyFill="1" applyBorder="1"/>
    <xf numFmtId="169" fontId="11" fillId="0" borderId="37" xfId="1" applyNumberFormat="1" applyFont="1" applyFill="1" applyBorder="1"/>
    <xf numFmtId="169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7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5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5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5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9" fontId="11" fillId="0" borderId="30" xfId="1" applyNumberFormat="1" applyFont="1" applyFill="1" applyBorder="1"/>
    <xf numFmtId="169" fontId="11" fillId="0" borderId="31" xfId="1" applyNumberFormat="1" applyFont="1" applyFill="1" applyBorder="1"/>
    <xf numFmtId="169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17" xfId="1" applyNumberFormat="1" applyFont="1" applyBorder="1" applyAlignment="1">
      <alignment horizontal="center" vertical="center" wrapText="1"/>
    </xf>
    <xf numFmtId="169" fontId="19" fillId="0" borderId="18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27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24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22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24" xfId="5" applyNumberFormat="1" applyFont="1" applyBorder="1" applyAlignment="1">
      <alignment horizontal="center"/>
    </xf>
    <xf numFmtId="178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9" fontId="18" fillId="0" borderId="76" xfId="4" applyNumberFormat="1" applyFont="1" applyFill="1" applyBorder="1"/>
    <xf numFmtId="1" fontId="11" fillId="0" borderId="77" xfId="0" applyNumberFormat="1" applyFont="1" applyFill="1" applyBorder="1"/>
    <xf numFmtId="179" fontId="18" fillId="0" borderId="78" xfId="4" applyNumberFormat="1" applyFont="1" applyFill="1" applyBorder="1"/>
    <xf numFmtId="173" fontId="11" fillId="0" borderId="79" xfId="0" applyNumberFormat="1" applyFont="1" applyFill="1" applyBorder="1"/>
    <xf numFmtId="179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5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9" fontId="11" fillId="0" borderId="84" xfId="1" applyNumberFormat="1" applyFont="1" applyFill="1" applyBorder="1"/>
    <xf numFmtId="169" fontId="11" fillId="0" borderId="85" xfId="1" applyNumberFormat="1" applyFont="1" applyFill="1" applyBorder="1"/>
    <xf numFmtId="169" fontId="11" fillId="0" borderId="87" xfId="1" applyNumberFormat="1" applyFont="1" applyFill="1" applyBorder="1"/>
    <xf numFmtId="179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91" xfId="1" applyNumberFormat="1" applyFont="1" applyBorder="1"/>
    <xf numFmtId="173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6" fontId="29" fillId="3" borderId="0" xfId="4" applyNumberFormat="1" applyFont="1" applyFill="1" applyBorder="1"/>
    <xf numFmtId="176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8" fontId="18" fillId="0" borderId="101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5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5" fontId="18" fillId="0" borderId="1" xfId="1" applyNumberFormat="1" applyFont="1" applyFill="1" applyBorder="1" applyAlignment="1">
      <alignment horizontal="center"/>
    </xf>
    <xf numFmtId="171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92" xfId="1" applyNumberFormat="1" applyFont="1" applyFill="1" applyBorder="1"/>
    <xf numFmtId="177" fontId="2" fillId="0" borderId="92" xfId="1" applyNumberFormat="1" applyFont="1" applyFill="1" applyBorder="1"/>
    <xf numFmtId="0" fontId="2" fillId="0" borderId="92" xfId="0" applyFont="1" applyFill="1" applyBorder="1"/>
    <xf numFmtId="177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80" fontId="31" fillId="0" borderId="10" xfId="1" applyNumberFormat="1" applyFont="1" applyFill="1" applyBorder="1"/>
    <xf numFmtId="180" fontId="30" fillId="0" borderId="10" xfId="1" applyNumberFormat="1" applyFont="1" applyFill="1" applyBorder="1"/>
    <xf numFmtId="180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9" fontId="0" fillId="0" borderId="108" xfId="1" applyNumberFormat="1" applyFont="1" applyBorder="1"/>
    <xf numFmtId="165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7" fontId="2" fillId="0" borderId="110" xfId="1" applyNumberFormat="1" applyFont="1" applyFill="1" applyBorder="1"/>
    <xf numFmtId="177" fontId="2" fillId="0" borderId="109" xfId="1" applyNumberFormat="1" applyFont="1" applyFill="1" applyBorder="1"/>
    <xf numFmtId="179" fontId="8" fillId="3" borderId="90" xfId="4" applyNumberFormat="1" applyFont="1" applyFill="1" applyBorder="1"/>
    <xf numFmtId="181" fontId="0" fillId="0" borderId="0" xfId="0" applyNumberFormat="1" applyBorder="1" applyAlignment="1">
      <alignment horizontal="right"/>
    </xf>
    <xf numFmtId="179" fontId="8" fillId="3" borderId="91" xfId="4" applyNumberFormat="1" applyFont="1" applyFill="1" applyBorder="1"/>
    <xf numFmtId="181" fontId="0" fillId="0" borderId="92" xfId="0" applyNumberFormat="1" applyBorder="1" applyAlignment="1">
      <alignment horizontal="right"/>
    </xf>
    <xf numFmtId="179" fontId="8" fillId="3" borderId="93" xfId="4" applyNumberFormat="1" applyFont="1" applyFill="1" applyBorder="1"/>
    <xf numFmtId="165" fontId="11" fillId="0" borderId="19" xfId="5" applyNumberFormat="1" applyFont="1" applyFill="1" applyBorder="1" applyAlignment="1">
      <alignment horizontal="center"/>
    </xf>
    <xf numFmtId="165" fontId="11" fillId="0" borderId="27" xfId="5" applyNumberFormat="1" applyFont="1" applyFill="1" applyBorder="1" applyAlignment="1">
      <alignment horizontal="center"/>
    </xf>
    <xf numFmtId="165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2" fontId="13" fillId="0" borderId="0" xfId="0" applyNumberFormat="1" applyFont="1" applyBorder="1"/>
    <xf numFmtId="182" fontId="12" fillId="0" borderId="0" xfId="0" applyNumberFormat="1" applyFont="1" applyBorder="1"/>
    <xf numFmtId="1" fontId="2" fillId="3" borderId="41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70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0" fontId="3" fillId="0" borderId="14" xfId="0" applyFont="1" applyBorder="1" applyAlignment="1">
      <alignment horizontal="center" vertical="center"/>
    </xf>
    <xf numFmtId="0" fontId="36" fillId="0" borderId="0" xfId="0" applyFont="1" applyAlignment="1">
      <alignment vertical="center" wrapText="1"/>
    </xf>
    <xf numFmtId="170" fontId="2" fillId="3" borderId="41" xfId="0" applyNumberFormat="1" applyFont="1" applyFill="1" applyBorder="1"/>
    <xf numFmtId="0" fontId="37" fillId="0" borderId="0" xfId="0" applyFont="1" applyFill="1" applyBorder="1" applyAlignment="1">
      <alignment horizontal="left"/>
    </xf>
    <xf numFmtId="0" fontId="4" fillId="0" borderId="0" xfId="3" applyAlignment="1"/>
    <xf numFmtId="0" fontId="8" fillId="0" borderId="0" xfId="0" applyFont="1"/>
    <xf numFmtId="0" fontId="0" fillId="0" borderId="41" xfId="0" applyBorder="1"/>
    <xf numFmtId="170" fontId="2" fillId="3" borderId="40" xfId="0" applyNumberFormat="1" applyFont="1" applyFill="1" applyBorder="1"/>
    <xf numFmtId="170" fontId="0" fillId="0" borderId="42" xfId="0" applyNumberFormat="1" applyBorder="1"/>
    <xf numFmtId="170" fontId="0" fillId="0" borderId="35" xfId="0" applyNumberFormat="1" applyBorder="1"/>
    <xf numFmtId="0" fontId="0" fillId="0" borderId="37" xfId="0" applyBorder="1"/>
    <xf numFmtId="170" fontId="0" fillId="0" borderId="36" xfId="0" applyNumberFormat="1" applyBorder="1"/>
    <xf numFmtId="170" fontId="9" fillId="0" borderId="38" xfId="0" applyNumberFormat="1" applyFont="1" applyBorder="1"/>
    <xf numFmtId="170" fontId="0" fillId="0" borderId="38" xfId="0" applyNumberFormat="1" applyBorder="1"/>
    <xf numFmtId="0" fontId="12" fillId="0" borderId="1" xfId="0" applyFont="1" applyBorder="1" applyAlignment="1">
      <alignment horizontal="center"/>
    </xf>
    <xf numFmtId="170" fontId="0" fillId="0" borderId="64" xfId="0" applyNumberFormat="1" applyBorder="1"/>
    <xf numFmtId="170" fontId="0" fillId="0" borderId="20" xfId="0" applyNumberFormat="1" applyBorder="1"/>
    <xf numFmtId="170" fontId="0" fillId="0" borderId="21" xfId="0" applyNumberFormat="1" applyBorder="1"/>
    <xf numFmtId="170" fontId="2" fillId="2" borderId="41" xfId="0" applyNumberFormat="1" applyFont="1" applyFill="1" applyBorder="1"/>
    <xf numFmtId="165" fontId="13" fillId="0" borderId="59" xfId="0" applyNumberFormat="1" applyFont="1" applyBorder="1" applyAlignment="1">
      <alignment horizontal="center" vertical="center" wrapText="1"/>
    </xf>
    <xf numFmtId="9" fontId="11" fillId="0" borderId="34" xfId="2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38" fillId="0" borderId="17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18" xfId="0" applyFont="1" applyBorder="1" applyAlignment="1">
      <alignment horizontal="center"/>
    </xf>
    <xf numFmtId="165" fontId="38" fillId="0" borderId="17" xfId="5" applyNumberFormat="1" applyFont="1" applyBorder="1" applyAlignment="1">
      <alignment horizontal="center"/>
    </xf>
    <xf numFmtId="165" fontId="38" fillId="0" borderId="18" xfId="5" applyNumberFormat="1" applyFont="1" applyBorder="1" applyAlignment="1">
      <alignment horizontal="center"/>
    </xf>
    <xf numFmtId="0" fontId="37" fillId="0" borderId="0" xfId="0" applyFont="1" applyFill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/>
    </xf>
    <xf numFmtId="165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169" fontId="3" fillId="0" borderId="105" xfId="1" applyNumberFormat="1" applyFont="1" applyBorder="1" applyAlignment="1">
      <alignment horizontal="center"/>
    </xf>
    <xf numFmtId="169" fontId="3" fillId="0" borderId="89" xfId="1" applyNumberFormat="1" applyFont="1" applyBorder="1" applyAlignment="1">
      <alignment horizontal="center"/>
    </xf>
    <xf numFmtId="169" fontId="3" fillId="0" borderId="106" xfId="1" applyNumberFormat="1" applyFont="1" applyBorder="1" applyAlignment="1">
      <alignment horizontal="center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9" fontId="22" fillId="0" borderId="17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18" xfId="1" applyNumberFormat="1" applyFont="1" applyBorder="1" applyAlignment="1">
      <alignment horizontal="center"/>
    </xf>
    <xf numFmtId="169" fontId="3" fillId="0" borderId="90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6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AB49C"/>
      <color rgb="FF1A7F7F"/>
      <color rgb="FF323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914400</xdr:colOff>
      <xdr:row>190</xdr:row>
      <xdr:rowOff>61638</xdr:rowOff>
    </xdr:from>
    <xdr:to>
      <xdr:col>16</xdr:col>
      <xdr:colOff>401782</xdr:colOff>
      <xdr:row>196</xdr:row>
      <xdr:rowOff>33930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80" t="21482" r="3835" b="56141"/>
        <a:stretch/>
      </xdr:blipFill>
      <xdr:spPr>
        <a:xfrm>
          <a:off x="5832764" y="44922656"/>
          <a:ext cx="9462654" cy="1385456"/>
        </a:xfrm>
        <a:prstGeom prst="rect">
          <a:avLst/>
        </a:prstGeom>
      </xdr:spPr>
    </xdr:pic>
    <xdr:clientData/>
  </xdr:twoCellAnchor>
  <xdr:twoCellAnchor editAs="oneCell">
    <xdr:from>
      <xdr:col>1</xdr:col>
      <xdr:colOff>55419</xdr:colOff>
      <xdr:row>196</xdr:row>
      <xdr:rowOff>77585</xdr:rowOff>
    </xdr:from>
    <xdr:to>
      <xdr:col>6</xdr:col>
      <xdr:colOff>841050</xdr:colOff>
      <xdr:row>227</xdr:row>
      <xdr:rowOff>233383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128" y="46296349"/>
          <a:ext cx="4914286" cy="74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458016</xdr:colOff>
      <xdr:row>212</xdr:row>
      <xdr:rowOff>35858</xdr:rowOff>
    </xdr:from>
    <xdr:to>
      <xdr:col>11</xdr:col>
      <xdr:colOff>797859</xdr:colOff>
      <xdr:row>227</xdr:row>
      <xdr:rowOff>46674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2507"/>
        <a:stretch/>
      </xdr:blipFill>
      <xdr:spPr>
        <a:xfrm>
          <a:off x="5376380" y="50078476"/>
          <a:ext cx="5327479" cy="3543725"/>
        </a:xfrm>
        <a:prstGeom prst="rect">
          <a:avLst/>
        </a:prstGeom>
      </xdr:spPr>
    </xdr:pic>
    <xdr:clientData/>
  </xdr:twoCellAnchor>
  <xdr:twoCellAnchor>
    <xdr:from>
      <xdr:col>8</xdr:col>
      <xdr:colOff>609600</xdr:colOff>
      <xdr:row>217</xdr:row>
      <xdr:rowOff>152400</xdr:rowOff>
    </xdr:from>
    <xdr:to>
      <xdr:col>11</xdr:col>
      <xdr:colOff>53788</xdr:colOff>
      <xdr:row>218</xdr:row>
      <xdr:rowOff>80683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03459" y="50874706"/>
          <a:ext cx="2429435" cy="16136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0</xdr:colOff>
      <xdr:row>224</xdr:row>
      <xdr:rowOff>0</xdr:rowOff>
    </xdr:from>
    <xdr:to>
      <xdr:col>11</xdr:col>
      <xdr:colOff>54429</xdr:colOff>
      <xdr:row>225</xdr:row>
      <xdr:rowOff>65314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932714" y="51565629"/>
          <a:ext cx="4060372" cy="29391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732323</xdr:colOff>
      <xdr:row>5</xdr:row>
      <xdr:rowOff>172193</xdr:rowOff>
    </xdr:from>
    <xdr:to>
      <xdr:col>16</xdr:col>
      <xdr:colOff>889775</xdr:colOff>
      <xdr:row>43</xdr:row>
      <xdr:rowOff>69273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50687" y="1349829"/>
          <a:ext cx="10132724" cy="8680862"/>
        </a:xfrm>
        <a:prstGeom prst="rect">
          <a:avLst/>
        </a:prstGeom>
      </xdr:spPr>
    </xdr:pic>
    <xdr:clientData/>
  </xdr:twoCellAnchor>
  <xdr:twoCellAnchor editAs="oneCell">
    <xdr:from>
      <xdr:col>7</xdr:col>
      <xdr:colOff>27871</xdr:colOff>
      <xdr:row>50</xdr:row>
      <xdr:rowOff>97971</xdr:rowOff>
    </xdr:from>
    <xdr:to>
      <xdr:col>16</xdr:col>
      <xdr:colOff>618612</xdr:colOff>
      <xdr:row>88</xdr:row>
      <xdr:rowOff>138545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43762" y="11708080"/>
          <a:ext cx="9568486" cy="9059883"/>
        </a:xfrm>
        <a:prstGeom prst="rect">
          <a:avLst/>
        </a:prstGeom>
      </xdr:spPr>
    </xdr:pic>
    <xdr:clientData/>
  </xdr:twoCellAnchor>
  <xdr:twoCellAnchor editAs="oneCell">
    <xdr:from>
      <xdr:col>11</xdr:col>
      <xdr:colOff>318655</xdr:colOff>
      <xdr:row>114</xdr:row>
      <xdr:rowOff>166254</xdr:rowOff>
    </xdr:from>
    <xdr:to>
      <xdr:col>17</xdr:col>
      <xdr:colOff>-1</xdr:colOff>
      <xdr:row>135</xdr:row>
      <xdr:rowOff>188026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766"/>
        <a:stretch/>
      </xdr:blipFill>
      <xdr:spPr>
        <a:xfrm>
          <a:off x="10224655" y="27127199"/>
          <a:ext cx="5666508" cy="4967845"/>
        </a:xfrm>
        <a:prstGeom prst="rect">
          <a:avLst/>
        </a:prstGeom>
      </xdr:spPr>
    </xdr:pic>
    <xdr:clientData/>
  </xdr:twoCellAnchor>
  <xdr:twoCellAnchor editAs="oneCell">
    <xdr:from>
      <xdr:col>2</xdr:col>
      <xdr:colOff>434806</xdr:colOff>
      <xdr:row>114</xdr:row>
      <xdr:rowOff>27709</xdr:rowOff>
    </xdr:from>
    <xdr:to>
      <xdr:col>10</xdr:col>
      <xdr:colOff>543484</xdr:colOff>
      <xdr:row>135</xdr:row>
      <xdr:rowOff>207080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3061" y="26988654"/>
          <a:ext cx="8088896" cy="5125444"/>
        </a:xfrm>
        <a:prstGeom prst="rect">
          <a:avLst/>
        </a:prstGeom>
      </xdr:spPr>
    </xdr:pic>
    <xdr:clientData/>
  </xdr:twoCellAnchor>
  <xdr:twoCellAnchor>
    <xdr:from>
      <xdr:col>10</xdr:col>
      <xdr:colOff>235527</xdr:colOff>
      <xdr:row>163</xdr:row>
      <xdr:rowOff>235394</xdr:rowOff>
    </xdr:from>
    <xdr:to>
      <xdr:col>16</xdr:col>
      <xdr:colOff>595746</xdr:colOff>
      <xdr:row>181</xdr:row>
      <xdr:rowOff>80883</xdr:rowOff>
    </xdr:to>
    <xdr:grpSp>
      <xdr:nvGrpSpPr>
        <xdr:cNvPr id="26" name="Group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0141527" y="31449685"/>
          <a:ext cx="7010401" cy="3221380"/>
          <a:chOff x="5420481" y="53348179"/>
          <a:chExt cx="4300935" cy="2778499"/>
        </a:xfrm>
      </xdr:grpSpPr>
      <xdr:pic>
        <xdr:nvPicPr>
          <xdr:cNvPr id="27" name="Image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5420481" y="53348179"/>
            <a:ext cx="4300935" cy="2778499"/>
          </a:xfrm>
          <a:prstGeom prst="rect">
            <a:avLst/>
          </a:prstGeom>
        </xdr:spPr>
      </xdr:pic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8817320" y="54010299"/>
            <a:ext cx="795131" cy="200439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138544</xdr:colOff>
      <xdr:row>162</xdr:row>
      <xdr:rowOff>37604</xdr:rowOff>
    </xdr:from>
    <xdr:to>
      <xdr:col>10</xdr:col>
      <xdr:colOff>194043</xdr:colOff>
      <xdr:row>181</xdr:row>
      <xdr:rowOff>152399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1015999" y="31117968"/>
          <a:ext cx="9084044" cy="3624613"/>
          <a:chOff x="10453509" y="13364804"/>
          <a:chExt cx="4146740" cy="2477919"/>
        </a:xfrm>
      </xdr:grpSpPr>
      <xdr:grpSp>
        <xdr:nvGrpSpPr>
          <xdr:cNvPr id="31" name="Groupe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GrpSpPr/>
        </xdr:nvGrpSpPr>
        <xdr:grpSpPr>
          <a:xfrm>
            <a:off x="10453509" y="13364804"/>
            <a:ext cx="4146740" cy="2477919"/>
            <a:chOff x="9435216" y="53610375"/>
            <a:chExt cx="8652627" cy="5161749"/>
          </a:xfrm>
        </xdr:grpSpPr>
        <xdr:grpSp>
          <xdr:nvGrpSpPr>
            <xdr:cNvPr id="43" name="Groupe 42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GrpSpPr/>
          </xdr:nvGrpSpPr>
          <xdr:grpSpPr>
            <a:xfrm>
              <a:off x="9435216" y="53610375"/>
              <a:ext cx="8652627" cy="5161749"/>
              <a:chOff x="9415102" y="53594402"/>
              <a:chExt cx="8610029" cy="5161749"/>
            </a:xfrm>
          </xdr:grpSpPr>
          <xdr:pic>
            <xdr:nvPicPr>
              <xdr:cNvPr id="102" name="Image 101">
                <a:extLst>
                  <a:ext uri="{FF2B5EF4-FFF2-40B4-BE49-F238E27FC236}">
                    <a16:creationId xmlns:a16="http://schemas.microsoft.com/office/drawing/2014/main" id="{00000000-0008-0000-0000-00006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/>
              <a:stretch>
                <a:fillRect/>
              </a:stretch>
            </xdr:blipFill>
            <xdr:spPr>
              <a:xfrm rot="5400000">
                <a:off x="11139242" y="51870262"/>
                <a:ext cx="5161749" cy="8610029"/>
              </a:xfrm>
              <a:prstGeom prst="rect">
                <a:avLst/>
              </a:prstGeom>
            </xdr:spPr>
          </xdr:pic>
          <xdr:grpSp>
            <xdr:nvGrpSpPr>
              <xdr:cNvPr id="103" name="Groupe 102">
                <a:extLst>
                  <a:ext uri="{FF2B5EF4-FFF2-40B4-BE49-F238E27FC236}">
                    <a16:creationId xmlns:a16="http://schemas.microsoft.com/office/drawing/2014/main" id="{00000000-0008-0000-0000-000067000000}"/>
                  </a:ext>
                </a:extLst>
              </xdr:cNvPr>
              <xdr:cNvGrpSpPr/>
            </xdr:nvGrpSpPr>
            <xdr:grpSpPr>
              <a:xfrm>
                <a:off x="10759107" y="58259869"/>
                <a:ext cx="6882850" cy="215348"/>
                <a:chOff x="10759107" y="58259869"/>
                <a:chExt cx="6882850" cy="215348"/>
              </a:xfrm>
            </xdr:grpSpPr>
            <xdr:grpSp>
              <xdr:nvGrpSpPr>
                <xdr:cNvPr id="104" name="Groupe 103">
                  <a:extLst>
                    <a:ext uri="{FF2B5EF4-FFF2-40B4-BE49-F238E27FC236}">
                      <a16:creationId xmlns:a16="http://schemas.microsoft.com/office/drawing/2014/main" id="{00000000-0008-0000-0000-000068000000}"/>
                    </a:ext>
                  </a:extLst>
                </xdr:cNvPr>
                <xdr:cNvGrpSpPr/>
              </xdr:nvGrpSpPr>
              <xdr:grpSpPr>
                <a:xfrm>
                  <a:off x="10759107" y="58259869"/>
                  <a:ext cx="1732150" cy="215348"/>
                  <a:chOff x="10858498" y="58947325"/>
                  <a:chExt cx="1532285" cy="190500"/>
                </a:xfrm>
                <a:solidFill>
                  <a:schemeClr val="tx1"/>
                </a:solidFill>
              </xdr:grpSpPr>
              <xdr:cxnSp macro="">
                <xdr:nvCxnSpPr>
                  <xdr:cNvPr id="132" name="Connecteur droit 131">
                    <a:extLst>
                      <a:ext uri="{FF2B5EF4-FFF2-40B4-BE49-F238E27FC236}">
                        <a16:creationId xmlns:a16="http://schemas.microsoft.com/office/drawing/2014/main" id="{00000000-0008-0000-0000-000084000000}"/>
                      </a:ext>
                    </a:extLst>
                  </xdr:cNvPr>
                  <xdr:cNvCxnSpPr/>
                </xdr:nvCxnSpPr>
                <xdr:spPr>
                  <a:xfrm>
                    <a:off x="11736456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3" name="Connecteur droit 132">
                    <a:extLst>
                      <a:ext uri="{FF2B5EF4-FFF2-40B4-BE49-F238E27FC236}">
                        <a16:creationId xmlns:a16="http://schemas.microsoft.com/office/drawing/2014/main" id="{00000000-0008-0000-0000-000085000000}"/>
                      </a:ext>
                    </a:extLst>
                  </xdr:cNvPr>
                  <xdr:cNvCxnSpPr/>
                </xdr:nvCxnSpPr>
                <xdr:spPr>
                  <a:xfrm>
                    <a:off x="11943521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4" name="Connecteur droit 133">
                    <a:extLst>
                      <a:ext uri="{FF2B5EF4-FFF2-40B4-BE49-F238E27FC236}">
                        <a16:creationId xmlns:a16="http://schemas.microsoft.com/office/drawing/2014/main" id="{00000000-0008-0000-0000-000086000000}"/>
                      </a:ext>
                    </a:extLst>
                  </xdr:cNvPr>
                  <xdr:cNvCxnSpPr/>
                </xdr:nvCxnSpPr>
                <xdr:spPr>
                  <a:xfrm>
                    <a:off x="12167152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5" name="Connecteur droit 134">
                    <a:extLst>
                      <a:ext uri="{FF2B5EF4-FFF2-40B4-BE49-F238E27FC236}">
                        <a16:creationId xmlns:a16="http://schemas.microsoft.com/office/drawing/2014/main" id="{00000000-0008-0000-0000-000087000000}"/>
                      </a:ext>
                    </a:extLst>
                  </xdr:cNvPr>
                  <xdr:cNvCxnSpPr/>
                </xdr:nvCxnSpPr>
                <xdr:spPr>
                  <a:xfrm>
                    <a:off x="10858498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6" name="Connecteur droit 135">
                    <a:extLst>
                      <a:ext uri="{FF2B5EF4-FFF2-40B4-BE49-F238E27FC236}">
                        <a16:creationId xmlns:a16="http://schemas.microsoft.com/office/drawing/2014/main" id="{00000000-0008-0000-0000-000088000000}"/>
                      </a:ext>
                    </a:extLst>
                  </xdr:cNvPr>
                  <xdr:cNvCxnSpPr/>
                </xdr:nvCxnSpPr>
                <xdr:spPr>
                  <a:xfrm>
                    <a:off x="11082129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7" name="Connecteur droit 136">
                    <a:extLst>
                      <a:ext uri="{FF2B5EF4-FFF2-40B4-BE49-F238E27FC236}">
                        <a16:creationId xmlns:a16="http://schemas.microsoft.com/office/drawing/2014/main" id="{00000000-0008-0000-0000-000089000000}"/>
                      </a:ext>
                    </a:extLst>
                  </xdr:cNvPr>
                  <xdr:cNvCxnSpPr/>
                </xdr:nvCxnSpPr>
                <xdr:spPr>
                  <a:xfrm>
                    <a:off x="11289194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8" name="Connecteur droit 137">
                    <a:extLst>
                      <a:ext uri="{FF2B5EF4-FFF2-40B4-BE49-F238E27FC236}">
                        <a16:creationId xmlns:a16="http://schemas.microsoft.com/office/drawing/2014/main" id="{00000000-0008-0000-0000-00008A000000}"/>
                      </a:ext>
                    </a:extLst>
                  </xdr:cNvPr>
                  <xdr:cNvCxnSpPr/>
                </xdr:nvCxnSpPr>
                <xdr:spPr>
                  <a:xfrm>
                    <a:off x="11512825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9" name="Connecteur droit 138">
                    <a:extLst>
                      <a:ext uri="{FF2B5EF4-FFF2-40B4-BE49-F238E27FC236}">
                        <a16:creationId xmlns:a16="http://schemas.microsoft.com/office/drawing/2014/main" id="{00000000-0008-0000-0000-00008B000000}"/>
                      </a:ext>
                    </a:extLst>
                  </xdr:cNvPr>
                  <xdr:cNvCxnSpPr/>
                </xdr:nvCxnSpPr>
                <xdr:spPr>
                  <a:xfrm>
                    <a:off x="12390783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5" name="Groupe 104">
                  <a:extLst>
                    <a:ext uri="{FF2B5EF4-FFF2-40B4-BE49-F238E27FC236}">
                      <a16:creationId xmlns:a16="http://schemas.microsoft.com/office/drawing/2014/main" id="{00000000-0008-0000-0000-000069000000}"/>
                    </a:ext>
                  </a:extLst>
                </xdr:cNvPr>
                <xdr:cNvGrpSpPr/>
              </xdr:nvGrpSpPr>
              <xdr:grpSpPr>
                <a:xfrm>
                  <a:off x="12490173" y="58262063"/>
                  <a:ext cx="1714501" cy="213154"/>
                  <a:chOff x="10858498" y="58947325"/>
                  <a:chExt cx="1532285" cy="190500"/>
                </a:xfrm>
                <a:solidFill>
                  <a:schemeClr val="tx1"/>
                </a:solidFill>
              </xdr:grpSpPr>
              <xdr:cxnSp macro="">
                <xdr:nvCxnSpPr>
                  <xdr:cNvPr id="124" name="Connecteur droit 123">
                    <a:extLst>
                      <a:ext uri="{FF2B5EF4-FFF2-40B4-BE49-F238E27FC236}">
                        <a16:creationId xmlns:a16="http://schemas.microsoft.com/office/drawing/2014/main" id="{00000000-0008-0000-0000-00007C000000}"/>
                      </a:ext>
                    </a:extLst>
                  </xdr:cNvPr>
                  <xdr:cNvCxnSpPr/>
                </xdr:nvCxnSpPr>
                <xdr:spPr>
                  <a:xfrm>
                    <a:off x="11736456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5" name="Connecteur droit 124">
                    <a:extLst>
                      <a:ext uri="{FF2B5EF4-FFF2-40B4-BE49-F238E27FC236}">
                        <a16:creationId xmlns:a16="http://schemas.microsoft.com/office/drawing/2014/main" id="{00000000-0008-0000-0000-00007D000000}"/>
                      </a:ext>
                    </a:extLst>
                  </xdr:cNvPr>
                  <xdr:cNvCxnSpPr/>
                </xdr:nvCxnSpPr>
                <xdr:spPr>
                  <a:xfrm>
                    <a:off x="11943521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6" name="Connecteur droit 125">
                    <a:extLst>
                      <a:ext uri="{FF2B5EF4-FFF2-40B4-BE49-F238E27FC236}">
                        <a16:creationId xmlns:a16="http://schemas.microsoft.com/office/drawing/2014/main" id="{00000000-0008-0000-0000-00007E000000}"/>
                      </a:ext>
                    </a:extLst>
                  </xdr:cNvPr>
                  <xdr:cNvCxnSpPr/>
                </xdr:nvCxnSpPr>
                <xdr:spPr>
                  <a:xfrm>
                    <a:off x="12167152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7" name="Connecteur droit 126">
                    <a:extLst>
                      <a:ext uri="{FF2B5EF4-FFF2-40B4-BE49-F238E27FC236}">
                        <a16:creationId xmlns:a16="http://schemas.microsoft.com/office/drawing/2014/main" id="{00000000-0008-0000-0000-00007F000000}"/>
                      </a:ext>
                    </a:extLst>
                  </xdr:cNvPr>
                  <xdr:cNvCxnSpPr/>
                </xdr:nvCxnSpPr>
                <xdr:spPr>
                  <a:xfrm>
                    <a:off x="10858498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8" name="Connecteur droit 127">
                    <a:extLst>
                      <a:ext uri="{FF2B5EF4-FFF2-40B4-BE49-F238E27FC236}">
                        <a16:creationId xmlns:a16="http://schemas.microsoft.com/office/drawing/2014/main" id="{00000000-0008-0000-0000-000080000000}"/>
                      </a:ext>
                    </a:extLst>
                  </xdr:cNvPr>
                  <xdr:cNvCxnSpPr/>
                </xdr:nvCxnSpPr>
                <xdr:spPr>
                  <a:xfrm>
                    <a:off x="11082129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9" name="Connecteur droit 128">
                    <a:extLst>
                      <a:ext uri="{FF2B5EF4-FFF2-40B4-BE49-F238E27FC236}">
                        <a16:creationId xmlns:a16="http://schemas.microsoft.com/office/drawing/2014/main" id="{00000000-0008-0000-0000-000081000000}"/>
                      </a:ext>
                    </a:extLst>
                  </xdr:cNvPr>
                  <xdr:cNvCxnSpPr/>
                </xdr:nvCxnSpPr>
                <xdr:spPr>
                  <a:xfrm>
                    <a:off x="11289194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0" name="Connecteur droit 129">
                    <a:extLst>
                      <a:ext uri="{FF2B5EF4-FFF2-40B4-BE49-F238E27FC236}">
                        <a16:creationId xmlns:a16="http://schemas.microsoft.com/office/drawing/2014/main" id="{00000000-0008-0000-0000-000082000000}"/>
                      </a:ext>
                    </a:extLst>
                  </xdr:cNvPr>
                  <xdr:cNvCxnSpPr/>
                </xdr:nvCxnSpPr>
                <xdr:spPr>
                  <a:xfrm>
                    <a:off x="11512825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1" name="Connecteur droit 130">
                    <a:extLst>
                      <a:ext uri="{FF2B5EF4-FFF2-40B4-BE49-F238E27FC236}">
                        <a16:creationId xmlns:a16="http://schemas.microsoft.com/office/drawing/2014/main" id="{00000000-0008-0000-0000-000083000000}"/>
                      </a:ext>
                    </a:extLst>
                  </xdr:cNvPr>
                  <xdr:cNvCxnSpPr/>
                </xdr:nvCxnSpPr>
                <xdr:spPr>
                  <a:xfrm>
                    <a:off x="12390783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6" name="Groupe 105">
                  <a:extLst>
                    <a:ext uri="{FF2B5EF4-FFF2-40B4-BE49-F238E27FC236}">
                      <a16:creationId xmlns:a16="http://schemas.microsoft.com/office/drawing/2014/main" id="{00000000-0008-0000-0000-00006A000000}"/>
                    </a:ext>
                  </a:extLst>
                </xdr:cNvPr>
                <xdr:cNvGrpSpPr/>
              </xdr:nvGrpSpPr>
              <xdr:grpSpPr>
                <a:xfrm>
                  <a:off x="14212956" y="58262063"/>
                  <a:ext cx="1714501" cy="213154"/>
                  <a:chOff x="10858498" y="58947325"/>
                  <a:chExt cx="1532285" cy="190500"/>
                </a:xfrm>
                <a:solidFill>
                  <a:schemeClr val="tx1"/>
                </a:solidFill>
              </xdr:grpSpPr>
              <xdr:cxnSp macro="">
                <xdr:nvCxnSpPr>
                  <xdr:cNvPr id="116" name="Connecteur droit 115">
                    <a:extLst>
                      <a:ext uri="{FF2B5EF4-FFF2-40B4-BE49-F238E27FC236}">
                        <a16:creationId xmlns:a16="http://schemas.microsoft.com/office/drawing/2014/main" id="{00000000-0008-0000-0000-000074000000}"/>
                      </a:ext>
                    </a:extLst>
                  </xdr:cNvPr>
                  <xdr:cNvCxnSpPr/>
                </xdr:nvCxnSpPr>
                <xdr:spPr>
                  <a:xfrm>
                    <a:off x="11736456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7" name="Connecteur droit 116">
                    <a:extLst>
                      <a:ext uri="{FF2B5EF4-FFF2-40B4-BE49-F238E27FC236}">
                        <a16:creationId xmlns:a16="http://schemas.microsoft.com/office/drawing/2014/main" id="{00000000-0008-0000-0000-000075000000}"/>
                      </a:ext>
                    </a:extLst>
                  </xdr:cNvPr>
                  <xdr:cNvCxnSpPr/>
                </xdr:nvCxnSpPr>
                <xdr:spPr>
                  <a:xfrm>
                    <a:off x="11943521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8" name="Connecteur droit 117">
                    <a:extLst>
                      <a:ext uri="{FF2B5EF4-FFF2-40B4-BE49-F238E27FC236}">
                        <a16:creationId xmlns:a16="http://schemas.microsoft.com/office/drawing/2014/main" id="{00000000-0008-0000-0000-000076000000}"/>
                      </a:ext>
                    </a:extLst>
                  </xdr:cNvPr>
                  <xdr:cNvCxnSpPr/>
                </xdr:nvCxnSpPr>
                <xdr:spPr>
                  <a:xfrm>
                    <a:off x="12167152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9" name="Connecteur droit 118">
                    <a:extLst>
                      <a:ext uri="{FF2B5EF4-FFF2-40B4-BE49-F238E27FC236}">
                        <a16:creationId xmlns:a16="http://schemas.microsoft.com/office/drawing/2014/main" id="{00000000-0008-0000-0000-000077000000}"/>
                      </a:ext>
                    </a:extLst>
                  </xdr:cNvPr>
                  <xdr:cNvCxnSpPr/>
                </xdr:nvCxnSpPr>
                <xdr:spPr>
                  <a:xfrm>
                    <a:off x="10858498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0" name="Connecteur droit 119">
                    <a:extLst>
                      <a:ext uri="{FF2B5EF4-FFF2-40B4-BE49-F238E27FC236}">
                        <a16:creationId xmlns:a16="http://schemas.microsoft.com/office/drawing/2014/main" id="{00000000-0008-0000-0000-000078000000}"/>
                      </a:ext>
                    </a:extLst>
                  </xdr:cNvPr>
                  <xdr:cNvCxnSpPr/>
                </xdr:nvCxnSpPr>
                <xdr:spPr>
                  <a:xfrm>
                    <a:off x="11082129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1" name="Connecteur droit 120">
                    <a:extLst>
                      <a:ext uri="{FF2B5EF4-FFF2-40B4-BE49-F238E27FC236}">
                        <a16:creationId xmlns:a16="http://schemas.microsoft.com/office/drawing/2014/main" id="{00000000-0008-0000-0000-000079000000}"/>
                      </a:ext>
                    </a:extLst>
                  </xdr:cNvPr>
                  <xdr:cNvCxnSpPr/>
                </xdr:nvCxnSpPr>
                <xdr:spPr>
                  <a:xfrm>
                    <a:off x="11289194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2" name="Connecteur droit 121">
                    <a:extLst>
                      <a:ext uri="{FF2B5EF4-FFF2-40B4-BE49-F238E27FC236}">
                        <a16:creationId xmlns:a16="http://schemas.microsoft.com/office/drawing/2014/main" id="{00000000-0008-0000-0000-00007A000000}"/>
                      </a:ext>
                    </a:extLst>
                  </xdr:cNvPr>
                  <xdr:cNvCxnSpPr/>
                </xdr:nvCxnSpPr>
                <xdr:spPr>
                  <a:xfrm>
                    <a:off x="11512825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3" name="Connecteur droit 122">
                    <a:extLst>
                      <a:ext uri="{FF2B5EF4-FFF2-40B4-BE49-F238E27FC236}">
                        <a16:creationId xmlns:a16="http://schemas.microsoft.com/office/drawing/2014/main" id="{00000000-0008-0000-0000-00007B000000}"/>
                      </a:ext>
                    </a:extLst>
                  </xdr:cNvPr>
                  <xdr:cNvCxnSpPr/>
                </xdr:nvCxnSpPr>
                <xdr:spPr>
                  <a:xfrm>
                    <a:off x="12390783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grpSp>
              <xdr:nvGrpSpPr>
                <xdr:cNvPr id="107" name="Groupe 106">
                  <a:extLst>
                    <a:ext uri="{FF2B5EF4-FFF2-40B4-BE49-F238E27FC236}">
                      <a16:creationId xmlns:a16="http://schemas.microsoft.com/office/drawing/2014/main" id="{00000000-0008-0000-0000-00006B000000}"/>
                    </a:ext>
                  </a:extLst>
                </xdr:cNvPr>
                <xdr:cNvGrpSpPr/>
              </xdr:nvGrpSpPr>
              <xdr:grpSpPr>
                <a:xfrm>
                  <a:off x="15927456" y="58262063"/>
                  <a:ext cx="1714501" cy="213154"/>
                  <a:chOff x="10858498" y="58947325"/>
                  <a:chExt cx="1532285" cy="190500"/>
                </a:xfrm>
                <a:solidFill>
                  <a:schemeClr val="tx1"/>
                </a:solidFill>
              </xdr:grpSpPr>
              <xdr:cxnSp macro="">
                <xdr:nvCxnSpPr>
                  <xdr:cNvPr id="108" name="Connecteur droit 107">
                    <a:extLst>
                      <a:ext uri="{FF2B5EF4-FFF2-40B4-BE49-F238E27FC236}">
                        <a16:creationId xmlns:a16="http://schemas.microsoft.com/office/drawing/2014/main" id="{00000000-0008-0000-0000-00006C000000}"/>
                      </a:ext>
                    </a:extLst>
                  </xdr:cNvPr>
                  <xdr:cNvCxnSpPr/>
                </xdr:nvCxnSpPr>
                <xdr:spPr>
                  <a:xfrm>
                    <a:off x="11736456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09" name="Connecteur droit 108">
                    <a:extLst>
                      <a:ext uri="{FF2B5EF4-FFF2-40B4-BE49-F238E27FC236}">
                        <a16:creationId xmlns:a16="http://schemas.microsoft.com/office/drawing/2014/main" id="{00000000-0008-0000-0000-00006D000000}"/>
                      </a:ext>
                    </a:extLst>
                  </xdr:cNvPr>
                  <xdr:cNvCxnSpPr/>
                </xdr:nvCxnSpPr>
                <xdr:spPr>
                  <a:xfrm>
                    <a:off x="11943521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0" name="Connecteur droit 109">
                    <a:extLst>
                      <a:ext uri="{FF2B5EF4-FFF2-40B4-BE49-F238E27FC236}">
                        <a16:creationId xmlns:a16="http://schemas.microsoft.com/office/drawing/2014/main" id="{00000000-0008-0000-0000-00006E000000}"/>
                      </a:ext>
                    </a:extLst>
                  </xdr:cNvPr>
                  <xdr:cNvCxnSpPr/>
                </xdr:nvCxnSpPr>
                <xdr:spPr>
                  <a:xfrm>
                    <a:off x="12167152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1" name="Connecteur droit 110">
                    <a:extLst>
                      <a:ext uri="{FF2B5EF4-FFF2-40B4-BE49-F238E27FC236}">
                        <a16:creationId xmlns:a16="http://schemas.microsoft.com/office/drawing/2014/main" id="{00000000-0008-0000-0000-00006F000000}"/>
                      </a:ext>
                    </a:extLst>
                  </xdr:cNvPr>
                  <xdr:cNvCxnSpPr/>
                </xdr:nvCxnSpPr>
                <xdr:spPr>
                  <a:xfrm>
                    <a:off x="10858498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2" name="Connecteur droit 111">
                    <a:extLst>
                      <a:ext uri="{FF2B5EF4-FFF2-40B4-BE49-F238E27FC236}">
                        <a16:creationId xmlns:a16="http://schemas.microsoft.com/office/drawing/2014/main" id="{00000000-0008-0000-0000-000070000000}"/>
                      </a:ext>
                    </a:extLst>
                  </xdr:cNvPr>
                  <xdr:cNvCxnSpPr/>
                </xdr:nvCxnSpPr>
                <xdr:spPr>
                  <a:xfrm>
                    <a:off x="11082129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3" name="Connecteur droit 112">
                    <a:extLst>
                      <a:ext uri="{FF2B5EF4-FFF2-40B4-BE49-F238E27FC236}">
                        <a16:creationId xmlns:a16="http://schemas.microsoft.com/office/drawing/2014/main" id="{00000000-0008-0000-0000-000071000000}"/>
                      </a:ext>
                    </a:extLst>
                  </xdr:cNvPr>
                  <xdr:cNvCxnSpPr/>
                </xdr:nvCxnSpPr>
                <xdr:spPr>
                  <a:xfrm>
                    <a:off x="11289194" y="58947325"/>
                    <a:ext cx="0" cy="15737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4" name="Connecteur droit 113">
                    <a:extLst>
                      <a:ext uri="{FF2B5EF4-FFF2-40B4-BE49-F238E27FC236}">
                        <a16:creationId xmlns:a16="http://schemas.microsoft.com/office/drawing/2014/main" id="{00000000-0008-0000-0000-000072000000}"/>
                      </a:ext>
                    </a:extLst>
                  </xdr:cNvPr>
                  <xdr:cNvCxnSpPr/>
                </xdr:nvCxnSpPr>
                <xdr:spPr>
                  <a:xfrm>
                    <a:off x="11512825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5" name="Connecteur droit 114">
                    <a:extLst>
                      <a:ext uri="{FF2B5EF4-FFF2-40B4-BE49-F238E27FC236}">
                        <a16:creationId xmlns:a16="http://schemas.microsoft.com/office/drawing/2014/main" id="{00000000-0008-0000-0000-000073000000}"/>
                      </a:ext>
                    </a:extLst>
                  </xdr:cNvPr>
                  <xdr:cNvCxnSpPr/>
                </xdr:nvCxnSpPr>
                <xdr:spPr>
                  <a:xfrm>
                    <a:off x="12390783" y="58947325"/>
                    <a:ext cx="0" cy="190500"/>
                  </a:xfrm>
                  <a:prstGeom prst="line">
                    <a:avLst/>
                  </a:prstGeom>
                  <a:grpFill/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</xdr:grpSp>
        <xdr:grpSp>
          <xdr:nvGrpSpPr>
            <xdr:cNvPr id="44" name="Groupe 4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GrpSpPr/>
          </xdr:nvGrpSpPr>
          <xdr:grpSpPr>
            <a:xfrm>
              <a:off x="10645519" y="55890450"/>
              <a:ext cx="248843" cy="2518276"/>
              <a:chOff x="10618305" y="55874477"/>
              <a:chExt cx="248843" cy="2518276"/>
            </a:xfrm>
          </xdr:grpSpPr>
          <xdr:grpSp>
            <xdr:nvGrpSpPr>
              <xdr:cNvPr id="74" name="Groupe 73">
                <a:extLst>
                  <a:ext uri="{FF2B5EF4-FFF2-40B4-BE49-F238E27FC236}">
                    <a16:creationId xmlns:a16="http://schemas.microsoft.com/office/drawing/2014/main" id="{00000000-0008-0000-0000-00004A000000}"/>
                  </a:ext>
                </a:extLst>
              </xdr:cNvPr>
              <xdr:cNvGrpSpPr/>
            </xdr:nvGrpSpPr>
            <xdr:grpSpPr>
              <a:xfrm rot="16200000">
                <a:off x="10427804" y="57953413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96" name="Connecteur droit 95">
                  <a:extLst>
                    <a:ext uri="{FF2B5EF4-FFF2-40B4-BE49-F238E27FC236}">
                      <a16:creationId xmlns:a16="http://schemas.microsoft.com/office/drawing/2014/main" id="{00000000-0008-0000-0000-000060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7" name="Connecteur droit 96">
                  <a:extLst>
                    <a:ext uri="{FF2B5EF4-FFF2-40B4-BE49-F238E27FC236}">
                      <a16:creationId xmlns:a16="http://schemas.microsoft.com/office/drawing/2014/main" id="{00000000-0008-0000-0000-000061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8" name="Connecteur droit 97">
                  <a:extLst>
                    <a:ext uri="{FF2B5EF4-FFF2-40B4-BE49-F238E27FC236}">
                      <a16:creationId xmlns:a16="http://schemas.microsoft.com/office/drawing/2014/main" id="{00000000-0008-0000-0000-000062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9" name="Connecteur droit 98">
                  <a:extLst>
                    <a:ext uri="{FF2B5EF4-FFF2-40B4-BE49-F238E27FC236}">
                      <a16:creationId xmlns:a16="http://schemas.microsoft.com/office/drawing/2014/main" id="{00000000-0008-0000-0000-000063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0" name="Connecteur droit 99">
                  <a:extLst>
                    <a:ext uri="{FF2B5EF4-FFF2-40B4-BE49-F238E27FC236}">
                      <a16:creationId xmlns:a16="http://schemas.microsoft.com/office/drawing/2014/main" id="{00000000-0008-0000-0000-000064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1" name="Connecteur droit 100">
                  <a:extLst>
                    <a:ext uri="{FF2B5EF4-FFF2-40B4-BE49-F238E27FC236}">
                      <a16:creationId xmlns:a16="http://schemas.microsoft.com/office/drawing/2014/main" id="{00000000-0008-0000-0000-000065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75" name="Groupe 74">
                <a:extLst>
                  <a:ext uri="{FF2B5EF4-FFF2-40B4-BE49-F238E27FC236}">
                    <a16:creationId xmlns:a16="http://schemas.microsoft.com/office/drawing/2014/main" id="{00000000-0008-0000-0000-00004B000000}"/>
                  </a:ext>
                </a:extLst>
              </xdr:cNvPr>
              <xdr:cNvGrpSpPr/>
            </xdr:nvGrpSpPr>
            <xdr:grpSpPr>
              <a:xfrm rot="16200000">
                <a:off x="10427805" y="57323935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90" name="Connecteur droit 89">
                  <a:extLst>
                    <a:ext uri="{FF2B5EF4-FFF2-40B4-BE49-F238E27FC236}">
                      <a16:creationId xmlns:a16="http://schemas.microsoft.com/office/drawing/2014/main" id="{00000000-0008-0000-0000-00005A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1" name="Connecteur droit 90">
                  <a:extLst>
                    <a:ext uri="{FF2B5EF4-FFF2-40B4-BE49-F238E27FC236}">
                      <a16:creationId xmlns:a16="http://schemas.microsoft.com/office/drawing/2014/main" id="{00000000-0008-0000-0000-00005B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2" name="Connecteur droit 91">
                  <a:extLst>
                    <a:ext uri="{FF2B5EF4-FFF2-40B4-BE49-F238E27FC236}">
                      <a16:creationId xmlns:a16="http://schemas.microsoft.com/office/drawing/2014/main" id="{00000000-0008-0000-0000-00005C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3" name="Connecteur droit 92">
                  <a:extLst>
                    <a:ext uri="{FF2B5EF4-FFF2-40B4-BE49-F238E27FC236}">
                      <a16:creationId xmlns:a16="http://schemas.microsoft.com/office/drawing/2014/main" id="{00000000-0008-0000-0000-00005D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4" name="Connecteur droit 93">
                  <a:extLst>
                    <a:ext uri="{FF2B5EF4-FFF2-40B4-BE49-F238E27FC236}">
                      <a16:creationId xmlns:a16="http://schemas.microsoft.com/office/drawing/2014/main" id="{00000000-0008-0000-0000-00005E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5" name="Connecteur droit 94">
                  <a:extLst>
                    <a:ext uri="{FF2B5EF4-FFF2-40B4-BE49-F238E27FC236}">
                      <a16:creationId xmlns:a16="http://schemas.microsoft.com/office/drawing/2014/main" id="{00000000-0008-0000-0000-00005F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76" name="Groupe 75">
                <a:extLst>
                  <a:ext uri="{FF2B5EF4-FFF2-40B4-BE49-F238E27FC236}">
                    <a16:creationId xmlns:a16="http://schemas.microsoft.com/office/drawing/2014/main" id="{00000000-0008-0000-0000-00004C000000}"/>
                  </a:ext>
                </a:extLst>
              </xdr:cNvPr>
              <xdr:cNvGrpSpPr/>
            </xdr:nvGrpSpPr>
            <xdr:grpSpPr>
              <a:xfrm rot="16200000">
                <a:off x="10427806" y="56694456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84" name="Connecteur droit 83">
                  <a:extLst>
                    <a:ext uri="{FF2B5EF4-FFF2-40B4-BE49-F238E27FC236}">
                      <a16:creationId xmlns:a16="http://schemas.microsoft.com/office/drawing/2014/main" id="{00000000-0008-0000-0000-000054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5" name="Connecteur droit 84">
                  <a:extLst>
                    <a:ext uri="{FF2B5EF4-FFF2-40B4-BE49-F238E27FC236}">
                      <a16:creationId xmlns:a16="http://schemas.microsoft.com/office/drawing/2014/main" id="{00000000-0008-0000-0000-000055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6" name="Connecteur droit 85">
                  <a:extLst>
                    <a:ext uri="{FF2B5EF4-FFF2-40B4-BE49-F238E27FC236}">
                      <a16:creationId xmlns:a16="http://schemas.microsoft.com/office/drawing/2014/main" id="{00000000-0008-0000-0000-000056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7" name="Connecteur droit 86">
                  <a:extLst>
                    <a:ext uri="{FF2B5EF4-FFF2-40B4-BE49-F238E27FC236}">
                      <a16:creationId xmlns:a16="http://schemas.microsoft.com/office/drawing/2014/main" id="{00000000-0008-0000-0000-000057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8" name="Connecteur droit 87">
                  <a:extLst>
                    <a:ext uri="{FF2B5EF4-FFF2-40B4-BE49-F238E27FC236}">
                      <a16:creationId xmlns:a16="http://schemas.microsoft.com/office/drawing/2014/main" id="{00000000-0008-0000-0000-000058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9" name="Connecteur droit 88">
                  <a:extLst>
                    <a:ext uri="{FF2B5EF4-FFF2-40B4-BE49-F238E27FC236}">
                      <a16:creationId xmlns:a16="http://schemas.microsoft.com/office/drawing/2014/main" id="{00000000-0008-0000-0000-000059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77" name="Groupe 76">
                <a:extLst>
                  <a:ext uri="{FF2B5EF4-FFF2-40B4-BE49-F238E27FC236}">
                    <a16:creationId xmlns:a16="http://schemas.microsoft.com/office/drawing/2014/main" id="{00000000-0008-0000-0000-00004D000000}"/>
                  </a:ext>
                </a:extLst>
              </xdr:cNvPr>
              <xdr:cNvGrpSpPr/>
            </xdr:nvGrpSpPr>
            <xdr:grpSpPr>
              <a:xfrm rot="16200000">
                <a:off x="10427807" y="56064978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78" name="Connecteur droit 77">
                  <a:extLst>
                    <a:ext uri="{FF2B5EF4-FFF2-40B4-BE49-F238E27FC236}">
                      <a16:creationId xmlns:a16="http://schemas.microsoft.com/office/drawing/2014/main" id="{00000000-0008-0000-0000-00004E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9" name="Connecteur droit 78">
                  <a:extLst>
                    <a:ext uri="{FF2B5EF4-FFF2-40B4-BE49-F238E27FC236}">
                      <a16:creationId xmlns:a16="http://schemas.microsoft.com/office/drawing/2014/main" id="{00000000-0008-0000-0000-00004F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0" name="Connecteur droit 79">
                  <a:extLst>
                    <a:ext uri="{FF2B5EF4-FFF2-40B4-BE49-F238E27FC236}">
                      <a16:creationId xmlns:a16="http://schemas.microsoft.com/office/drawing/2014/main" id="{00000000-0008-0000-0000-000050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1" name="Connecteur droit 80">
                  <a:extLst>
                    <a:ext uri="{FF2B5EF4-FFF2-40B4-BE49-F238E27FC236}">
                      <a16:creationId xmlns:a16="http://schemas.microsoft.com/office/drawing/2014/main" id="{00000000-0008-0000-0000-000051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2" name="Connecteur droit 81">
                  <a:extLst>
                    <a:ext uri="{FF2B5EF4-FFF2-40B4-BE49-F238E27FC236}">
                      <a16:creationId xmlns:a16="http://schemas.microsoft.com/office/drawing/2014/main" id="{00000000-0008-0000-0000-000052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3" name="Connecteur droit 82">
                  <a:extLst>
                    <a:ext uri="{FF2B5EF4-FFF2-40B4-BE49-F238E27FC236}">
                      <a16:creationId xmlns:a16="http://schemas.microsoft.com/office/drawing/2014/main" id="{00000000-0008-0000-0000-000053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grpSp>
          <xdr:nvGrpSpPr>
            <xdr:cNvPr id="45" name="Groupe 44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GrpSpPr/>
          </xdr:nvGrpSpPr>
          <xdr:grpSpPr>
            <a:xfrm>
              <a:off x="10645519" y="54004500"/>
              <a:ext cx="248843" cy="2518276"/>
              <a:chOff x="10618305" y="55874477"/>
              <a:chExt cx="248843" cy="2518276"/>
            </a:xfrm>
          </xdr:grpSpPr>
          <xdr:grpSp>
            <xdr:nvGrpSpPr>
              <xdr:cNvPr id="46" name="Groupe 45">
                <a:extLst>
                  <a:ext uri="{FF2B5EF4-FFF2-40B4-BE49-F238E27FC236}">
                    <a16:creationId xmlns:a16="http://schemas.microsoft.com/office/drawing/2014/main" id="{00000000-0008-0000-0000-00002E000000}"/>
                  </a:ext>
                </a:extLst>
              </xdr:cNvPr>
              <xdr:cNvGrpSpPr/>
            </xdr:nvGrpSpPr>
            <xdr:grpSpPr>
              <a:xfrm rot="16200000">
                <a:off x="10427804" y="57953413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68" name="Connecteur droit 67">
                  <a:extLst>
                    <a:ext uri="{FF2B5EF4-FFF2-40B4-BE49-F238E27FC236}">
                      <a16:creationId xmlns:a16="http://schemas.microsoft.com/office/drawing/2014/main" id="{00000000-0008-0000-0000-000044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9" name="Connecteur droit 68">
                  <a:extLst>
                    <a:ext uri="{FF2B5EF4-FFF2-40B4-BE49-F238E27FC236}">
                      <a16:creationId xmlns:a16="http://schemas.microsoft.com/office/drawing/2014/main" id="{00000000-0008-0000-0000-000045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0" name="Connecteur droit 69">
                  <a:extLst>
                    <a:ext uri="{FF2B5EF4-FFF2-40B4-BE49-F238E27FC236}">
                      <a16:creationId xmlns:a16="http://schemas.microsoft.com/office/drawing/2014/main" id="{00000000-0008-0000-0000-000046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1" name="Connecteur droit 70">
                  <a:extLst>
                    <a:ext uri="{FF2B5EF4-FFF2-40B4-BE49-F238E27FC236}">
                      <a16:creationId xmlns:a16="http://schemas.microsoft.com/office/drawing/2014/main" id="{00000000-0008-0000-0000-000047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2" name="Connecteur droit 71">
                  <a:extLst>
                    <a:ext uri="{FF2B5EF4-FFF2-40B4-BE49-F238E27FC236}">
                      <a16:creationId xmlns:a16="http://schemas.microsoft.com/office/drawing/2014/main" id="{00000000-0008-0000-0000-000048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3" name="Connecteur droit 72">
                  <a:extLst>
                    <a:ext uri="{FF2B5EF4-FFF2-40B4-BE49-F238E27FC236}">
                      <a16:creationId xmlns:a16="http://schemas.microsoft.com/office/drawing/2014/main" id="{00000000-0008-0000-0000-000049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47" name="Groupe 46">
                <a:extLst>
                  <a:ext uri="{FF2B5EF4-FFF2-40B4-BE49-F238E27FC236}">
                    <a16:creationId xmlns:a16="http://schemas.microsoft.com/office/drawing/2014/main" id="{00000000-0008-0000-0000-00002F000000}"/>
                  </a:ext>
                </a:extLst>
              </xdr:cNvPr>
              <xdr:cNvGrpSpPr/>
            </xdr:nvGrpSpPr>
            <xdr:grpSpPr>
              <a:xfrm rot="16200000">
                <a:off x="10427805" y="57323935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62" name="Connecteur droit 61">
                  <a:extLst>
                    <a:ext uri="{FF2B5EF4-FFF2-40B4-BE49-F238E27FC236}">
                      <a16:creationId xmlns:a16="http://schemas.microsoft.com/office/drawing/2014/main" id="{00000000-0008-0000-0000-00003E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3" name="Connecteur droit 62">
                  <a:extLst>
                    <a:ext uri="{FF2B5EF4-FFF2-40B4-BE49-F238E27FC236}">
                      <a16:creationId xmlns:a16="http://schemas.microsoft.com/office/drawing/2014/main" id="{00000000-0008-0000-0000-00003F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4" name="Connecteur droit 63">
                  <a:extLst>
                    <a:ext uri="{FF2B5EF4-FFF2-40B4-BE49-F238E27FC236}">
                      <a16:creationId xmlns:a16="http://schemas.microsoft.com/office/drawing/2014/main" id="{00000000-0008-0000-0000-000040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5" name="Connecteur droit 64">
                  <a:extLst>
                    <a:ext uri="{FF2B5EF4-FFF2-40B4-BE49-F238E27FC236}">
                      <a16:creationId xmlns:a16="http://schemas.microsoft.com/office/drawing/2014/main" id="{00000000-0008-0000-0000-000041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6" name="Connecteur droit 65">
                  <a:extLst>
                    <a:ext uri="{FF2B5EF4-FFF2-40B4-BE49-F238E27FC236}">
                      <a16:creationId xmlns:a16="http://schemas.microsoft.com/office/drawing/2014/main" id="{00000000-0008-0000-0000-000042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7" name="Connecteur droit 66">
                  <a:extLst>
                    <a:ext uri="{FF2B5EF4-FFF2-40B4-BE49-F238E27FC236}">
                      <a16:creationId xmlns:a16="http://schemas.microsoft.com/office/drawing/2014/main" id="{00000000-0008-0000-0000-000043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48" name="Groupe 47">
                <a:extLst>
                  <a:ext uri="{FF2B5EF4-FFF2-40B4-BE49-F238E27FC236}">
                    <a16:creationId xmlns:a16="http://schemas.microsoft.com/office/drawing/2014/main" id="{00000000-0008-0000-0000-000030000000}"/>
                  </a:ext>
                </a:extLst>
              </xdr:cNvPr>
              <xdr:cNvGrpSpPr/>
            </xdr:nvGrpSpPr>
            <xdr:grpSpPr>
              <a:xfrm rot="16200000">
                <a:off x="10427806" y="56694456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56" name="Connecteur droit 55">
                  <a:extLst>
                    <a:ext uri="{FF2B5EF4-FFF2-40B4-BE49-F238E27FC236}">
                      <a16:creationId xmlns:a16="http://schemas.microsoft.com/office/drawing/2014/main" id="{00000000-0008-0000-0000-000038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7" name="Connecteur droit 56">
                  <a:extLst>
                    <a:ext uri="{FF2B5EF4-FFF2-40B4-BE49-F238E27FC236}">
                      <a16:creationId xmlns:a16="http://schemas.microsoft.com/office/drawing/2014/main" id="{00000000-0008-0000-0000-000039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8" name="Connecteur droit 57">
                  <a:extLst>
                    <a:ext uri="{FF2B5EF4-FFF2-40B4-BE49-F238E27FC236}">
                      <a16:creationId xmlns:a16="http://schemas.microsoft.com/office/drawing/2014/main" id="{00000000-0008-0000-0000-00003A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9" name="Connecteur droit 58">
                  <a:extLst>
                    <a:ext uri="{FF2B5EF4-FFF2-40B4-BE49-F238E27FC236}">
                      <a16:creationId xmlns:a16="http://schemas.microsoft.com/office/drawing/2014/main" id="{00000000-0008-0000-0000-00003B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0" name="Connecteur droit 59">
                  <a:extLst>
                    <a:ext uri="{FF2B5EF4-FFF2-40B4-BE49-F238E27FC236}">
                      <a16:creationId xmlns:a16="http://schemas.microsoft.com/office/drawing/2014/main" id="{00000000-0008-0000-0000-00003C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1" name="Connecteur droit 60">
                  <a:extLst>
                    <a:ext uri="{FF2B5EF4-FFF2-40B4-BE49-F238E27FC236}">
                      <a16:creationId xmlns:a16="http://schemas.microsoft.com/office/drawing/2014/main" id="{00000000-0008-0000-0000-00003D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49" name="Groupe 48">
                <a:extLst>
                  <a:ext uri="{FF2B5EF4-FFF2-40B4-BE49-F238E27FC236}">
                    <a16:creationId xmlns:a16="http://schemas.microsoft.com/office/drawing/2014/main" id="{00000000-0008-0000-0000-000031000000}"/>
                  </a:ext>
                </a:extLst>
              </xdr:cNvPr>
              <xdr:cNvGrpSpPr/>
            </xdr:nvGrpSpPr>
            <xdr:grpSpPr>
              <a:xfrm rot="16200000">
                <a:off x="10427807" y="56064978"/>
                <a:ext cx="629841" cy="248840"/>
                <a:chOff x="8365435" y="57746348"/>
                <a:chExt cx="1226548" cy="215348"/>
              </a:xfrm>
            </xdr:grpSpPr>
            <xdr:cxnSp macro="">
              <xdr:nvCxnSpPr>
                <xdr:cNvPr id="50" name="Connecteur droit 49">
                  <a:extLst>
                    <a:ext uri="{FF2B5EF4-FFF2-40B4-BE49-F238E27FC236}">
                      <a16:creationId xmlns:a16="http://schemas.microsoft.com/office/drawing/2014/main" id="{00000000-0008-0000-0000-000032000000}"/>
                    </a:ext>
                  </a:extLst>
                </xdr:cNvPr>
                <xdr:cNvCxnSpPr/>
              </xdr:nvCxnSpPr>
              <xdr:spPr>
                <a:xfrm>
                  <a:off x="91051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1" name="Connecteur droit 50">
                  <a:extLst>
                    <a:ext uri="{FF2B5EF4-FFF2-40B4-BE49-F238E27FC236}">
                      <a16:creationId xmlns:a16="http://schemas.microsoft.com/office/drawing/2014/main" id="{00000000-0008-0000-0000-000033000000}"/>
                    </a:ext>
                  </a:extLst>
                </xdr:cNvPr>
                <xdr:cNvCxnSpPr/>
              </xdr:nvCxnSpPr>
              <xdr:spPr>
                <a:xfrm>
                  <a:off x="9339183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2" name="Connecteur droit 51">
                  <a:extLst>
                    <a:ext uri="{FF2B5EF4-FFF2-40B4-BE49-F238E27FC236}">
                      <a16:creationId xmlns:a16="http://schemas.microsoft.com/office/drawing/2014/main" id="{00000000-0008-0000-0000-000034000000}"/>
                    </a:ext>
                  </a:extLst>
                </xdr:cNvPr>
                <xdr:cNvCxnSpPr/>
              </xdr:nvCxnSpPr>
              <xdr:spPr>
                <a:xfrm>
                  <a:off x="9591983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3" name="Connecteur droit 52">
                  <a:extLst>
                    <a:ext uri="{FF2B5EF4-FFF2-40B4-BE49-F238E27FC236}">
                      <a16:creationId xmlns:a16="http://schemas.microsoft.com/office/drawing/2014/main" id="{00000000-0008-0000-0000-000035000000}"/>
                    </a:ext>
                  </a:extLst>
                </xdr:cNvPr>
                <xdr:cNvCxnSpPr/>
              </xdr:nvCxnSpPr>
              <xdr:spPr>
                <a:xfrm>
                  <a:off x="8365435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4" name="Connecteur droit 53">
                  <a:extLst>
                    <a:ext uri="{FF2B5EF4-FFF2-40B4-BE49-F238E27FC236}">
                      <a16:creationId xmlns:a16="http://schemas.microsoft.com/office/drawing/2014/main" id="{00000000-0008-0000-0000-000036000000}"/>
                    </a:ext>
                  </a:extLst>
                </xdr:cNvPr>
                <xdr:cNvCxnSpPr/>
              </xdr:nvCxnSpPr>
              <xdr:spPr>
                <a:xfrm>
                  <a:off x="8599508" y="57746348"/>
                  <a:ext cx="0" cy="177897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5" name="Connecteur droit 54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CxnSpPr/>
              </xdr:nvCxnSpPr>
              <xdr:spPr>
                <a:xfrm>
                  <a:off x="8852309" y="57746348"/>
                  <a:ext cx="0" cy="215348"/>
                </a:xfrm>
                <a:prstGeom prst="line">
                  <a:avLst/>
                </a:prstGeom>
                <a:solidFill>
                  <a:schemeClr val="tx1"/>
                </a:solidFill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  <xdr:grpSp>
        <xdr:nvGrpSpPr>
          <xdr:cNvPr id="32" name="Groupe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GrpSpPr/>
        </xdr:nvGrpSpPr>
        <xdr:grpSpPr>
          <a:xfrm>
            <a:off x="11019750" y="14138031"/>
            <a:ext cx="2954156" cy="1547104"/>
            <a:chOff x="3228241" y="17228077"/>
            <a:chExt cx="2939220" cy="323784"/>
          </a:xfrm>
        </xdr:grpSpPr>
        <xdr:sp macro="" textlink="">
          <xdr:nvSpPr>
            <xdr:cNvPr id="33" name="Demi-cadre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 rot="5400000">
              <a:off x="3771609" y="16957291"/>
              <a:ext cx="125537" cy="1061962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4" name="Demi-cadre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 rot="5400000">
              <a:off x="3530574" y="17242711"/>
              <a:ext cx="81485" cy="531893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5" name="Demi-cadre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 rot="5400000">
              <a:off x="3984875" y="16694182"/>
              <a:ext cx="171434" cy="1542283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6" name="Demi-cadre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 rot="5400000">
              <a:off x="4160213" y="16487396"/>
              <a:ext cx="210774" cy="1916515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7" name="Demi-cadre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 rot="5400000">
              <a:off x="3249839" y="17482134"/>
              <a:ext cx="43796" cy="86991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8" name="Demi-cadre 37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 rot="5400000">
              <a:off x="4300017" y="16302821"/>
              <a:ext cx="248474" cy="2249604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39" name="Demi-cadre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 rot="5400000">
              <a:off x="4424358" y="16148915"/>
              <a:ext cx="281165" cy="2523085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40" name="Demi-cadre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 rot="5400000">
              <a:off x="4493862" y="16055795"/>
              <a:ext cx="301655" cy="2690475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41" name="Demi-cadre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 rot="5400000">
              <a:off x="4548047" y="15987677"/>
              <a:ext cx="315588" cy="2812777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42" name="Demi-cadre 41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 rot="5400000">
              <a:off x="4573537" y="15957937"/>
              <a:ext cx="323784" cy="2864064"/>
            </a:xfrm>
            <a:prstGeom prst="halfFrame">
              <a:avLst>
                <a:gd name="adj1" fmla="val 0"/>
                <a:gd name="adj2" fmla="val 0"/>
              </a:avLst>
            </a:prstGeom>
            <a:solidFill>
              <a:srgbClr val="FF0000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 editAs="oneCell">
    <xdr:from>
      <xdr:col>10</xdr:col>
      <xdr:colOff>983673</xdr:colOff>
      <xdr:row>97</xdr:row>
      <xdr:rowOff>41564</xdr:rowOff>
    </xdr:from>
    <xdr:to>
      <xdr:col>16</xdr:col>
      <xdr:colOff>827562</xdr:colOff>
      <xdr:row>112</xdr:row>
      <xdr:rowOff>55418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b="7347"/>
        <a:stretch/>
      </xdr:blipFill>
      <xdr:spPr>
        <a:xfrm>
          <a:off x="9892146" y="22790728"/>
          <a:ext cx="5829052" cy="3754581"/>
        </a:xfrm>
        <a:prstGeom prst="rect">
          <a:avLst/>
        </a:prstGeom>
      </xdr:spPr>
    </xdr:pic>
    <xdr:clientData/>
  </xdr:twoCellAnchor>
  <xdr:twoCellAnchor editAs="oneCell">
    <xdr:from>
      <xdr:col>6</xdr:col>
      <xdr:colOff>235526</xdr:colOff>
      <xdr:row>196</xdr:row>
      <xdr:rowOff>47782</xdr:rowOff>
    </xdr:from>
    <xdr:to>
      <xdr:col>16</xdr:col>
      <xdr:colOff>797836</xdr:colOff>
      <xdr:row>211</xdr:row>
      <xdr:rowOff>59684</xdr:rowOff>
    </xdr:to>
    <xdr:pic>
      <xdr:nvPicPr>
        <xdr:cNvPr id="140" name="Imag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48246"/>
        <a:stretch/>
      </xdr:blipFill>
      <xdr:spPr>
        <a:xfrm>
          <a:off x="5153890" y="46321964"/>
          <a:ext cx="10537582" cy="3544811"/>
        </a:xfrm>
        <a:prstGeom prst="rect">
          <a:avLst/>
        </a:prstGeom>
      </xdr:spPr>
    </xdr:pic>
    <xdr:clientData/>
  </xdr:twoCellAnchor>
  <xdr:twoCellAnchor editAs="oneCell">
    <xdr:from>
      <xdr:col>6</xdr:col>
      <xdr:colOff>706581</xdr:colOff>
      <xdr:row>238</xdr:row>
      <xdr:rowOff>156525</xdr:rowOff>
    </xdr:from>
    <xdr:to>
      <xdr:col>16</xdr:col>
      <xdr:colOff>706582</xdr:colOff>
      <xdr:row>270</xdr:row>
      <xdr:rowOff>110838</xdr:rowOff>
    </xdr:to>
    <xdr:pic>
      <xdr:nvPicPr>
        <xdr:cNvPr id="141" name="Imag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2160" r="2000" b="9841"/>
        <a:stretch/>
      </xdr:blipFill>
      <xdr:spPr>
        <a:xfrm>
          <a:off x="5624945" y="56322852"/>
          <a:ext cx="9975273" cy="7491186"/>
        </a:xfrm>
        <a:prstGeom prst="rect">
          <a:avLst/>
        </a:prstGeom>
      </xdr:spPr>
    </xdr:pic>
    <xdr:clientData/>
  </xdr:twoCellAnchor>
  <xdr:twoCellAnchor editAs="oneCell">
    <xdr:from>
      <xdr:col>6</xdr:col>
      <xdr:colOff>872836</xdr:colOff>
      <xdr:row>233</xdr:row>
      <xdr:rowOff>61643</xdr:rowOff>
    </xdr:from>
    <xdr:to>
      <xdr:col>16</xdr:col>
      <xdr:colOff>360218</xdr:colOff>
      <xdr:row>239</xdr:row>
      <xdr:rowOff>33935</xdr:rowOff>
    </xdr:to>
    <xdr:pic>
      <xdr:nvPicPr>
        <xdr:cNvPr id="142" name="Imag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80" t="21482" r="3835" b="56141"/>
        <a:stretch/>
      </xdr:blipFill>
      <xdr:spPr>
        <a:xfrm>
          <a:off x="5791200" y="55050334"/>
          <a:ext cx="9462654" cy="1385456"/>
        </a:xfrm>
        <a:prstGeom prst="rect">
          <a:avLst/>
        </a:prstGeom>
      </xdr:spPr>
    </xdr:pic>
    <xdr:clientData/>
  </xdr:twoCellAnchor>
  <xdr:oneCellAnchor>
    <xdr:from>
      <xdr:col>6</xdr:col>
      <xdr:colOff>872836</xdr:colOff>
      <xdr:row>278</xdr:row>
      <xdr:rowOff>61643</xdr:rowOff>
    </xdr:from>
    <xdr:ext cx="9462654" cy="1385456"/>
    <xdr:pic>
      <xdr:nvPicPr>
        <xdr:cNvPr id="144" name="Imag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80" t="21482" r="3835" b="56141"/>
        <a:stretch/>
      </xdr:blipFill>
      <xdr:spPr>
        <a:xfrm>
          <a:off x="5791200" y="55050334"/>
          <a:ext cx="9462654" cy="1385456"/>
        </a:xfrm>
        <a:prstGeom prst="rect">
          <a:avLst/>
        </a:prstGeom>
      </xdr:spPr>
    </xdr:pic>
    <xdr:clientData/>
  </xdr:oneCellAnchor>
  <xdr:twoCellAnchor>
    <xdr:from>
      <xdr:col>2</xdr:col>
      <xdr:colOff>55418</xdr:colOff>
      <xdr:row>291</xdr:row>
      <xdr:rowOff>96981</xdr:rowOff>
    </xdr:from>
    <xdr:to>
      <xdr:col>6</xdr:col>
      <xdr:colOff>432421</xdr:colOff>
      <xdr:row>317</xdr:row>
      <xdr:rowOff>86998</xdr:rowOff>
    </xdr:to>
    <xdr:grpSp>
      <xdr:nvGrpSpPr>
        <xdr:cNvPr id="7" name="Grou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094509" y="55307345"/>
          <a:ext cx="4810457" cy="4792926"/>
          <a:chOff x="1108364" y="68690836"/>
          <a:chExt cx="4367112" cy="6113726"/>
        </a:xfrm>
      </xdr:grpSpPr>
      <xdr:pic>
        <xdr:nvPicPr>
          <xdr:cNvPr id="145" name="Image 144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08364" y="68690836"/>
            <a:ext cx="4367112" cy="6113726"/>
          </a:xfrm>
          <a:prstGeom prst="rect">
            <a:avLst/>
          </a:prstGeom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634835" y="73553782"/>
            <a:ext cx="1953491" cy="12469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3893128" y="73761596"/>
            <a:ext cx="1039092" cy="12469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6</xdr:col>
      <xdr:colOff>138230</xdr:colOff>
      <xdr:row>284</xdr:row>
      <xdr:rowOff>55420</xdr:rowOff>
    </xdr:from>
    <xdr:to>
      <xdr:col>16</xdr:col>
      <xdr:colOff>987290</xdr:colOff>
      <xdr:row>312</xdr:row>
      <xdr:rowOff>221674</xdr:rowOff>
    </xdr:to>
    <xdr:pic>
      <xdr:nvPicPr>
        <xdr:cNvPr id="147" name="Imag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56594" y="67056002"/>
          <a:ext cx="10824332" cy="6761017"/>
        </a:xfrm>
        <a:prstGeom prst="rect">
          <a:avLst/>
        </a:prstGeom>
      </xdr:spPr>
    </xdr:pic>
    <xdr:clientData/>
  </xdr:twoCellAnchor>
  <xdr:twoCellAnchor editAs="oneCell">
    <xdr:from>
      <xdr:col>6</xdr:col>
      <xdr:colOff>411886</xdr:colOff>
      <xdr:row>306</xdr:row>
      <xdr:rowOff>102787</xdr:rowOff>
    </xdr:from>
    <xdr:to>
      <xdr:col>10</xdr:col>
      <xdr:colOff>734290</xdr:colOff>
      <xdr:row>318</xdr:row>
      <xdr:rowOff>201066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5400000">
          <a:off x="6024204" y="71591015"/>
          <a:ext cx="2924606" cy="43125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F196" totalsRowShown="0" headerRowDxfId="45" dataDxfId="44">
  <autoFilter ref="C130:F196" xr:uid="{00000000-0009-0000-0100-000004000000}"/>
  <tableColumns count="4">
    <tableColumn id="1" xr3:uid="{00000000-0010-0000-0000-000001000000}" name="Essence " dataDxfId="43"/>
    <tableColumn id="2" xr3:uid="{00000000-0010-0000-0000-000002000000}" name="Infradensité (tMS/m3) " dataDxfId="42"/>
    <tableColumn id="3" xr3:uid="{00000000-0010-0000-0000-000003000000}" name="Type" dataDxfId="41"/>
    <tableColumn id="4" xr3:uid="{00000000-0010-0000-0000-000004000000}" name="Facteur expansion branche" dataDxfId="40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F196" totalsRowShown="0" headerRowDxfId="39" dataDxfId="38">
  <autoFilter ref="C130:F196" xr:uid="{00000000-0009-0000-0100-000005000000}"/>
  <tableColumns count="4">
    <tableColumn id="1" xr3:uid="{00000000-0010-0000-0100-000001000000}" name="Essence " dataDxfId="37"/>
    <tableColumn id="2" xr3:uid="{00000000-0010-0000-0100-000002000000}" name="Infradensité (tMS/m3) " dataDxfId="36"/>
    <tableColumn id="3" xr3:uid="{00000000-0010-0000-0100-000003000000}" name="Type" dataDxfId="35"/>
    <tableColumn id="4" xr3:uid="{00000000-0010-0000-0100-000004000000}" name="Facteur expansion branche" dataDxfId="34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F196" totalsRowShown="0" headerRowDxfId="33" dataDxfId="32">
  <autoFilter ref="C130:F196" xr:uid="{00000000-0009-0000-0100-000006000000}"/>
  <tableColumns count="4">
    <tableColumn id="1" xr3:uid="{00000000-0010-0000-0200-000001000000}" name="Essence " dataDxfId="31"/>
    <tableColumn id="2" xr3:uid="{00000000-0010-0000-0200-000002000000}" name="Infradensité (tMS/m3) " dataDxfId="30"/>
    <tableColumn id="3" xr3:uid="{00000000-0010-0000-0200-000003000000}" name="Type" dataDxfId="29"/>
    <tableColumn id="4" xr3:uid="{00000000-0010-0000-0200-000004000000}" name="Facteur expansion branche" dataDxfId="28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au14594" displayName="Tableau14594" ref="C130:F196" totalsRowShown="0" headerRowDxfId="27" dataDxfId="26">
  <autoFilter ref="C130:F196" xr:uid="{00000000-0009-0000-0100-000003000000}"/>
  <tableColumns count="4">
    <tableColumn id="1" xr3:uid="{00000000-0010-0000-0300-000001000000}" name="Essence " dataDxfId="25"/>
    <tableColumn id="2" xr3:uid="{00000000-0010-0000-0300-000002000000}" name="Infradensité (tMS/m3) " dataDxfId="24"/>
    <tableColumn id="3" xr3:uid="{00000000-0010-0000-0300-000003000000}" name="Type" dataDxfId="23"/>
    <tableColumn id="4" xr3:uid="{00000000-0010-0000-0300-000004000000}" name="Facteur expansion branche" dataDxfId="22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F196" totalsRowShown="0" headerRowDxfId="21" dataDxfId="20">
  <autoFilter ref="C130:F196" xr:uid="{00000000-0009-0000-0100-000008000000}"/>
  <tableColumns count="4">
    <tableColumn id="1" xr3:uid="{00000000-0010-0000-0400-000001000000}" name="Essence " dataDxfId="19"/>
    <tableColumn id="2" xr3:uid="{00000000-0010-0000-0400-000002000000}" name="Infradensité (tMS/m3) " dataDxfId="18"/>
    <tableColumn id="3" xr3:uid="{00000000-0010-0000-0400-000003000000}" name="Type" dataDxfId="17"/>
    <tableColumn id="4" xr3:uid="{00000000-0010-0000-0400-000004000000}" name="Facteur expansion branche" dataDxfId="16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au14593" displayName="Tableau14593" ref="C130:F196" totalsRowShown="0" headerRowDxfId="15" dataDxfId="14">
  <autoFilter ref="C130:F196" xr:uid="{00000000-0009-0000-0100-000002000000}"/>
  <tableColumns count="4">
    <tableColumn id="1" xr3:uid="{00000000-0010-0000-0500-000001000000}" name="Essence " dataDxfId="13"/>
    <tableColumn id="2" xr3:uid="{00000000-0010-0000-0500-000002000000}" name="Infradensité (tMS/m3) " dataDxfId="12"/>
    <tableColumn id="3" xr3:uid="{00000000-0010-0000-0500-000003000000}" name="Type" dataDxfId="11"/>
    <tableColumn id="4" xr3:uid="{00000000-0010-0000-0500-000004000000}" name="Facteur expansion branche" dataDxfId="10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restresearch.gov.uk/research/archive-forest-management-tables-metric/" TargetMode="External"/><Relationship Id="rId13" Type="http://schemas.openxmlformats.org/officeDocument/2006/relationships/hyperlink" Target="https://www.forestresearch.gov.uk/research/archive-forest-management-tables-metric/" TargetMode="External"/><Relationship Id="rId3" Type="http://schemas.openxmlformats.org/officeDocument/2006/relationships/hyperlink" Target="https://inventaire-forestier.ign.fr/IMG/pdf/RapportVolumes_VFinale_p2.pdf" TargetMode="External"/><Relationship Id="rId7" Type="http://schemas.openxmlformats.org/officeDocument/2006/relationships/hyperlink" Target="https://www.forestresearch.gov.uk/research/archive-forest-management-tables-metric/" TargetMode="External"/><Relationship Id="rId12" Type="http://schemas.openxmlformats.org/officeDocument/2006/relationships/hyperlink" Target="https://bretagne-paysdelaloire.cnpf.fr/data/cedre_20de_20l_atlas_1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forestresearch.gov.uk/research/archive-forest-management-tables-metric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hyperlink" Target="https://inventaire-forestier.ign.fr/IMG/pdf/RapportVolumes_VFinale_p2.pdf" TargetMode="External"/><Relationship Id="rId11" Type="http://schemas.openxmlformats.org/officeDocument/2006/relationships/hyperlink" Target="https://nouvelle-aquitaine.cnpf.fr/data/cedre_rapport_juillet_2010.pdf" TargetMode="External"/><Relationship Id="rId5" Type="http://schemas.openxmlformats.org/officeDocument/2006/relationships/hyperlink" Target="https://www.forestresearch.gov.uk/research/archive-forest-management-tables-metric/" TargetMode="External"/><Relationship Id="rId15" Type="http://schemas.openxmlformats.org/officeDocument/2006/relationships/hyperlink" Target="https://inventaire-forestier.ign.fr/IMG/pdf/RapportVolumes_VFinale_p2.pdf" TargetMode="External"/><Relationship Id="rId10" Type="http://schemas.openxmlformats.org/officeDocument/2006/relationships/hyperlink" Target="https://www.researchgate.net/publication/331591354_Comprendre_et_agir_contre_le_deperissement_du_cedre_de_l'atlas_Cedrus_atlantica_en_Ardeche" TargetMode="External"/><Relationship Id="rId4" Type="http://schemas.openxmlformats.org/officeDocument/2006/relationships/hyperlink" Target="https://www.forestresearch.gov.uk/research/archive-forest-management-tables-metric/" TargetMode="External"/><Relationship Id="rId9" Type="http://schemas.openxmlformats.org/officeDocument/2006/relationships/hyperlink" Target="https://inventaire-forestier.ign.fr/IMG/pdf/RapportVolumes_VFinale_p2.pdf" TargetMode="External"/><Relationship Id="rId14" Type="http://schemas.openxmlformats.org/officeDocument/2006/relationships/hyperlink" Target="https://www.forestresearch.gov.uk/research/archive-forest-management-tables-metr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319"/>
  <sheetViews>
    <sheetView topLeftCell="A284" zoomScale="55" zoomScaleNormal="55" zoomScalePageLayoutView="55" workbookViewId="0">
      <selection activeCell="T286" sqref="T286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363" t="s">
        <v>184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5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29" t="s">
        <v>275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30" t="s">
        <v>121</v>
      </c>
      <c r="D8" s="366" t="s">
        <v>278</v>
      </c>
      <c r="E8" s="366"/>
      <c r="F8" s="366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366"/>
      <c r="E9" s="366"/>
      <c r="F9" s="366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366" t="s">
        <v>277</v>
      </c>
      <c r="E10" s="366"/>
      <c r="F10" s="36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366"/>
      <c r="E11" s="366"/>
      <c r="F11" s="366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366"/>
      <c r="E12" s="366"/>
      <c r="F12" s="36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28" t="s">
        <v>120</v>
      </c>
      <c r="D13" s="163" t="s">
        <v>276</v>
      </c>
      <c r="E13" s="169"/>
      <c r="F13" s="169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331"/>
      <c r="E14" s="331"/>
      <c r="F14" s="33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29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30"/>
      <c r="D17" s="21"/>
      <c r="E17" s="21"/>
      <c r="F17" s="21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21"/>
      <c r="E18" s="21"/>
      <c r="F18" s="2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21"/>
      <c r="E19" s="21"/>
      <c r="F19" s="2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28"/>
      <c r="D22" s="330"/>
      <c r="E22" s="331"/>
      <c r="F22" s="331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2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363" t="s">
        <v>184</v>
      </c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364"/>
      <c r="Q48" s="364"/>
      <c r="R48" s="365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9" t="s">
        <v>264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30" t="s">
        <v>121</v>
      </c>
      <c r="D53" s="366" t="s">
        <v>279</v>
      </c>
      <c r="E53" s="366"/>
      <c r="F53" s="366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366"/>
      <c r="E54" s="366"/>
      <c r="F54" s="366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366" t="s">
        <v>277</v>
      </c>
      <c r="E55" s="366"/>
      <c r="F55" s="36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366"/>
      <c r="E56" s="366"/>
      <c r="F56" s="36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366"/>
      <c r="E57" s="366"/>
      <c r="F57" s="366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28" t="s">
        <v>120</v>
      </c>
      <c r="D58" s="163"/>
      <c r="E58" s="169"/>
      <c r="F58" s="169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69"/>
      <c r="E59" s="169"/>
      <c r="F59" s="169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29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30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30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0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30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28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6" thickBo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363" t="s">
        <v>184</v>
      </c>
      <c r="C94" s="364"/>
      <c r="D94" s="364"/>
      <c r="E94" s="364"/>
      <c r="F94" s="364"/>
      <c r="G94" s="364"/>
      <c r="H94" s="364"/>
      <c r="I94" s="364"/>
      <c r="J94" s="364"/>
      <c r="K94" s="364"/>
      <c r="L94" s="364"/>
      <c r="M94" s="364"/>
      <c r="N94" s="364"/>
      <c r="O94" s="364"/>
      <c r="P94" s="364"/>
      <c r="Q94" s="364"/>
      <c r="R94" s="365"/>
      <c r="S94"/>
      <c r="T94"/>
      <c r="U94"/>
      <c r="V94"/>
      <c r="W94"/>
      <c r="X94"/>
      <c r="Y94"/>
      <c r="Z94"/>
      <c r="AA94"/>
    </row>
    <row r="95" spans="1:27" ht="16" thickBot="1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>
      <c r="A96"/>
      <c r="B96" s="13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>
      <c r="A97"/>
      <c r="B97" s="13"/>
      <c r="C97" s="29" t="s">
        <v>288</v>
      </c>
      <c r="G97"/>
      <c r="H97"/>
      <c r="I97"/>
      <c r="J97"/>
      <c r="K97"/>
      <c r="L97" s="346" t="s">
        <v>282</v>
      </c>
      <c r="M97"/>
      <c r="N97"/>
      <c r="O97"/>
      <c r="P97"/>
      <c r="Q97"/>
      <c r="R97" s="15"/>
      <c r="S97"/>
      <c r="T97"/>
      <c r="U97"/>
      <c r="V97"/>
      <c r="W97"/>
    </row>
    <row r="98" spans="1:23">
      <c r="A98"/>
      <c r="B98" s="13"/>
      <c r="G98"/>
      <c r="H98"/>
      <c r="I98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>
      <c r="A99"/>
      <c r="B99" s="13"/>
      <c r="C99" s="30" t="s">
        <v>121</v>
      </c>
      <c r="D99" s="372" t="s">
        <v>285</v>
      </c>
      <c r="E99" s="372"/>
      <c r="F99" s="372"/>
      <c r="G99"/>
      <c r="H99"/>
      <c r="I99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>
      <c r="A100"/>
      <c r="B100" s="13"/>
      <c r="D100" s="372"/>
      <c r="E100" s="372"/>
      <c r="F100" s="372"/>
      <c r="G100"/>
      <c r="H100"/>
      <c r="I100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>
      <c r="A101"/>
      <c r="B101" s="13"/>
      <c r="C101" s="14"/>
      <c r="D101" s="373" t="s">
        <v>287</v>
      </c>
      <c r="E101" s="373"/>
      <c r="F101" s="373"/>
      <c r="G101" s="373"/>
      <c r="H101" s="373"/>
      <c r="I101" s="373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>
      <c r="A102"/>
      <c r="B102" s="13"/>
      <c r="C102" s="14"/>
      <c r="D102" s="373"/>
      <c r="E102" s="373"/>
      <c r="F102" s="373"/>
      <c r="G102" s="373"/>
      <c r="H102" s="373"/>
      <c r="I102" s="373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 ht="22.75" customHeight="1">
      <c r="A103"/>
      <c r="B103" s="13"/>
      <c r="C103" s="14"/>
      <c r="D103" s="373"/>
      <c r="E103" s="373"/>
      <c r="F103" s="373"/>
      <c r="G103" s="373"/>
      <c r="H103" s="373"/>
      <c r="I103" s="373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>
      <c r="A104"/>
      <c r="B104" s="13"/>
      <c r="C104" s="28" t="s">
        <v>120</v>
      </c>
      <c r="D104" s="19" t="s">
        <v>286</v>
      </c>
      <c r="E104" s="169"/>
      <c r="F104" s="169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>
      <c r="A105"/>
      <c r="B105" s="13"/>
      <c r="C105" s="14"/>
      <c r="E105" s="331"/>
      <c r="F105" s="33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>
      <c r="A106"/>
      <c r="B106" s="13"/>
      <c r="C106" s="29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>
      <c r="A107"/>
      <c r="B107" s="13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>
      <c r="A108"/>
      <c r="B108" s="13"/>
      <c r="C108" s="30"/>
      <c r="F108" s="21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>
      <c r="A109"/>
      <c r="B109" s="13"/>
      <c r="E109" s="21"/>
      <c r="F109" s="21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>
      <c r="A110"/>
      <c r="B110" s="13"/>
      <c r="C110" s="14"/>
      <c r="D110" s="21"/>
      <c r="E110" s="21"/>
      <c r="F110" s="21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>
      <c r="A111"/>
      <c r="B111" s="13"/>
      <c r="C111" s="14"/>
      <c r="D111"/>
      <c r="E111"/>
      <c r="F111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>
      <c r="A112"/>
      <c r="B112" s="13"/>
      <c r="C112" s="14"/>
      <c r="E112"/>
      <c r="F1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>
      <c r="A113"/>
      <c r="B113" s="13"/>
      <c r="C113" s="28"/>
      <c r="D113" s="330"/>
      <c r="E113" s="331"/>
      <c r="F113" s="331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>
      <c r="A114"/>
      <c r="B114" s="13"/>
      <c r="C114" s="14"/>
      <c r="D114" s="346" t="s">
        <v>283</v>
      </c>
      <c r="E114" s="14"/>
      <c r="F114" s="14"/>
      <c r="G114" s="14"/>
      <c r="H114" s="14"/>
      <c r="I114" s="14"/>
      <c r="J114" s="14"/>
      <c r="K114" s="14"/>
      <c r="L114" s="1" t="s">
        <v>284</v>
      </c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>
      <c r="A116"/>
      <c r="B116" s="13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>
      <c r="A117"/>
      <c r="B117" s="13"/>
      <c r="C117"/>
      <c r="D117"/>
      <c r="E117"/>
      <c r="F117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>
      <c r="A118"/>
      <c r="B118" s="13"/>
      <c r="C118"/>
      <c r="D118"/>
      <c r="E118"/>
      <c r="F118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>
      <c r="A119"/>
      <c r="B119" s="13"/>
      <c r="C119"/>
      <c r="D119"/>
      <c r="E119"/>
      <c r="F119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>
      <c r="A120"/>
      <c r="B120" s="13"/>
      <c r="C120"/>
      <c r="D120"/>
      <c r="E120"/>
      <c r="F120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>
      <c r="A121"/>
      <c r="B121" s="13"/>
      <c r="C121"/>
      <c r="D121"/>
      <c r="E121"/>
      <c r="F121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>
      <c r="A122"/>
      <c r="B122" s="13"/>
      <c r="C122"/>
      <c r="D122"/>
      <c r="E122"/>
      <c r="F12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>
      <c r="A123"/>
      <c r="B123" s="13"/>
      <c r="C123"/>
      <c r="D123"/>
      <c r="E123"/>
      <c r="F123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>
      <c r="A124"/>
      <c r="B124" s="13"/>
      <c r="C124"/>
      <c r="D124"/>
      <c r="E124"/>
      <c r="F12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>
      <c r="A125"/>
      <c r="B125" s="13"/>
      <c r="C125"/>
      <c r="D125"/>
      <c r="E125"/>
      <c r="F125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>
      <c r="A126"/>
      <c r="B126" s="13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>
      <c r="A127"/>
      <c r="B127" s="13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>
      <c r="A128"/>
      <c r="B128" s="13"/>
      <c r="C128"/>
      <c r="D128"/>
      <c r="E128"/>
      <c r="F128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>
      <c r="A129"/>
      <c r="B129" s="13"/>
      <c r="C129"/>
      <c r="D129"/>
      <c r="E129"/>
      <c r="F129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>
      <c r="A130"/>
      <c r="B130" s="13"/>
      <c r="C130"/>
      <c r="D130"/>
      <c r="E130"/>
      <c r="F130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>
      <c r="A131"/>
      <c r="B131" s="13"/>
      <c r="C131"/>
      <c r="D131"/>
      <c r="E131"/>
      <c r="F131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>
      <c r="A132"/>
      <c r="B132" s="13"/>
      <c r="C132"/>
      <c r="D132"/>
      <c r="E132"/>
      <c r="F132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>
      <c r="A133"/>
      <c r="B133" s="13"/>
      <c r="C133"/>
      <c r="D133"/>
      <c r="E133"/>
      <c r="F133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>
      <c r="A134"/>
      <c r="B134" s="13"/>
      <c r="C134"/>
      <c r="D134"/>
      <c r="E134"/>
      <c r="F13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>
      <c r="A135"/>
      <c r="B135" s="13"/>
      <c r="C135" s="2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6" thickBot="1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ht="16" thickBot="1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2"/>
      <c r="S139"/>
      <c r="T139"/>
      <c r="U139"/>
      <c r="V139"/>
      <c r="W139"/>
    </row>
    <row r="140" spans="1:23">
      <c r="A140"/>
      <c r="B140" s="363" t="s">
        <v>184</v>
      </c>
      <c r="C140" s="364"/>
      <c r="D140" s="364"/>
      <c r="E140" s="364"/>
      <c r="F140" s="364"/>
      <c r="G140" s="364"/>
      <c r="H140" s="364"/>
      <c r="I140" s="364"/>
      <c r="J140" s="364"/>
      <c r="K140" s="364"/>
      <c r="L140" s="364"/>
      <c r="M140" s="364"/>
      <c r="N140" s="364"/>
      <c r="O140" s="364"/>
      <c r="P140" s="364"/>
      <c r="Q140" s="364"/>
      <c r="R140" s="365"/>
      <c r="S140"/>
      <c r="T140"/>
      <c r="U140"/>
      <c r="V140"/>
      <c r="W140"/>
    </row>
    <row r="141" spans="1:23" ht="16" thickBot="1">
      <c r="A141"/>
      <c r="B141" s="16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8"/>
      <c r="S141"/>
      <c r="T141"/>
      <c r="U141"/>
      <c r="V141"/>
      <c r="W141"/>
    </row>
    <row r="142" spans="1:23">
      <c r="A142"/>
      <c r="B142" s="13"/>
      <c r="C142" s="14"/>
      <c r="D142" s="14"/>
      <c r="E142" s="14"/>
      <c r="F142" s="14"/>
      <c r="G142" s="14"/>
      <c r="H142" s="14"/>
      <c r="I142" s="14"/>
      <c r="K142"/>
      <c r="L142"/>
      <c r="M142"/>
      <c r="N142"/>
      <c r="O142"/>
      <c r="P142"/>
      <c r="Q142"/>
      <c r="R142" s="15"/>
      <c r="S142"/>
      <c r="T142"/>
      <c r="U142"/>
      <c r="V142"/>
      <c r="W142"/>
    </row>
    <row r="143" spans="1:23">
      <c r="A143"/>
      <c r="B143" s="13"/>
      <c r="C143" s="29" t="s">
        <v>289</v>
      </c>
      <c r="G143" s="14"/>
      <c r="H143" s="14"/>
      <c r="I143" s="14"/>
      <c r="J143"/>
      <c r="K143"/>
      <c r="L143"/>
      <c r="M143"/>
      <c r="N143"/>
      <c r="O143"/>
      <c r="P143"/>
      <c r="Q143"/>
      <c r="R143" s="15"/>
      <c r="S143"/>
      <c r="T143"/>
      <c r="U143"/>
      <c r="V143"/>
      <c r="W143"/>
    </row>
    <row r="144" spans="1:23">
      <c r="A144"/>
      <c r="B144" s="13"/>
      <c r="G144" s="14"/>
      <c r="H144" s="14"/>
      <c r="I144" s="14"/>
      <c r="J144"/>
      <c r="K144"/>
      <c r="L144"/>
      <c r="M144"/>
      <c r="N144"/>
      <c r="O144"/>
      <c r="P144"/>
      <c r="Q144"/>
      <c r="R144" s="15"/>
      <c r="S144"/>
      <c r="T144"/>
      <c r="U144"/>
      <c r="V144"/>
      <c r="W144"/>
    </row>
    <row r="145" spans="1:23">
      <c r="A145"/>
      <c r="B145" s="13"/>
      <c r="C145" s="347" t="s">
        <v>290</v>
      </c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 s="15"/>
      <c r="S145"/>
      <c r="T145"/>
      <c r="U145"/>
      <c r="V145"/>
      <c r="W145"/>
    </row>
    <row r="146" spans="1:23">
      <c r="B146" s="13"/>
      <c r="C146" t="s">
        <v>291</v>
      </c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 s="15"/>
    </row>
    <row r="147" spans="1:23">
      <c r="B147" s="13"/>
      <c r="C147" s="367" t="s">
        <v>292</v>
      </c>
      <c r="D147" s="368"/>
      <c r="E147" s="369"/>
      <c r="F147" s="370" t="s">
        <v>293</v>
      </c>
      <c r="G147" s="371"/>
      <c r="H147" s="367" t="s">
        <v>294</v>
      </c>
      <c r="I147" s="368"/>
      <c r="J147" s="369"/>
      <c r="K147" s="356" t="s">
        <v>297</v>
      </c>
      <c r="N147" s="14"/>
      <c r="O147" s="14"/>
      <c r="P147" s="14"/>
      <c r="Q147" s="14"/>
      <c r="R147" s="15"/>
    </row>
    <row r="148" spans="1:23">
      <c r="B148" s="13"/>
      <c r="C148" s="47" t="s">
        <v>113</v>
      </c>
      <c r="D148" s="48" t="s">
        <v>114</v>
      </c>
      <c r="E148" s="48" t="s">
        <v>83</v>
      </c>
      <c r="F148" s="47" t="s">
        <v>83</v>
      </c>
      <c r="G148" s="49" t="s">
        <v>295</v>
      </c>
      <c r="H148" s="47" t="s">
        <v>113</v>
      </c>
      <c r="I148" s="48" t="s">
        <v>114</v>
      </c>
      <c r="J148" s="49" t="s">
        <v>83</v>
      </c>
      <c r="K148" s="49" t="s">
        <v>83</v>
      </c>
      <c r="N148" s="14"/>
      <c r="O148" s="14"/>
      <c r="P148" s="14"/>
      <c r="Q148" s="14"/>
      <c r="R148" s="15"/>
    </row>
    <row r="149" spans="1:23">
      <c r="B149" s="13"/>
      <c r="C149" s="45">
        <v>0</v>
      </c>
      <c r="D149" s="348">
        <v>20</v>
      </c>
      <c r="E149" s="350">
        <f>K149</f>
        <v>130</v>
      </c>
      <c r="F149" s="349">
        <v>40</v>
      </c>
      <c r="G149" s="350">
        <f>F149</f>
        <v>40</v>
      </c>
      <c r="H149" s="45">
        <v>0</v>
      </c>
      <c r="I149" s="348">
        <f>D149</f>
        <v>20</v>
      </c>
      <c r="J149" s="350">
        <f t="shared" ref="J149:J158" si="0">K149-G149</f>
        <v>90</v>
      </c>
      <c r="K149" s="357">
        <v>130</v>
      </c>
      <c r="N149" s="14"/>
      <c r="O149" s="14"/>
      <c r="P149" s="14"/>
      <c r="Q149" s="14"/>
      <c r="R149" s="15"/>
    </row>
    <row r="150" spans="1:23">
      <c r="B150" s="13"/>
      <c r="C150" s="40">
        <f t="shared" ref="C150:C158" si="1">D149</f>
        <v>20</v>
      </c>
      <c r="D150" s="41">
        <f t="shared" ref="D150:D158" si="2">D149+10</f>
        <v>30</v>
      </c>
      <c r="E150" s="350">
        <f>K150-G149</f>
        <v>210</v>
      </c>
      <c r="F150" s="349">
        <v>50</v>
      </c>
      <c r="G150" s="351">
        <f>G149+F150</f>
        <v>90</v>
      </c>
      <c r="H150" s="40">
        <f>I149</f>
        <v>20</v>
      </c>
      <c r="I150" s="41">
        <f>I149+10</f>
        <v>30</v>
      </c>
      <c r="J150" s="350">
        <f t="shared" si="0"/>
        <v>160</v>
      </c>
      <c r="K150" s="358">
        <v>250</v>
      </c>
      <c r="N150" s="14"/>
      <c r="O150" s="14"/>
      <c r="P150" s="14"/>
      <c r="Q150" s="14"/>
      <c r="R150" s="15"/>
    </row>
    <row r="151" spans="1:23">
      <c r="B151" s="13"/>
      <c r="C151" s="40">
        <f t="shared" si="1"/>
        <v>30</v>
      </c>
      <c r="D151" s="41">
        <f t="shared" si="2"/>
        <v>40</v>
      </c>
      <c r="E151" s="350">
        <f t="shared" ref="E151:E158" si="3">K151-G150</f>
        <v>300</v>
      </c>
      <c r="F151" s="349">
        <v>50</v>
      </c>
      <c r="G151" s="351">
        <f>G150+F151</f>
        <v>140</v>
      </c>
      <c r="H151" s="40">
        <f>I150</f>
        <v>30</v>
      </c>
      <c r="I151" s="41">
        <f>I150+10</f>
        <v>40</v>
      </c>
      <c r="J151" s="350">
        <f t="shared" si="0"/>
        <v>250</v>
      </c>
      <c r="K151" s="358">
        <v>390</v>
      </c>
      <c r="N151" s="14"/>
      <c r="O151" s="14"/>
      <c r="P151" s="14"/>
      <c r="Q151" s="14"/>
      <c r="R151" s="15"/>
    </row>
    <row r="152" spans="1:23">
      <c r="B152" s="13"/>
      <c r="C152" s="40">
        <f t="shared" si="1"/>
        <v>40</v>
      </c>
      <c r="D152" s="41">
        <f t="shared" si="2"/>
        <v>50</v>
      </c>
      <c r="E152" s="350">
        <f t="shared" si="3"/>
        <v>390</v>
      </c>
      <c r="F152" s="349">
        <v>50</v>
      </c>
      <c r="G152" s="351">
        <f>G151+F152</f>
        <v>190</v>
      </c>
      <c r="H152" s="40">
        <f>I151</f>
        <v>40</v>
      </c>
      <c r="I152" s="41">
        <f>I151+10</f>
        <v>50</v>
      </c>
      <c r="J152" s="350">
        <f t="shared" si="0"/>
        <v>340</v>
      </c>
      <c r="K152" s="358">
        <v>530</v>
      </c>
      <c r="N152" s="14"/>
      <c r="O152" s="14"/>
      <c r="P152" s="14"/>
      <c r="Q152" s="14"/>
      <c r="R152" s="15"/>
    </row>
    <row r="153" spans="1:23">
      <c r="B153" s="13"/>
      <c r="C153" s="40">
        <f t="shared" si="1"/>
        <v>50</v>
      </c>
      <c r="D153" s="41">
        <f t="shared" si="2"/>
        <v>60</v>
      </c>
      <c r="E153" s="350">
        <f t="shared" si="3"/>
        <v>470</v>
      </c>
      <c r="F153" s="349">
        <v>40</v>
      </c>
      <c r="G153" s="351">
        <f t="shared" ref="G153:G158" si="4">G152+F153</f>
        <v>230</v>
      </c>
      <c r="H153" s="40">
        <f t="shared" ref="H153:H158" si="5">I152</f>
        <v>50</v>
      </c>
      <c r="I153" s="41">
        <f t="shared" ref="I153:I158" si="6">I152+10</f>
        <v>60</v>
      </c>
      <c r="J153" s="350">
        <f t="shared" si="0"/>
        <v>430</v>
      </c>
      <c r="K153" s="358">
        <v>660</v>
      </c>
      <c r="N153" s="14"/>
      <c r="O153" s="14"/>
      <c r="P153" s="14"/>
      <c r="Q153" s="14"/>
      <c r="R153" s="15"/>
    </row>
    <row r="154" spans="1:23">
      <c r="B154" s="13"/>
      <c r="C154" s="40">
        <f t="shared" si="1"/>
        <v>60</v>
      </c>
      <c r="D154" s="41">
        <f t="shared" si="2"/>
        <v>70</v>
      </c>
      <c r="E154" s="350">
        <f t="shared" si="3"/>
        <v>550</v>
      </c>
      <c r="F154" s="349">
        <v>40</v>
      </c>
      <c r="G154" s="351">
        <f t="shared" si="4"/>
        <v>270</v>
      </c>
      <c r="H154" s="40">
        <f t="shared" si="5"/>
        <v>60</v>
      </c>
      <c r="I154" s="41">
        <f t="shared" si="6"/>
        <v>70</v>
      </c>
      <c r="J154" s="350">
        <f t="shared" si="0"/>
        <v>510</v>
      </c>
      <c r="K154" s="358">
        <v>780</v>
      </c>
      <c r="N154" s="14"/>
      <c r="O154" s="14"/>
      <c r="P154" s="14"/>
      <c r="Q154" s="14"/>
      <c r="R154" s="15"/>
    </row>
    <row r="155" spans="1:23">
      <c r="B155" s="13"/>
      <c r="C155" s="40">
        <f t="shared" si="1"/>
        <v>70</v>
      </c>
      <c r="D155" s="41">
        <f t="shared" si="2"/>
        <v>80</v>
      </c>
      <c r="E155" s="350">
        <f t="shared" si="3"/>
        <v>610</v>
      </c>
      <c r="F155" s="349">
        <v>30</v>
      </c>
      <c r="G155" s="351">
        <f t="shared" si="4"/>
        <v>300</v>
      </c>
      <c r="H155" s="40">
        <f t="shared" si="5"/>
        <v>70</v>
      </c>
      <c r="I155" s="41">
        <f t="shared" si="6"/>
        <v>80</v>
      </c>
      <c r="J155" s="350">
        <f t="shared" si="0"/>
        <v>580</v>
      </c>
      <c r="K155" s="358">
        <v>880</v>
      </c>
      <c r="N155" s="14"/>
      <c r="O155" s="14"/>
      <c r="P155" s="14"/>
      <c r="Q155" s="14"/>
      <c r="R155" s="15"/>
    </row>
    <row r="156" spans="1:23">
      <c r="B156" s="13"/>
      <c r="C156" s="40">
        <f t="shared" si="1"/>
        <v>80</v>
      </c>
      <c r="D156" s="41">
        <f t="shared" si="2"/>
        <v>90</v>
      </c>
      <c r="E156" s="350">
        <f t="shared" si="3"/>
        <v>640</v>
      </c>
      <c r="F156" s="349">
        <v>30</v>
      </c>
      <c r="G156" s="351">
        <f t="shared" si="4"/>
        <v>330</v>
      </c>
      <c r="H156" s="40">
        <f t="shared" si="5"/>
        <v>80</v>
      </c>
      <c r="I156" s="41">
        <f t="shared" si="6"/>
        <v>90</v>
      </c>
      <c r="J156" s="350">
        <f t="shared" si="0"/>
        <v>610</v>
      </c>
      <c r="K156" s="358">
        <v>940</v>
      </c>
      <c r="N156" s="14"/>
      <c r="O156" s="14"/>
      <c r="P156" s="14"/>
      <c r="Q156" s="14"/>
      <c r="R156" s="15"/>
    </row>
    <row r="157" spans="1:23">
      <c r="B157" s="13"/>
      <c r="C157" s="40">
        <f t="shared" si="1"/>
        <v>90</v>
      </c>
      <c r="D157" s="41">
        <f t="shared" si="2"/>
        <v>100</v>
      </c>
      <c r="E157" s="350">
        <f t="shared" si="3"/>
        <v>660</v>
      </c>
      <c r="F157" s="349">
        <v>20</v>
      </c>
      <c r="G157" s="351">
        <f t="shared" si="4"/>
        <v>350</v>
      </c>
      <c r="H157" s="40">
        <f t="shared" si="5"/>
        <v>90</v>
      </c>
      <c r="I157" s="41">
        <f t="shared" si="6"/>
        <v>100</v>
      </c>
      <c r="J157" s="350">
        <f t="shared" si="0"/>
        <v>640</v>
      </c>
      <c r="K157" s="358">
        <v>990</v>
      </c>
      <c r="N157" s="14"/>
      <c r="O157" s="14"/>
      <c r="P157" s="14"/>
      <c r="Q157" s="14"/>
      <c r="R157" s="15"/>
    </row>
    <row r="158" spans="1:23">
      <c r="B158" s="13"/>
      <c r="C158" s="40">
        <f t="shared" si="1"/>
        <v>100</v>
      </c>
      <c r="D158" s="41">
        <f t="shared" si="2"/>
        <v>110</v>
      </c>
      <c r="E158" s="350">
        <f t="shared" si="3"/>
        <v>660</v>
      </c>
      <c r="F158" s="349">
        <v>660</v>
      </c>
      <c r="G158" s="351">
        <f t="shared" si="4"/>
        <v>1010</v>
      </c>
      <c r="H158" s="40">
        <f t="shared" si="5"/>
        <v>100</v>
      </c>
      <c r="I158" s="41">
        <f t="shared" si="6"/>
        <v>110</v>
      </c>
      <c r="J158" s="350">
        <f t="shared" si="0"/>
        <v>0</v>
      </c>
      <c r="K158" s="358">
        <v>1010</v>
      </c>
      <c r="N158" s="14"/>
      <c r="O158" s="14"/>
      <c r="P158" s="14"/>
      <c r="Q158" s="14"/>
      <c r="R158" s="15"/>
    </row>
    <row r="159" spans="1:23">
      <c r="B159" s="13"/>
      <c r="C159" s="43"/>
      <c r="D159" s="352"/>
      <c r="E159" s="44"/>
      <c r="F159" s="353"/>
      <c r="G159" s="354" t="s">
        <v>296</v>
      </c>
      <c r="H159" s="43"/>
      <c r="I159" s="352"/>
      <c r="J159" s="355"/>
      <c r="K159" s="359"/>
      <c r="N159" s="14"/>
      <c r="O159" s="14"/>
      <c r="P159" s="14"/>
      <c r="Q159" s="14"/>
      <c r="R159" s="15"/>
    </row>
    <row r="160" spans="1:23"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</row>
    <row r="161" spans="2:18"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</row>
    <row r="162" spans="2:18">
      <c r="B162" s="13"/>
      <c r="C162"/>
      <c r="D162"/>
      <c r="E162"/>
      <c r="F162"/>
      <c r="G162"/>
      <c r="H162"/>
      <c r="I162"/>
      <c r="J162" s="14"/>
      <c r="K162" s="14"/>
      <c r="L162" s="14"/>
      <c r="M162" s="14"/>
      <c r="N162" s="14"/>
      <c r="O162" s="14"/>
      <c r="P162" s="14"/>
      <c r="Q162" s="14"/>
      <c r="R162" s="15"/>
    </row>
    <row r="163" spans="2:18">
      <c r="B163" s="13"/>
      <c r="C163"/>
      <c r="D163"/>
      <c r="E163"/>
      <c r="F163"/>
      <c r="G163"/>
      <c r="H163"/>
      <c r="I163"/>
      <c r="J163" s="14"/>
      <c r="K163" s="14"/>
      <c r="L163" s="14"/>
      <c r="M163" s="14"/>
      <c r="N163" s="14"/>
      <c r="O163" s="14"/>
      <c r="P163" s="14"/>
      <c r="Q163" s="14"/>
      <c r="R163" s="15"/>
    </row>
    <row r="164" spans="2:18">
      <c r="B164" s="13"/>
      <c r="C164"/>
      <c r="D164"/>
      <c r="E164"/>
      <c r="F164"/>
      <c r="G164"/>
      <c r="H164"/>
      <c r="I164"/>
      <c r="J164" s="14"/>
      <c r="K164" s="14"/>
      <c r="L164" s="14"/>
      <c r="M164" s="14"/>
      <c r="N164" s="14"/>
      <c r="O164" s="14"/>
      <c r="P164" s="14"/>
      <c r="Q164" s="14"/>
      <c r="R164" s="15"/>
    </row>
    <row r="165" spans="2:18">
      <c r="B165" s="13"/>
      <c r="C165"/>
      <c r="D165"/>
      <c r="E165"/>
      <c r="F165"/>
      <c r="G165"/>
      <c r="H165"/>
      <c r="I165"/>
      <c r="J165" s="14"/>
      <c r="K165" s="14"/>
      <c r="L165" s="14"/>
      <c r="M165" s="14"/>
      <c r="N165" s="14"/>
      <c r="O165" s="14"/>
      <c r="P165" s="14"/>
      <c r="Q165" s="14"/>
      <c r="R165" s="15"/>
    </row>
    <row r="166" spans="2:18">
      <c r="B166" s="13"/>
      <c r="C166"/>
      <c r="D166"/>
      <c r="E166"/>
      <c r="F166"/>
      <c r="G166"/>
      <c r="H166"/>
      <c r="I166"/>
      <c r="J166" s="14"/>
      <c r="K166" s="14"/>
      <c r="L166" s="14"/>
      <c r="M166" s="14"/>
      <c r="N166" s="14"/>
      <c r="O166" s="14"/>
      <c r="P166" s="14"/>
      <c r="Q166" s="14"/>
      <c r="R166" s="15"/>
    </row>
    <row r="167" spans="2:18">
      <c r="B167" s="13"/>
      <c r="C167"/>
      <c r="D167"/>
      <c r="E167"/>
      <c r="F167"/>
      <c r="G167"/>
      <c r="H167"/>
      <c r="I167"/>
      <c r="J167" s="14"/>
      <c r="K167" s="14"/>
      <c r="L167" s="14"/>
      <c r="M167" s="14"/>
      <c r="N167" s="14"/>
      <c r="O167" s="14"/>
      <c r="P167" s="14"/>
      <c r="Q167" s="14"/>
      <c r="R167" s="15"/>
    </row>
    <row r="168" spans="2:18">
      <c r="B168" s="13"/>
      <c r="C168"/>
      <c r="D168"/>
      <c r="E168"/>
      <c r="F168"/>
      <c r="G168"/>
      <c r="H168"/>
      <c r="I168"/>
      <c r="J168" s="14"/>
      <c r="K168" s="14"/>
      <c r="L168" s="14"/>
      <c r="M168" s="14"/>
      <c r="N168" s="14"/>
      <c r="O168" s="14"/>
      <c r="P168" s="14"/>
      <c r="Q168" s="14"/>
      <c r="R168" s="15"/>
    </row>
    <row r="169" spans="2:18">
      <c r="B169" s="13"/>
      <c r="C169"/>
      <c r="D169"/>
      <c r="E169"/>
      <c r="F169"/>
      <c r="G169"/>
      <c r="H169"/>
      <c r="I169"/>
      <c r="J169" s="14"/>
      <c r="K169" s="14"/>
      <c r="L169" s="14"/>
      <c r="M169" s="14"/>
      <c r="N169" s="14"/>
      <c r="O169" s="14"/>
      <c r="P169" s="14"/>
      <c r="Q169" s="14"/>
      <c r="R169" s="15"/>
    </row>
    <row r="170" spans="2:18">
      <c r="B170" s="13"/>
      <c r="C170"/>
      <c r="D170"/>
      <c r="E170"/>
      <c r="F170"/>
      <c r="G170"/>
      <c r="H170"/>
      <c r="I170"/>
      <c r="J170" s="14"/>
      <c r="K170" s="14"/>
      <c r="L170" s="14"/>
      <c r="M170" s="14"/>
      <c r="N170" s="14"/>
      <c r="O170" s="14"/>
      <c r="P170" s="14"/>
      <c r="Q170" s="14"/>
      <c r="R170" s="15"/>
    </row>
    <row r="171" spans="2:18">
      <c r="B171" s="13"/>
      <c r="C171"/>
      <c r="D171"/>
      <c r="E171"/>
      <c r="F171"/>
      <c r="G171"/>
      <c r="H171"/>
      <c r="I171"/>
      <c r="J171" s="14"/>
      <c r="K171" s="14"/>
      <c r="L171" s="14"/>
      <c r="M171" s="14"/>
      <c r="N171" s="14"/>
      <c r="O171" s="14"/>
      <c r="P171" s="14"/>
      <c r="Q171" s="14"/>
      <c r="R171" s="15"/>
    </row>
    <row r="172" spans="2:18">
      <c r="B172" s="13"/>
      <c r="C172"/>
      <c r="D172"/>
      <c r="E172"/>
      <c r="F172"/>
      <c r="G172"/>
      <c r="H172"/>
      <c r="I172"/>
      <c r="J172" s="14"/>
      <c r="K172" s="14"/>
      <c r="L172" s="14"/>
      <c r="M172" s="14"/>
      <c r="N172" s="14"/>
      <c r="O172" s="14"/>
      <c r="P172" s="14"/>
      <c r="Q172" s="14"/>
      <c r="R172" s="15"/>
    </row>
    <row r="173" spans="2:18">
      <c r="B173" s="13"/>
      <c r="C173"/>
      <c r="D173"/>
      <c r="E173"/>
      <c r="F173"/>
      <c r="G173"/>
      <c r="H173"/>
      <c r="I173"/>
      <c r="J173" s="14"/>
      <c r="K173" s="14"/>
      <c r="L173" s="14"/>
      <c r="M173" s="14"/>
      <c r="N173" s="14"/>
      <c r="O173" s="14"/>
      <c r="P173" s="14"/>
      <c r="Q173" s="14"/>
      <c r="R173" s="15"/>
    </row>
    <row r="174" spans="2:18">
      <c r="B174" s="13"/>
      <c r="C174"/>
      <c r="D174"/>
      <c r="E174"/>
      <c r="F174"/>
      <c r="G174"/>
      <c r="H174"/>
      <c r="I174"/>
      <c r="J174" s="14"/>
      <c r="K174" s="14"/>
      <c r="L174" s="14"/>
      <c r="M174" s="14"/>
      <c r="N174" s="14"/>
      <c r="O174" s="14"/>
      <c r="P174" s="14"/>
      <c r="Q174" s="14"/>
      <c r="R174" s="15"/>
    </row>
    <row r="175" spans="2:18">
      <c r="B175" s="13"/>
      <c r="C175"/>
      <c r="D175"/>
      <c r="E175"/>
      <c r="F175"/>
      <c r="G175"/>
      <c r="H175"/>
      <c r="I175"/>
      <c r="J175" s="14"/>
      <c r="K175" s="14"/>
      <c r="L175" s="14"/>
      <c r="M175" s="14"/>
      <c r="N175" s="14"/>
      <c r="O175" s="14"/>
      <c r="P175" s="14"/>
      <c r="Q175" s="14"/>
      <c r="R175" s="15"/>
    </row>
    <row r="176" spans="2:18">
      <c r="B176" s="13"/>
      <c r="C176"/>
      <c r="D176"/>
      <c r="E176"/>
      <c r="F176"/>
      <c r="G176"/>
      <c r="H176"/>
      <c r="I176"/>
      <c r="J176" s="14"/>
      <c r="K176" s="14"/>
      <c r="L176" s="14"/>
      <c r="M176" s="14"/>
      <c r="N176" s="14"/>
      <c r="O176" s="14"/>
      <c r="P176" s="14"/>
      <c r="Q176" s="14"/>
      <c r="R176" s="15"/>
    </row>
    <row r="177" spans="2:18">
      <c r="B177" s="13"/>
      <c r="C177"/>
      <c r="D177"/>
      <c r="E177"/>
      <c r="F177"/>
      <c r="G177"/>
      <c r="H177"/>
      <c r="I177"/>
      <c r="J177" s="14"/>
      <c r="K177" s="14"/>
      <c r="L177" s="14"/>
      <c r="M177" s="14"/>
      <c r="N177" s="14"/>
      <c r="O177" s="14"/>
      <c r="P177" s="14"/>
      <c r="Q177" s="14"/>
      <c r="R177" s="15"/>
    </row>
    <row r="178" spans="2:18">
      <c r="B178" s="13"/>
      <c r="C178"/>
      <c r="D178"/>
      <c r="E178"/>
      <c r="F178"/>
      <c r="G178"/>
      <c r="H178"/>
      <c r="I178"/>
      <c r="J178" s="14"/>
      <c r="K178" s="14"/>
      <c r="L178" s="14"/>
      <c r="M178" s="14"/>
      <c r="N178" s="14"/>
      <c r="O178" s="14"/>
      <c r="P178" s="14"/>
      <c r="Q178" s="14"/>
      <c r="R178" s="15"/>
    </row>
    <row r="179" spans="2:18">
      <c r="B179" s="13"/>
      <c r="C179"/>
      <c r="D179"/>
      <c r="E179"/>
      <c r="F179"/>
      <c r="G179"/>
      <c r="H179"/>
      <c r="I179"/>
      <c r="J179" s="14"/>
      <c r="K179" s="14"/>
      <c r="L179" s="14"/>
      <c r="M179" s="14"/>
      <c r="N179" s="14"/>
      <c r="O179" s="14"/>
      <c r="P179" s="14"/>
      <c r="Q179" s="14"/>
      <c r="R179" s="15"/>
    </row>
    <row r="180" spans="2:18">
      <c r="B180" s="13"/>
      <c r="C180"/>
      <c r="D180"/>
      <c r="E180"/>
      <c r="F180"/>
      <c r="G180"/>
      <c r="H180"/>
      <c r="I180"/>
      <c r="J180" s="14"/>
      <c r="K180" s="14"/>
      <c r="L180" s="14"/>
      <c r="M180" s="14"/>
      <c r="N180" s="14"/>
      <c r="O180" s="14"/>
      <c r="P180" s="14"/>
      <c r="Q180" s="14"/>
      <c r="R180" s="15"/>
    </row>
    <row r="181" spans="2:18">
      <c r="B181" s="13"/>
      <c r="C181" s="2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</row>
    <row r="182" spans="2:18" ht="16" thickBot="1">
      <c r="B182" s="16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8"/>
    </row>
    <row r="184" spans="2:18" ht="16" thickBot="1"/>
    <row r="185" spans="2:18">
      <c r="B185" s="10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2"/>
    </row>
    <row r="186" spans="2:18">
      <c r="B186" s="363" t="s">
        <v>184</v>
      </c>
      <c r="C186" s="364"/>
      <c r="D186" s="364"/>
      <c r="E186" s="364"/>
      <c r="F186" s="364"/>
      <c r="G186" s="364"/>
      <c r="H186" s="364"/>
      <c r="I186" s="364"/>
      <c r="J186" s="364"/>
      <c r="K186" s="364"/>
      <c r="L186" s="364"/>
      <c r="M186" s="364"/>
      <c r="N186" s="364"/>
      <c r="O186" s="364"/>
      <c r="P186" s="364"/>
      <c r="Q186" s="364"/>
      <c r="R186" s="365"/>
    </row>
    <row r="187" spans="2:18" ht="16" thickBot="1">
      <c r="B187" s="16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8"/>
    </row>
    <row r="188" spans="2:18">
      <c r="B188" s="13"/>
      <c r="C188" s="14"/>
      <c r="D188" s="14"/>
      <c r="E188" s="14"/>
      <c r="F188" s="14"/>
      <c r="G188" s="14"/>
      <c r="H188" s="14"/>
      <c r="I188" s="14"/>
      <c r="K188"/>
      <c r="L188"/>
      <c r="M188"/>
      <c r="N188"/>
      <c r="O188"/>
      <c r="P188"/>
      <c r="Q188"/>
      <c r="R188" s="15"/>
    </row>
    <row r="189" spans="2:18">
      <c r="B189" s="13"/>
      <c r="C189" s="29" t="s">
        <v>270</v>
      </c>
      <c r="G189" s="14"/>
      <c r="H189" s="14"/>
      <c r="I189" s="14"/>
      <c r="J189"/>
      <c r="K189"/>
      <c r="L189"/>
      <c r="M189"/>
      <c r="N189"/>
      <c r="O189"/>
      <c r="P189"/>
      <c r="Q189"/>
      <c r="R189" s="15"/>
    </row>
    <row r="190" spans="2:18">
      <c r="B190" s="13"/>
      <c r="G190" s="14"/>
      <c r="H190" s="14"/>
      <c r="I190" s="14"/>
      <c r="J190"/>
      <c r="K190"/>
      <c r="L190"/>
      <c r="M190"/>
      <c r="N190"/>
      <c r="O190"/>
      <c r="P190"/>
      <c r="Q190"/>
      <c r="R190" s="15"/>
    </row>
    <row r="191" spans="2:18">
      <c r="B191" s="13"/>
      <c r="C191" s="30" t="s">
        <v>121</v>
      </c>
      <c r="D191" s="366" t="s">
        <v>298</v>
      </c>
      <c r="E191" s="366"/>
      <c r="F191" s="366"/>
      <c r="G191" s="14"/>
      <c r="H191" s="14"/>
      <c r="I191" s="14"/>
      <c r="J191"/>
      <c r="K191"/>
      <c r="L191"/>
      <c r="M191"/>
      <c r="N191"/>
      <c r="O191"/>
      <c r="P191"/>
      <c r="Q191"/>
      <c r="R191" s="15"/>
    </row>
    <row r="192" spans="2:18">
      <c r="B192" s="13"/>
      <c r="D192" s="366"/>
      <c r="E192" s="366"/>
      <c r="F192" s="366"/>
      <c r="G192" s="14"/>
      <c r="H192" s="14"/>
      <c r="I192" s="14"/>
      <c r="J192"/>
      <c r="K192"/>
      <c r="L192"/>
      <c r="M192"/>
      <c r="N192"/>
      <c r="O192"/>
      <c r="P192"/>
      <c r="Q192"/>
      <c r="R192" s="15"/>
    </row>
    <row r="193" spans="2:18">
      <c r="B193" s="13"/>
      <c r="C193" s="14"/>
      <c r="D193" s="366" t="s">
        <v>299</v>
      </c>
      <c r="E193" s="366"/>
      <c r="F193" s="366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</row>
    <row r="194" spans="2:18">
      <c r="B194" s="13"/>
      <c r="C194" s="14"/>
      <c r="D194" s="366"/>
      <c r="E194" s="366"/>
      <c r="F194" s="366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</row>
    <row r="195" spans="2:18">
      <c r="B195" s="13"/>
      <c r="C195" s="14"/>
      <c r="D195" s="366"/>
      <c r="E195" s="366"/>
      <c r="F195" s="366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2:18">
      <c r="B196" s="13"/>
      <c r="C196" s="28" t="s">
        <v>120</v>
      </c>
      <c r="D196" s="163" t="s">
        <v>266</v>
      </c>
      <c r="E196" s="169"/>
      <c r="F196" s="169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</row>
    <row r="197" spans="2:18">
      <c r="B197" s="13"/>
      <c r="C197" s="14"/>
      <c r="D197" s="1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</row>
    <row r="198" spans="2:18">
      <c r="B198" s="13"/>
      <c r="C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</row>
    <row r="199" spans="2:18">
      <c r="B199" s="13"/>
      <c r="C199" s="14"/>
      <c r="D199" s="1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</row>
    <row r="200" spans="2:18">
      <c r="B200" s="13"/>
      <c r="C200" s="29"/>
      <c r="D200" s="1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</row>
    <row r="201" spans="2:18">
      <c r="B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</row>
    <row r="202" spans="2:18">
      <c r="B202" s="13"/>
      <c r="C202" s="30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</row>
    <row r="203" spans="2:18">
      <c r="B203" s="13"/>
      <c r="C203" s="30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</row>
    <row r="204" spans="2:18">
      <c r="B204" s="13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</row>
    <row r="205" spans="2:18">
      <c r="B205" s="1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</row>
    <row r="206" spans="2:18">
      <c r="B206" s="1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</row>
    <row r="207" spans="2:18"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</row>
    <row r="208" spans="2:18">
      <c r="B208" s="13"/>
      <c r="C208"/>
      <c r="D208"/>
      <c r="E208"/>
      <c r="F208"/>
      <c r="G208"/>
      <c r="H208"/>
      <c r="I208"/>
      <c r="J208" s="14"/>
      <c r="K208" s="14"/>
      <c r="L208" s="14"/>
      <c r="M208" s="14"/>
      <c r="N208" s="14"/>
      <c r="O208" s="14"/>
      <c r="P208" s="14"/>
      <c r="Q208" s="14"/>
      <c r="R208" s="15"/>
    </row>
    <row r="209" spans="2:18">
      <c r="B209" s="13"/>
      <c r="C209"/>
      <c r="D209"/>
      <c r="E209"/>
      <c r="F209"/>
      <c r="G209"/>
      <c r="H209"/>
      <c r="I209"/>
      <c r="J209" s="14"/>
      <c r="K209" s="14"/>
      <c r="L209" s="14"/>
      <c r="M209" s="14"/>
      <c r="N209" s="14"/>
      <c r="O209" s="14"/>
      <c r="P209" s="14"/>
      <c r="Q209" s="14"/>
      <c r="R209" s="15"/>
    </row>
    <row r="210" spans="2:18">
      <c r="B210" s="13"/>
      <c r="C210"/>
      <c r="D210"/>
      <c r="E210"/>
      <c r="F210"/>
      <c r="G210"/>
      <c r="H210"/>
      <c r="I210"/>
      <c r="J210" s="14"/>
      <c r="K210" s="14"/>
      <c r="L210" s="14"/>
      <c r="M210" s="14"/>
      <c r="N210" s="14"/>
      <c r="O210" s="14"/>
      <c r="P210" s="14"/>
      <c r="Q210" s="14"/>
      <c r="R210" s="15"/>
    </row>
    <row r="211" spans="2:18">
      <c r="B211" s="13"/>
      <c r="C211"/>
      <c r="D211"/>
      <c r="E211"/>
      <c r="F211"/>
      <c r="G211"/>
      <c r="H211"/>
      <c r="I211"/>
      <c r="J211" s="14"/>
      <c r="K211" s="14"/>
      <c r="L211" s="14"/>
      <c r="M211" s="14"/>
      <c r="N211" s="14"/>
      <c r="O211" s="14"/>
      <c r="P211" s="14"/>
      <c r="Q211" s="14"/>
      <c r="R211" s="15"/>
    </row>
    <row r="212" spans="2:18">
      <c r="B212" s="13"/>
      <c r="C212"/>
      <c r="D212"/>
      <c r="E212"/>
      <c r="F212"/>
      <c r="G212"/>
      <c r="H212"/>
      <c r="I212"/>
      <c r="J212" s="14"/>
      <c r="K212" s="14"/>
      <c r="L212" s="14"/>
      <c r="M212" s="14"/>
      <c r="N212" s="14"/>
      <c r="O212" s="14"/>
      <c r="P212" s="14"/>
      <c r="Q212" s="14"/>
      <c r="R212" s="15"/>
    </row>
    <row r="213" spans="2:18">
      <c r="B213" s="13"/>
      <c r="C213"/>
      <c r="D213"/>
      <c r="E213"/>
      <c r="F213"/>
      <c r="G213"/>
      <c r="H213"/>
      <c r="I213"/>
      <c r="J213" s="14"/>
      <c r="K213" s="14"/>
      <c r="L213" s="14"/>
      <c r="M213" s="14"/>
      <c r="N213" s="14"/>
      <c r="O213" s="14"/>
      <c r="P213" s="14"/>
      <c r="Q213" s="14"/>
      <c r="R213" s="15"/>
    </row>
    <row r="214" spans="2:18">
      <c r="B214" s="13"/>
      <c r="C214"/>
      <c r="D214"/>
      <c r="E214"/>
      <c r="F214"/>
      <c r="G214"/>
      <c r="H214"/>
      <c r="I214"/>
      <c r="J214" s="14"/>
      <c r="K214" s="14"/>
      <c r="L214" s="14"/>
      <c r="M214" s="14"/>
      <c r="N214" s="14"/>
      <c r="O214" s="14"/>
      <c r="P214" s="14"/>
      <c r="Q214" s="14"/>
      <c r="R214" s="15"/>
    </row>
    <row r="215" spans="2:18">
      <c r="B215" s="13"/>
      <c r="C215"/>
      <c r="D215"/>
      <c r="E215"/>
      <c r="F215"/>
      <c r="G215"/>
      <c r="H215"/>
      <c r="I215"/>
      <c r="J215" s="14"/>
      <c r="K215" s="14"/>
      <c r="L215" s="14"/>
      <c r="M215" s="14"/>
      <c r="N215" s="14"/>
      <c r="O215" s="14"/>
      <c r="P215" s="14"/>
      <c r="Q215" s="14"/>
      <c r="R215" s="15"/>
    </row>
    <row r="216" spans="2:18">
      <c r="B216" s="13"/>
      <c r="C216"/>
      <c r="D216"/>
      <c r="E216"/>
      <c r="F216"/>
      <c r="G216"/>
      <c r="H216"/>
      <c r="I216"/>
      <c r="J216" s="14"/>
      <c r="K216" s="14"/>
      <c r="L216" s="14"/>
      <c r="M216" s="14"/>
      <c r="N216" s="14"/>
      <c r="O216" s="14"/>
      <c r="P216" s="14"/>
      <c r="Q216" s="14"/>
      <c r="R216" s="15"/>
    </row>
    <row r="217" spans="2:18">
      <c r="B217" s="13"/>
      <c r="C217"/>
      <c r="D217"/>
      <c r="E217"/>
      <c r="F217"/>
      <c r="G217"/>
      <c r="H217"/>
      <c r="I217"/>
      <c r="J217" s="14"/>
      <c r="K217" s="14"/>
      <c r="L217" s="14"/>
      <c r="M217" s="14"/>
      <c r="N217" s="14"/>
      <c r="O217" s="14"/>
      <c r="P217" s="14"/>
      <c r="Q217" s="14"/>
      <c r="R217" s="15"/>
    </row>
    <row r="218" spans="2:18">
      <c r="B218" s="13"/>
      <c r="C218"/>
      <c r="D218"/>
      <c r="E218"/>
      <c r="F218"/>
      <c r="G218"/>
      <c r="H218"/>
      <c r="I218"/>
      <c r="J218" s="14"/>
      <c r="K218" s="14"/>
      <c r="L218" s="14"/>
      <c r="M218" s="14"/>
      <c r="N218" s="14"/>
      <c r="O218" s="14"/>
      <c r="P218" s="14"/>
      <c r="Q218" s="14"/>
      <c r="R218" s="15"/>
    </row>
    <row r="219" spans="2:18">
      <c r="B219" s="13"/>
      <c r="C219"/>
      <c r="D219"/>
      <c r="E219"/>
      <c r="F219"/>
      <c r="G219"/>
      <c r="H219"/>
      <c r="I219"/>
      <c r="J219" s="14"/>
      <c r="K219" s="14"/>
      <c r="L219" s="14"/>
      <c r="M219" s="14"/>
      <c r="N219" s="14"/>
      <c r="O219" s="14"/>
      <c r="P219" s="14"/>
      <c r="Q219" s="14"/>
      <c r="R219" s="15"/>
    </row>
    <row r="220" spans="2:18">
      <c r="B220" s="13"/>
      <c r="C220"/>
      <c r="D220"/>
      <c r="E220"/>
      <c r="F220"/>
      <c r="G220"/>
      <c r="H220"/>
      <c r="I220"/>
      <c r="J220" s="14"/>
      <c r="K220" s="14"/>
      <c r="L220" s="14"/>
      <c r="M220" s="14"/>
      <c r="N220" s="14"/>
      <c r="O220" s="14"/>
      <c r="P220" s="14"/>
      <c r="Q220" s="14"/>
      <c r="R220" s="15"/>
    </row>
    <row r="221" spans="2:18">
      <c r="B221" s="13"/>
      <c r="C221"/>
      <c r="D221"/>
      <c r="E221"/>
      <c r="F221"/>
      <c r="G221"/>
      <c r="H221"/>
      <c r="I221"/>
      <c r="J221" s="14"/>
      <c r="K221" s="14"/>
      <c r="L221" s="14"/>
      <c r="M221" s="14"/>
      <c r="N221" s="14"/>
      <c r="O221" s="14"/>
      <c r="P221" s="14"/>
      <c r="Q221" s="14"/>
      <c r="R221" s="15"/>
    </row>
    <row r="222" spans="2:18">
      <c r="B222" s="13"/>
      <c r="C222"/>
      <c r="D222"/>
      <c r="E222"/>
      <c r="F222"/>
      <c r="G222"/>
      <c r="H222"/>
      <c r="I222"/>
      <c r="J222" s="14"/>
      <c r="K222" s="14"/>
      <c r="L222" s="14"/>
      <c r="M222" s="14"/>
      <c r="N222" s="14"/>
      <c r="O222" s="14"/>
      <c r="P222" s="14"/>
      <c r="Q222" s="14"/>
      <c r="R222" s="15"/>
    </row>
    <row r="223" spans="2:18">
      <c r="B223" s="13"/>
      <c r="C223"/>
      <c r="D223"/>
      <c r="E223"/>
      <c r="F223"/>
      <c r="G223"/>
      <c r="H223"/>
      <c r="I223"/>
      <c r="J223" s="14"/>
      <c r="K223" s="14"/>
      <c r="L223" s="14"/>
      <c r="M223" s="14"/>
      <c r="N223" s="14"/>
      <c r="O223" s="14"/>
      <c r="P223" s="14"/>
      <c r="Q223" s="14"/>
      <c r="R223" s="15"/>
    </row>
    <row r="224" spans="2:18">
      <c r="B224" s="13"/>
      <c r="C224"/>
      <c r="D224"/>
      <c r="E224"/>
      <c r="F224"/>
      <c r="G224"/>
      <c r="H224"/>
      <c r="I224"/>
      <c r="J224" s="14"/>
      <c r="K224" s="14"/>
      <c r="L224" s="14"/>
      <c r="M224" s="14"/>
      <c r="N224" s="14"/>
      <c r="O224" s="14"/>
      <c r="P224" s="14"/>
      <c r="Q224" s="14"/>
      <c r="R224" s="15"/>
    </row>
    <row r="225" spans="2:18">
      <c r="B225" s="13"/>
      <c r="C225"/>
      <c r="D225"/>
      <c r="E225"/>
      <c r="F225"/>
      <c r="G225"/>
      <c r="H225"/>
      <c r="I225"/>
      <c r="J225" s="14"/>
      <c r="K225" s="14"/>
      <c r="L225" s="14"/>
      <c r="M225" s="14"/>
      <c r="N225" s="14"/>
      <c r="O225" s="14"/>
      <c r="P225" s="14"/>
      <c r="Q225" s="14"/>
      <c r="R225" s="15"/>
    </row>
    <row r="226" spans="2:18">
      <c r="B226" s="13"/>
      <c r="C226"/>
      <c r="D226"/>
      <c r="E226"/>
      <c r="F226"/>
      <c r="G226"/>
      <c r="H226"/>
      <c r="I226"/>
      <c r="J226" s="14"/>
      <c r="K226" s="14"/>
      <c r="L226" s="14"/>
      <c r="M226" s="14"/>
      <c r="N226" s="14"/>
      <c r="O226" s="14"/>
      <c r="P226" s="14"/>
      <c r="Q226" s="14"/>
      <c r="R226" s="15"/>
    </row>
    <row r="227" spans="2:18">
      <c r="B227" s="13"/>
      <c r="C227" s="2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</row>
    <row r="228" spans="2:18" ht="16" thickBot="1">
      <c r="B228" s="16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8"/>
    </row>
    <row r="230" spans="2:18" ht="16" thickBot="1"/>
    <row r="231" spans="2:18">
      <c r="B231" s="10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2"/>
    </row>
    <row r="232" spans="2:18">
      <c r="B232" s="363" t="s">
        <v>184</v>
      </c>
      <c r="C232" s="364"/>
      <c r="D232" s="364"/>
      <c r="E232" s="364"/>
      <c r="F232" s="364"/>
      <c r="G232" s="364"/>
      <c r="H232" s="364"/>
      <c r="I232" s="364"/>
      <c r="J232" s="364"/>
      <c r="K232" s="364"/>
      <c r="L232" s="364"/>
      <c r="M232" s="364"/>
      <c r="N232" s="364"/>
      <c r="O232" s="364"/>
      <c r="P232" s="364"/>
      <c r="Q232" s="364"/>
      <c r="R232" s="365"/>
    </row>
    <row r="233" spans="2:18" ht="16" thickBot="1">
      <c r="B233" s="16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8"/>
    </row>
    <row r="234" spans="2:18">
      <c r="B234" s="13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 s="15"/>
    </row>
    <row r="235" spans="2:18">
      <c r="B235" s="13"/>
      <c r="C235" s="29" t="s">
        <v>301</v>
      </c>
      <c r="G235"/>
      <c r="H235"/>
      <c r="I235"/>
      <c r="J235"/>
      <c r="K235"/>
      <c r="L235"/>
      <c r="M235"/>
      <c r="N235"/>
      <c r="O235"/>
      <c r="P235"/>
      <c r="Q235"/>
      <c r="R235" s="15"/>
    </row>
    <row r="236" spans="2:18">
      <c r="B236" s="13"/>
      <c r="G236"/>
      <c r="H236"/>
      <c r="I236"/>
      <c r="J236"/>
      <c r="K236"/>
      <c r="L236"/>
      <c r="M236"/>
      <c r="N236"/>
      <c r="O236"/>
      <c r="P236"/>
      <c r="Q236"/>
      <c r="R236" s="15"/>
    </row>
    <row r="237" spans="2:18" ht="18" customHeight="1">
      <c r="B237" s="13"/>
      <c r="C237" s="30" t="s">
        <v>121</v>
      </c>
      <c r="D237" s="366" t="s">
        <v>300</v>
      </c>
      <c r="E237" s="366"/>
      <c r="F237" s="366"/>
      <c r="G237"/>
      <c r="H237"/>
      <c r="I237"/>
      <c r="J237"/>
      <c r="K237"/>
      <c r="L237"/>
      <c r="M237"/>
      <c r="N237"/>
      <c r="O237"/>
      <c r="P237"/>
      <c r="Q237"/>
      <c r="R237" s="15"/>
    </row>
    <row r="238" spans="2:18">
      <c r="B238" s="13"/>
      <c r="D238" s="366"/>
      <c r="E238" s="366"/>
      <c r="F238" s="366"/>
      <c r="G238"/>
      <c r="H238"/>
      <c r="I238"/>
      <c r="J238"/>
      <c r="K238"/>
      <c r="L238"/>
      <c r="M238"/>
      <c r="N238"/>
      <c r="O238"/>
      <c r="P238"/>
      <c r="Q238"/>
      <c r="R238" s="15"/>
    </row>
    <row r="239" spans="2:18" ht="18" customHeight="1">
      <c r="B239" s="13"/>
      <c r="C239" s="14"/>
      <c r="D239" s="366" t="s">
        <v>271</v>
      </c>
      <c r="E239" s="366"/>
      <c r="F239" s="366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</row>
    <row r="240" spans="2:18">
      <c r="B240" s="13"/>
      <c r="C240" s="14"/>
      <c r="D240" s="366"/>
      <c r="E240" s="366"/>
      <c r="F240" s="366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5"/>
    </row>
    <row r="241" spans="2:21">
      <c r="B241" s="13"/>
      <c r="C241" s="14"/>
      <c r="D241" s="366"/>
      <c r="E241" s="366"/>
      <c r="F241" s="366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5"/>
    </row>
    <row r="242" spans="2:21">
      <c r="B242" s="13"/>
      <c r="C242" s="28" t="s">
        <v>120</v>
      </c>
      <c r="D242" s="163" t="s">
        <v>266</v>
      </c>
      <c r="E242" s="169"/>
      <c r="F242" s="169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</row>
    <row r="243" spans="2:21">
      <c r="B243" s="13"/>
      <c r="C243" s="14"/>
      <c r="D243" s="331"/>
      <c r="E243" s="331"/>
      <c r="F243" s="331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5"/>
    </row>
    <row r="244" spans="2:21">
      <c r="B244" s="13"/>
      <c r="C244" s="29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</row>
    <row r="245" spans="2:21">
      <c r="B245" s="13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5"/>
    </row>
    <row r="246" spans="2:21">
      <c r="B246" s="13"/>
      <c r="C246" s="30"/>
      <c r="D246" s="21"/>
      <c r="E246" s="21"/>
      <c r="F246" s="21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</row>
    <row r="247" spans="2:21">
      <c r="B247" s="13"/>
      <c r="D247" s="21"/>
      <c r="E247" s="21"/>
      <c r="F247" s="21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</row>
    <row r="248" spans="2:21">
      <c r="B248" s="13"/>
      <c r="C248" s="14"/>
      <c r="D248" s="21"/>
      <c r="E248" s="21"/>
      <c r="F248" s="21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</row>
    <row r="249" spans="2:21">
      <c r="B249" s="13"/>
      <c r="C249" s="14"/>
      <c r="D249"/>
      <c r="E249"/>
      <c r="F249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5"/>
      <c r="U249" s="19" t="s">
        <v>302</v>
      </c>
    </row>
    <row r="250" spans="2:21">
      <c r="B250" s="13"/>
      <c r="C250" s="14"/>
      <c r="D250"/>
      <c r="E250"/>
      <c r="F250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</row>
    <row r="251" spans="2:21">
      <c r="B251" s="13"/>
      <c r="C251" s="28"/>
      <c r="D251" s="330"/>
      <c r="E251" s="331"/>
      <c r="F251" s="331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</row>
    <row r="252" spans="2:21">
      <c r="B252" s="13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</row>
    <row r="253" spans="2:21">
      <c r="B253" s="1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</row>
    <row r="254" spans="2:21">
      <c r="B254" s="13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5"/>
    </row>
    <row r="255" spans="2:21">
      <c r="B255" s="13"/>
      <c r="C255"/>
      <c r="D255"/>
      <c r="E255"/>
      <c r="F255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5"/>
    </row>
    <row r="256" spans="2:21">
      <c r="B256" s="13"/>
      <c r="C256"/>
      <c r="D256"/>
      <c r="E256"/>
      <c r="F256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5"/>
    </row>
    <row r="257" spans="2:18">
      <c r="B257" s="13"/>
      <c r="C257"/>
      <c r="D257"/>
      <c r="E257"/>
      <c r="F257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5"/>
    </row>
    <row r="258" spans="2:18">
      <c r="B258" s="13"/>
      <c r="C258"/>
      <c r="D258"/>
      <c r="E258"/>
      <c r="F258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5"/>
    </row>
    <row r="259" spans="2:18">
      <c r="B259" s="13"/>
      <c r="C259"/>
      <c r="D259"/>
      <c r="E259"/>
      <c r="F259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2:18">
      <c r="B260" s="13"/>
      <c r="C260"/>
      <c r="D260"/>
      <c r="E260"/>
      <c r="F260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5"/>
    </row>
    <row r="261" spans="2:18">
      <c r="B261" s="13"/>
      <c r="C261"/>
      <c r="D261"/>
      <c r="E261"/>
      <c r="F261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5"/>
    </row>
    <row r="262" spans="2:18">
      <c r="B262" s="13"/>
      <c r="C262"/>
      <c r="D262"/>
      <c r="E262"/>
      <c r="F262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5"/>
    </row>
    <row r="263" spans="2:18">
      <c r="B263" s="13"/>
      <c r="C263"/>
      <c r="D263"/>
      <c r="E263"/>
      <c r="F263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5"/>
    </row>
    <row r="264" spans="2:18">
      <c r="B264" s="13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2:18">
      <c r="B265" s="13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5"/>
    </row>
    <row r="266" spans="2:18">
      <c r="B266" s="13"/>
      <c r="C266"/>
      <c r="D266"/>
      <c r="E266"/>
      <c r="F266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5"/>
    </row>
    <row r="267" spans="2:18">
      <c r="B267" s="13"/>
      <c r="C267"/>
      <c r="D267"/>
      <c r="E267"/>
      <c r="F267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5"/>
    </row>
    <row r="268" spans="2:18">
      <c r="B268" s="13"/>
      <c r="C268"/>
      <c r="D268"/>
      <c r="E268"/>
      <c r="F268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5"/>
    </row>
    <row r="269" spans="2:18">
      <c r="B269" s="13"/>
      <c r="C269"/>
      <c r="D269"/>
      <c r="E269"/>
      <c r="F269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5"/>
    </row>
    <row r="270" spans="2:18">
      <c r="B270" s="13"/>
      <c r="C270"/>
      <c r="D270"/>
      <c r="E270"/>
      <c r="F270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</row>
    <row r="271" spans="2:18">
      <c r="B271" s="13"/>
      <c r="C271"/>
      <c r="D271"/>
      <c r="E271"/>
      <c r="F271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</row>
    <row r="272" spans="2:18">
      <c r="B272" s="13"/>
      <c r="C272"/>
      <c r="D272"/>
      <c r="E272"/>
      <c r="F272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5"/>
    </row>
    <row r="273" spans="2:18">
      <c r="B273" s="13"/>
      <c r="C273" s="2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</row>
    <row r="274" spans="2:18" ht="16" thickBot="1">
      <c r="B274" s="16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8"/>
    </row>
    <row r="275" spans="2:18" ht="16" thickBot="1"/>
    <row r="276" spans="2:18">
      <c r="B276" s="10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2"/>
    </row>
    <row r="277" spans="2:18">
      <c r="B277" s="363" t="s">
        <v>184</v>
      </c>
      <c r="C277" s="364"/>
      <c r="D277" s="364"/>
      <c r="E277" s="364"/>
      <c r="F277" s="364"/>
      <c r="G277" s="364"/>
      <c r="H277" s="364"/>
      <c r="I277" s="364"/>
      <c r="J277" s="364"/>
      <c r="K277" s="364"/>
      <c r="L277" s="364"/>
      <c r="M277" s="364"/>
      <c r="N277" s="364"/>
      <c r="O277" s="364"/>
      <c r="P277" s="364"/>
      <c r="Q277" s="364"/>
      <c r="R277" s="365"/>
    </row>
    <row r="278" spans="2:18" ht="16" thickBot="1">
      <c r="B278" s="16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8"/>
    </row>
    <row r="279" spans="2:18">
      <c r="B279" s="13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 s="15"/>
    </row>
    <row r="280" spans="2:18">
      <c r="B280" s="13"/>
      <c r="C280" s="29" t="s">
        <v>303</v>
      </c>
      <c r="G280"/>
      <c r="H280"/>
      <c r="I280"/>
      <c r="J280"/>
      <c r="K280"/>
      <c r="L280"/>
      <c r="M280"/>
      <c r="N280"/>
      <c r="O280"/>
      <c r="P280"/>
      <c r="Q280"/>
      <c r="R280" s="15"/>
    </row>
    <row r="281" spans="2:18">
      <c r="B281" s="13"/>
      <c r="G281"/>
      <c r="H281"/>
      <c r="I281"/>
      <c r="J281"/>
      <c r="K281"/>
      <c r="L281"/>
      <c r="M281"/>
      <c r="N281"/>
      <c r="O281"/>
      <c r="P281"/>
      <c r="Q281"/>
      <c r="R281" s="15"/>
    </row>
    <row r="282" spans="2:18">
      <c r="B282" s="13"/>
      <c r="C282" s="30" t="s">
        <v>121</v>
      </c>
      <c r="D282" s="366" t="s">
        <v>304</v>
      </c>
      <c r="E282" s="366"/>
      <c r="F282" s="366"/>
      <c r="G282"/>
      <c r="H282"/>
      <c r="I282"/>
      <c r="J282"/>
      <c r="K282"/>
      <c r="L282"/>
      <c r="M282"/>
      <c r="N282"/>
      <c r="O282"/>
      <c r="P282"/>
      <c r="Q282"/>
      <c r="R282" s="15"/>
    </row>
    <row r="283" spans="2:18">
      <c r="B283" s="13"/>
      <c r="D283" s="366"/>
      <c r="E283" s="366"/>
      <c r="F283" s="366"/>
      <c r="G283"/>
      <c r="H283"/>
      <c r="I283"/>
      <c r="J283"/>
      <c r="K283"/>
      <c r="L283"/>
      <c r="M283"/>
      <c r="N283"/>
      <c r="O283"/>
      <c r="P283"/>
      <c r="Q283"/>
      <c r="R283" s="15"/>
    </row>
    <row r="284" spans="2:18">
      <c r="B284" s="13"/>
      <c r="C284" s="14"/>
      <c r="D284" s="366" t="s">
        <v>305</v>
      </c>
      <c r="E284" s="366"/>
      <c r="F284" s="366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5"/>
    </row>
    <row r="285" spans="2:18">
      <c r="B285" s="13"/>
      <c r="C285" s="14"/>
      <c r="D285" s="366"/>
      <c r="E285" s="366"/>
      <c r="F285" s="366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5"/>
    </row>
    <row r="286" spans="2:18">
      <c r="B286" s="13"/>
      <c r="C286" s="14"/>
      <c r="D286" s="366"/>
      <c r="E286" s="366"/>
      <c r="F286" s="366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5"/>
    </row>
    <row r="287" spans="2:18">
      <c r="B287" s="13"/>
      <c r="C287" s="28" t="s">
        <v>120</v>
      </c>
      <c r="D287" s="163" t="s">
        <v>266</v>
      </c>
      <c r="E287" s="169"/>
      <c r="F287" s="169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5"/>
    </row>
    <row r="288" spans="2:18">
      <c r="B288" s="13"/>
      <c r="C288" s="14"/>
      <c r="D288" s="331"/>
      <c r="E288" s="331"/>
      <c r="F288" s="331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5"/>
    </row>
    <row r="289" spans="2:18">
      <c r="B289" s="13"/>
      <c r="C289" s="29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5"/>
    </row>
    <row r="290" spans="2:18">
      <c r="B290" s="13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5"/>
    </row>
    <row r="291" spans="2:18">
      <c r="B291" s="13"/>
      <c r="C291" s="30"/>
      <c r="D291" s="21"/>
      <c r="E291" s="21"/>
      <c r="F291" s="21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5"/>
    </row>
    <row r="292" spans="2:18">
      <c r="B292" s="13"/>
      <c r="D292" s="21"/>
      <c r="E292" s="21"/>
      <c r="F292" s="21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5"/>
    </row>
    <row r="293" spans="2:18">
      <c r="B293" s="13"/>
      <c r="C293" s="14"/>
      <c r="D293" s="21"/>
      <c r="E293" s="21"/>
      <c r="F293" s="21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5"/>
    </row>
    <row r="294" spans="2:18">
      <c r="B294" s="13"/>
      <c r="C294" s="14"/>
      <c r="D294"/>
      <c r="E294"/>
      <c r="F29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5"/>
    </row>
    <row r="295" spans="2:18">
      <c r="B295" s="13"/>
      <c r="C295" s="14"/>
      <c r="D295"/>
      <c r="E295"/>
      <c r="F295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5"/>
    </row>
    <row r="296" spans="2:18">
      <c r="B296" s="13"/>
      <c r="C296" s="28"/>
      <c r="D296" s="330"/>
      <c r="E296" s="331"/>
      <c r="F296" s="331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5"/>
    </row>
    <row r="297" spans="2:18">
      <c r="B297" s="13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5"/>
    </row>
    <row r="298" spans="2:18">
      <c r="B298" s="13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5"/>
    </row>
    <row r="299" spans="2:18">
      <c r="B299" s="13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5"/>
    </row>
    <row r="300" spans="2:18">
      <c r="B300" s="13"/>
      <c r="C300"/>
      <c r="D300"/>
      <c r="E300"/>
      <c r="F300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5"/>
    </row>
    <row r="301" spans="2:18">
      <c r="B301" s="13"/>
      <c r="C301"/>
      <c r="D301"/>
      <c r="E301"/>
      <c r="F301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5"/>
    </row>
    <row r="302" spans="2:18">
      <c r="B302" s="13"/>
      <c r="C302"/>
      <c r="D302"/>
      <c r="E302"/>
      <c r="F302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5"/>
    </row>
    <row r="303" spans="2:18">
      <c r="B303" s="13"/>
      <c r="C303"/>
      <c r="D303"/>
      <c r="E303"/>
      <c r="F303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5"/>
    </row>
    <row r="304" spans="2:18">
      <c r="B304" s="13"/>
      <c r="C304"/>
      <c r="D304"/>
      <c r="E304"/>
      <c r="F30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5"/>
    </row>
    <row r="305" spans="2:18">
      <c r="B305" s="13"/>
      <c r="C305"/>
      <c r="D305"/>
      <c r="E305"/>
      <c r="F305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5"/>
    </row>
    <row r="306" spans="2:18">
      <c r="B306" s="13"/>
      <c r="C306"/>
      <c r="D306"/>
      <c r="E306"/>
      <c r="F306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5"/>
    </row>
    <row r="307" spans="2:18">
      <c r="B307" s="13"/>
      <c r="C307"/>
      <c r="D307"/>
      <c r="E307"/>
      <c r="F307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5"/>
    </row>
    <row r="308" spans="2:18">
      <c r="B308" s="13"/>
      <c r="C308"/>
      <c r="D308"/>
      <c r="E308"/>
      <c r="F308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5"/>
    </row>
    <row r="309" spans="2:18">
      <c r="B309" s="13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5"/>
    </row>
    <row r="310" spans="2:18">
      <c r="B310" s="13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5"/>
    </row>
    <row r="311" spans="2:18">
      <c r="B311" s="13"/>
      <c r="C311"/>
      <c r="D311"/>
      <c r="E311"/>
      <c r="F311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5"/>
    </row>
    <row r="312" spans="2:18">
      <c r="B312" s="13"/>
      <c r="C312"/>
      <c r="D312"/>
      <c r="E312"/>
      <c r="F312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5"/>
    </row>
    <row r="313" spans="2:18">
      <c r="B313" s="13"/>
      <c r="C313"/>
      <c r="D313"/>
      <c r="E313"/>
      <c r="F313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5"/>
    </row>
    <row r="314" spans="2:18">
      <c r="B314" s="13"/>
      <c r="C314"/>
      <c r="D314"/>
      <c r="E314"/>
      <c r="F3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5"/>
    </row>
    <row r="315" spans="2:18">
      <c r="B315" s="13"/>
      <c r="C315"/>
      <c r="D315"/>
      <c r="E315"/>
      <c r="F315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5"/>
    </row>
    <row r="316" spans="2:18">
      <c r="B316" s="13"/>
      <c r="C316"/>
      <c r="D316"/>
      <c r="E316"/>
      <c r="F316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5"/>
    </row>
    <row r="317" spans="2:18">
      <c r="B317" s="13"/>
      <c r="C317"/>
      <c r="D317"/>
      <c r="E317"/>
      <c r="F317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5"/>
    </row>
    <row r="318" spans="2:18">
      <c r="B318" s="13"/>
      <c r="C318" s="28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5"/>
    </row>
    <row r="319" spans="2:18" ht="16" thickBot="1">
      <c r="B319" s="16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8"/>
    </row>
  </sheetData>
  <mergeCells count="22">
    <mergeCell ref="B3:R3"/>
    <mergeCell ref="D8:F9"/>
    <mergeCell ref="D10:F12"/>
    <mergeCell ref="B48:R48"/>
    <mergeCell ref="D53:F54"/>
    <mergeCell ref="D55:F57"/>
    <mergeCell ref="D99:F100"/>
    <mergeCell ref="B94:R94"/>
    <mergeCell ref="D101:I103"/>
    <mergeCell ref="B232:R232"/>
    <mergeCell ref="D193:F195"/>
    <mergeCell ref="B140:R140"/>
    <mergeCell ref="B186:R186"/>
    <mergeCell ref="D191:F192"/>
    <mergeCell ref="H147:J147"/>
    <mergeCell ref="C147:E147"/>
    <mergeCell ref="F147:G147"/>
    <mergeCell ref="B277:R277"/>
    <mergeCell ref="D282:F283"/>
    <mergeCell ref="D284:F286"/>
    <mergeCell ref="D237:F238"/>
    <mergeCell ref="D239:F241"/>
  </mergeCells>
  <hyperlinks>
    <hyperlink ref="D33" r:id="rId1" display="https://www.forestresearch.gov.uk/research/archive-forest-management-tables-metric/" xr:uid="{00000000-0004-0000-0000-000000000000}"/>
    <hyperlink ref="D37" r:id="rId2" display="https://www.forestresearch.gov.uk/research/archive-forest-management-tables-metric/" xr:uid="{00000000-0004-0000-0000-000001000000}"/>
    <hyperlink ref="D39" r:id="rId3" display="https://inventaire-forestier.ign.fr/IMG/pdf/RapportVolumes_VFinale_p2.pdf" xr:uid="{00000000-0004-0000-0000-000002000000}"/>
    <hyperlink ref="D262" r:id="rId4" display="https://www.forestresearch.gov.uk/research/archive-forest-management-tables-metric/" xr:uid="{00000000-0004-0000-0000-000003000000}"/>
    <hyperlink ref="D266" r:id="rId5" display="https://www.forestresearch.gov.uk/research/archive-forest-management-tables-metric/" xr:uid="{00000000-0004-0000-0000-000004000000}"/>
    <hyperlink ref="D268" r:id="rId6" display="https://inventaire-forestier.ign.fr/IMG/pdf/RapportVolumes_VFinale_p2.pdf" xr:uid="{00000000-0004-0000-0000-000005000000}"/>
    <hyperlink ref="D124" r:id="rId7" display="https://www.forestresearch.gov.uk/research/archive-forest-management-tables-metric/" xr:uid="{00000000-0004-0000-0000-000006000000}"/>
    <hyperlink ref="D128" r:id="rId8" display="https://www.forestresearch.gov.uk/research/archive-forest-management-tables-metric/" xr:uid="{00000000-0004-0000-0000-000007000000}"/>
    <hyperlink ref="D130" r:id="rId9" display="https://inventaire-forestier.ign.fr/IMG/pdf/RapportVolumes_VFinale_p2.pdf" xr:uid="{00000000-0004-0000-0000-000008000000}"/>
    <hyperlink ref="L114" r:id="rId10" xr:uid="{00000000-0004-0000-0000-000009000000}"/>
    <hyperlink ref="L97" r:id="rId11" xr:uid="{00000000-0004-0000-0000-00000A000000}"/>
    <hyperlink ref="D114" r:id="rId12" xr:uid="{00000000-0004-0000-0000-00000B000000}"/>
    <hyperlink ref="D307" r:id="rId13" display="https://www.forestresearch.gov.uk/research/archive-forest-management-tables-metric/" xr:uid="{00000000-0004-0000-0000-00000C000000}"/>
    <hyperlink ref="D311" r:id="rId14" display="https://www.forestresearch.gov.uk/research/archive-forest-management-tables-metric/" xr:uid="{00000000-0004-0000-0000-00000D000000}"/>
    <hyperlink ref="D313" r:id="rId15" display="https://inventaire-forestier.ign.fr/IMG/pdf/RapportVolumes_VFinale_p2.pdf" xr:uid="{00000000-0004-0000-0000-00000E000000}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4:X101"/>
  <sheetViews>
    <sheetView tabSelected="1" topLeftCell="A8" zoomScale="70" zoomScaleNormal="70" zoomScalePageLayoutView="55" workbookViewId="0">
      <selection activeCell="L16" sqref="L16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364" t="s">
        <v>127</v>
      </c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0" t="s">
        <v>85</v>
      </c>
      <c r="K10" s="20"/>
      <c r="L10" s="14"/>
      <c r="M10" s="14"/>
      <c r="N10" s="14"/>
      <c r="S10" s="15"/>
    </row>
    <row r="11" spans="3:19">
      <c r="C11" s="13"/>
      <c r="D11" s="124" t="s">
        <v>84</v>
      </c>
      <c r="E11" s="14" t="s">
        <v>281</v>
      </c>
      <c r="F11" s="14"/>
      <c r="H11" s="124" t="s">
        <v>88</v>
      </c>
      <c r="I11" s="126">
        <f>SUM(E24:Q24)</f>
        <v>21.67</v>
      </c>
      <c r="K11" s="14" t="s">
        <v>267</v>
      </c>
      <c r="L11" s="14"/>
      <c r="M11" s="14"/>
      <c r="N11" s="14"/>
      <c r="O11" s="14" t="s">
        <v>261</v>
      </c>
      <c r="P11" s="332">
        <f>VAN!D4</f>
        <v>-56710.68820466203</v>
      </c>
      <c r="Q11" s="14"/>
      <c r="R11" s="14"/>
      <c r="S11" s="15"/>
    </row>
    <row r="12" spans="3:19">
      <c r="C12" s="13"/>
      <c r="D12" s="125" t="s">
        <v>178</v>
      </c>
      <c r="E12" s="19" t="s">
        <v>273</v>
      </c>
      <c r="F12" s="14"/>
      <c r="H12" s="124" t="s">
        <v>86</v>
      </c>
      <c r="I12" s="345" t="s">
        <v>280</v>
      </c>
      <c r="K12" s="14" t="s">
        <v>268</v>
      </c>
      <c r="L12" s="14"/>
      <c r="M12" s="14"/>
      <c r="N12" s="14"/>
      <c r="O12" s="14" t="s">
        <v>253</v>
      </c>
      <c r="P12" s="332">
        <f>VAN!D5</f>
        <v>21.270897191432553</v>
      </c>
      <c r="Q12" s="14"/>
      <c r="R12" s="14"/>
      <c r="S12" s="15"/>
    </row>
    <row r="13" spans="3:19">
      <c r="C13" s="13"/>
      <c r="D13" s="125" t="s">
        <v>179</v>
      </c>
      <c r="E13" s="19" t="s">
        <v>274</v>
      </c>
      <c r="F13" s="14"/>
      <c r="H13" s="124" t="s">
        <v>87</v>
      </c>
      <c r="I13" s="345" t="s">
        <v>122</v>
      </c>
      <c r="K13" s="14" t="s">
        <v>269</v>
      </c>
      <c r="L13" s="14"/>
      <c r="M13" s="14"/>
      <c r="N13" s="14"/>
      <c r="O13" s="20" t="s">
        <v>254</v>
      </c>
      <c r="P13" s="333">
        <f>VAN!D6</f>
        <v>-56731.959101853463</v>
      </c>
      <c r="Q13" s="14"/>
      <c r="R13" s="14"/>
      <c r="S13" s="15"/>
    </row>
    <row r="14" spans="3:19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29" t="s">
        <v>182</v>
      </c>
      <c r="S17" s="15"/>
    </row>
    <row r="18" spans="3:19" ht="16" thickBot="1">
      <c r="C18" s="13"/>
      <c r="D18" s="14"/>
      <c r="S18" s="15"/>
    </row>
    <row r="19" spans="3:19" ht="32">
      <c r="C19" s="13"/>
      <c r="D19" s="103" t="s">
        <v>130</v>
      </c>
      <c r="E19" s="118" t="str">
        <f>'Pin Laricio'!F17</f>
        <v xml:space="preserve">Pin laricio </v>
      </c>
      <c r="F19" s="119" t="str">
        <f>Douglas!$F$17</f>
        <v xml:space="preserve">Douglas </v>
      </c>
      <c r="G19" s="119" t="str">
        <f>'Cedre de l''Atlas'!$F$17</f>
        <v xml:space="preserve">Cèdre de l’Atlas </v>
      </c>
      <c r="H19" s="119" t="str">
        <f>'Sequoia sempervirens'!F17</f>
        <v xml:space="preserve">Sapin pectiné </v>
      </c>
      <c r="I19" s="119" t="str">
        <f>Chêne!F17</f>
        <v xml:space="preserve">Chêne rouvre (sessile) </v>
      </c>
      <c r="J19" s="361" t="str">
        <f>Charme!F17</f>
        <v xml:space="preserve">Charme </v>
      </c>
      <c r="K19" s="119"/>
      <c r="L19" s="119"/>
      <c r="M19" s="119"/>
      <c r="N19" s="119"/>
      <c r="O19" s="119"/>
      <c r="P19" s="119"/>
      <c r="Q19" s="120"/>
      <c r="R19" s="107"/>
      <c r="S19" s="15"/>
    </row>
    <row r="20" spans="3:19" ht="16">
      <c r="C20" s="13"/>
      <c r="D20" s="104" t="s">
        <v>177</v>
      </c>
      <c r="E20" s="116" t="str">
        <f>'Pin Laricio'!D5</f>
        <v>Cultures</v>
      </c>
      <c r="F20" s="117" t="str">
        <f>Douglas!$D$5</f>
        <v>Cultures</v>
      </c>
      <c r="G20" s="117" t="str">
        <f>'Cedre de l''Atlas'!$D$5</f>
        <v>Cultures</v>
      </c>
      <c r="H20" s="117" t="str">
        <f>'Sequoia sempervirens'!$D$5</f>
        <v>Cultures</v>
      </c>
      <c r="I20" s="117" t="str">
        <f>Chêne!$D$5</f>
        <v>Cultures</v>
      </c>
      <c r="J20" s="117" t="str">
        <f>Charme!$D$5</f>
        <v>Cultures</v>
      </c>
      <c r="K20" s="117"/>
      <c r="L20" s="117"/>
      <c r="M20" s="117"/>
      <c r="N20" s="117"/>
      <c r="O20" s="117"/>
      <c r="P20" s="117"/>
      <c r="Q20" s="121"/>
      <c r="R20" s="108"/>
      <c r="S20" s="15"/>
    </row>
    <row r="21" spans="3:19">
      <c r="C21" s="13"/>
      <c r="D21" s="105" t="s">
        <v>174</v>
      </c>
      <c r="E21" s="111">
        <f>'Pin Laricio'!C127</f>
        <v>317.66988809482871</v>
      </c>
      <c r="F21" s="112">
        <f>Douglas!$C$127</f>
        <v>507.47326574922528</v>
      </c>
      <c r="G21" s="112">
        <f>'Cedre de l''Atlas'!$C$127</f>
        <v>279.48694021723782</v>
      </c>
      <c r="H21" s="112">
        <f>'Sequoia sempervirens'!$C$127</f>
        <v>515.71694358871468</v>
      </c>
      <c r="I21" s="112">
        <f>Chêne!$C$127</f>
        <v>256.77445244590399</v>
      </c>
      <c r="J21" s="112">
        <f>Charme!$C$127</f>
        <v>305.56944007548964</v>
      </c>
      <c r="K21" s="112"/>
      <c r="L21" s="112"/>
      <c r="M21" s="112"/>
      <c r="N21" s="112"/>
      <c r="O21" s="112"/>
      <c r="P21" s="112"/>
      <c r="Q21" s="122"/>
      <c r="R21" s="109">
        <f>SUMPRODUCT(E21:Q21,$E$24:$Q$24)</f>
        <v>7538.9921826983837</v>
      </c>
      <c r="S21" s="15"/>
    </row>
    <row r="22" spans="3:19">
      <c r="C22" s="13"/>
      <c r="D22" s="105" t="s">
        <v>175</v>
      </c>
      <c r="E22" s="111">
        <f>'Pin Laricio'!D127</f>
        <v>3.8868842634585605</v>
      </c>
      <c r="F22" s="112">
        <f>Douglas!$D$127</f>
        <v>4.9334933687755536</v>
      </c>
      <c r="G22" s="112">
        <f>'Cedre de l''Atlas'!$D$127</f>
        <v>5.1168305264056668</v>
      </c>
      <c r="H22" s="112">
        <f>'Sequoia sempervirens'!$D$127</f>
        <v>19.229540755258615</v>
      </c>
      <c r="I22" s="112">
        <f>Chêne!$D$127</f>
        <v>6.4117569005955777E-2</v>
      </c>
      <c r="J22" s="112">
        <f>Charme!$D$127</f>
        <v>0</v>
      </c>
      <c r="K22" s="112"/>
      <c r="L22" s="112"/>
      <c r="M22" s="112"/>
      <c r="N22" s="112"/>
      <c r="O22" s="112"/>
      <c r="P22" s="112"/>
      <c r="Q22" s="122"/>
      <c r="R22" s="109">
        <f>SUMPRODUCT(E22:Q22,$E$24:$Q$24)</f>
        <v>115.86302634381282</v>
      </c>
      <c r="S22" s="15"/>
    </row>
    <row r="23" spans="3:19">
      <c r="C23" s="13"/>
      <c r="D23" s="105" t="s">
        <v>176</v>
      </c>
      <c r="E23" s="111">
        <f>'Pin Laricio'!E127</f>
        <v>14.19</v>
      </c>
      <c r="F23" s="112">
        <f>Douglas!$E$127</f>
        <v>23.22</v>
      </c>
      <c r="G23" s="112">
        <f>'Cedre de l''Atlas'!$E$127</f>
        <v>17.2</v>
      </c>
      <c r="H23" s="112">
        <f>'Sequoia sempervirens'!$E$127</f>
        <v>76.97</v>
      </c>
      <c r="I23" s="112">
        <f>Chêne!$E$127</f>
        <v>2</v>
      </c>
      <c r="J23" s="112">
        <f>Charme!$E$127</f>
        <v>1.75</v>
      </c>
      <c r="K23" s="112"/>
      <c r="L23" s="112"/>
      <c r="M23" s="112"/>
      <c r="N23" s="112"/>
      <c r="O23" s="112"/>
      <c r="P23" s="112"/>
      <c r="Q23" s="122"/>
      <c r="R23" s="109">
        <f>SUMPRODUCT(E23:Q23,$E$24:$Q$24)</f>
        <v>446.56725000000006</v>
      </c>
      <c r="S23" s="15"/>
    </row>
    <row r="24" spans="3:19" ht="16" thickBot="1">
      <c r="C24" s="13"/>
      <c r="D24" s="106" t="s">
        <v>173</v>
      </c>
      <c r="E24" s="113">
        <f>'Pin Laricio'!F21</f>
        <v>14.35</v>
      </c>
      <c r="F24" s="114">
        <f>Douglas!$F21</f>
        <v>2.0500000000000003</v>
      </c>
      <c r="G24" s="114">
        <f>'Cedre de l''Atlas'!F21</f>
        <v>2.0500000000000003</v>
      </c>
      <c r="H24" s="114">
        <f>'Sequoia sempervirens'!$F21</f>
        <v>2.0500000000000003</v>
      </c>
      <c r="I24" s="114">
        <f>Chêne!$F21</f>
        <v>0.97500000000000009</v>
      </c>
      <c r="J24" s="114">
        <f>Charme!$F21</f>
        <v>0.19500000000000001</v>
      </c>
      <c r="K24" s="114">
        <f>0</f>
        <v>0</v>
      </c>
      <c r="L24" s="114">
        <f>0</f>
        <v>0</v>
      </c>
      <c r="M24" s="114">
        <f>0</f>
        <v>0</v>
      </c>
      <c r="N24" s="114">
        <f>0</f>
        <v>0</v>
      </c>
      <c r="O24" s="114">
        <f>0</f>
        <v>0</v>
      </c>
      <c r="P24" s="114">
        <f>0</f>
        <v>0</v>
      </c>
      <c r="Q24" s="123">
        <f>0</f>
        <v>0</v>
      </c>
      <c r="R24" s="110"/>
      <c r="S24" s="15"/>
    </row>
    <row r="25" spans="3:19">
      <c r="C25" s="13"/>
      <c r="D25" s="11"/>
      <c r="E25" s="115">
        <f>SUM(E21:E23)*E24</f>
        <v>4817.966183341422</v>
      </c>
      <c r="F25" s="115">
        <f>SUM(F21:F23)*F24</f>
        <v>1098.034856191902</v>
      </c>
      <c r="G25" s="115">
        <f>SUM(G21:G23)*G24</f>
        <v>618.69773002446925</v>
      </c>
      <c r="H25" s="115">
        <f>SUM(H21:H23)*H24</f>
        <v>1254.4287929051457</v>
      </c>
      <c r="I25" s="115">
        <f>SUM(I21:I23)*I24</f>
        <v>252.36760576453719</v>
      </c>
      <c r="J25" s="115">
        <f>SUM(J21:J23)*J24</f>
        <v>59.927290814720479</v>
      </c>
      <c r="K25" s="115">
        <f t="shared" ref="K25:Q25" si="0">SUM(K21:K23)*K24</f>
        <v>0</v>
      </c>
      <c r="L25" s="115">
        <f t="shared" si="0"/>
        <v>0</v>
      </c>
      <c r="M25" s="115">
        <f t="shared" si="0"/>
        <v>0</v>
      </c>
      <c r="N25" s="115">
        <f t="shared" si="0"/>
        <v>0</v>
      </c>
      <c r="O25" s="115">
        <f t="shared" si="0"/>
        <v>0</v>
      </c>
      <c r="P25" s="115">
        <f t="shared" si="0"/>
        <v>0</v>
      </c>
      <c r="Q25" s="115">
        <f t="shared" si="0"/>
        <v>0</v>
      </c>
      <c r="R25" s="127">
        <f>IF(SUM(E25:P25)=SUM(R21:R23),SUM(R21:R23),"erreur")</f>
        <v>8101.4224590421964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0" t="s">
        <v>181</v>
      </c>
      <c r="M29" s="20" t="s">
        <v>125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>
      <c r="C31" s="13"/>
      <c r="E31" s="14"/>
      <c r="F31" s="14"/>
      <c r="G31" s="14"/>
      <c r="H31" s="14"/>
      <c r="I31" s="14"/>
      <c r="J31" s="161" t="s">
        <v>190</v>
      </c>
      <c r="K31" s="162" t="s">
        <v>191</v>
      </c>
      <c r="L31" s="14"/>
      <c r="M31" s="22" t="s">
        <v>89</v>
      </c>
      <c r="N31" s="374" t="s">
        <v>99</v>
      </c>
      <c r="O31" s="375"/>
      <c r="P31" s="376"/>
      <c r="Q31" s="22" t="s">
        <v>77</v>
      </c>
      <c r="R31" s="128">
        <v>0</v>
      </c>
      <c r="S31" s="15"/>
    </row>
    <row r="32" spans="3:19">
      <c r="C32" s="13"/>
      <c r="D32" s="377" t="s">
        <v>183</v>
      </c>
      <c r="E32" s="377"/>
      <c r="F32" s="14" t="s">
        <v>97</v>
      </c>
      <c r="G32" s="14"/>
      <c r="H32" s="14"/>
      <c r="I32" s="14" t="s">
        <v>100</v>
      </c>
      <c r="J32" s="31">
        <f>SUMPRODUCT(E24:Q24,E21:Q21)</f>
        <v>7538.9921826983837</v>
      </c>
      <c r="K32" s="173">
        <f>J32*(1-$R$31)*(1-$R$32)*(1-$R$33)*(1-$R$34)</f>
        <v>6785.0929644285452</v>
      </c>
      <c r="L32" s="14"/>
      <c r="M32" s="22" t="s">
        <v>90</v>
      </c>
      <c r="N32" s="374" t="s">
        <v>75</v>
      </c>
      <c r="O32" s="375"/>
      <c r="P32" s="376"/>
      <c r="Q32" s="22" t="s">
        <v>94</v>
      </c>
      <c r="R32" s="128">
        <v>0.1</v>
      </c>
      <c r="S32" s="15"/>
    </row>
    <row r="33" spans="1:24">
      <c r="C33" s="13"/>
      <c r="D33" s="377"/>
      <c r="E33" s="377"/>
      <c r="F33" s="14" t="s">
        <v>126</v>
      </c>
      <c r="G33" s="14"/>
      <c r="H33" s="14"/>
      <c r="I33" s="14" t="s">
        <v>101</v>
      </c>
      <c r="J33" s="31">
        <f>SUMPRODUCT(E24:Q24,E22:Q22)</f>
        <v>115.86302634381282</v>
      </c>
      <c r="K33" s="173">
        <f>J33*(1-$R$31)*(1-$R$32)*(1-$R$33)*(1-$R$34)</f>
        <v>104.27672370943154</v>
      </c>
      <c r="L33" s="14"/>
      <c r="M33" s="22" t="s">
        <v>91</v>
      </c>
      <c r="N33" s="374" t="s">
        <v>95</v>
      </c>
      <c r="O33" s="375"/>
      <c r="P33" s="376"/>
      <c r="Q33" s="22" t="s">
        <v>122</v>
      </c>
      <c r="R33" s="128">
        <v>0</v>
      </c>
      <c r="S33" s="15"/>
    </row>
    <row r="34" spans="1:24">
      <c r="C34" s="13"/>
      <c r="D34" s="14" t="s">
        <v>98</v>
      </c>
      <c r="E34" s="14"/>
      <c r="F34" s="14"/>
      <c r="G34" s="14"/>
      <c r="H34" s="14"/>
      <c r="I34" s="14" t="s">
        <v>102</v>
      </c>
      <c r="J34" s="31">
        <f>SUMPRODUCT(E24:Q24,E23:Q23)</f>
        <v>446.56725000000006</v>
      </c>
      <c r="K34" s="173">
        <f>J34*(1-$R$31)*(1-$R$32)*(1-$R$33)*(1-$R$34)</f>
        <v>401.91052500000006</v>
      </c>
      <c r="L34" s="14"/>
      <c r="M34" s="22" t="s">
        <v>92</v>
      </c>
      <c r="N34" s="374" t="s">
        <v>96</v>
      </c>
      <c r="O34" s="375"/>
      <c r="P34" s="376"/>
      <c r="Q34" s="22" t="s">
        <v>77</v>
      </c>
      <c r="R34" s="128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32" t="s">
        <v>180</v>
      </c>
      <c r="J36" s="31">
        <f>J34+J33+J32</f>
        <v>8101.4224590421964</v>
      </c>
      <c r="K36" s="14"/>
      <c r="L36" s="14"/>
      <c r="M36" s="14"/>
      <c r="N36" s="14"/>
      <c r="O36" s="14"/>
      <c r="P36" s="14"/>
      <c r="Q36" s="32" t="s">
        <v>185</v>
      </c>
      <c r="R36" s="31">
        <f>J36*(1-R31)*(1-R32)*(1-R33)*(1-R34)</f>
        <v>7291.2802131379767</v>
      </c>
      <c r="S36" s="15"/>
      <c r="W36" s="339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3:AY207"/>
  <sheetViews>
    <sheetView topLeftCell="A106" zoomScale="75" zoomScaleNormal="100" workbookViewId="0">
      <selection activeCell="C51" sqref="C51"/>
    </sheetView>
  </sheetViews>
  <sheetFormatPr baseColWidth="10" defaultRowHeight="15"/>
  <cols>
    <col min="3" max="4" width="13.6640625" customWidth="1"/>
    <col min="5" max="5" width="15.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401" t="s">
        <v>171</v>
      </c>
      <c r="J3" s="402"/>
      <c r="K3" s="402"/>
      <c r="L3" s="402"/>
      <c r="M3" s="402"/>
      <c r="N3" s="402"/>
      <c r="O3" s="403"/>
      <c r="P3" s="404" t="s">
        <v>143</v>
      </c>
      <c r="Q3" s="405"/>
      <c r="R3" s="405"/>
      <c r="S3" s="405"/>
      <c r="T3" s="405"/>
      <c r="U3" s="405"/>
      <c r="V3" s="405"/>
      <c r="W3" s="405"/>
      <c r="X3" s="406"/>
      <c r="Y3" s="90"/>
      <c r="Z3" s="90"/>
      <c r="AA3" s="392" t="s">
        <v>158</v>
      </c>
      <c r="AB3" s="393"/>
      <c r="AC3" s="393"/>
      <c r="AD3" s="393"/>
      <c r="AE3" s="393"/>
      <c r="AF3" s="393"/>
      <c r="AG3" s="393"/>
      <c r="AH3" s="393"/>
      <c r="AI3" s="394"/>
      <c r="AJ3" s="90"/>
      <c r="AK3" s="392" t="s">
        <v>170</v>
      </c>
      <c r="AL3" s="393"/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4"/>
    </row>
    <row r="4" spans="2:51" ht="45" customHeight="1">
      <c r="B4" s="396" t="s">
        <v>172</v>
      </c>
      <c r="C4" s="396"/>
      <c r="D4" s="396"/>
      <c r="E4" s="396"/>
      <c r="F4" s="396"/>
      <c r="I4" s="59" t="s">
        <v>76</v>
      </c>
      <c r="J4" s="60" t="s">
        <v>107</v>
      </c>
      <c r="K4" s="60" t="s">
        <v>108</v>
      </c>
      <c r="L4" s="60" t="s">
        <v>72</v>
      </c>
      <c r="M4" s="60" t="s">
        <v>109</v>
      </c>
      <c r="N4" s="60" t="s">
        <v>110</v>
      </c>
      <c r="O4" s="88" t="s">
        <v>112</v>
      </c>
      <c r="P4" s="59" t="s">
        <v>76</v>
      </c>
      <c r="Q4" s="61" t="s">
        <v>117</v>
      </c>
      <c r="R4" s="61" t="s">
        <v>118</v>
      </c>
      <c r="S4" s="62" t="s">
        <v>104</v>
      </c>
      <c r="T4" s="63" t="s">
        <v>103</v>
      </c>
      <c r="U4" s="60" t="s">
        <v>3</v>
      </c>
      <c r="V4" s="60" t="s">
        <v>105</v>
      </c>
      <c r="W4" s="60" t="s">
        <v>106</v>
      </c>
      <c r="X4" s="89" t="s">
        <v>111</v>
      </c>
      <c r="Y4" s="66" t="s">
        <v>119</v>
      </c>
      <c r="AA4" s="70" t="s">
        <v>76</v>
      </c>
      <c r="AB4" s="61" t="s">
        <v>145</v>
      </c>
      <c r="AC4" s="62" t="s">
        <v>146</v>
      </c>
      <c r="AD4" s="68" t="s">
        <v>147</v>
      </c>
      <c r="AE4" s="64" t="s">
        <v>148</v>
      </c>
      <c r="AF4" s="64" t="s">
        <v>149</v>
      </c>
      <c r="AG4" s="64" t="s">
        <v>150</v>
      </c>
      <c r="AH4" s="64" t="s">
        <v>151</v>
      </c>
      <c r="AI4" s="75" t="s">
        <v>152</v>
      </c>
      <c r="AK4" s="70" t="s">
        <v>76</v>
      </c>
      <c r="AL4" s="61" t="s">
        <v>145</v>
      </c>
      <c r="AM4" s="62" t="s">
        <v>146</v>
      </c>
      <c r="AN4" s="68" t="s">
        <v>147</v>
      </c>
      <c r="AO4" s="64" t="s">
        <v>148</v>
      </c>
      <c r="AP4" s="64" t="s">
        <v>160</v>
      </c>
      <c r="AQ4" s="193" t="s">
        <v>186</v>
      </c>
      <c r="AR4" s="193" t="s">
        <v>187</v>
      </c>
      <c r="AS4" s="193" t="s">
        <v>188</v>
      </c>
      <c r="AT4" s="193" t="s">
        <v>189</v>
      </c>
      <c r="AU4" s="64" t="s">
        <v>161</v>
      </c>
      <c r="AV4" s="64" t="s">
        <v>162</v>
      </c>
      <c r="AW4" s="64" t="s">
        <v>163</v>
      </c>
      <c r="AX4" s="64" t="s">
        <v>164</v>
      </c>
      <c r="AY4" s="75" t="s">
        <v>152</v>
      </c>
    </row>
    <row r="5" spans="2:51">
      <c r="B5" s="385" t="s">
        <v>132</v>
      </c>
      <c r="C5" s="91" t="s">
        <v>73</v>
      </c>
      <c r="D5" s="397" t="s">
        <v>1</v>
      </c>
      <c r="E5" s="397"/>
      <c r="F5" s="92">
        <f>IF(D5="","",VLOOKUP(D5,$B$98:$C$101,2,0))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IF(AA5&lt;=$F$18,IFERROR(VLOOKUP($AA5,$B$82:$G$95,2,FALSE),0),)</f>
        <v>0</v>
      </c>
      <c r="AC5" s="305">
        <f t="shared" ref="AC5:AC68" si="7">IF(AA5&lt;=$F$18,IFERROR(VLOOKUP($AA5,$B$82:$G$95,3,FALSE),0),)*50%</f>
        <v>0</v>
      </c>
      <c r="AD5" s="100">
        <f t="shared" ref="AD5:AD68" si="8">IF(AA5&lt;=$F$18,IFERROR(VLOOKUP($AA5,$B$82:$G$95,4,FALSE),0),)</f>
        <v>0</v>
      </c>
      <c r="AE5" s="100">
        <f t="shared" ref="AE5:AE68" si="9">IF(AA5&lt;=$F$18,IFERROR(VLOOKUP($AA5,$B$82:$G$95,5,FALSE),0),)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IF(AK5&lt;=$F$18,IFERROR(VLOOKUP($AA5,$B$82:$G$95,2,FALSE),0),)</f>
        <v>0</v>
      </c>
      <c r="AM5" s="33">
        <f t="shared" ref="AM5:AM68" si="11">IF(AK5&lt;=$F$18,IFERROR(VLOOKUP($AA5,$B$82:$G$95,3,FALSE),0),)</f>
        <v>0</v>
      </c>
      <c r="AN5" s="33">
        <f t="shared" ref="AN5:AN68" si="12">IF(AK5&lt;=$F$18,IFERROR(VLOOKUP($AA5,$B$82:$G$95,4,FALSE),0),)</f>
        <v>0</v>
      </c>
      <c r="AO5" s="33">
        <f t="shared" ref="AO5:AO68" si="13">IF(AK5&lt;=$F$18,IFERROR(VLOOKUP($AA5,$B$82:$G$95,5,FALSE),0),)</f>
        <v>0</v>
      </c>
      <c r="AP5" s="33">
        <f t="shared" ref="AP5:AP68" si="14">IF(AK5&lt;=$F$18,IFERROR(VLOOKUP($AA5,$B$82:$G$95,6,FALSE),0),)</f>
        <v>0</v>
      </c>
      <c r="AQ5" s="194">
        <f t="shared" ref="AQ5:AQ35" si="15">IF($AK5&lt;=$F$18,$AL5*AM5,)</f>
        <v>0</v>
      </c>
      <c r="AR5" s="194">
        <f t="shared" ref="AR5:AR35" si="16">IF($AK5&lt;=$F$18,$AL5*AN5,)</f>
        <v>0</v>
      </c>
      <c r="AS5" s="194">
        <f t="shared" ref="AS5:AS35" si="17">IF($AK5&lt;=$F$18,$AL5*AO5,)</f>
        <v>0</v>
      </c>
      <c r="AT5" s="194">
        <f t="shared" ref="AT5:AT35" si="18">IF($AK5&lt;=$F$18,$AL5*AP5,)</f>
        <v>0</v>
      </c>
      <c r="AU5" s="33"/>
      <c r="AV5" s="33"/>
      <c r="AW5" s="33"/>
      <c r="AX5" s="33"/>
      <c r="AY5" s="164">
        <v>0</v>
      </c>
    </row>
    <row r="6" spans="2:51">
      <c r="B6" s="386"/>
      <c r="C6" s="98" t="s">
        <v>74</v>
      </c>
      <c r="D6" s="388" t="s">
        <v>259</v>
      </c>
      <c r="E6" s="388"/>
      <c r="F6" s="99">
        <f>VLOOKUP(D5,$B$98:$D$101,3,FALSE)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9">IF(P6&lt;=$F$18,LOOKUP(P6-1,$B$25:$B$78,$G$25:$G$78),)</f>
        <v>7.2681818181818185</v>
      </c>
      <c r="R6" s="33">
        <f>IF(P6&lt;=$F$18,Q6+R5,)</f>
        <v>7.2681818181818185</v>
      </c>
      <c r="S6" s="33">
        <f>$F$19*R6</f>
        <v>3.3433636363636365</v>
      </c>
      <c r="T6" s="33">
        <f t="shared" si="2"/>
        <v>1.3388154229935953</v>
      </c>
      <c r="U6" s="33">
        <f t="shared" ref="U6:U69" si="20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175.96722914797101</v>
      </c>
      <c r="Y6" s="38">
        <f t="shared" si="5"/>
        <v>-1.0686726571071006</v>
      </c>
      <c r="AA6" s="71">
        <v>1</v>
      </c>
      <c r="AB6" s="33">
        <f t="shared" si="6"/>
        <v>0</v>
      </c>
      <c r="AC6" s="305">
        <f t="shared" si="7"/>
        <v>0.25</v>
      </c>
      <c r="AD6" s="100">
        <f t="shared" si="8"/>
        <v>0.28000000000000003</v>
      </c>
      <c r="AE6" s="100">
        <f t="shared" si="9"/>
        <v>0.22</v>
      </c>
      <c r="AF6" s="194">
        <f>IF(OR(AA6&lt;=$F$18,AA6&lt;=30),EXP(-LN(2)/$D$104)*AF5+((1-EXP(-LN(2)/$D$104))/(LN(2)/$D$104))*$AB6*AC6*0.475*$F$19*44/12,)</f>
        <v>0</v>
      </c>
      <c r="AG6" s="194">
        <f>IF(OR(AA6&lt;=$F$18,AA6&lt;=30),EXP(-LN(2)/$D$106)*AG5+((1-EXP(-LN(2)/$D$106))/(LN(2)/$D$106))*$AB6*AD6*0.475*$F$19*44/12,)</f>
        <v>0</v>
      </c>
      <c r="AH6" s="194">
        <f>IF(OR(AA6&lt;=$F$18,AA6&lt;=30),EXP(-LN(2)/$D$105)*AH5+((1-EXP(-LN(2)/$D$105))/(LN(2)/$D$105))*$AB6*AE6*0.475*$F$19*44/12,)</f>
        <v>0</v>
      </c>
      <c r="AI6" s="199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0.5</v>
      </c>
      <c r="AN6" s="33">
        <f t="shared" si="12"/>
        <v>0.28000000000000003</v>
      </c>
      <c r="AO6" s="33">
        <f t="shared" si="13"/>
        <v>0.22</v>
      </c>
      <c r="AP6" s="33">
        <f t="shared" si="14"/>
        <v>0</v>
      </c>
      <c r="AQ6" s="194">
        <f t="shared" si="15"/>
        <v>0</v>
      </c>
      <c r="AR6" s="194">
        <f t="shared" si="16"/>
        <v>0</v>
      </c>
      <c r="AS6" s="194">
        <f t="shared" si="17"/>
        <v>0</v>
      </c>
      <c r="AT6" s="194">
        <f t="shared" si="18"/>
        <v>0</v>
      </c>
      <c r="AU6" s="33"/>
      <c r="AV6" s="33"/>
      <c r="AW6" s="33"/>
      <c r="AX6" s="33"/>
      <c r="AY6" s="164">
        <f>IF(AK6&lt;=$F$18,AL6*$G$108+AY5,)</f>
        <v>0</v>
      </c>
    </row>
    <row r="7" spans="2:51">
      <c r="B7" s="385" t="s">
        <v>133</v>
      </c>
      <c r="C7" s="398"/>
      <c r="D7" s="399"/>
      <c r="E7" s="399"/>
      <c r="F7" s="400"/>
      <c r="I7" s="55">
        <v>2</v>
      </c>
      <c r="J7" s="33">
        <f t="shared" ref="J7:J70" si="21">IF($I7&lt;=$F$10,$F$11*$F$13+J6,)</f>
        <v>5</v>
      </c>
      <c r="K7" s="33">
        <f t="shared" ref="K7:K70" si="22">IF(J7=0,0,EXP(-1.0587+0.8836*LN(J7)+0.284))</f>
        <v>1.910565629709926</v>
      </c>
      <c r="L7" s="33">
        <f t="shared" ref="L7:L70" si="23">IF(I7&lt;=$F$10,$F$5+($F$8-$F$5)*(1-EXP(-0.0175*I7)),)</f>
        <v>45</v>
      </c>
      <c r="M7" s="33">
        <f t="shared" ref="M7:M70" si="24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9"/>
        <v>7.2681818181818185</v>
      </c>
      <c r="R7" s="33">
        <f t="shared" ref="R7:R70" si="25">IF(P7&lt;=$F$18,Q7+R6,)</f>
        <v>14.536363636363637</v>
      </c>
      <c r="S7" s="33">
        <f t="shared" ref="S7:S70" si="26">$F$19*R7</f>
        <v>6.6867272727272731</v>
      </c>
      <c r="T7" s="33">
        <f t="shared" si="2"/>
        <v>2.4700788150170432</v>
      </c>
      <c r="U7" s="33">
        <f t="shared" si="20"/>
        <v>45.859864593560836</v>
      </c>
      <c r="V7" s="33">
        <f t="shared" si="3"/>
        <v>0.66666666666666663</v>
      </c>
      <c r="W7" s="33">
        <v>0</v>
      </c>
      <c r="X7" s="33">
        <f t="shared" si="4"/>
        <v>186.54538522365553</v>
      </c>
      <c r="Y7" s="38">
        <f t="shared" si="5"/>
        <v>9.5094834185774175</v>
      </c>
      <c r="AA7" s="71">
        <v>2</v>
      </c>
      <c r="AB7" s="33">
        <f t="shared" si="6"/>
        <v>0</v>
      </c>
      <c r="AC7" s="305">
        <f t="shared" si="7"/>
        <v>0</v>
      </c>
      <c r="AD7" s="100">
        <f t="shared" si="8"/>
        <v>0</v>
      </c>
      <c r="AE7" s="100">
        <f t="shared" si="9"/>
        <v>0</v>
      </c>
      <c r="AF7" s="194">
        <f>IF(OR(AA7&lt;=$F$18,AA7&lt;=30),EXP(-LN(2)/$D$104)*AF6+((1-EXP(-LN(2)/$D$104))/(LN(2)/$D$104))*$AB7*AC7*0.475*$F$19*44/12,)</f>
        <v>0</v>
      </c>
      <c r="AG7" s="194">
        <f>IF(OR(AA7&lt;=$F$18,AA7&lt;=30),EXP(-LN(2)/$D$106)*AG6+((1-EXP(-LN(2)/$D$106))/(LN(2)/$D$106))*$AB7*AD7*0.475*$F$19*44/12,)</f>
        <v>0</v>
      </c>
      <c r="AH7" s="194">
        <f>IF(OR(AA7&lt;=$F$18,AA7&lt;=30),EXP(-LN(2)/$D$105)*AH6+((1-EXP(-LN(2)/$D$105))/(LN(2)/$D$105))*$AB7*AE7*0.475*$F$19*44/12,)</f>
        <v>0</v>
      </c>
      <c r="AI7" s="199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4">
        <f t="shared" si="15"/>
        <v>0</v>
      </c>
      <c r="AR7" s="194">
        <f t="shared" si="16"/>
        <v>0</v>
      </c>
      <c r="AS7" s="194">
        <f t="shared" si="17"/>
        <v>0</v>
      </c>
      <c r="AT7" s="194">
        <f t="shared" si="18"/>
        <v>0</v>
      </c>
      <c r="AU7" s="33"/>
      <c r="AV7" s="33"/>
      <c r="AW7" s="33"/>
      <c r="AX7" s="33"/>
      <c r="AY7" s="164">
        <f t="shared" ref="AY7:AY35" si="27">IF(AK7&lt;=$F$18,AL7*$G$108+AY6,)</f>
        <v>0</v>
      </c>
    </row>
    <row r="8" spans="2:51">
      <c r="B8" s="395"/>
      <c r="C8" s="93" t="s">
        <v>73</v>
      </c>
      <c r="D8" s="391" t="s">
        <v>1</v>
      </c>
      <c r="E8" s="391"/>
      <c r="F8" s="94">
        <f>IF(D8="","",VLOOKUP(D8,$B$98:$C$101,2,0))</f>
        <v>45</v>
      </c>
      <c r="I8" s="55">
        <v>3</v>
      </c>
      <c r="J8" s="33">
        <f t="shared" si="21"/>
        <v>5</v>
      </c>
      <c r="K8" s="33">
        <f t="shared" si="22"/>
        <v>1.910565629709926</v>
      </c>
      <c r="L8" s="33">
        <f t="shared" si="23"/>
        <v>45</v>
      </c>
      <c r="M8" s="33">
        <f t="shared" si="24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9"/>
        <v>7.2681818181818185</v>
      </c>
      <c r="R8" s="33">
        <f t="shared" si="25"/>
        <v>21.804545454545455</v>
      </c>
      <c r="S8" s="33">
        <f t="shared" si="26"/>
        <v>10.030090909090909</v>
      </c>
      <c r="T8" s="33">
        <f t="shared" si="2"/>
        <v>3.5343133194973508</v>
      </c>
      <c r="U8" s="33">
        <f t="shared" si="20"/>
        <v>46.278641973604969</v>
      </c>
      <c r="V8" s="33">
        <f t="shared" si="3"/>
        <v>1</v>
      </c>
      <c r="W8" s="33">
        <v>0</v>
      </c>
      <c r="X8" s="33">
        <f t="shared" si="4"/>
        <v>196.97969126800945</v>
      </c>
      <c r="Y8" s="38">
        <f t="shared" si="5"/>
        <v>19.943789462931335</v>
      </c>
      <c r="AA8" s="71">
        <v>3</v>
      </c>
      <c r="AB8" s="33">
        <f t="shared" si="6"/>
        <v>0</v>
      </c>
      <c r="AC8" s="305">
        <f t="shared" si="7"/>
        <v>0</v>
      </c>
      <c r="AD8" s="100">
        <f t="shared" si="8"/>
        <v>0</v>
      </c>
      <c r="AE8" s="100">
        <f t="shared" si="9"/>
        <v>0</v>
      </c>
      <c r="AF8" s="194">
        <f>IF(OR(AA8&lt;=$F$18,AA8&lt;=30),EXP(-LN(2)/$D$104)*AF7+((1-EXP(-LN(2)/$D$104))/(LN(2)/$D$104))*$AB8*AC8*0.475*$F$19*44/12,)</f>
        <v>0</v>
      </c>
      <c r="AG8" s="194">
        <f>IF(OR(AA8&lt;=$F$18,AA8&lt;=30),EXP(-LN(2)/$D$106)*AG7+((1-EXP(-LN(2)/$D$106))/(LN(2)/$D$106))*$AB8*AD8*0.475*$F$19*44/12,)</f>
        <v>0</v>
      </c>
      <c r="AH8" s="194">
        <f>IF(OR(AA8&lt;=$F$18,AA8&lt;=30),EXP(-LN(2)/$D$105)*AH7+((1-EXP(-LN(2)/$D$105))/(LN(2)/$D$105))*$AB8*AE8*0.475*$F$19*44/12,)</f>
        <v>0</v>
      </c>
      <c r="AI8" s="199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4">
        <f t="shared" si="15"/>
        <v>0</v>
      </c>
      <c r="AR8" s="194">
        <f t="shared" si="16"/>
        <v>0</v>
      </c>
      <c r="AS8" s="194">
        <f t="shared" si="17"/>
        <v>0</v>
      </c>
      <c r="AT8" s="194">
        <f t="shared" si="18"/>
        <v>0</v>
      </c>
      <c r="AU8" s="33"/>
      <c r="AV8" s="33"/>
      <c r="AW8" s="33"/>
      <c r="AX8" s="33"/>
      <c r="AY8" s="164">
        <f t="shared" si="27"/>
        <v>0</v>
      </c>
    </row>
    <row r="9" spans="2:51">
      <c r="B9" s="395"/>
      <c r="C9" s="93" t="s">
        <v>74</v>
      </c>
      <c r="D9" s="387" t="str">
        <f>IF(D8=$B$101,"totale","néant")</f>
        <v>néant</v>
      </c>
      <c r="E9" s="387"/>
      <c r="F9" s="94">
        <f>IF(D8=B101,10,VLOOKUP(D8,$B$98:$D$101,3,FALSE))</f>
        <v>0</v>
      </c>
      <c r="I9" s="55">
        <v>4</v>
      </c>
      <c r="J9" s="33">
        <f t="shared" si="21"/>
        <v>5</v>
      </c>
      <c r="K9" s="33">
        <f t="shared" si="22"/>
        <v>1.910565629709926</v>
      </c>
      <c r="L9" s="33">
        <f t="shared" si="23"/>
        <v>45</v>
      </c>
      <c r="M9" s="33">
        <f t="shared" si="24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9"/>
        <v>7.2681818181818185</v>
      </c>
      <c r="R9" s="33">
        <f t="shared" si="25"/>
        <v>29.072727272727274</v>
      </c>
      <c r="S9" s="33">
        <f t="shared" si="26"/>
        <v>13.373454545454546</v>
      </c>
      <c r="T9" s="33">
        <f t="shared" si="2"/>
        <v>4.5572296581058929</v>
      </c>
      <c r="U9" s="33">
        <f t="shared" si="20"/>
        <v>46.690154502351291</v>
      </c>
      <c r="V9" s="33">
        <f t="shared" si="3"/>
        <v>1.3333333333333333</v>
      </c>
      <c r="W9" s="33">
        <v>0</v>
      </c>
      <c r="X9" s="33">
        <f t="shared" si="4"/>
        <v>207.31539705204474</v>
      </c>
      <c r="Y9" s="38">
        <f t="shared" si="5"/>
        <v>30.279495246966633</v>
      </c>
      <c r="AA9" s="71">
        <v>4</v>
      </c>
      <c r="AB9" s="33">
        <f t="shared" si="6"/>
        <v>0</v>
      </c>
      <c r="AC9" s="305">
        <f t="shared" si="7"/>
        <v>0</v>
      </c>
      <c r="AD9" s="100">
        <f t="shared" si="8"/>
        <v>0</v>
      </c>
      <c r="AE9" s="100">
        <f t="shared" si="9"/>
        <v>0</v>
      </c>
      <c r="AF9" s="194">
        <f>IF(OR(AA9&lt;=$F$18,AA9&lt;=30),EXP(-LN(2)/$D$104)*AF8+((1-EXP(-LN(2)/$D$104))/(LN(2)/$D$104))*$AB9*AC9*0.475*$F$19*44/12,)</f>
        <v>0</v>
      </c>
      <c r="AG9" s="194">
        <f>IF(OR(AA9&lt;=$F$18,AA9&lt;=30),EXP(-LN(2)/$D$106)*AG8+((1-EXP(-LN(2)/$D$106))/(LN(2)/$D$106))*$AB9*AD9*0.475*$F$19*44/12,)</f>
        <v>0</v>
      </c>
      <c r="AH9" s="194">
        <f>IF(OR(AA9&lt;=$F$18,AA9&lt;=30),EXP(-LN(2)/$D$105)*AH8+((1-EXP(-LN(2)/$D$105))/(LN(2)/$D$105))*$AB9*AE9*0.475*$F$19*44/12,)</f>
        <v>0</v>
      </c>
      <c r="AI9" s="199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4">
        <f t="shared" si="15"/>
        <v>0</v>
      </c>
      <c r="AR9" s="194">
        <f t="shared" si="16"/>
        <v>0</v>
      </c>
      <c r="AS9" s="194">
        <f t="shared" si="17"/>
        <v>0</v>
      </c>
      <c r="AT9" s="194">
        <f t="shared" si="18"/>
        <v>0</v>
      </c>
      <c r="AU9" s="33"/>
      <c r="AV9" s="33"/>
      <c r="AW9" s="33"/>
      <c r="AX9" s="33"/>
      <c r="AY9" s="164">
        <f t="shared" si="27"/>
        <v>0</v>
      </c>
    </row>
    <row r="10" spans="2:51">
      <c r="B10" s="395"/>
      <c r="C10" s="389" t="s">
        <v>123</v>
      </c>
      <c r="D10" s="384" t="s">
        <v>135</v>
      </c>
      <c r="E10" s="384"/>
      <c r="F10" s="95">
        <f>F18</f>
        <v>65</v>
      </c>
      <c r="I10" s="55">
        <v>5</v>
      </c>
      <c r="J10" s="33">
        <f t="shared" si="21"/>
        <v>5</v>
      </c>
      <c r="K10" s="33">
        <f t="shared" si="22"/>
        <v>1.910565629709926</v>
      </c>
      <c r="L10" s="33">
        <f t="shared" si="23"/>
        <v>45</v>
      </c>
      <c r="M10" s="33">
        <f t="shared" si="24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9"/>
        <v>7.2681818181818185</v>
      </c>
      <c r="R10" s="33">
        <f t="shared" si="25"/>
        <v>36.340909090909093</v>
      </c>
      <c r="S10" s="33">
        <f t="shared" si="26"/>
        <v>16.716818181818184</v>
      </c>
      <c r="T10" s="33">
        <f t="shared" si="2"/>
        <v>5.5504807727573322</v>
      </c>
      <c r="U10" s="33">
        <f t="shared" si="20"/>
        <v>47.094528208728065</v>
      </c>
      <c r="V10" s="33">
        <f t="shared" si="3"/>
        <v>1.6666666666666667</v>
      </c>
      <c r="W10" s="33">
        <v>0</v>
      </c>
      <c r="X10" s="33">
        <f t="shared" si="4"/>
        <v>217.57326022233303</v>
      </c>
      <c r="Y10" s="38">
        <f t="shared" si="5"/>
        <v>40.537358417254922</v>
      </c>
      <c r="AA10" s="71">
        <v>5</v>
      </c>
      <c r="AB10" s="33">
        <f t="shared" si="6"/>
        <v>0</v>
      </c>
      <c r="AC10" s="305">
        <f t="shared" si="7"/>
        <v>0</v>
      </c>
      <c r="AD10" s="100">
        <f t="shared" si="8"/>
        <v>0</v>
      </c>
      <c r="AE10" s="100">
        <f t="shared" si="9"/>
        <v>0</v>
      </c>
      <c r="AF10" s="194">
        <f t="shared" ref="AF10:AF24" si="28">IF(OR(AA10&lt;=$F$18,AA10&lt;=30),EXP(-LN(2)/$D$104)*AF9+((1-EXP(-LN(2)/$D$104))/(LN(2)/$D$104))*$AB10*AC10*0.475*$F$19*44/12,)</f>
        <v>0</v>
      </c>
      <c r="AG10" s="194">
        <f t="shared" ref="AG10:AG24" si="29">IF(OR(AA10&lt;=$F$18,AA10&lt;=30),EXP(-LN(2)/$D$106)*AG9+((1-EXP(-LN(2)/$D$106))/(LN(2)/$D$106))*$AB10*AD10*0.475*$F$19*44/12,)</f>
        <v>0</v>
      </c>
      <c r="AH10" s="194">
        <f t="shared" ref="AH10:AH24" si="30">IF(OR(AA10&lt;=$F$18,AA10&lt;=30),EXP(-LN(2)/$D$105)*AH9+((1-EXP(-LN(2)/$D$105))/(LN(2)/$D$105))*$AB10*AE10*0.475*$F$19*44/12,)</f>
        <v>0</v>
      </c>
      <c r="AI10" s="199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4">
        <f t="shared" si="15"/>
        <v>0</v>
      </c>
      <c r="AR10" s="194">
        <f t="shared" si="16"/>
        <v>0</v>
      </c>
      <c r="AS10" s="194">
        <f t="shared" si="17"/>
        <v>0</v>
      </c>
      <c r="AT10" s="194">
        <f t="shared" si="18"/>
        <v>0</v>
      </c>
      <c r="AU10" s="33"/>
      <c r="AV10" s="33"/>
      <c r="AW10" s="33"/>
      <c r="AX10" s="33"/>
      <c r="AY10" s="164">
        <f t="shared" si="27"/>
        <v>0</v>
      </c>
    </row>
    <row r="11" spans="2:51">
      <c r="B11" s="395"/>
      <c r="C11" s="389"/>
      <c r="D11" s="387" t="s">
        <v>138</v>
      </c>
      <c r="E11" s="387"/>
      <c r="F11" s="36">
        <f>IF(D8=$B$101,1,0)</f>
        <v>0</v>
      </c>
      <c r="I11" s="55">
        <v>6</v>
      </c>
      <c r="J11" s="33">
        <f t="shared" si="21"/>
        <v>5</v>
      </c>
      <c r="K11" s="33">
        <f t="shared" si="22"/>
        <v>1.910565629709926</v>
      </c>
      <c r="L11" s="33">
        <f t="shared" si="23"/>
        <v>45</v>
      </c>
      <c r="M11" s="33">
        <f t="shared" si="24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9"/>
        <v>7.2681818181818185</v>
      </c>
      <c r="R11" s="33">
        <f t="shared" si="25"/>
        <v>43.609090909090909</v>
      </c>
      <c r="S11" s="33">
        <f t="shared" si="26"/>
        <v>20.060181818181817</v>
      </c>
      <c r="T11" s="33">
        <f t="shared" si="2"/>
        <v>6.520713988043692</v>
      </c>
      <c r="U11" s="33">
        <f t="shared" si="20"/>
        <v>47.491886935343359</v>
      </c>
      <c r="V11" s="33">
        <f t="shared" si="3"/>
        <v>2</v>
      </c>
      <c r="W11" s="33">
        <v>0</v>
      </c>
      <c r="X11" s="33">
        <f t="shared" si="4"/>
        <v>227.76531229210175</v>
      </c>
      <c r="Y11" s="38">
        <f t="shared" si="5"/>
        <v>50.729410487023642</v>
      </c>
      <c r="AA11" s="71">
        <v>6</v>
      </c>
      <c r="AB11" s="33">
        <f t="shared" si="6"/>
        <v>0</v>
      </c>
      <c r="AC11" s="305">
        <f t="shared" si="7"/>
        <v>0</v>
      </c>
      <c r="AD11" s="100">
        <f t="shared" si="8"/>
        <v>0</v>
      </c>
      <c r="AE11" s="100">
        <f t="shared" si="9"/>
        <v>0</v>
      </c>
      <c r="AF11" s="194">
        <f t="shared" si="28"/>
        <v>0</v>
      </c>
      <c r="AG11" s="194">
        <f t="shared" si="29"/>
        <v>0</v>
      </c>
      <c r="AH11" s="194">
        <f t="shared" si="30"/>
        <v>0</v>
      </c>
      <c r="AI11" s="199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4">
        <f t="shared" si="15"/>
        <v>0</v>
      </c>
      <c r="AR11" s="194">
        <f t="shared" si="16"/>
        <v>0</v>
      </c>
      <c r="AS11" s="194">
        <f t="shared" si="17"/>
        <v>0</v>
      </c>
      <c r="AT11" s="194">
        <f t="shared" si="18"/>
        <v>0</v>
      </c>
      <c r="AU11" s="33"/>
      <c r="AV11" s="33"/>
      <c r="AW11" s="33"/>
      <c r="AX11" s="33"/>
      <c r="AY11" s="164">
        <f t="shared" si="27"/>
        <v>0</v>
      </c>
    </row>
    <row r="12" spans="2:51" ht="16">
      <c r="B12" s="395"/>
      <c r="C12" s="389"/>
      <c r="D12" s="384" t="s">
        <v>130</v>
      </c>
      <c r="E12" s="384"/>
      <c r="F12" s="96" t="s">
        <v>70</v>
      </c>
      <c r="I12" s="55">
        <v>7</v>
      </c>
      <c r="J12" s="33">
        <f t="shared" si="21"/>
        <v>5</v>
      </c>
      <c r="K12" s="33">
        <f t="shared" si="22"/>
        <v>1.910565629709926</v>
      </c>
      <c r="L12" s="33">
        <f t="shared" si="23"/>
        <v>45</v>
      </c>
      <c r="M12" s="33">
        <f t="shared" si="24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9"/>
        <v>7.2681818181818185</v>
      </c>
      <c r="R12" s="33">
        <f t="shared" si="25"/>
        <v>50.877272727272725</v>
      </c>
      <c r="S12" s="33">
        <f t="shared" si="26"/>
        <v>23.403545454545455</v>
      </c>
      <c r="T12" s="33">
        <f t="shared" si="2"/>
        <v>7.4722145771069073</v>
      </c>
      <c r="U12" s="33">
        <f t="shared" si="20"/>
        <v>47.882352376412911</v>
      </c>
      <c r="V12" s="33">
        <f t="shared" si="3"/>
        <v>2.3333333333333335</v>
      </c>
      <c r="W12" s="33">
        <v>0</v>
      </c>
      <c r="X12" s="33">
        <f t="shared" si="4"/>
        <v>237.89946299086409</v>
      </c>
      <c r="Y12" s="38">
        <f t="shared" si="5"/>
        <v>60.863561185785983</v>
      </c>
      <c r="AA12" s="71">
        <v>7</v>
      </c>
      <c r="AB12" s="33">
        <f t="shared" si="6"/>
        <v>0</v>
      </c>
      <c r="AC12" s="305">
        <f t="shared" si="7"/>
        <v>0</v>
      </c>
      <c r="AD12" s="100">
        <f t="shared" si="8"/>
        <v>0</v>
      </c>
      <c r="AE12" s="100">
        <f t="shared" si="9"/>
        <v>0</v>
      </c>
      <c r="AF12" s="194">
        <f t="shared" si="28"/>
        <v>0</v>
      </c>
      <c r="AG12" s="194">
        <f t="shared" si="29"/>
        <v>0</v>
      </c>
      <c r="AH12" s="194">
        <f t="shared" si="30"/>
        <v>0</v>
      </c>
      <c r="AI12" s="199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4">
        <f t="shared" si="15"/>
        <v>0</v>
      </c>
      <c r="AR12" s="194">
        <f t="shared" si="16"/>
        <v>0</v>
      </c>
      <c r="AS12" s="194">
        <f t="shared" si="17"/>
        <v>0</v>
      </c>
      <c r="AT12" s="194">
        <f t="shared" si="18"/>
        <v>0</v>
      </c>
      <c r="AU12" s="33"/>
      <c r="AV12" s="33"/>
      <c r="AW12" s="33"/>
      <c r="AX12" s="33"/>
      <c r="AY12" s="164">
        <f t="shared" si="27"/>
        <v>0</v>
      </c>
    </row>
    <row r="13" spans="2:51">
      <c r="B13" s="386"/>
      <c r="C13" s="390"/>
      <c r="D13" s="388" t="s">
        <v>154</v>
      </c>
      <c r="E13" s="388"/>
      <c r="F13" s="37">
        <f>IF(ISBLANK(F$12),,VLOOKUP(F$12,C131:D195,2,FALSE))</f>
        <v>0.56999999999999995</v>
      </c>
      <c r="I13" s="55">
        <v>8</v>
      </c>
      <c r="J13" s="33">
        <f t="shared" si="21"/>
        <v>5</v>
      </c>
      <c r="K13" s="33">
        <f t="shared" si="22"/>
        <v>1.910565629709926</v>
      </c>
      <c r="L13" s="33">
        <f t="shared" si="23"/>
        <v>45</v>
      </c>
      <c r="M13" s="33">
        <f t="shared" si="24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9"/>
        <v>7.2681818181818185</v>
      </c>
      <c r="R13" s="33">
        <f t="shared" si="25"/>
        <v>58.145454545454541</v>
      </c>
      <c r="S13" s="33">
        <f t="shared" si="26"/>
        <v>26.746909090909089</v>
      </c>
      <c r="T13" s="33">
        <f t="shared" si="2"/>
        <v>8.4079674018728259</v>
      </c>
      <c r="U13" s="33">
        <f t="shared" si="20"/>
        <v>48.266044115029857</v>
      </c>
      <c r="V13" s="33">
        <f t="shared" si="3"/>
        <v>2.6666666666666665</v>
      </c>
      <c r="W13" s="33">
        <v>0</v>
      </c>
      <c r="X13" s="33">
        <f t="shared" si="4"/>
        <v>247.98134942448243</v>
      </c>
      <c r="Y13" s="38">
        <f t="shared" si="5"/>
        <v>70.94544761940432</v>
      </c>
      <c r="AA13" s="71">
        <v>8</v>
      </c>
      <c r="AB13" s="33">
        <f t="shared" si="6"/>
        <v>0</v>
      </c>
      <c r="AC13" s="305">
        <f t="shared" si="7"/>
        <v>0</v>
      </c>
      <c r="AD13" s="100">
        <f t="shared" si="8"/>
        <v>0</v>
      </c>
      <c r="AE13" s="100">
        <f t="shared" si="9"/>
        <v>0</v>
      </c>
      <c r="AF13" s="194">
        <f t="shared" si="28"/>
        <v>0</v>
      </c>
      <c r="AG13" s="194">
        <f t="shared" si="29"/>
        <v>0</v>
      </c>
      <c r="AH13" s="194">
        <f t="shared" si="30"/>
        <v>0</v>
      </c>
      <c r="AI13" s="199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4">
        <f t="shared" si="15"/>
        <v>0</v>
      </c>
      <c r="AR13" s="194">
        <f t="shared" si="16"/>
        <v>0</v>
      </c>
      <c r="AS13" s="194">
        <f t="shared" si="17"/>
        <v>0</v>
      </c>
      <c r="AT13" s="194">
        <f t="shared" si="18"/>
        <v>0</v>
      </c>
      <c r="AU13" s="33"/>
      <c r="AV13" s="33"/>
      <c r="AW13" s="33"/>
      <c r="AX13" s="33"/>
      <c r="AY13" s="164">
        <f t="shared" si="27"/>
        <v>0</v>
      </c>
    </row>
    <row r="14" spans="2:51">
      <c r="B14" s="385" t="s">
        <v>131</v>
      </c>
      <c r="C14" s="381"/>
      <c r="D14" s="382"/>
      <c r="E14" s="382"/>
      <c r="F14" s="383"/>
      <c r="I14" s="55">
        <v>9</v>
      </c>
      <c r="J14" s="33">
        <f t="shared" si="21"/>
        <v>5</v>
      </c>
      <c r="K14" s="33">
        <f t="shared" si="22"/>
        <v>1.910565629709926</v>
      </c>
      <c r="L14" s="33">
        <f t="shared" si="23"/>
        <v>45</v>
      </c>
      <c r="M14" s="33">
        <f t="shared" si="24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9"/>
        <v>7.2681818181818185</v>
      </c>
      <c r="R14" s="33">
        <f t="shared" si="25"/>
        <v>65.413636363636357</v>
      </c>
      <c r="S14" s="33">
        <f t="shared" si="26"/>
        <v>30.090272727272726</v>
      </c>
      <c r="T14" s="33">
        <f t="shared" si="2"/>
        <v>9.3301663738274208</v>
      </c>
      <c r="U14" s="33">
        <f t="shared" si="20"/>
        <v>48.643079659788015</v>
      </c>
      <c r="V14" s="33">
        <f t="shared" si="3"/>
        <v>3</v>
      </c>
      <c r="W14" s="33">
        <v>0</v>
      </c>
      <c r="X14" s="33">
        <f t="shared" si="4"/>
        <v>258.01522352030548</v>
      </c>
      <c r="Y14" s="38">
        <f t="shared" si="5"/>
        <v>80.979321715227371</v>
      </c>
      <c r="AA14" s="71">
        <v>9</v>
      </c>
      <c r="AB14" s="33">
        <f t="shared" si="6"/>
        <v>0</v>
      </c>
      <c r="AC14" s="305">
        <f t="shared" si="7"/>
        <v>0</v>
      </c>
      <c r="AD14" s="100">
        <f t="shared" si="8"/>
        <v>0</v>
      </c>
      <c r="AE14" s="100">
        <f t="shared" si="9"/>
        <v>0</v>
      </c>
      <c r="AF14" s="194">
        <f t="shared" si="28"/>
        <v>0</v>
      </c>
      <c r="AG14" s="194">
        <f t="shared" si="29"/>
        <v>0</v>
      </c>
      <c r="AH14" s="194">
        <f t="shared" si="30"/>
        <v>0</v>
      </c>
      <c r="AI14" s="199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4">
        <f t="shared" si="15"/>
        <v>0</v>
      </c>
      <c r="AR14" s="194">
        <f t="shared" si="16"/>
        <v>0</v>
      </c>
      <c r="AS14" s="194">
        <f t="shared" si="17"/>
        <v>0</v>
      </c>
      <c r="AT14" s="194">
        <f t="shared" si="18"/>
        <v>0</v>
      </c>
      <c r="AU14" s="33"/>
      <c r="AV14" s="33"/>
      <c r="AW14" s="33"/>
      <c r="AX14" s="33"/>
      <c r="AY14" s="164">
        <f t="shared" si="27"/>
        <v>0</v>
      </c>
    </row>
    <row r="15" spans="2:51">
      <c r="B15" s="395"/>
      <c r="C15" s="93" t="s">
        <v>73</v>
      </c>
      <c r="D15" s="391" t="s">
        <v>134</v>
      </c>
      <c r="E15" s="391"/>
      <c r="F15" s="94">
        <f>IF(D15="","",VLOOKUP(D15,$B$98:$C$101,2,0))</f>
        <v>70</v>
      </c>
      <c r="I15" s="55">
        <v>10</v>
      </c>
      <c r="J15" s="33">
        <f t="shared" si="21"/>
        <v>5</v>
      </c>
      <c r="K15" s="33">
        <f t="shared" si="22"/>
        <v>1.910565629709926</v>
      </c>
      <c r="L15" s="33">
        <f t="shared" si="23"/>
        <v>45</v>
      </c>
      <c r="M15" s="33">
        <f t="shared" si="24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9"/>
        <v>7.2681818181818185</v>
      </c>
      <c r="R15" s="33">
        <f t="shared" si="25"/>
        <v>72.681818181818173</v>
      </c>
      <c r="S15" s="33">
        <f t="shared" si="26"/>
        <v>33.43363636363636</v>
      </c>
      <c r="T15" s="33">
        <f t="shared" si="2"/>
        <v>10.240489267214612</v>
      </c>
      <c r="U15" s="33">
        <f t="shared" si="20"/>
        <v>49.013574480769819</v>
      </c>
      <c r="V15" s="33">
        <f t="shared" si="3"/>
        <v>3.3333333333333335</v>
      </c>
      <c r="W15" s="33">
        <v>0</v>
      </c>
      <c r="X15" s="33">
        <f t="shared" si="4"/>
        <v>268.00443079211033</v>
      </c>
      <c r="Y15" s="38">
        <f t="shared" si="5"/>
        <v>90.968528987032215</v>
      </c>
      <c r="AA15" s="71">
        <v>10</v>
      </c>
      <c r="AB15" s="33">
        <f t="shared" si="6"/>
        <v>0</v>
      </c>
      <c r="AC15" s="305">
        <f t="shared" si="7"/>
        <v>0</v>
      </c>
      <c r="AD15" s="100">
        <f t="shared" si="8"/>
        <v>0</v>
      </c>
      <c r="AE15" s="100">
        <f t="shared" si="9"/>
        <v>0</v>
      </c>
      <c r="AF15" s="194">
        <f t="shared" si="28"/>
        <v>0</v>
      </c>
      <c r="AG15" s="194">
        <f t="shared" si="29"/>
        <v>0</v>
      </c>
      <c r="AH15" s="194">
        <f t="shared" si="30"/>
        <v>0</v>
      </c>
      <c r="AI15" s="199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4">
        <f t="shared" si="15"/>
        <v>0</v>
      </c>
      <c r="AR15" s="194">
        <f t="shared" si="16"/>
        <v>0</v>
      </c>
      <c r="AS15" s="194">
        <f t="shared" si="17"/>
        <v>0</v>
      </c>
      <c r="AT15" s="194">
        <f t="shared" si="18"/>
        <v>0</v>
      </c>
      <c r="AU15" s="33"/>
      <c r="AV15" s="33"/>
      <c r="AW15" s="33"/>
      <c r="AX15" s="33"/>
      <c r="AY15" s="164">
        <f t="shared" si="27"/>
        <v>0</v>
      </c>
    </row>
    <row r="16" spans="2:51">
      <c r="B16" s="395"/>
      <c r="C16" s="93" t="s">
        <v>74</v>
      </c>
      <c r="D16" s="387" t="s">
        <v>137</v>
      </c>
      <c r="E16" s="387"/>
      <c r="F16" s="94">
        <v>10</v>
      </c>
      <c r="I16" s="55">
        <v>11</v>
      </c>
      <c r="J16" s="33">
        <f t="shared" si="21"/>
        <v>5</v>
      </c>
      <c r="K16" s="33">
        <f t="shared" si="22"/>
        <v>1.910565629709926</v>
      </c>
      <c r="L16" s="33">
        <f t="shared" si="23"/>
        <v>45</v>
      </c>
      <c r="M16" s="33">
        <f t="shared" si="24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9"/>
        <v>7.2681818181818185</v>
      </c>
      <c r="R16" s="33">
        <f t="shared" si="25"/>
        <v>79.949999999999989</v>
      </c>
      <c r="S16" s="33">
        <f t="shared" si="26"/>
        <v>36.776999999999994</v>
      </c>
      <c r="T16" s="33">
        <f t="shared" si="2"/>
        <v>11.14025888376726</v>
      </c>
      <c r="U16" s="33">
        <f t="shared" si="20"/>
        <v>49.377642044909919</v>
      </c>
      <c r="V16" s="33">
        <f t="shared" si="3"/>
        <v>3.6666666666666665</v>
      </c>
      <c r="W16" s="33">
        <v>0</v>
      </c>
      <c r="X16" s="33">
        <f t="shared" si="4"/>
        <v>277.95169116500881</v>
      </c>
      <c r="Y16" s="38">
        <f t="shared" si="5"/>
        <v>100.9157893599307</v>
      </c>
      <c r="AA16" s="71">
        <v>11</v>
      </c>
      <c r="AB16" s="33">
        <f t="shared" si="6"/>
        <v>0</v>
      </c>
      <c r="AC16" s="305">
        <f t="shared" si="7"/>
        <v>0</v>
      </c>
      <c r="AD16" s="100">
        <f t="shared" si="8"/>
        <v>0</v>
      </c>
      <c r="AE16" s="100">
        <f t="shared" si="9"/>
        <v>0</v>
      </c>
      <c r="AF16" s="194">
        <f t="shared" si="28"/>
        <v>0</v>
      </c>
      <c r="AG16" s="194">
        <f t="shared" si="29"/>
        <v>0</v>
      </c>
      <c r="AH16" s="194">
        <f t="shared" si="30"/>
        <v>0</v>
      </c>
      <c r="AI16" s="199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4">
        <f t="shared" si="15"/>
        <v>0</v>
      </c>
      <c r="AR16" s="194">
        <f t="shared" si="16"/>
        <v>0</v>
      </c>
      <c r="AS16" s="194">
        <f t="shared" si="17"/>
        <v>0</v>
      </c>
      <c r="AT16" s="194">
        <f t="shared" si="18"/>
        <v>0</v>
      </c>
      <c r="AU16" s="33"/>
      <c r="AV16" s="33"/>
      <c r="AW16" s="33"/>
      <c r="AX16" s="33"/>
      <c r="AY16" s="164">
        <f t="shared" si="27"/>
        <v>0</v>
      </c>
    </row>
    <row r="17" spans="2:51" ht="16">
      <c r="B17" s="395"/>
      <c r="C17" s="389" t="s">
        <v>123</v>
      </c>
      <c r="D17" s="384" t="s">
        <v>130</v>
      </c>
      <c r="E17" s="384"/>
      <c r="F17" s="96" t="s">
        <v>52</v>
      </c>
      <c r="I17" s="55">
        <v>12</v>
      </c>
      <c r="J17" s="33">
        <f t="shared" si="21"/>
        <v>5</v>
      </c>
      <c r="K17" s="33">
        <f t="shared" si="22"/>
        <v>1.910565629709926</v>
      </c>
      <c r="L17" s="33">
        <f t="shared" si="23"/>
        <v>45</v>
      </c>
      <c r="M17" s="33">
        <f t="shared" si="24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9"/>
        <v>7.2681818181818185</v>
      </c>
      <c r="R17" s="33">
        <f t="shared" si="25"/>
        <v>87.218181818181804</v>
      </c>
      <c r="S17" s="33">
        <f t="shared" si="26"/>
        <v>40.120363636363635</v>
      </c>
      <c r="T17" s="33">
        <f t="shared" si="2"/>
        <v>12.030543720983912</v>
      </c>
      <c r="U17" s="33">
        <f t="shared" si="20"/>
        <v>49.735393850745325</v>
      </c>
      <c r="V17" s="33">
        <f t="shared" si="3"/>
        <v>4</v>
      </c>
      <c r="W17" s="33">
        <v>0</v>
      </c>
      <c r="X17" s="33">
        <f t="shared" si="4"/>
        <v>287.8592744334465</v>
      </c>
      <c r="Y17" s="38">
        <f t="shared" si="5"/>
        <v>110.82337262836839</v>
      </c>
      <c r="AA17" s="71">
        <v>12</v>
      </c>
      <c r="AB17" s="33">
        <f t="shared" si="6"/>
        <v>0</v>
      </c>
      <c r="AC17" s="305">
        <f t="shared" si="7"/>
        <v>0</v>
      </c>
      <c r="AD17" s="100">
        <f t="shared" si="8"/>
        <v>0</v>
      </c>
      <c r="AE17" s="100">
        <f t="shared" si="9"/>
        <v>0</v>
      </c>
      <c r="AF17" s="194">
        <f t="shared" si="28"/>
        <v>0</v>
      </c>
      <c r="AG17" s="194">
        <f t="shared" si="29"/>
        <v>0</v>
      </c>
      <c r="AH17" s="194">
        <f t="shared" si="30"/>
        <v>0</v>
      </c>
      <c r="AI17" s="199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4">
        <f t="shared" si="15"/>
        <v>0</v>
      </c>
      <c r="AR17" s="194">
        <f t="shared" si="16"/>
        <v>0</v>
      </c>
      <c r="AS17" s="194">
        <f t="shared" si="17"/>
        <v>0</v>
      </c>
      <c r="AT17" s="194">
        <f t="shared" si="18"/>
        <v>0</v>
      </c>
      <c r="AU17" s="33"/>
      <c r="AV17" s="33"/>
      <c r="AW17" s="33"/>
      <c r="AX17" s="33"/>
      <c r="AY17" s="164">
        <f t="shared" si="27"/>
        <v>0</v>
      </c>
    </row>
    <row r="18" spans="2:51">
      <c r="B18" s="395"/>
      <c r="C18" s="389"/>
      <c r="D18" s="384" t="s">
        <v>135</v>
      </c>
      <c r="E18" s="384"/>
      <c r="F18" s="97">
        <v>65</v>
      </c>
      <c r="I18" s="55">
        <v>13</v>
      </c>
      <c r="J18" s="33">
        <f t="shared" si="21"/>
        <v>5</v>
      </c>
      <c r="K18" s="33">
        <f t="shared" si="22"/>
        <v>1.910565629709926</v>
      </c>
      <c r="L18" s="33">
        <f t="shared" si="23"/>
        <v>45</v>
      </c>
      <c r="M18" s="33">
        <f t="shared" si="24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9"/>
        <v>7.2681818181818185</v>
      </c>
      <c r="R18" s="33">
        <f t="shared" si="25"/>
        <v>94.48636363636362</v>
      </c>
      <c r="S18" s="33">
        <f t="shared" si="26"/>
        <v>43.463727272727269</v>
      </c>
      <c r="T18" s="33">
        <f t="shared" si="2"/>
        <v>12.912224038407404</v>
      </c>
      <c r="U18" s="33">
        <f t="shared" si="20"/>
        <v>50.086939462562704</v>
      </c>
      <c r="V18" s="33">
        <f t="shared" si="3"/>
        <v>4.333333333333333</v>
      </c>
      <c r="W18" s="33">
        <v>0</v>
      </c>
      <c r="X18" s="33">
        <f t="shared" si="4"/>
        <v>297.72911545184502</v>
      </c>
      <c r="Y18" s="38">
        <f t="shared" si="5"/>
        <v>120.69321364676691</v>
      </c>
      <c r="AA18" s="71">
        <v>13</v>
      </c>
      <c r="AB18" s="33">
        <f t="shared" si="6"/>
        <v>0</v>
      </c>
      <c r="AC18" s="305">
        <f t="shared" si="7"/>
        <v>0</v>
      </c>
      <c r="AD18" s="100">
        <f t="shared" si="8"/>
        <v>0</v>
      </c>
      <c r="AE18" s="100">
        <f t="shared" si="9"/>
        <v>0</v>
      </c>
      <c r="AF18" s="194">
        <f t="shared" si="28"/>
        <v>0</v>
      </c>
      <c r="AG18" s="194">
        <f t="shared" si="29"/>
        <v>0</v>
      </c>
      <c r="AH18" s="194">
        <f t="shared" si="30"/>
        <v>0</v>
      </c>
      <c r="AI18" s="199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4">
        <f t="shared" si="15"/>
        <v>0</v>
      </c>
      <c r="AR18" s="194">
        <f t="shared" si="16"/>
        <v>0</v>
      </c>
      <c r="AS18" s="194">
        <f t="shared" si="17"/>
        <v>0</v>
      </c>
      <c r="AT18" s="194">
        <f t="shared" si="18"/>
        <v>0</v>
      </c>
      <c r="AU18" s="33"/>
      <c r="AV18" s="33"/>
      <c r="AW18" s="33"/>
      <c r="AX18" s="33"/>
      <c r="AY18" s="164">
        <f t="shared" si="27"/>
        <v>0</v>
      </c>
    </row>
    <row r="19" spans="2:51">
      <c r="B19" s="395"/>
      <c r="C19" s="389"/>
      <c r="D19" s="387" t="s">
        <v>154</v>
      </c>
      <c r="E19" s="387"/>
      <c r="F19" s="36">
        <f>IF(ISBLANK(F$17),,VLOOKUP(F$17,C131:D195,2,FALSE))</f>
        <v>0.46</v>
      </c>
      <c r="I19" s="55">
        <v>14</v>
      </c>
      <c r="J19" s="33">
        <f t="shared" si="21"/>
        <v>5</v>
      </c>
      <c r="K19" s="33">
        <f t="shared" si="22"/>
        <v>1.910565629709926</v>
      </c>
      <c r="L19" s="33">
        <f t="shared" si="23"/>
        <v>45</v>
      </c>
      <c r="M19" s="33">
        <f t="shared" si="24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9"/>
        <v>7.2681818181818185</v>
      </c>
      <c r="R19" s="33">
        <f t="shared" si="25"/>
        <v>101.75454545454544</v>
      </c>
      <c r="S19" s="33">
        <f t="shared" si="26"/>
        <v>46.807090909090903</v>
      </c>
      <c r="T19" s="33">
        <f t="shared" si="2"/>
        <v>13.786036978049962</v>
      </c>
      <c r="U19" s="33">
        <f t="shared" si="20"/>
        <v>50.432386543953299</v>
      </c>
      <c r="V19" s="33">
        <f t="shared" si="3"/>
        <v>4.666666666666667</v>
      </c>
      <c r="W19" s="33">
        <v>0</v>
      </c>
      <c r="X19" s="33">
        <f t="shared" si="4"/>
        <v>307.56289284237693</v>
      </c>
      <c r="Y19" s="38">
        <f t="shared" si="5"/>
        <v>130.52699103729881</v>
      </c>
      <c r="AA19" s="71">
        <v>14</v>
      </c>
      <c r="AB19" s="33">
        <f t="shared" si="6"/>
        <v>0</v>
      </c>
      <c r="AC19" s="305">
        <f t="shared" si="7"/>
        <v>0</v>
      </c>
      <c r="AD19" s="100">
        <f t="shared" si="8"/>
        <v>0</v>
      </c>
      <c r="AE19" s="100">
        <f t="shared" si="9"/>
        <v>0</v>
      </c>
      <c r="AF19" s="194">
        <f t="shared" si="28"/>
        <v>0</v>
      </c>
      <c r="AG19" s="194">
        <f t="shared" si="29"/>
        <v>0</v>
      </c>
      <c r="AH19" s="194">
        <f t="shared" si="30"/>
        <v>0</v>
      </c>
      <c r="AI19" s="199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4">
        <f t="shared" si="15"/>
        <v>0</v>
      </c>
      <c r="AR19" s="194">
        <f t="shared" si="16"/>
        <v>0</v>
      </c>
      <c r="AS19" s="194">
        <f t="shared" si="17"/>
        <v>0</v>
      </c>
      <c r="AT19" s="194">
        <f t="shared" si="18"/>
        <v>0</v>
      </c>
      <c r="AU19" s="33"/>
      <c r="AV19" s="33"/>
      <c r="AW19" s="33"/>
      <c r="AX19" s="33"/>
      <c r="AY19" s="164">
        <f t="shared" si="27"/>
        <v>0</v>
      </c>
    </row>
    <row r="20" spans="2:51">
      <c r="B20" s="395"/>
      <c r="C20" s="389"/>
      <c r="D20" s="387" t="s">
        <v>139</v>
      </c>
      <c r="E20" s="387"/>
      <c r="F20" s="36">
        <f>IF(ISBLANK(F$17),,VLOOKUP(F17,Tableau145[#All],4,FALSE))</f>
        <v>1.3</v>
      </c>
      <c r="I20" s="55">
        <v>15</v>
      </c>
      <c r="J20" s="33">
        <f t="shared" si="21"/>
        <v>5</v>
      </c>
      <c r="K20" s="33">
        <f t="shared" si="22"/>
        <v>1.910565629709926</v>
      </c>
      <c r="L20" s="33">
        <f t="shared" si="23"/>
        <v>45</v>
      </c>
      <c r="M20" s="33">
        <f t="shared" si="24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9"/>
        <v>7.2681818181818185</v>
      </c>
      <c r="R20" s="33">
        <f t="shared" si="25"/>
        <v>109.02272727272725</v>
      </c>
      <c r="S20" s="33">
        <f t="shared" si="26"/>
        <v>50.150454545454537</v>
      </c>
      <c r="T20" s="33">
        <f t="shared" si="2"/>
        <v>14.652608408787367</v>
      </c>
      <c r="U20" s="33">
        <f t="shared" si="20"/>
        <v>50.771840890785739</v>
      </c>
      <c r="V20" s="33">
        <f t="shared" si="3"/>
        <v>5</v>
      </c>
      <c r="W20" s="33">
        <v>0</v>
      </c>
      <c r="X20" s="33">
        <f t="shared" si="4"/>
        <v>317.36208457818572</v>
      </c>
      <c r="Y20" s="38">
        <f t="shared" si="5"/>
        <v>140.3261827731076</v>
      </c>
      <c r="AA20" s="71">
        <v>15</v>
      </c>
      <c r="AB20" s="33">
        <f t="shared" si="6"/>
        <v>0</v>
      </c>
      <c r="AC20" s="305">
        <f t="shared" si="7"/>
        <v>0</v>
      </c>
      <c r="AD20" s="100">
        <f t="shared" si="8"/>
        <v>0</v>
      </c>
      <c r="AE20" s="100">
        <f t="shared" si="9"/>
        <v>0</v>
      </c>
      <c r="AF20" s="194">
        <f t="shared" si="28"/>
        <v>0</v>
      </c>
      <c r="AG20" s="194">
        <f t="shared" si="29"/>
        <v>0</v>
      </c>
      <c r="AH20" s="194">
        <f t="shared" si="30"/>
        <v>0</v>
      </c>
      <c r="AI20" s="199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4">
        <f t="shared" si="15"/>
        <v>0</v>
      </c>
      <c r="AR20" s="194">
        <f t="shared" si="16"/>
        <v>0</v>
      </c>
      <c r="AS20" s="194">
        <f t="shared" si="17"/>
        <v>0</v>
      </c>
      <c r="AT20" s="194">
        <f t="shared" si="18"/>
        <v>0</v>
      </c>
      <c r="AU20" s="33"/>
      <c r="AV20" s="33"/>
      <c r="AW20" s="33"/>
      <c r="AX20" s="33"/>
      <c r="AY20" s="164">
        <f t="shared" si="27"/>
        <v>0</v>
      </c>
    </row>
    <row r="21" spans="2:51">
      <c r="B21" s="386"/>
      <c r="C21" s="390"/>
      <c r="D21" s="388" t="s">
        <v>142</v>
      </c>
      <c r="E21" s="388"/>
      <c r="F21" s="102">
        <f>20.5*70%</f>
        <v>14.35</v>
      </c>
      <c r="I21" s="55">
        <v>16</v>
      </c>
      <c r="J21" s="33">
        <f t="shared" si="21"/>
        <v>5</v>
      </c>
      <c r="K21" s="33">
        <f t="shared" si="22"/>
        <v>1.910565629709926</v>
      </c>
      <c r="L21" s="33">
        <f t="shared" si="23"/>
        <v>45</v>
      </c>
      <c r="M21" s="33">
        <f t="shared" si="24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9"/>
        <v>7.2681818181818185</v>
      </c>
      <c r="R21" s="33">
        <f t="shared" si="25"/>
        <v>116.29090909090907</v>
      </c>
      <c r="S21" s="33">
        <f t="shared" si="26"/>
        <v>53.49381818181817</v>
      </c>
      <c r="T21" s="33">
        <f t="shared" si="2"/>
        <v>15.512476029206388</v>
      </c>
      <c r="U21" s="33">
        <f t="shared" si="20"/>
        <v>51.105406463606862</v>
      </c>
      <c r="V21" s="33">
        <f t="shared" si="3"/>
        <v>5.333333333333333</v>
      </c>
      <c r="W21" s="33">
        <v>0</v>
      </c>
      <c r="X21" s="33">
        <f t="shared" si="4"/>
        <v>327.12800833964849</v>
      </c>
      <c r="Y21" s="38">
        <f t="shared" si="5"/>
        <v>150.09210653457038</v>
      </c>
      <c r="AA21" s="71">
        <v>16</v>
      </c>
      <c r="AB21" s="33">
        <f t="shared" si="6"/>
        <v>0</v>
      </c>
      <c r="AC21" s="305">
        <f t="shared" si="7"/>
        <v>0</v>
      </c>
      <c r="AD21" s="100">
        <f t="shared" si="8"/>
        <v>0</v>
      </c>
      <c r="AE21" s="100">
        <f t="shared" si="9"/>
        <v>0</v>
      </c>
      <c r="AF21" s="194">
        <f t="shared" si="28"/>
        <v>0</v>
      </c>
      <c r="AG21" s="194">
        <f t="shared" si="29"/>
        <v>0</v>
      </c>
      <c r="AH21" s="194">
        <f t="shared" si="30"/>
        <v>0</v>
      </c>
      <c r="AI21" s="199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4">
        <f t="shared" si="15"/>
        <v>0</v>
      </c>
      <c r="AR21" s="194">
        <f t="shared" si="16"/>
        <v>0</v>
      </c>
      <c r="AS21" s="194">
        <f t="shared" si="17"/>
        <v>0</v>
      </c>
      <c r="AT21" s="194">
        <f t="shared" si="18"/>
        <v>0</v>
      </c>
      <c r="AU21" s="33"/>
      <c r="AV21" s="33"/>
      <c r="AW21" s="33"/>
      <c r="AX21" s="33"/>
      <c r="AY21" s="164">
        <f t="shared" si="27"/>
        <v>0</v>
      </c>
    </row>
    <row r="22" spans="2:51">
      <c r="E22" s="6"/>
      <c r="I22" s="55">
        <v>17</v>
      </c>
      <c r="J22" s="33">
        <f t="shared" si="21"/>
        <v>5</v>
      </c>
      <c r="K22" s="33">
        <f t="shared" si="22"/>
        <v>1.910565629709926</v>
      </c>
      <c r="L22" s="33">
        <f t="shared" si="23"/>
        <v>45</v>
      </c>
      <c r="M22" s="33">
        <f t="shared" si="24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9"/>
        <v>7.2681818181818185</v>
      </c>
      <c r="R22" s="33">
        <f t="shared" si="25"/>
        <v>123.55909090909088</v>
      </c>
      <c r="S22" s="33">
        <f t="shared" si="26"/>
        <v>56.837181818181811</v>
      </c>
      <c r="T22" s="33">
        <f t="shared" si="2"/>
        <v>16.366106526717694</v>
      </c>
      <c r="U22" s="33">
        <f t="shared" si="20"/>
        <v>51.433185419480445</v>
      </c>
      <c r="V22" s="33">
        <f t="shared" si="3"/>
        <v>5.666666666666667</v>
      </c>
      <c r="W22" s="33">
        <v>0</v>
      </c>
      <c r="X22" s="33">
        <f t="shared" si="4"/>
        <v>336.8618515165727</v>
      </c>
      <c r="Y22" s="38">
        <f t="shared" si="5"/>
        <v>159.82594971149459</v>
      </c>
      <c r="AA22" s="71">
        <v>17</v>
      </c>
      <c r="AB22" s="33">
        <f t="shared" si="6"/>
        <v>0</v>
      </c>
      <c r="AC22" s="305">
        <f t="shared" si="7"/>
        <v>0</v>
      </c>
      <c r="AD22" s="100">
        <f t="shared" si="8"/>
        <v>0</v>
      </c>
      <c r="AE22" s="100">
        <f t="shared" si="9"/>
        <v>0</v>
      </c>
      <c r="AF22" s="194">
        <f t="shared" si="28"/>
        <v>0</v>
      </c>
      <c r="AG22" s="194">
        <f t="shared" si="29"/>
        <v>0</v>
      </c>
      <c r="AH22" s="194">
        <f t="shared" si="30"/>
        <v>0</v>
      </c>
      <c r="AI22" s="199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4">
        <f t="shared" si="15"/>
        <v>0</v>
      </c>
      <c r="AR22" s="194">
        <f t="shared" si="16"/>
        <v>0</v>
      </c>
      <c r="AS22" s="194">
        <f t="shared" si="17"/>
        <v>0</v>
      </c>
      <c r="AT22" s="194">
        <f t="shared" si="18"/>
        <v>0</v>
      </c>
      <c r="AU22" s="33"/>
      <c r="AV22" s="33"/>
      <c r="AW22" s="33"/>
      <c r="AX22" s="33"/>
      <c r="AY22" s="164">
        <f t="shared" si="27"/>
        <v>0</v>
      </c>
    </row>
    <row r="23" spans="2:51">
      <c r="B23" s="378" t="s">
        <v>141</v>
      </c>
      <c r="C23" s="379"/>
      <c r="D23" s="379"/>
      <c r="E23" s="379"/>
      <c r="F23" s="379"/>
      <c r="G23" s="380"/>
      <c r="I23" s="55">
        <v>18</v>
      </c>
      <c r="J23" s="33">
        <f t="shared" si="21"/>
        <v>5</v>
      </c>
      <c r="K23" s="33">
        <f t="shared" si="22"/>
        <v>1.910565629709926</v>
      </c>
      <c r="L23" s="33">
        <f t="shared" si="23"/>
        <v>45</v>
      </c>
      <c r="M23" s="33">
        <f t="shared" si="24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9"/>
        <v>7.2681818181818185</v>
      </c>
      <c r="R23" s="33">
        <f t="shared" si="25"/>
        <v>130.82727272727271</v>
      </c>
      <c r="S23" s="33">
        <f t="shared" si="26"/>
        <v>60.180545454545452</v>
      </c>
      <c r="T23" s="33">
        <f t="shared" si="2"/>
        <v>17.21390858274102</v>
      </c>
      <c r="U23" s="33">
        <f t="shared" si="20"/>
        <v>51.755278143273578</v>
      </c>
      <c r="V23" s="33">
        <f t="shared" si="3"/>
        <v>6</v>
      </c>
      <c r="W23" s="33">
        <v>0</v>
      </c>
      <c r="X23" s="33">
        <f t="shared" si="4"/>
        <v>346.56469397361042</v>
      </c>
      <c r="Y23" s="38">
        <f t="shared" si="5"/>
        <v>169.52879216853231</v>
      </c>
      <c r="AA23" s="71">
        <v>18</v>
      </c>
      <c r="AB23" s="33">
        <f t="shared" si="6"/>
        <v>0</v>
      </c>
      <c r="AC23" s="305">
        <f t="shared" si="7"/>
        <v>0</v>
      </c>
      <c r="AD23" s="100">
        <f t="shared" si="8"/>
        <v>0</v>
      </c>
      <c r="AE23" s="100">
        <f t="shared" si="9"/>
        <v>0</v>
      </c>
      <c r="AF23" s="194">
        <f t="shared" si="28"/>
        <v>0</v>
      </c>
      <c r="AG23" s="194">
        <f t="shared" si="29"/>
        <v>0</v>
      </c>
      <c r="AH23" s="194">
        <f t="shared" si="30"/>
        <v>0</v>
      </c>
      <c r="AI23" s="199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4">
        <f t="shared" si="15"/>
        <v>0</v>
      </c>
      <c r="AR23" s="194">
        <f t="shared" si="16"/>
        <v>0</v>
      </c>
      <c r="AS23" s="194">
        <f t="shared" si="17"/>
        <v>0</v>
      </c>
      <c r="AT23" s="194">
        <f t="shared" si="18"/>
        <v>0</v>
      </c>
      <c r="AU23" s="33"/>
      <c r="AV23" s="33"/>
      <c r="AW23" s="33"/>
      <c r="AX23" s="33"/>
      <c r="AY23" s="164">
        <f t="shared" si="27"/>
        <v>0</v>
      </c>
    </row>
    <row r="24" spans="2:51">
      <c r="B24" s="47" t="s">
        <v>113</v>
      </c>
      <c r="C24" s="48" t="s">
        <v>114</v>
      </c>
      <c r="D24" s="48" t="s">
        <v>83</v>
      </c>
      <c r="E24" s="48" t="s">
        <v>116</v>
      </c>
      <c r="F24" s="48" t="s">
        <v>115</v>
      </c>
      <c r="G24" s="49" t="s">
        <v>140</v>
      </c>
      <c r="I24" s="55">
        <v>19</v>
      </c>
      <c r="J24" s="33">
        <f t="shared" si="21"/>
        <v>5</v>
      </c>
      <c r="K24" s="33">
        <f t="shared" si="22"/>
        <v>1.910565629709926</v>
      </c>
      <c r="L24" s="33">
        <f t="shared" si="23"/>
        <v>45</v>
      </c>
      <c r="M24" s="33">
        <f t="shared" si="24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9"/>
        <v>7.2681818181818185</v>
      </c>
      <c r="R24" s="33">
        <f t="shared" si="25"/>
        <v>138.09545454545454</v>
      </c>
      <c r="S24" s="33">
        <f t="shared" si="26"/>
        <v>63.523909090909093</v>
      </c>
      <c r="T24" s="33">
        <f t="shared" si="2"/>
        <v>18.056242904994416</v>
      </c>
      <c r="U24" s="33">
        <f t="shared" si="20"/>
        <v>52.07178327840036</v>
      </c>
      <c r="V24" s="33">
        <f t="shared" si="3"/>
        <v>6.333333333333333</v>
      </c>
      <c r="W24" s="33">
        <v>0</v>
      </c>
      <c r="X24" s="33">
        <f t="shared" si="4"/>
        <v>356.23752563588886</v>
      </c>
      <c r="Y24" s="38">
        <f t="shared" si="5"/>
        <v>179.20162383081075</v>
      </c>
      <c r="AA24" s="71">
        <v>19</v>
      </c>
      <c r="AB24" s="33">
        <f t="shared" si="6"/>
        <v>0</v>
      </c>
      <c r="AC24" s="305">
        <f t="shared" si="7"/>
        <v>0</v>
      </c>
      <c r="AD24" s="100">
        <f t="shared" si="8"/>
        <v>0</v>
      </c>
      <c r="AE24" s="100">
        <f t="shared" si="9"/>
        <v>0</v>
      </c>
      <c r="AF24" s="194">
        <f t="shared" si="28"/>
        <v>0</v>
      </c>
      <c r="AG24" s="194">
        <f t="shared" si="29"/>
        <v>0</v>
      </c>
      <c r="AH24" s="194">
        <f t="shared" si="30"/>
        <v>0</v>
      </c>
      <c r="AI24" s="199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4">
        <f t="shared" si="15"/>
        <v>0</v>
      </c>
      <c r="AR24" s="194">
        <f t="shared" si="16"/>
        <v>0</v>
      </c>
      <c r="AS24" s="194">
        <f t="shared" si="17"/>
        <v>0</v>
      </c>
      <c r="AT24" s="194">
        <f t="shared" si="18"/>
        <v>0</v>
      </c>
      <c r="AU24" s="33"/>
      <c r="AV24" s="33"/>
      <c r="AW24" s="33"/>
      <c r="AX24" s="33"/>
      <c r="AY24" s="164">
        <f t="shared" si="27"/>
        <v>0</v>
      </c>
    </row>
    <row r="25" spans="2:51">
      <c r="B25" s="45">
        <v>0</v>
      </c>
      <c r="C25" s="334">
        <v>22</v>
      </c>
      <c r="D25" s="344">
        <v>123</v>
      </c>
      <c r="E25" s="140">
        <f t="shared" ref="E25:E46" si="32">$F$20</f>
        <v>1.3</v>
      </c>
      <c r="F25" s="46">
        <f t="shared" ref="F25:F46" si="33">D25*E25</f>
        <v>159.9</v>
      </c>
      <c r="G25" s="50">
        <f>F25/(C25-B25)</f>
        <v>7.2681818181818185</v>
      </c>
      <c r="I25" s="55">
        <v>20</v>
      </c>
      <c r="J25" s="33">
        <f t="shared" si="21"/>
        <v>5</v>
      </c>
      <c r="K25" s="33">
        <f t="shared" si="22"/>
        <v>1.910565629709926</v>
      </c>
      <c r="L25" s="33">
        <f t="shared" si="23"/>
        <v>45</v>
      </c>
      <c r="M25" s="33">
        <f t="shared" si="24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9"/>
        <v>7.2681818181818185</v>
      </c>
      <c r="R25" s="33">
        <f t="shared" si="25"/>
        <v>145.36363636363637</v>
      </c>
      <c r="S25" s="33">
        <f t="shared" si="26"/>
        <v>66.867272727272734</v>
      </c>
      <c r="T25" s="33">
        <f t="shared" si="2"/>
        <v>18.893430087470122</v>
      </c>
      <c r="U25" s="33">
        <f t="shared" si="20"/>
        <v>52.382797757032165</v>
      </c>
      <c r="V25" s="33">
        <f t="shared" si="3"/>
        <v>6.666666666666667</v>
      </c>
      <c r="W25" s="33">
        <v>0</v>
      </c>
      <c r="X25" s="33">
        <f t="shared" si="4"/>
        <v>365.88126028923961</v>
      </c>
      <c r="Y25" s="38">
        <f t="shared" si="5"/>
        <v>188.84535848416149</v>
      </c>
      <c r="AA25" s="71">
        <v>20</v>
      </c>
      <c r="AB25" s="33">
        <f t="shared" si="6"/>
        <v>0</v>
      </c>
      <c r="AC25" s="305">
        <f t="shared" si="7"/>
        <v>0</v>
      </c>
      <c r="AD25" s="100">
        <f t="shared" si="8"/>
        <v>0</v>
      </c>
      <c r="AE25" s="100">
        <f t="shared" si="9"/>
        <v>0</v>
      </c>
      <c r="AF25" s="194">
        <f>IF(OR(AA25&lt;=$F$18,AA25&lt;=30),EXP(-LN(2)/$D$104)*AF24+((1-EXP(-LN(2)/$D$104))/(LN(2)/$D$104))*$AB25*AC25*0.475*$F$19*44/12,)</f>
        <v>0</v>
      </c>
      <c r="AG25" s="194">
        <f>IF(OR(AA25&lt;=$F$18,AA25&lt;=30),EXP(-LN(2)/$D$106)*AG24+((1-EXP(-LN(2)/$D$106))/(LN(2)/$D$106))*$AB25*AD25*0.475*$F$19*44/12,)</f>
        <v>0</v>
      </c>
      <c r="AH25" s="194">
        <f>IF(OR(AA25&lt;=$F$18,AA25&lt;=30),EXP(-LN(2)/$D$105)*AH24+((1-EXP(-LN(2)/$D$105))/(LN(2)/$D$105))*$AB25*AE25*0.475*$F$19*44/12,)</f>
        <v>0</v>
      </c>
      <c r="AI25" s="199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4">
        <f t="shared" si="15"/>
        <v>0</v>
      </c>
      <c r="AR25" s="194">
        <f t="shared" si="16"/>
        <v>0</v>
      </c>
      <c r="AS25" s="194">
        <f t="shared" si="17"/>
        <v>0</v>
      </c>
      <c r="AT25" s="194">
        <f t="shared" si="18"/>
        <v>0</v>
      </c>
      <c r="AU25" s="33"/>
      <c r="AV25" s="33"/>
      <c r="AW25" s="33"/>
      <c r="AX25" s="33"/>
      <c r="AY25" s="164">
        <f t="shared" si="27"/>
        <v>0</v>
      </c>
    </row>
    <row r="26" spans="2:51">
      <c r="B26" s="40">
        <f t="shared" ref="B26:B46" si="34">C25</f>
        <v>22</v>
      </c>
      <c r="C26" s="41">
        <f>B26+1</f>
        <v>23</v>
      </c>
      <c r="D26" s="344">
        <v>107</v>
      </c>
      <c r="E26" s="141">
        <f t="shared" si="32"/>
        <v>1.3</v>
      </c>
      <c r="F26" s="42">
        <f t="shared" si="33"/>
        <v>139.1</v>
      </c>
      <c r="G26" s="142">
        <f>(F26-F25)/(C26-B26)</f>
        <v>-20.800000000000011</v>
      </c>
      <c r="I26" s="55">
        <v>21</v>
      </c>
      <c r="J26" s="33">
        <f t="shared" si="21"/>
        <v>5</v>
      </c>
      <c r="K26" s="33">
        <f t="shared" si="22"/>
        <v>1.910565629709926</v>
      </c>
      <c r="L26" s="33">
        <f t="shared" si="23"/>
        <v>45</v>
      </c>
      <c r="M26" s="33">
        <f t="shared" si="24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9"/>
        <v>7.2681818181818185</v>
      </c>
      <c r="R26" s="33">
        <f t="shared" si="25"/>
        <v>152.6318181818182</v>
      </c>
      <c r="S26" s="33">
        <f t="shared" si="26"/>
        <v>70.210636363636382</v>
      </c>
      <c r="T26" s="33">
        <f t="shared" si="2"/>
        <v>19.725756853741867</v>
      </c>
      <c r="U26" s="33">
        <f t="shared" si="20"/>
        <v>52.688416829783918</v>
      </c>
      <c r="V26" s="33">
        <f t="shared" si="3"/>
        <v>7</v>
      </c>
      <c r="W26" s="33">
        <v>0</v>
      </c>
      <c r="X26" s="33">
        <f t="shared" si="4"/>
        <v>375.49674656280808</v>
      </c>
      <c r="Y26" s="38">
        <f t="shared" si="5"/>
        <v>198.46084475772997</v>
      </c>
      <c r="AA26" s="71">
        <v>21</v>
      </c>
      <c r="AB26" s="33">
        <f t="shared" si="6"/>
        <v>0</v>
      </c>
      <c r="AC26" s="305">
        <f t="shared" si="7"/>
        <v>0</v>
      </c>
      <c r="AD26" s="100">
        <f t="shared" si="8"/>
        <v>0</v>
      </c>
      <c r="AE26" s="100">
        <f t="shared" si="9"/>
        <v>0</v>
      </c>
      <c r="AF26" s="194">
        <f>IF(OR(AA26&lt;=$F$18,AA26&lt;=30),EXP(-LN(2)/$D$104)*AF25+((1-EXP(-LN(2)/$D$104))/(LN(2)/$D$104))*$AB26*AC26*0.475*$F$19*44/12,)</f>
        <v>0</v>
      </c>
      <c r="AG26" s="194">
        <f>IF(OR(AA26&lt;=$F$18,AA26&lt;=30),EXP(-LN(2)/$D$106)*AG25+((1-EXP(-LN(2)/$D$106))/(LN(2)/$D$106))*$AB26*AD26*0.475*$F$19*44/12,)</f>
        <v>0</v>
      </c>
      <c r="AH26" s="194">
        <f>IF(OR(AA26&lt;=$F$18,AA26&lt;=30),EXP(-LN(2)/$D$105)*AH25+((1-EXP(-LN(2)/$D$105))/(LN(2)/$D$105))*$AB26*AE26*0.475*$F$19*44/12,)</f>
        <v>0</v>
      </c>
      <c r="AI26" s="199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0</v>
      </c>
      <c r="AQ26" s="194">
        <f t="shared" si="15"/>
        <v>0</v>
      </c>
      <c r="AR26" s="194">
        <f t="shared" si="16"/>
        <v>0</v>
      </c>
      <c r="AS26" s="194">
        <f t="shared" si="17"/>
        <v>0</v>
      </c>
      <c r="AT26" s="194">
        <f t="shared" si="18"/>
        <v>0</v>
      </c>
      <c r="AU26" s="33"/>
      <c r="AV26" s="33"/>
      <c r="AW26" s="33"/>
      <c r="AX26" s="33"/>
      <c r="AY26" s="164">
        <f t="shared" si="27"/>
        <v>0</v>
      </c>
    </row>
    <row r="27" spans="2:51">
      <c r="B27" s="40">
        <f t="shared" si="34"/>
        <v>23</v>
      </c>
      <c r="C27" s="152">
        <f>C25+3</f>
        <v>25</v>
      </c>
      <c r="D27" s="137">
        <f>D28+17</f>
        <v>144</v>
      </c>
      <c r="E27" s="141">
        <f t="shared" si="32"/>
        <v>1.3</v>
      </c>
      <c r="F27" s="42">
        <f t="shared" si="33"/>
        <v>187.20000000000002</v>
      </c>
      <c r="G27" s="51">
        <f t="shared" ref="G27:G46" si="35">(F27-F26)/(C27-B27)</f>
        <v>24.050000000000011</v>
      </c>
      <c r="I27" s="55">
        <v>22</v>
      </c>
      <c r="J27" s="33">
        <f t="shared" si="21"/>
        <v>5</v>
      </c>
      <c r="K27" s="33">
        <f t="shared" si="22"/>
        <v>1.910565629709926</v>
      </c>
      <c r="L27" s="33">
        <f t="shared" si="23"/>
        <v>45</v>
      </c>
      <c r="M27" s="33">
        <f t="shared" si="24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9"/>
        <v>7.2681818181818185</v>
      </c>
      <c r="R27" s="33">
        <f t="shared" si="25"/>
        <v>159.90000000000003</v>
      </c>
      <c r="S27" s="33">
        <f t="shared" si="26"/>
        <v>73.554000000000016</v>
      </c>
      <c r="T27" s="33">
        <f t="shared" si="2"/>
        <v>20.553481077376691</v>
      </c>
      <c r="U27" s="33">
        <f t="shared" si="20"/>
        <v>52.988734094885309</v>
      </c>
      <c r="V27" s="33">
        <f t="shared" si="3"/>
        <v>7.333333333333333</v>
      </c>
      <c r="W27" s="33">
        <v>0</v>
      </c>
      <c r="X27" s="33">
        <f t="shared" si="4"/>
        <v>385.08477677989941</v>
      </c>
      <c r="Y27" s="38">
        <f t="shared" si="5"/>
        <v>208.0488749748213</v>
      </c>
      <c r="AA27" s="71">
        <v>22</v>
      </c>
      <c r="AB27" s="33">
        <f t="shared" si="6"/>
        <v>0</v>
      </c>
      <c r="AC27" s="305">
        <f t="shared" si="7"/>
        <v>0</v>
      </c>
      <c r="AD27" s="100">
        <f t="shared" si="8"/>
        <v>0</v>
      </c>
      <c r="AE27" s="100">
        <f t="shared" si="9"/>
        <v>0</v>
      </c>
      <c r="AF27" s="194">
        <f t="shared" ref="AF27:AF90" si="36">IF(OR(AA27&lt;=$F$18,AA27&lt;=30),EXP(-LN(2)/$D$104)*AF26+((1-EXP(-LN(2)/$D$104))/(LN(2)/$D$104))*$AB27*AC27*0.475*$F$19*44/12,)</f>
        <v>0</v>
      </c>
      <c r="AG27" s="194">
        <f t="shared" ref="AG27:AG90" si="37">IF(OR(AA27&lt;=$F$18,AA27&lt;=30),EXP(-LN(2)/$D$106)*AG26+((1-EXP(-LN(2)/$D$106))/(LN(2)/$D$106))*$AB27*AD27*0.475*$F$19*44/12,)</f>
        <v>0</v>
      </c>
      <c r="AH27" s="194">
        <f t="shared" ref="AH27:AH90" si="38">IF(OR(AA27&lt;=$F$18,AA27&lt;=30),EXP(-LN(2)/$D$105)*AH26+((1-EXP(-LN(2)/$D$105))/(LN(2)/$D$105))*$AB27*AE27*0.475*$F$19*44/12,)</f>
        <v>0</v>
      </c>
      <c r="AI27" s="199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4">
        <f t="shared" si="15"/>
        <v>0</v>
      </c>
      <c r="AR27" s="194">
        <f t="shared" si="16"/>
        <v>0</v>
      </c>
      <c r="AS27" s="194">
        <f t="shared" si="17"/>
        <v>0</v>
      </c>
      <c r="AT27" s="194">
        <f t="shared" si="18"/>
        <v>0</v>
      </c>
      <c r="AU27" s="33"/>
      <c r="AV27" s="33"/>
      <c r="AW27" s="33"/>
      <c r="AX27" s="33"/>
      <c r="AY27" s="164">
        <f t="shared" si="27"/>
        <v>0</v>
      </c>
    </row>
    <row r="28" spans="2:51">
      <c r="B28" s="40">
        <f t="shared" si="34"/>
        <v>25</v>
      </c>
      <c r="C28" s="41">
        <f>B28+1</f>
        <v>26</v>
      </c>
      <c r="D28" s="137">
        <v>127</v>
      </c>
      <c r="E28" s="141">
        <f t="shared" si="32"/>
        <v>1.3</v>
      </c>
      <c r="F28" s="42">
        <f t="shared" si="33"/>
        <v>165.1</v>
      </c>
      <c r="G28" s="51">
        <f t="shared" si="35"/>
        <v>-22.100000000000023</v>
      </c>
      <c r="I28" s="55">
        <v>23</v>
      </c>
      <c r="J28" s="33">
        <f t="shared" si="21"/>
        <v>5</v>
      </c>
      <c r="K28" s="33">
        <f t="shared" si="22"/>
        <v>1.910565629709926</v>
      </c>
      <c r="L28" s="33">
        <f t="shared" si="23"/>
        <v>45</v>
      </c>
      <c r="M28" s="33">
        <f t="shared" si="24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9"/>
        <v>-20.800000000000011</v>
      </c>
      <c r="R28" s="33">
        <f t="shared" si="25"/>
        <v>139.10000000000002</v>
      </c>
      <c r="S28" s="33">
        <f t="shared" si="26"/>
        <v>63.986000000000011</v>
      </c>
      <c r="T28" s="33">
        <f t="shared" si="2"/>
        <v>18.172251427996663</v>
      </c>
      <c r="U28" s="33">
        <f t="shared" si="20"/>
        <v>53.283841526846018</v>
      </c>
      <c r="V28" s="33">
        <f t="shared" si="3"/>
        <v>7.666666666666667</v>
      </c>
      <c r="W28" s="33">
        <v>0</v>
      </c>
      <c r="X28" s="33">
        <f t="shared" si="4"/>
        <v>366.57748461330738</v>
      </c>
      <c r="Y28" s="38">
        <f t="shared" si="5"/>
        <v>189.54158280822926</v>
      </c>
      <c r="AA28" s="71">
        <v>23</v>
      </c>
      <c r="AB28" s="33">
        <f t="shared" si="6"/>
        <v>16</v>
      </c>
      <c r="AC28" s="305">
        <f t="shared" si="7"/>
        <v>0</v>
      </c>
      <c r="AD28" s="100">
        <f t="shared" si="8"/>
        <v>0.56000000000000005</v>
      </c>
      <c r="AE28" s="100">
        <f t="shared" si="9"/>
        <v>0.44</v>
      </c>
      <c r="AF28" s="194">
        <f t="shared" si="36"/>
        <v>0</v>
      </c>
      <c r="AG28" s="194">
        <f t="shared" si="37"/>
        <v>7.0798522090171758</v>
      </c>
      <c r="AH28" s="194">
        <f t="shared" si="38"/>
        <v>4.7666073940026195</v>
      </c>
      <c r="AI28" s="199">
        <f t="shared" si="39"/>
        <v>11.846459603019795</v>
      </c>
      <c r="AK28" s="71">
        <v>23</v>
      </c>
      <c r="AL28" s="33">
        <f t="shared" si="10"/>
        <v>16</v>
      </c>
      <c r="AM28" s="33">
        <f t="shared" si="11"/>
        <v>0</v>
      </c>
      <c r="AN28" s="33">
        <f t="shared" si="12"/>
        <v>0.56000000000000005</v>
      </c>
      <c r="AO28" s="33">
        <f t="shared" si="13"/>
        <v>0.44</v>
      </c>
      <c r="AP28" s="33">
        <f t="shared" si="14"/>
        <v>0</v>
      </c>
      <c r="AQ28" s="194">
        <f t="shared" si="15"/>
        <v>0</v>
      </c>
      <c r="AR28" s="194">
        <f t="shared" si="16"/>
        <v>8.9600000000000009</v>
      </c>
      <c r="AS28" s="194">
        <f t="shared" si="17"/>
        <v>7.04</v>
      </c>
      <c r="AT28" s="194">
        <f t="shared" si="18"/>
        <v>0</v>
      </c>
      <c r="AU28" s="33"/>
      <c r="AV28" s="33"/>
      <c r="AW28" s="33"/>
      <c r="AX28" s="33"/>
      <c r="AY28" s="164">
        <f t="shared" si="27"/>
        <v>6.88</v>
      </c>
    </row>
    <row r="29" spans="2:51">
      <c r="B29" s="40">
        <f t="shared" si="34"/>
        <v>26</v>
      </c>
      <c r="C29" s="152">
        <f>C27+5</f>
        <v>30</v>
      </c>
      <c r="D29" s="137">
        <f>D30+34</f>
        <v>194</v>
      </c>
      <c r="E29" s="141">
        <f t="shared" si="32"/>
        <v>1.3</v>
      </c>
      <c r="F29" s="42">
        <f t="shared" si="33"/>
        <v>252.20000000000002</v>
      </c>
      <c r="G29" s="51">
        <f t="shared" si="35"/>
        <v>21.775000000000006</v>
      </c>
      <c r="I29" s="55">
        <v>24</v>
      </c>
      <c r="J29" s="33">
        <f t="shared" si="21"/>
        <v>5</v>
      </c>
      <c r="K29" s="33">
        <f t="shared" si="22"/>
        <v>1.910565629709926</v>
      </c>
      <c r="L29" s="33">
        <f t="shared" si="23"/>
        <v>45</v>
      </c>
      <c r="M29" s="33">
        <f t="shared" si="24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9"/>
        <v>24.050000000000011</v>
      </c>
      <c r="R29" s="33">
        <f t="shared" si="25"/>
        <v>163.15000000000003</v>
      </c>
      <c r="S29" s="33">
        <f t="shared" si="26"/>
        <v>75.049000000000021</v>
      </c>
      <c r="T29" s="33">
        <f t="shared" si="2"/>
        <v>20.922174846609956</v>
      </c>
      <c r="U29" s="33">
        <f t="shared" si="20"/>
        <v>53.573829504623582</v>
      </c>
      <c r="V29" s="33">
        <f t="shared" si="3"/>
        <v>8</v>
      </c>
      <c r="W29" s="33">
        <v>0</v>
      </c>
      <c r="X29" s="33">
        <f t="shared" si="4"/>
        <v>392.92050437479884</v>
      </c>
      <c r="Y29" s="38">
        <f t="shared" si="5"/>
        <v>215.88460256972073</v>
      </c>
      <c r="AA29" s="71">
        <v>24</v>
      </c>
      <c r="AB29" s="33">
        <f t="shared" si="6"/>
        <v>0</v>
      </c>
      <c r="AC29" s="305">
        <f t="shared" si="7"/>
        <v>0</v>
      </c>
      <c r="AD29" s="100">
        <f t="shared" si="8"/>
        <v>0</v>
      </c>
      <c r="AE29" s="100">
        <f t="shared" si="9"/>
        <v>0</v>
      </c>
      <c r="AF29" s="194">
        <f t="shared" si="36"/>
        <v>0</v>
      </c>
      <c r="AG29" s="194">
        <f t="shared" si="37"/>
        <v>6.886253278048355</v>
      </c>
      <c r="AH29" s="194">
        <f t="shared" si="38"/>
        <v>3.37050041155319</v>
      </c>
      <c r="AI29" s="199">
        <f t="shared" si="39"/>
        <v>10.256753689601545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4">
        <f t="shared" si="15"/>
        <v>0</v>
      </c>
      <c r="AR29" s="194">
        <f t="shared" si="16"/>
        <v>0</v>
      </c>
      <c r="AS29" s="194">
        <f t="shared" si="17"/>
        <v>0</v>
      </c>
      <c r="AT29" s="194">
        <f t="shared" si="18"/>
        <v>0</v>
      </c>
      <c r="AU29" s="33"/>
      <c r="AV29" s="33"/>
      <c r="AW29" s="33"/>
      <c r="AX29" s="33"/>
      <c r="AY29" s="164">
        <f t="shared" si="27"/>
        <v>6.88</v>
      </c>
    </row>
    <row r="30" spans="2:51">
      <c r="B30" s="40">
        <f t="shared" si="34"/>
        <v>30</v>
      </c>
      <c r="C30" s="41">
        <f>B30+1</f>
        <v>31</v>
      </c>
      <c r="D30" s="137">
        <v>160</v>
      </c>
      <c r="E30" s="141">
        <f t="shared" si="32"/>
        <v>1.3</v>
      </c>
      <c r="F30" s="42">
        <f t="shared" si="33"/>
        <v>208</v>
      </c>
      <c r="G30" s="51">
        <f t="shared" si="35"/>
        <v>-44.200000000000017</v>
      </c>
      <c r="I30" s="55">
        <v>25</v>
      </c>
      <c r="J30" s="33">
        <f t="shared" si="21"/>
        <v>5</v>
      </c>
      <c r="K30" s="33">
        <f t="shared" si="22"/>
        <v>1.910565629709926</v>
      </c>
      <c r="L30" s="33">
        <f t="shared" si="23"/>
        <v>45</v>
      </c>
      <c r="M30" s="33">
        <f t="shared" si="24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9"/>
        <v>24.050000000000011</v>
      </c>
      <c r="R30" s="33">
        <f t="shared" si="25"/>
        <v>187.20000000000005</v>
      </c>
      <c r="S30" s="33">
        <f t="shared" si="26"/>
        <v>86.112000000000023</v>
      </c>
      <c r="T30" s="33">
        <f t="shared" si="2"/>
        <v>23.625136642852297</v>
      </c>
      <c r="U30" s="33">
        <f t="shared" si="20"/>
        <v>53.858786839302695</v>
      </c>
      <c r="V30" s="33">
        <f t="shared" si="3"/>
        <v>8.3333333333333339</v>
      </c>
      <c r="W30" s="33">
        <v>0</v>
      </c>
      <c r="X30" s="33">
        <f t="shared" si="4"/>
        <v>419.16328695263314</v>
      </c>
      <c r="Y30" s="38">
        <f t="shared" si="5"/>
        <v>242.12738514755503</v>
      </c>
      <c r="AA30" s="71">
        <v>25</v>
      </c>
      <c r="AB30" s="33">
        <f t="shared" si="6"/>
        <v>0</v>
      </c>
      <c r="AC30" s="305">
        <f t="shared" si="7"/>
        <v>0</v>
      </c>
      <c r="AD30" s="100">
        <f t="shared" si="8"/>
        <v>0</v>
      </c>
      <c r="AE30" s="100">
        <f t="shared" si="9"/>
        <v>0</v>
      </c>
      <c r="AF30" s="194">
        <f t="shared" si="36"/>
        <v>0</v>
      </c>
      <c r="AG30" s="194">
        <f t="shared" si="37"/>
        <v>6.6979483200278018</v>
      </c>
      <c r="AH30" s="194">
        <f t="shared" si="38"/>
        <v>2.3833036970013102</v>
      </c>
      <c r="AI30" s="199">
        <f t="shared" si="39"/>
        <v>9.0812520170291116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4">
        <f t="shared" si="15"/>
        <v>0</v>
      </c>
      <c r="AR30" s="194">
        <f t="shared" si="16"/>
        <v>0</v>
      </c>
      <c r="AS30" s="194">
        <f t="shared" si="17"/>
        <v>0</v>
      </c>
      <c r="AT30" s="194">
        <f t="shared" si="18"/>
        <v>0</v>
      </c>
      <c r="AU30" s="33"/>
      <c r="AV30" s="33"/>
      <c r="AW30" s="33"/>
      <c r="AX30" s="33"/>
      <c r="AY30" s="164">
        <f t="shared" si="27"/>
        <v>6.88</v>
      </c>
    </row>
    <row r="31" spans="2:51">
      <c r="B31" s="40">
        <f t="shared" si="34"/>
        <v>31</v>
      </c>
      <c r="C31" s="152">
        <f>C29+5</f>
        <v>35</v>
      </c>
      <c r="D31" s="137">
        <f>D32+41</f>
        <v>233</v>
      </c>
      <c r="E31" s="141">
        <f t="shared" si="32"/>
        <v>1.3</v>
      </c>
      <c r="F31" s="42">
        <f t="shared" si="33"/>
        <v>302.90000000000003</v>
      </c>
      <c r="G31" s="51">
        <f t="shared" si="35"/>
        <v>23.725000000000009</v>
      </c>
      <c r="I31" s="55">
        <v>26</v>
      </c>
      <c r="J31" s="33">
        <f t="shared" si="21"/>
        <v>5</v>
      </c>
      <c r="K31" s="33">
        <f t="shared" si="22"/>
        <v>1.910565629709926</v>
      </c>
      <c r="L31" s="33">
        <f t="shared" si="23"/>
        <v>45</v>
      </c>
      <c r="M31" s="33">
        <f t="shared" si="24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9"/>
        <v>-22.100000000000023</v>
      </c>
      <c r="R31" s="33">
        <f t="shared" si="25"/>
        <v>165.10000000000002</v>
      </c>
      <c r="S31" s="33">
        <f t="shared" si="26"/>
        <v>75.946000000000012</v>
      </c>
      <c r="T31" s="33">
        <f t="shared" si="2"/>
        <v>21.142979995226831</v>
      </c>
      <c r="U31" s="33">
        <f t="shared" si="20"/>
        <v>54.138800801294295</v>
      </c>
      <c r="V31" s="33">
        <f t="shared" si="3"/>
        <v>8.6666666666666661</v>
      </c>
      <c r="W31" s="33">
        <v>0</v>
      </c>
      <c r="X31" s="33">
        <f t="shared" si="4"/>
        <v>399.38335420754362</v>
      </c>
      <c r="Y31" s="38">
        <f t="shared" si="5"/>
        <v>222.34745240246551</v>
      </c>
      <c r="AA31" s="71">
        <v>26</v>
      </c>
      <c r="AB31" s="33">
        <f t="shared" si="6"/>
        <v>17</v>
      </c>
      <c r="AC31" s="305">
        <f t="shared" si="7"/>
        <v>0</v>
      </c>
      <c r="AD31" s="100">
        <f t="shared" si="8"/>
        <v>0.56000000000000005</v>
      </c>
      <c r="AE31" s="100">
        <f t="shared" si="9"/>
        <v>0.44</v>
      </c>
      <c r="AF31" s="194">
        <f t="shared" si="36"/>
        <v>0</v>
      </c>
      <c r="AG31" s="194">
        <f t="shared" si="37"/>
        <v>14.037135543067597</v>
      </c>
      <c r="AH31" s="194">
        <f t="shared" si="38"/>
        <v>6.7497705619043771</v>
      </c>
      <c r="AI31" s="199">
        <f t="shared" si="39"/>
        <v>20.786906104971976</v>
      </c>
      <c r="AK31" s="71">
        <v>26</v>
      </c>
      <c r="AL31" s="33">
        <f t="shared" si="10"/>
        <v>17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4">
        <f t="shared" si="15"/>
        <v>0</v>
      </c>
      <c r="AR31" s="194">
        <f t="shared" si="16"/>
        <v>9.5200000000000014</v>
      </c>
      <c r="AS31" s="194">
        <f t="shared" si="17"/>
        <v>7.48</v>
      </c>
      <c r="AT31" s="194">
        <f t="shared" si="18"/>
        <v>0</v>
      </c>
      <c r="AU31" s="33"/>
      <c r="AV31" s="33"/>
      <c r="AW31" s="33"/>
      <c r="AX31" s="33"/>
      <c r="AY31" s="164">
        <f t="shared" si="27"/>
        <v>14.19</v>
      </c>
    </row>
    <row r="32" spans="2:51">
      <c r="B32" s="40">
        <f t="shared" si="34"/>
        <v>35</v>
      </c>
      <c r="C32" s="41">
        <f>B32+1</f>
        <v>36</v>
      </c>
      <c r="D32" s="137">
        <v>192</v>
      </c>
      <c r="E32" s="141">
        <f t="shared" si="32"/>
        <v>1.3</v>
      </c>
      <c r="F32" s="42">
        <f t="shared" si="33"/>
        <v>249.60000000000002</v>
      </c>
      <c r="G32" s="51">
        <f t="shared" si="35"/>
        <v>-53.300000000000011</v>
      </c>
      <c r="I32" s="55">
        <v>27</v>
      </c>
      <c r="J32" s="33">
        <f t="shared" si="21"/>
        <v>5</v>
      </c>
      <c r="K32" s="33">
        <f t="shared" si="22"/>
        <v>1.910565629709926</v>
      </c>
      <c r="L32" s="33">
        <f t="shared" si="23"/>
        <v>45</v>
      </c>
      <c r="M32" s="33">
        <f t="shared" si="24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9"/>
        <v>21.775000000000006</v>
      </c>
      <c r="R32" s="33">
        <f t="shared" si="25"/>
        <v>186.87500000000003</v>
      </c>
      <c r="S32" s="33">
        <f t="shared" si="26"/>
        <v>85.96250000000002</v>
      </c>
      <c r="T32" s="33">
        <f t="shared" si="2"/>
        <v>23.588891362707084</v>
      </c>
      <c r="U32" s="33">
        <f t="shared" si="20"/>
        <v>54.413957147062774</v>
      </c>
      <c r="V32" s="33">
        <f t="shared" si="3"/>
        <v>9</v>
      </c>
      <c r="W32" s="33">
        <v>0</v>
      </c>
      <c r="X32" s="33">
        <f t="shared" si="4"/>
        <v>423.31984949594511</v>
      </c>
      <c r="Y32" s="38">
        <f t="shared" si="5"/>
        <v>246.283947690867</v>
      </c>
      <c r="AA32" s="71">
        <v>27</v>
      </c>
      <c r="AB32" s="33">
        <f t="shared" si="6"/>
        <v>0</v>
      </c>
      <c r="AC32" s="305">
        <f t="shared" si="7"/>
        <v>0</v>
      </c>
      <c r="AD32" s="100">
        <f t="shared" si="8"/>
        <v>0</v>
      </c>
      <c r="AE32" s="100">
        <f t="shared" si="9"/>
        <v>0</v>
      </c>
      <c r="AF32" s="194">
        <f t="shared" si="36"/>
        <v>0</v>
      </c>
      <c r="AG32" s="194">
        <f t="shared" si="37"/>
        <v>13.653289333461538</v>
      </c>
      <c r="AH32" s="194">
        <f t="shared" si="38"/>
        <v>4.7728085357759182</v>
      </c>
      <c r="AI32" s="199">
        <f t="shared" si="39"/>
        <v>18.426097869237456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4">
        <f t="shared" si="15"/>
        <v>0</v>
      </c>
      <c r="AR32" s="194">
        <f t="shared" si="16"/>
        <v>0</v>
      </c>
      <c r="AS32" s="194">
        <f t="shared" si="17"/>
        <v>0</v>
      </c>
      <c r="AT32" s="194">
        <f t="shared" si="18"/>
        <v>0</v>
      </c>
      <c r="AU32" s="33"/>
      <c r="AV32" s="33"/>
      <c r="AW32" s="33"/>
      <c r="AX32" s="33"/>
      <c r="AY32" s="164">
        <f t="shared" si="27"/>
        <v>14.19</v>
      </c>
    </row>
    <row r="33" spans="2:51">
      <c r="B33" s="40">
        <f t="shared" si="34"/>
        <v>36</v>
      </c>
      <c r="C33" s="152">
        <f>C31+5</f>
        <v>40</v>
      </c>
      <c r="D33" s="137">
        <f>D34+41</f>
        <v>264</v>
      </c>
      <c r="E33" s="141">
        <f t="shared" si="32"/>
        <v>1.3</v>
      </c>
      <c r="F33" s="42">
        <f t="shared" si="33"/>
        <v>343.2</v>
      </c>
      <c r="G33" s="51">
        <f t="shared" si="35"/>
        <v>23.399999999999991</v>
      </c>
      <c r="I33" s="55">
        <v>28</v>
      </c>
      <c r="J33" s="33">
        <f t="shared" si="21"/>
        <v>5</v>
      </c>
      <c r="K33" s="33">
        <f t="shared" si="22"/>
        <v>1.910565629709926</v>
      </c>
      <c r="L33" s="33">
        <f t="shared" si="23"/>
        <v>45</v>
      </c>
      <c r="M33" s="33">
        <f t="shared" si="24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9"/>
        <v>21.775000000000006</v>
      </c>
      <c r="R33" s="33">
        <f t="shared" si="25"/>
        <v>208.65000000000003</v>
      </c>
      <c r="S33" s="33">
        <f t="shared" si="26"/>
        <v>95.979000000000013</v>
      </c>
      <c r="T33" s="33">
        <f t="shared" si="2"/>
        <v>26.001773658700102</v>
      </c>
      <c r="U33" s="33">
        <f t="shared" si="20"/>
        <v>54.684340145389598</v>
      </c>
      <c r="V33" s="33">
        <f t="shared" si="3"/>
        <v>9.3333333333333339</v>
      </c>
      <c r="W33" s="33">
        <v>0</v>
      </c>
      <c r="X33" s="33">
        <f t="shared" si="4"/>
        <v>447.1813168775534</v>
      </c>
      <c r="Y33" s="38">
        <f t="shared" si="5"/>
        <v>270.14541507247532</v>
      </c>
      <c r="AA33" s="71">
        <v>28</v>
      </c>
      <c r="AB33" s="33">
        <f t="shared" si="6"/>
        <v>0</v>
      </c>
      <c r="AC33" s="305">
        <f t="shared" si="7"/>
        <v>0</v>
      </c>
      <c r="AD33" s="100">
        <f t="shared" si="8"/>
        <v>0</v>
      </c>
      <c r="AE33" s="100">
        <f t="shared" si="9"/>
        <v>0</v>
      </c>
      <c r="AF33" s="194">
        <f t="shared" si="36"/>
        <v>0</v>
      </c>
      <c r="AG33" s="194">
        <f t="shared" si="37"/>
        <v>13.279939418642751</v>
      </c>
      <c r="AH33" s="194">
        <f t="shared" si="38"/>
        <v>3.3748852809521885</v>
      </c>
      <c r="AI33" s="199">
        <f t="shared" si="39"/>
        <v>16.65482469959494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4">
        <f t="shared" si="15"/>
        <v>0</v>
      </c>
      <c r="AR33" s="194">
        <f t="shared" si="16"/>
        <v>0</v>
      </c>
      <c r="AS33" s="194">
        <f t="shared" si="17"/>
        <v>0</v>
      </c>
      <c r="AT33" s="194">
        <f t="shared" si="18"/>
        <v>0</v>
      </c>
      <c r="AU33" s="33"/>
      <c r="AV33" s="33"/>
      <c r="AW33" s="33"/>
      <c r="AX33" s="33"/>
      <c r="AY33" s="164">
        <f t="shared" si="27"/>
        <v>14.19</v>
      </c>
    </row>
    <row r="34" spans="2:51" ht="16" thickBot="1">
      <c r="B34" s="40">
        <f t="shared" si="34"/>
        <v>40</v>
      </c>
      <c r="C34" s="41">
        <f>B34+1</f>
        <v>41</v>
      </c>
      <c r="D34" s="137">
        <v>223</v>
      </c>
      <c r="E34" s="141">
        <f t="shared" si="32"/>
        <v>1.3</v>
      </c>
      <c r="F34" s="42">
        <f t="shared" si="33"/>
        <v>289.90000000000003</v>
      </c>
      <c r="G34" s="51">
        <f t="shared" si="35"/>
        <v>-53.299999999999955</v>
      </c>
      <c r="I34" s="55">
        <v>29</v>
      </c>
      <c r="J34" s="33">
        <f t="shared" si="21"/>
        <v>5</v>
      </c>
      <c r="K34" s="33">
        <f t="shared" si="22"/>
        <v>1.910565629709926</v>
      </c>
      <c r="L34" s="33">
        <f t="shared" si="23"/>
        <v>45</v>
      </c>
      <c r="M34" s="33">
        <f t="shared" si="24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9"/>
        <v>21.775000000000006</v>
      </c>
      <c r="R34" s="33">
        <f t="shared" si="25"/>
        <v>230.42500000000004</v>
      </c>
      <c r="S34" s="33">
        <f t="shared" si="26"/>
        <v>105.99550000000002</v>
      </c>
      <c r="T34" s="33">
        <f t="shared" si="2"/>
        <v>28.385466506134591</v>
      </c>
      <c r="U34" s="33">
        <f t="shared" si="20"/>
        <v>54.950032603181285</v>
      </c>
      <c r="V34" s="33">
        <f t="shared" si="3"/>
        <v>9.6666666666666661</v>
      </c>
      <c r="W34" s="33">
        <v>0</v>
      </c>
      <c r="X34" s="33">
        <f t="shared" si="4"/>
        <v>470.9747473209602</v>
      </c>
      <c r="Y34" s="38">
        <f t="shared" si="5"/>
        <v>293.93884551588212</v>
      </c>
      <c r="AA34" s="71">
        <v>29</v>
      </c>
      <c r="AB34" s="143">
        <f t="shared" si="6"/>
        <v>0</v>
      </c>
      <c r="AC34" s="305">
        <f t="shared" si="7"/>
        <v>0</v>
      </c>
      <c r="AD34" s="101">
        <f t="shared" si="8"/>
        <v>0</v>
      </c>
      <c r="AE34" s="101">
        <f t="shared" si="9"/>
        <v>0</v>
      </c>
      <c r="AF34" s="196">
        <f t="shared" si="36"/>
        <v>0</v>
      </c>
      <c r="AG34" s="196">
        <f t="shared" si="37"/>
        <v>12.916798776878302</v>
      </c>
      <c r="AH34" s="194">
        <f t="shared" si="38"/>
        <v>2.3864042678879591</v>
      </c>
      <c r="AI34" s="199">
        <f t="shared" si="39"/>
        <v>15.303203044766262</v>
      </c>
      <c r="AK34" s="71">
        <v>29</v>
      </c>
      <c r="AL34" s="143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4">
        <f t="shared" si="15"/>
        <v>0</v>
      </c>
      <c r="AR34" s="194">
        <f t="shared" si="16"/>
        <v>0</v>
      </c>
      <c r="AS34" s="194">
        <f t="shared" si="17"/>
        <v>0</v>
      </c>
      <c r="AT34" s="194">
        <f t="shared" si="18"/>
        <v>0</v>
      </c>
      <c r="AU34" s="33"/>
      <c r="AV34" s="33"/>
      <c r="AW34" s="33"/>
      <c r="AX34" s="33"/>
      <c r="AY34" s="164">
        <f t="shared" si="27"/>
        <v>14.19</v>
      </c>
    </row>
    <row r="35" spans="2:51" ht="16" thickBot="1">
      <c r="B35" s="40">
        <f t="shared" si="34"/>
        <v>41</v>
      </c>
      <c r="C35" s="152">
        <f>C33+5</f>
        <v>45</v>
      </c>
      <c r="D35" s="137">
        <f>D36+53</f>
        <v>318</v>
      </c>
      <c r="E35" s="141">
        <f t="shared" si="32"/>
        <v>1.3</v>
      </c>
      <c r="F35" s="42">
        <f t="shared" si="33"/>
        <v>413.40000000000003</v>
      </c>
      <c r="G35" s="51">
        <f t="shared" si="35"/>
        <v>30.875</v>
      </c>
      <c r="I35" s="87">
        <v>30</v>
      </c>
      <c r="J35" s="159">
        <f>IF($I35&lt;=$F$10,IF(AND(D8=B101,F12=C194),($F$11*$F$13+J34*50%),$F$11*$F$13+J34),)</f>
        <v>5</v>
      </c>
      <c r="K35" s="53">
        <f t="shared" si="22"/>
        <v>1.910565629709926</v>
      </c>
      <c r="L35" s="53">
        <f t="shared" si="23"/>
        <v>45</v>
      </c>
      <c r="M35" s="53">
        <f t="shared" si="24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9"/>
        <v>21.775000000000006</v>
      </c>
      <c r="R35" s="54">
        <f t="shared" si="25"/>
        <v>252.20000000000005</v>
      </c>
      <c r="S35" s="53">
        <f t="shared" si="26"/>
        <v>116.01200000000003</v>
      </c>
      <c r="T35" s="54">
        <f t="shared" si="2"/>
        <v>30.743042086238173</v>
      </c>
      <c r="U35" s="54">
        <f t="shared" si="20"/>
        <v>55.211115890829625</v>
      </c>
      <c r="V35" s="53">
        <f t="shared" si="3"/>
        <v>10</v>
      </c>
      <c r="W35" s="54">
        <v>0</v>
      </c>
      <c r="X35" s="69">
        <f t="shared" si="4"/>
        <v>494.70578989990685</v>
      </c>
      <c r="Y35" s="65">
        <f t="shared" si="5"/>
        <v>317.66988809482871</v>
      </c>
      <c r="AA35" s="73">
        <v>30</v>
      </c>
      <c r="AB35" s="143">
        <f t="shared" si="6"/>
        <v>0</v>
      </c>
      <c r="AC35" s="305">
        <f t="shared" si="7"/>
        <v>0</v>
      </c>
      <c r="AD35" s="101">
        <f t="shared" si="8"/>
        <v>0</v>
      </c>
      <c r="AE35" s="101">
        <f t="shared" si="9"/>
        <v>0</v>
      </c>
      <c r="AF35" s="200">
        <f t="shared" si="36"/>
        <v>0</v>
      </c>
      <c r="AG35" s="195">
        <f t="shared" si="37"/>
        <v>12.563588235059639</v>
      </c>
      <c r="AH35" s="201">
        <f t="shared" si="38"/>
        <v>1.6874426404760943</v>
      </c>
      <c r="AI35" s="202">
        <f t="shared" si="39"/>
        <v>14.251030875535733</v>
      </c>
      <c r="AK35" s="73">
        <v>30</v>
      </c>
      <c r="AL35" s="143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5">
        <f t="shared" si="15"/>
        <v>0</v>
      </c>
      <c r="AR35" s="195">
        <f t="shared" si="16"/>
        <v>0</v>
      </c>
      <c r="AS35" s="195">
        <f t="shared" si="17"/>
        <v>0</v>
      </c>
      <c r="AT35" s="195">
        <f t="shared" si="18"/>
        <v>0</v>
      </c>
      <c r="AU35" s="53"/>
      <c r="AV35" s="53"/>
      <c r="AW35" s="53"/>
      <c r="AX35" s="53"/>
      <c r="AY35" s="165">
        <f t="shared" si="27"/>
        <v>14.19</v>
      </c>
    </row>
    <row r="36" spans="2:51">
      <c r="B36" s="40">
        <f t="shared" si="34"/>
        <v>45</v>
      </c>
      <c r="C36" s="41">
        <f>B36+1</f>
        <v>46</v>
      </c>
      <c r="D36" s="137">
        <v>265</v>
      </c>
      <c r="E36" s="141">
        <f t="shared" si="32"/>
        <v>1.3</v>
      </c>
      <c r="F36" s="42">
        <f t="shared" si="33"/>
        <v>344.5</v>
      </c>
      <c r="G36" s="51">
        <f t="shared" si="35"/>
        <v>-68.900000000000034</v>
      </c>
      <c r="I36" s="55">
        <v>31</v>
      </c>
      <c r="J36" s="33">
        <f t="shared" si="21"/>
        <v>5</v>
      </c>
      <c r="K36" s="33">
        <f t="shared" si="22"/>
        <v>1.910565629709926</v>
      </c>
      <c r="L36" s="33">
        <f t="shared" si="23"/>
        <v>45</v>
      </c>
      <c r="M36" s="33">
        <f t="shared" si="24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9"/>
        <v>-44.200000000000017</v>
      </c>
      <c r="R36" s="33">
        <f t="shared" si="25"/>
        <v>208.00000000000003</v>
      </c>
      <c r="S36" s="33">
        <f t="shared" si="26"/>
        <v>95.680000000000021</v>
      </c>
      <c r="T36" s="33">
        <f t="shared" si="2"/>
        <v>25.930186937101965</v>
      </c>
      <c r="U36" s="33">
        <f t="shared" si="20"/>
        <v>55.467669967132053</v>
      </c>
      <c r="V36" s="33">
        <f t="shared" si="3"/>
        <v>10</v>
      </c>
      <c r="W36" s="33">
        <v>0</v>
      </c>
      <c r="X36" s="33">
        <f t="shared" si="4"/>
        <v>451.85253212827018</v>
      </c>
      <c r="Y36" s="38">
        <f t="shared" si="5"/>
        <v>274.81663032319204</v>
      </c>
      <c r="AA36" s="71">
        <v>31</v>
      </c>
      <c r="AB36" s="33">
        <f t="shared" si="6"/>
        <v>34</v>
      </c>
      <c r="AC36" s="305">
        <f t="shared" si="7"/>
        <v>0.1</v>
      </c>
      <c r="AD36" s="100">
        <f t="shared" si="8"/>
        <v>0.44800000000000006</v>
      </c>
      <c r="AE36" s="100">
        <f t="shared" si="9"/>
        <v>0.35200000000000004</v>
      </c>
      <c r="AF36" s="194">
        <f t="shared" si="36"/>
        <v>2.6971708507996728</v>
      </c>
      <c r="AG36" s="194">
        <f t="shared" si="37"/>
        <v>24.255785009410744</v>
      </c>
      <c r="AH36" s="194">
        <f t="shared" si="38"/>
        <v>9.2964347037484316</v>
      </c>
      <c r="AI36" s="199">
        <f t="shared" si="39"/>
        <v>36.249390563958848</v>
      </c>
      <c r="AK36" s="71">
        <v>31</v>
      </c>
      <c r="AL36" s="33">
        <f t="shared" si="10"/>
        <v>34</v>
      </c>
      <c r="AM36" s="33">
        <f t="shared" si="11"/>
        <v>0.2</v>
      </c>
      <c r="AN36" s="33">
        <f t="shared" si="12"/>
        <v>0.44800000000000006</v>
      </c>
      <c r="AO36" s="33">
        <f t="shared" si="13"/>
        <v>0.35200000000000004</v>
      </c>
      <c r="AP36" s="33">
        <f t="shared" si="14"/>
        <v>0</v>
      </c>
      <c r="AQ36" s="194">
        <f t="shared" ref="AQ36:AQ99" si="40">IF($AK36&lt;=$F$18,$AL36*AM36,)</f>
        <v>6.8000000000000007</v>
      </c>
      <c r="AR36" s="194">
        <f t="shared" ref="AR36:AR99" si="41">IF($AK36&lt;=$F$18,$AL36*AN36,)</f>
        <v>15.232000000000003</v>
      </c>
      <c r="AS36" s="194">
        <f t="shared" ref="AS36:AS99" si="42">IF($AK36&lt;=$F$18,$AL36*AO36,)</f>
        <v>11.968000000000002</v>
      </c>
      <c r="AT36" s="194">
        <f t="shared" ref="AT36:AT99" si="43">IF($AK36&lt;=$F$18,$AL36*AP36,)</f>
        <v>0</v>
      </c>
      <c r="AU36" s="33"/>
      <c r="AV36" s="33"/>
      <c r="AW36" s="33"/>
      <c r="AX36" s="33"/>
      <c r="AY36" s="76"/>
    </row>
    <row r="37" spans="2:51">
      <c r="B37" s="40">
        <f t="shared" si="34"/>
        <v>46</v>
      </c>
      <c r="C37" s="152">
        <f>C35+5</f>
        <v>50</v>
      </c>
      <c r="D37" s="137">
        <f>D38+53</f>
        <v>352</v>
      </c>
      <c r="E37" s="141">
        <f t="shared" si="32"/>
        <v>1.3</v>
      </c>
      <c r="F37" s="42">
        <f t="shared" si="33"/>
        <v>457.6</v>
      </c>
      <c r="G37" s="51">
        <f t="shared" si="35"/>
        <v>28.275000000000006</v>
      </c>
      <c r="I37" s="55">
        <v>32</v>
      </c>
      <c r="J37" s="33">
        <f t="shared" si="21"/>
        <v>5</v>
      </c>
      <c r="K37" s="33">
        <f t="shared" si="22"/>
        <v>1.910565629709926</v>
      </c>
      <c r="L37" s="33">
        <f t="shared" si="23"/>
        <v>45</v>
      </c>
      <c r="M37" s="33">
        <f t="shared" si="24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9"/>
        <v>23.725000000000009</v>
      </c>
      <c r="R37" s="33">
        <f t="shared" si="25"/>
        <v>231.72500000000002</v>
      </c>
      <c r="S37" s="33">
        <f t="shared" si="26"/>
        <v>106.59350000000002</v>
      </c>
      <c r="T37" s="33">
        <f t="shared" si="2"/>
        <v>28.526923092717553</v>
      </c>
      <c r="U37" s="33">
        <f t="shared" si="20"/>
        <v>55.719773403779627</v>
      </c>
      <c r="V37" s="33">
        <f t="shared" si="3"/>
        <v>10</v>
      </c>
      <c r="W37" s="33">
        <v>0</v>
      </c>
      <c r="X37" s="33">
        <f t="shared" si="4"/>
        <v>476.30723936700838</v>
      </c>
      <c r="Y37" s="38">
        <f t="shared" si="5"/>
        <v>299.2713375619303</v>
      </c>
      <c r="AA37" s="71">
        <v>32</v>
      </c>
      <c r="AB37" s="33">
        <f t="shared" si="6"/>
        <v>0</v>
      </c>
      <c r="AC37" s="305">
        <f t="shared" si="7"/>
        <v>0</v>
      </c>
      <c r="AD37" s="100">
        <f t="shared" si="8"/>
        <v>0</v>
      </c>
      <c r="AE37" s="100">
        <f t="shared" si="9"/>
        <v>0</v>
      </c>
      <c r="AF37" s="194">
        <f t="shared" si="36"/>
        <v>2.6442809755272689</v>
      </c>
      <c r="AG37" s="194">
        <f t="shared" si="37"/>
        <v>23.59250929277211</v>
      </c>
      <c r="AH37" s="194">
        <f t="shared" si="38"/>
        <v>6.5735720198784691</v>
      </c>
      <c r="AI37" s="199">
        <f t="shared" si="39"/>
        <v>32.810362288177849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4">
        <f t="shared" si="40"/>
        <v>0</v>
      </c>
      <c r="AR37" s="194">
        <f t="shared" si="41"/>
        <v>0</v>
      </c>
      <c r="AS37" s="194">
        <f t="shared" si="42"/>
        <v>0</v>
      </c>
      <c r="AT37" s="194">
        <f t="shared" si="43"/>
        <v>0</v>
      </c>
      <c r="AU37" s="33"/>
      <c r="AV37" s="33"/>
      <c r="AW37" s="33"/>
      <c r="AX37" s="33"/>
      <c r="AY37" s="76"/>
    </row>
    <row r="38" spans="2:51">
      <c r="B38" s="40">
        <f t="shared" si="34"/>
        <v>50</v>
      </c>
      <c r="C38" s="41">
        <f>B38+1</f>
        <v>51</v>
      </c>
      <c r="D38" s="137">
        <v>299</v>
      </c>
      <c r="E38" s="141">
        <f t="shared" si="32"/>
        <v>1.3</v>
      </c>
      <c r="F38" s="42">
        <f t="shared" si="33"/>
        <v>388.7</v>
      </c>
      <c r="G38" s="51">
        <f t="shared" si="35"/>
        <v>-68.900000000000034</v>
      </c>
      <c r="I38" s="55">
        <v>33</v>
      </c>
      <c r="J38" s="33">
        <f t="shared" si="21"/>
        <v>5</v>
      </c>
      <c r="K38" s="33">
        <f t="shared" si="22"/>
        <v>1.910565629709926</v>
      </c>
      <c r="L38" s="33">
        <f t="shared" si="23"/>
        <v>45</v>
      </c>
      <c r="M38" s="33">
        <f t="shared" si="24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9"/>
        <v>23.725000000000009</v>
      </c>
      <c r="R38" s="33">
        <f t="shared" si="25"/>
        <v>255.45000000000005</v>
      </c>
      <c r="S38" s="33">
        <f t="shared" si="26"/>
        <v>117.50700000000002</v>
      </c>
      <c r="T38" s="33">
        <f t="shared" si="2"/>
        <v>31.09283945239704</v>
      </c>
      <c r="U38" s="33">
        <f t="shared" si="20"/>
        <v>55.96750340942021</v>
      </c>
      <c r="V38" s="33">
        <f t="shared" si="3"/>
        <v>10</v>
      </c>
      <c r="W38" s="33">
        <v>0</v>
      </c>
      <c r="X38" s="33">
        <f t="shared" si="4"/>
        <v>500.69223288079894</v>
      </c>
      <c r="Y38" s="38">
        <f t="shared" si="5"/>
        <v>323.6563310757208</v>
      </c>
      <c r="AA38" s="71">
        <v>33</v>
      </c>
      <c r="AB38" s="33">
        <f t="shared" si="6"/>
        <v>0</v>
      </c>
      <c r="AC38" s="305">
        <f t="shared" si="7"/>
        <v>0</v>
      </c>
      <c r="AD38" s="100">
        <f t="shared" si="8"/>
        <v>0</v>
      </c>
      <c r="AE38" s="100">
        <f t="shared" si="9"/>
        <v>0</v>
      </c>
      <c r="AF38" s="194">
        <f t="shared" si="36"/>
        <v>2.5924282384493185</v>
      </c>
      <c r="AG38" s="194">
        <f t="shared" si="37"/>
        <v>22.947370885485114</v>
      </c>
      <c r="AH38" s="194">
        <f t="shared" si="38"/>
        <v>4.6482173518742158</v>
      </c>
      <c r="AI38" s="199">
        <f t="shared" si="39"/>
        <v>30.188016475808649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4">
        <f t="shared" si="40"/>
        <v>0</v>
      </c>
      <c r="AR38" s="194">
        <f t="shared" si="41"/>
        <v>0</v>
      </c>
      <c r="AS38" s="194">
        <f t="shared" si="42"/>
        <v>0</v>
      </c>
      <c r="AT38" s="194">
        <f t="shared" si="43"/>
        <v>0</v>
      </c>
      <c r="AU38" s="33"/>
      <c r="AV38" s="33"/>
      <c r="AW38" s="33"/>
      <c r="AX38" s="33"/>
      <c r="AY38" s="76"/>
    </row>
    <row r="39" spans="2:51">
      <c r="B39" s="40">
        <f t="shared" si="34"/>
        <v>51</v>
      </c>
      <c r="C39" s="152">
        <f>C37+8</f>
        <v>58</v>
      </c>
      <c r="D39" s="137">
        <f>D40+78</f>
        <v>440</v>
      </c>
      <c r="E39" s="141">
        <f t="shared" si="32"/>
        <v>1.3</v>
      </c>
      <c r="F39" s="42">
        <f t="shared" si="33"/>
        <v>572</v>
      </c>
      <c r="G39" s="51">
        <f t="shared" si="35"/>
        <v>26.185714285714287</v>
      </c>
      <c r="I39" s="55">
        <v>34</v>
      </c>
      <c r="J39" s="33">
        <f t="shared" si="21"/>
        <v>5</v>
      </c>
      <c r="K39" s="33">
        <f t="shared" si="22"/>
        <v>1.910565629709926</v>
      </c>
      <c r="L39" s="33">
        <f t="shared" si="23"/>
        <v>45</v>
      </c>
      <c r="M39" s="33">
        <f t="shared" si="24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9"/>
        <v>23.725000000000009</v>
      </c>
      <c r="R39" s="33">
        <f t="shared" si="25"/>
        <v>279.17500000000007</v>
      </c>
      <c r="S39" s="33">
        <f t="shared" si="26"/>
        <v>128.42050000000003</v>
      </c>
      <c r="T39" s="33">
        <f t="shared" si="2"/>
        <v>33.631123997607411</v>
      </c>
      <c r="U39" s="33">
        <f t="shared" si="20"/>
        <v>56.210935853304257</v>
      </c>
      <c r="V39" s="33">
        <f t="shared" si="3"/>
        <v>10</v>
      </c>
      <c r="W39" s="33">
        <v>0</v>
      </c>
      <c r="X39" s="33">
        <f t="shared" si="4"/>
        <v>525.01334325794858</v>
      </c>
      <c r="Y39" s="38">
        <f t="shared" si="5"/>
        <v>347.97744145287049</v>
      </c>
      <c r="AA39" s="71">
        <v>34</v>
      </c>
      <c r="AB39" s="33">
        <f t="shared" si="6"/>
        <v>0</v>
      </c>
      <c r="AC39" s="305">
        <f t="shared" si="7"/>
        <v>0</v>
      </c>
      <c r="AD39" s="100">
        <f t="shared" si="8"/>
        <v>0</v>
      </c>
      <c r="AE39" s="100">
        <f t="shared" si="9"/>
        <v>0</v>
      </c>
      <c r="AF39" s="194">
        <f t="shared" si="36"/>
        <v>2.5415923019184197</v>
      </c>
      <c r="AG39" s="194">
        <f t="shared" si="37"/>
        <v>22.319873821871735</v>
      </c>
      <c r="AH39" s="194">
        <f t="shared" si="38"/>
        <v>3.2867860099392345</v>
      </c>
      <c r="AI39" s="199">
        <f t="shared" si="39"/>
        <v>28.14825213372939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4">
        <f t="shared" si="40"/>
        <v>0</v>
      </c>
      <c r="AR39" s="194">
        <f t="shared" si="41"/>
        <v>0</v>
      </c>
      <c r="AS39" s="194">
        <f t="shared" si="42"/>
        <v>0</v>
      </c>
      <c r="AT39" s="194">
        <f t="shared" si="43"/>
        <v>0</v>
      </c>
      <c r="AU39" s="33"/>
      <c r="AV39" s="33"/>
      <c r="AW39" s="33"/>
      <c r="AX39" s="33"/>
      <c r="AY39" s="76"/>
    </row>
    <row r="40" spans="2:51">
      <c r="B40" s="40">
        <f t="shared" si="34"/>
        <v>58</v>
      </c>
      <c r="C40" s="41">
        <f>B40+1</f>
        <v>59</v>
      </c>
      <c r="D40" s="137">
        <v>362</v>
      </c>
      <c r="E40" s="141">
        <f t="shared" si="32"/>
        <v>1.3</v>
      </c>
      <c r="F40" s="42">
        <f t="shared" si="33"/>
        <v>470.6</v>
      </c>
      <c r="G40" s="51">
        <f t="shared" si="35"/>
        <v>-101.39999999999998</v>
      </c>
      <c r="I40" s="55">
        <v>35</v>
      </c>
      <c r="J40" s="33">
        <f t="shared" si="21"/>
        <v>5</v>
      </c>
      <c r="K40" s="33">
        <f t="shared" si="22"/>
        <v>1.910565629709926</v>
      </c>
      <c r="L40" s="33">
        <f t="shared" si="23"/>
        <v>45</v>
      </c>
      <c r="M40" s="33">
        <f t="shared" si="24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9"/>
        <v>23.725000000000009</v>
      </c>
      <c r="R40" s="33">
        <f t="shared" si="25"/>
        <v>302.90000000000009</v>
      </c>
      <c r="S40" s="33">
        <f t="shared" si="26"/>
        <v>139.33400000000006</v>
      </c>
      <c r="T40" s="33">
        <f t="shared" si="2"/>
        <v>36.144391930570897</v>
      </c>
      <c r="U40" s="33">
        <f t="shared" si="20"/>
        <v>56.450145288520318</v>
      </c>
      <c r="V40" s="33">
        <f t="shared" si="3"/>
        <v>10</v>
      </c>
      <c r="W40" s="33">
        <v>0</v>
      </c>
      <c r="X40" s="33">
        <f t="shared" si="4"/>
        <v>549.27539867031896</v>
      </c>
      <c r="Y40" s="38">
        <f t="shared" si="5"/>
        <v>372.23949686524088</v>
      </c>
      <c r="AA40" s="71">
        <v>35</v>
      </c>
      <c r="AB40" s="33">
        <f t="shared" si="6"/>
        <v>0</v>
      </c>
      <c r="AC40" s="305">
        <f t="shared" si="7"/>
        <v>0</v>
      </c>
      <c r="AD40" s="100">
        <f t="shared" si="8"/>
        <v>0</v>
      </c>
      <c r="AE40" s="100">
        <f t="shared" si="9"/>
        <v>0</v>
      </c>
      <c r="AF40" s="194">
        <f t="shared" si="36"/>
        <v>2.4917532270960323</v>
      </c>
      <c r="AG40" s="194">
        <f t="shared" si="37"/>
        <v>21.709535698461501</v>
      </c>
      <c r="AH40" s="194">
        <f t="shared" si="38"/>
        <v>2.3241086759371079</v>
      </c>
      <c r="AI40" s="199">
        <f t="shared" si="39"/>
        <v>26.525397601494642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4">
        <f t="shared" si="40"/>
        <v>0</v>
      </c>
      <c r="AR40" s="194">
        <f t="shared" si="41"/>
        <v>0</v>
      </c>
      <c r="AS40" s="194">
        <f t="shared" si="42"/>
        <v>0</v>
      </c>
      <c r="AT40" s="194">
        <f t="shared" si="43"/>
        <v>0</v>
      </c>
      <c r="AU40" s="33"/>
      <c r="AV40" s="33"/>
      <c r="AW40" s="33"/>
      <c r="AX40" s="33"/>
      <c r="AY40" s="76"/>
    </row>
    <row r="41" spans="2:51">
      <c r="B41" s="40">
        <f t="shared" si="34"/>
        <v>59</v>
      </c>
      <c r="C41" s="152">
        <f>C39+8</f>
        <v>66</v>
      </c>
      <c r="D41" s="137">
        <f>D42+65</f>
        <v>495</v>
      </c>
      <c r="E41" s="141">
        <f t="shared" si="32"/>
        <v>1.3</v>
      </c>
      <c r="F41" s="42">
        <f t="shared" si="33"/>
        <v>643.5</v>
      </c>
      <c r="G41" s="51">
        <f t="shared" si="35"/>
        <v>24.699999999999996</v>
      </c>
      <c r="I41" s="55">
        <v>36</v>
      </c>
      <c r="J41" s="33">
        <f t="shared" si="21"/>
        <v>5</v>
      </c>
      <c r="K41" s="33">
        <f t="shared" si="22"/>
        <v>1.910565629709926</v>
      </c>
      <c r="L41" s="33">
        <f t="shared" si="23"/>
        <v>45</v>
      </c>
      <c r="M41" s="33">
        <f t="shared" si="24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9"/>
        <v>-53.300000000000011</v>
      </c>
      <c r="R41" s="33">
        <f t="shared" si="25"/>
        <v>249.60000000000008</v>
      </c>
      <c r="S41" s="33">
        <f t="shared" si="26"/>
        <v>114.81600000000005</v>
      </c>
      <c r="T41" s="33">
        <f t="shared" si="2"/>
        <v>30.462826482209856</v>
      </c>
      <c r="U41" s="33">
        <f t="shared" si="20"/>
        <v>56.68520497482757</v>
      </c>
      <c r="V41" s="33">
        <f t="shared" si="3"/>
        <v>10</v>
      </c>
      <c r="W41" s="33">
        <v>0</v>
      </c>
      <c r="X41" s="33">
        <f t="shared" si="4"/>
        <v>497.53970769755</v>
      </c>
      <c r="Y41" s="38">
        <f t="shared" si="5"/>
        <v>320.50380589247186</v>
      </c>
      <c r="AA41" s="71">
        <v>36</v>
      </c>
      <c r="AB41" s="33">
        <f t="shared" si="6"/>
        <v>41</v>
      </c>
      <c r="AC41" s="305">
        <f t="shared" si="7"/>
        <v>0.15</v>
      </c>
      <c r="AD41" s="100">
        <f t="shared" si="8"/>
        <v>0.39200000000000002</v>
      </c>
      <c r="AE41" s="100">
        <f t="shared" si="9"/>
        <v>0.308</v>
      </c>
      <c r="AF41" s="194">
        <f t="shared" si="36"/>
        <v>7.3215975639020758</v>
      </c>
      <c r="AG41" s="194">
        <f t="shared" si="37"/>
        <v>33.815372203056768</v>
      </c>
      <c r="AH41" s="194">
        <f t="shared" si="38"/>
        <v>10.193495017961814</v>
      </c>
      <c r="AI41" s="199">
        <f t="shared" si="39"/>
        <v>51.330464784920657</v>
      </c>
      <c r="AK41" s="71">
        <v>36</v>
      </c>
      <c r="AL41" s="33">
        <f t="shared" si="10"/>
        <v>41</v>
      </c>
      <c r="AM41" s="33">
        <f t="shared" si="11"/>
        <v>0.3</v>
      </c>
      <c r="AN41" s="33">
        <f t="shared" si="12"/>
        <v>0.39200000000000002</v>
      </c>
      <c r="AO41" s="33">
        <f t="shared" si="13"/>
        <v>0.308</v>
      </c>
      <c r="AP41" s="33">
        <f t="shared" si="14"/>
        <v>0</v>
      </c>
      <c r="AQ41" s="194">
        <f t="shared" si="40"/>
        <v>12.299999999999999</v>
      </c>
      <c r="AR41" s="194">
        <f t="shared" si="41"/>
        <v>16.071999999999999</v>
      </c>
      <c r="AS41" s="194">
        <f t="shared" si="42"/>
        <v>12.628</v>
      </c>
      <c r="AT41" s="194">
        <f t="shared" si="43"/>
        <v>0</v>
      </c>
      <c r="AU41" s="33"/>
      <c r="AV41" s="33"/>
      <c r="AW41" s="33"/>
      <c r="AX41" s="33"/>
      <c r="AY41" s="76"/>
    </row>
    <row r="42" spans="2:51">
      <c r="B42" s="40">
        <f t="shared" si="34"/>
        <v>66</v>
      </c>
      <c r="C42" s="41">
        <f>B42+1</f>
        <v>67</v>
      </c>
      <c r="D42" s="137">
        <v>430</v>
      </c>
      <c r="E42" s="141">
        <f t="shared" si="32"/>
        <v>1.3</v>
      </c>
      <c r="F42" s="42">
        <f t="shared" si="33"/>
        <v>559</v>
      </c>
      <c r="G42" s="51">
        <f t="shared" si="35"/>
        <v>-84.5</v>
      </c>
      <c r="I42" s="55">
        <v>37</v>
      </c>
      <c r="J42" s="33">
        <f t="shared" si="21"/>
        <v>5</v>
      </c>
      <c r="K42" s="33">
        <f t="shared" si="22"/>
        <v>1.910565629709926</v>
      </c>
      <c r="L42" s="33">
        <f t="shared" si="23"/>
        <v>45</v>
      </c>
      <c r="M42" s="33">
        <f t="shared" si="24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9"/>
        <v>23.399999999999991</v>
      </c>
      <c r="R42" s="33">
        <f t="shared" si="25"/>
        <v>273.00000000000006</v>
      </c>
      <c r="S42" s="33">
        <f t="shared" si="26"/>
        <v>125.58000000000003</v>
      </c>
      <c r="T42" s="33">
        <f t="shared" si="2"/>
        <v>32.972980053624248</v>
      </c>
      <c r="U42" s="33">
        <f t="shared" si="20"/>
        <v>56.916186901092118</v>
      </c>
      <c r="V42" s="33">
        <f t="shared" si="3"/>
        <v>10</v>
      </c>
      <c r="W42" s="33">
        <v>0</v>
      </c>
      <c r="X42" s="33">
        <f t="shared" si="4"/>
        <v>521.50579223073339</v>
      </c>
      <c r="Y42" s="38">
        <f t="shared" si="5"/>
        <v>344.46989042565531</v>
      </c>
      <c r="AA42" s="71">
        <v>37</v>
      </c>
      <c r="AB42" s="33">
        <f t="shared" si="6"/>
        <v>0</v>
      </c>
      <c r="AC42" s="305">
        <f t="shared" si="7"/>
        <v>0</v>
      </c>
      <c r="AD42" s="100">
        <f t="shared" si="8"/>
        <v>0</v>
      </c>
      <c r="AE42" s="100">
        <f t="shared" si="9"/>
        <v>0</v>
      </c>
      <c r="AF42" s="194">
        <f t="shared" si="36"/>
        <v>7.1780255014075154</v>
      </c>
      <c r="AG42" s="194">
        <f t="shared" si="37"/>
        <v>32.890689071891039</v>
      </c>
      <c r="AH42" s="194">
        <f t="shared" si="38"/>
        <v>7.207889451192087</v>
      </c>
      <c r="AI42" s="199">
        <f t="shared" si="39"/>
        <v>47.276604024490645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4">
        <f t="shared" si="40"/>
        <v>0</v>
      </c>
      <c r="AR42" s="194">
        <f t="shared" si="41"/>
        <v>0</v>
      </c>
      <c r="AS42" s="194">
        <f t="shared" si="42"/>
        <v>0</v>
      </c>
      <c r="AT42" s="194">
        <f t="shared" si="43"/>
        <v>0</v>
      </c>
      <c r="AU42" s="33"/>
      <c r="AV42" s="33"/>
      <c r="AW42" s="33"/>
      <c r="AX42" s="33"/>
      <c r="AY42" s="76"/>
    </row>
    <row r="43" spans="2:51">
      <c r="B43" s="40">
        <f t="shared" si="34"/>
        <v>67</v>
      </c>
      <c r="C43" s="152">
        <f>C41+8</f>
        <v>74</v>
      </c>
      <c r="D43" s="137">
        <f>D44+37</f>
        <v>533</v>
      </c>
      <c r="E43" s="141">
        <f t="shared" si="32"/>
        <v>1.3</v>
      </c>
      <c r="F43" s="42">
        <f t="shared" si="33"/>
        <v>692.9</v>
      </c>
      <c r="G43" s="51">
        <f t="shared" si="35"/>
        <v>19.128571428571426</v>
      </c>
      <c r="I43" s="55">
        <v>38</v>
      </c>
      <c r="J43" s="33">
        <f t="shared" si="21"/>
        <v>5</v>
      </c>
      <c r="K43" s="33">
        <f t="shared" si="22"/>
        <v>1.910565629709926</v>
      </c>
      <c r="L43" s="33">
        <f t="shared" si="23"/>
        <v>45</v>
      </c>
      <c r="M43" s="33">
        <f t="shared" si="24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9"/>
        <v>23.399999999999991</v>
      </c>
      <c r="R43" s="33">
        <f t="shared" si="25"/>
        <v>296.40000000000003</v>
      </c>
      <c r="S43" s="33">
        <f t="shared" si="26"/>
        <v>136.34400000000002</v>
      </c>
      <c r="T43" s="33">
        <f t="shared" si="2"/>
        <v>35.458181756405082</v>
      </c>
      <c r="U43" s="33">
        <f t="shared" si="20"/>
        <v>57.143161807334202</v>
      </c>
      <c r="V43" s="33">
        <f t="shared" si="3"/>
        <v>10</v>
      </c>
      <c r="W43" s="33">
        <v>0</v>
      </c>
      <c r="X43" s="33">
        <f t="shared" si="4"/>
        <v>545.41372651929771</v>
      </c>
      <c r="Y43" s="38">
        <f t="shared" si="5"/>
        <v>368.37782471421963</v>
      </c>
      <c r="AA43" s="71">
        <v>38</v>
      </c>
      <c r="AB43" s="33">
        <f t="shared" si="6"/>
        <v>0</v>
      </c>
      <c r="AC43" s="305">
        <f t="shared" si="7"/>
        <v>0</v>
      </c>
      <c r="AD43" s="100">
        <f t="shared" si="8"/>
        <v>0</v>
      </c>
      <c r="AE43" s="100">
        <f t="shared" si="9"/>
        <v>0</v>
      </c>
      <c r="AF43" s="194">
        <f t="shared" si="36"/>
        <v>7.037268799488162</v>
      </c>
      <c r="AG43" s="194">
        <f t="shared" si="37"/>
        <v>31.991291449574014</v>
      </c>
      <c r="AH43" s="194">
        <f t="shared" si="38"/>
        <v>5.0967475089809078</v>
      </c>
      <c r="AI43" s="199">
        <f t="shared" si="39"/>
        <v>44.125307758043078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4">
        <f t="shared" si="40"/>
        <v>0</v>
      </c>
      <c r="AR43" s="194">
        <f t="shared" si="41"/>
        <v>0</v>
      </c>
      <c r="AS43" s="194">
        <f t="shared" si="42"/>
        <v>0</v>
      </c>
      <c r="AT43" s="194">
        <f t="shared" si="43"/>
        <v>0</v>
      </c>
      <c r="AU43" s="33"/>
      <c r="AV43" s="33"/>
      <c r="AW43" s="33"/>
      <c r="AX43" s="33"/>
      <c r="AY43" s="76"/>
    </row>
    <row r="44" spans="2:51">
      <c r="B44" s="40">
        <f t="shared" si="34"/>
        <v>74</v>
      </c>
      <c r="C44" s="41">
        <f>B44+1</f>
        <v>75</v>
      </c>
      <c r="D44" s="137">
        <v>496</v>
      </c>
      <c r="E44" s="141">
        <f t="shared" si="32"/>
        <v>1.3</v>
      </c>
      <c r="F44" s="42">
        <f t="shared" si="33"/>
        <v>644.80000000000007</v>
      </c>
      <c r="G44" s="51">
        <f t="shared" si="35"/>
        <v>-48.099999999999909</v>
      </c>
      <c r="I44" s="55">
        <v>39</v>
      </c>
      <c r="J44" s="33">
        <f t="shared" si="21"/>
        <v>5</v>
      </c>
      <c r="K44" s="33">
        <f t="shared" si="22"/>
        <v>1.910565629709926</v>
      </c>
      <c r="L44" s="33">
        <f t="shared" si="23"/>
        <v>45</v>
      </c>
      <c r="M44" s="33">
        <f t="shared" si="24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9"/>
        <v>23.399999999999991</v>
      </c>
      <c r="R44" s="33">
        <f t="shared" si="25"/>
        <v>319.8</v>
      </c>
      <c r="S44" s="33">
        <f t="shared" si="26"/>
        <v>147.108</v>
      </c>
      <c r="T44" s="33">
        <f t="shared" si="2"/>
        <v>37.920625436598897</v>
      </c>
      <c r="U44" s="33">
        <f t="shared" si="20"/>
        <v>57.366199206392857</v>
      </c>
      <c r="V44" s="33">
        <f t="shared" si="3"/>
        <v>10</v>
      </c>
      <c r="W44" s="33">
        <v>0</v>
      </c>
      <c r="X44" s="33">
        <f t="shared" si="4"/>
        <v>569.26758639218349</v>
      </c>
      <c r="Y44" s="38">
        <f t="shared" si="5"/>
        <v>392.23168458710541</v>
      </c>
      <c r="AA44" s="71">
        <v>39</v>
      </c>
      <c r="AB44" s="33">
        <f t="shared" si="6"/>
        <v>0</v>
      </c>
      <c r="AC44" s="305">
        <f t="shared" si="7"/>
        <v>0</v>
      </c>
      <c r="AD44" s="100">
        <f t="shared" si="8"/>
        <v>0</v>
      </c>
      <c r="AE44" s="100">
        <f t="shared" si="9"/>
        <v>0</v>
      </c>
      <c r="AF44" s="194">
        <f t="shared" si="36"/>
        <v>6.8992722506403368</v>
      </c>
      <c r="AG44" s="194">
        <f t="shared" si="37"/>
        <v>31.116487902536512</v>
      </c>
      <c r="AH44" s="194">
        <f t="shared" si="38"/>
        <v>3.603944725596044</v>
      </c>
      <c r="AI44" s="199">
        <f t="shared" si="39"/>
        <v>41.619704878772893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4">
        <f t="shared" si="40"/>
        <v>0</v>
      </c>
      <c r="AR44" s="194">
        <f t="shared" si="41"/>
        <v>0</v>
      </c>
      <c r="AS44" s="194">
        <f t="shared" si="42"/>
        <v>0</v>
      </c>
      <c r="AT44" s="194">
        <f t="shared" si="43"/>
        <v>0</v>
      </c>
      <c r="AU44" s="33"/>
      <c r="AV44" s="33"/>
      <c r="AW44" s="33"/>
      <c r="AX44" s="33"/>
      <c r="AY44" s="76"/>
    </row>
    <row r="45" spans="2:51">
      <c r="B45" s="40">
        <f t="shared" si="34"/>
        <v>75</v>
      </c>
      <c r="C45" s="152">
        <f>C43+8</f>
        <v>82</v>
      </c>
      <c r="D45" s="137">
        <f>D46+26</f>
        <v>567</v>
      </c>
      <c r="E45" s="141">
        <f t="shared" si="32"/>
        <v>1.3</v>
      </c>
      <c r="F45" s="42">
        <f t="shared" si="33"/>
        <v>737.1</v>
      </c>
      <c r="G45" s="51">
        <f t="shared" si="35"/>
        <v>13.18571428571428</v>
      </c>
      <c r="I45" s="55">
        <v>40</v>
      </c>
      <c r="J45" s="33">
        <f t="shared" si="21"/>
        <v>5</v>
      </c>
      <c r="K45" s="33">
        <f t="shared" si="22"/>
        <v>1.910565629709926</v>
      </c>
      <c r="L45" s="33">
        <f t="shared" si="23"/>
        <v>45</v>
      </c>
      <c r="M45" s="33">
        <f t="shared" si="24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9"/>
        <v>23.399999999999991</v>
      </c>
      <c r="R45" s="33">
        <f t="shared" si="25"/>
        <v>343.2</v>
      </c>
      <c r="S45" s="33">
        <f t="shared" si="26"/>
        <v>157.87200000000001</v>
      </c>
      <c r="T45" s="33">
        <f t="shared" si="2"/>
        <v>40.362165684361159</v>
      </c>
      <c r="U45" s="33">
        <f t="shared" si="20"/>
        <v>57.585367405214768</v>
      </c>
      <c r="V45" s="33">
        <f t="shared" si="3"/>
        <v>10</v>
      </c>
      <c r="W45" s="33">
        <v>0</v>
      </c>
      <c r="X45" s="33">
        <f t="shared" si="4"/>
        <v>593.07085238604986</v>
      </c>
      <c r="Y45" s="38">
        <f t="shared" si="5"/>
        <v>416.03495058097178</v>
      </c>
      <c r="AA45" s="71">
        <v>40</v>
      </c>
      <c r="AB45" s="33">
        <f t="shared" si="6"/>
        <v>0</v>
      </c>
      <c r="AC45" s="305">
        <f t="shared" si="7"/>
        <v>0</v>
      </c>
      <c r="AD45" s="100">
        <f t="shared" si="8"/>
        <v>0</v>
      </c>
      <c r="AE45" s="100">
        <f t="shared" si="9"/>
        <v>0</v>
      </c>
      <c r="AF45" s="194">
        <f t="shared" si="36"/>
        <v>6.7639817299458329</v>
      </c>
      <c r="AG45" s="194">
        <f t="shared" si="37"/>
        <v>30.26560590449667</v>
      </c>
      <c r="AH45" s="194">
        <f t="shared" si="38"/>
        <v>2.5483737544904539</v>
      </c>
      <c r="AI45" s="199">
        <f t="shared" si="39"/>
        <v>39.577961388932962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4">
        <f t="shared" si="40"/>
        <v>0</v>
      </c>
      <c r="AR45" s="194">
        <f t="shared" si="41"/>
        <v>0</v>
      </c>
      <c r="AS45" s="194">
        <f t="shared" si="42"/>
        <v>0</v>
      </c>
      <c r="AT45" s="194">
        <f t="shared" si="43"/>
        <v>0</v>
      </c>
      <c r="AU45" s="33"/>
      <c r="AV45" s="33"/>
      <c r="AW45" s="33"/>
      <c r="AX45" s="33"/>
      <c r="AY45" s="76"/>
    </row>
    <row r="46" spans="2:51">
      <c r="B46" s="40">
        <f t="shared" si="34"/>
        <v>82</v>
      </c>
      <c r="C46" s="41">
        <f>B46+8</f>
        <v>90</v>
      </c>
      <c r="D46" s="137">
        <v>541</v>
      </c>
      <c r="E46" s="141">
        <f t="shared" si="32"/>
        <v>1.3</v>
      </c>
      <c r="F46" s="42">
        <f t="shared" si="33"/>
        <v>703.30000000000007</v>
      </c>
      <c r="G46" s="51">
        <f t="shared" si="35"/>
        <v>-4.2249999999999943</v>
      </c>
      <c r="I46" s="55">
        <v>41</v>
      </c>
      <c r="J46" s="33">
        <f t="shared" si="21"/>
        <v>5</v>
      </c>
      <c r="K46" s="33">
        <f t="shared" si="22"/>
        <v>1.910565629709926</v>
      </c>
      <c r="L46" s="33">
        <f t="shared" si="23"/>
        <v>45</v>
      </c>
      <c r="M46" s="33">
        <f t="shared" si="24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9"/>
        <v>-53.299999999999955</v>
      </c>
      <c r="R46" s="33">
        <f t="shared" si="25"/>
        <v>289.90000000000003</v>
      </c>
      <c r="S46" s="33">
        <f t="shared" si="26"/>
        <v>133.35400000000001</v>
      </c>
      <c r="T46" s="33">
        <f t="shared" si="2"/>
        <v>34.770217553947298</v>
      </c>
      <c r="U46" s="33">
        <f t="shared" si="20"/>
        <v>57.800733525773801</v>
      </c>
      <c r="V46" s="33">
        <f t="shared" si="3"/>
        <v>10</v>
      </c>
      <c r="W46" s="33">
        <v>0</v>
      </c>
      <c r="X46" s="33">
        <f t="shared" si="4"/>
        <v>541.41903516762886</v>
      </c>
      <c r="Y46" s="38">
        <f t="shared" si="5"/>
        <v>364.38313336255078</v>
      </c>
      <c r="AA46" s="71">
        <v>41</v>
      </c>
      <c r="AB46" s="33">
        <f t="shared" si="6"/>
        <v>41</v>
      </c>
      <c r="AC46" s="305">
        <f t="shared" si="7"/>
        <v>0.2</v>
      </c>
      <c r="AD46" s="100">
        <f t="shared" si="8"/>
        <v>0.33600000000000002</v>
      </c>
      <c r="AE46" s="100">
        <f t="shared" si="9"/>
        <v>0.26400000000000001</v>
      </c>
      <c r="AF46" s="194">
        <f t="shared" si="36"/>
        <v>13.136285637536407</v>
      </c>
      <c r="AG46" s="194">
        <f t="shared" si="37"/>
        <v>40.323264090803079</v>
      </c>
      <c r="AH46" s="194">
        <f t="shared" si="38"/>
        <v>9.1306312310770501</v>
      </c>
      <c r="AI46" s="199">
        <f t="shared" si="39"/>
        <v>62.590180959416529</v>
      </c>
      <c r="AK46" s="71">
        <v>41</v>
      </c>
      <c r="AL46" s="33">
        <f t="shared" si="10"/>
        <v>41</v>
      </c>
      <c r="AM46" s="33">
        <f t="shared" si="11"/>
        <v>0.4</v>
      </c>
      <c r="AN46" s="33">
        <f t="shared" si="12"/>
        <v>0.33600000000000002</v>
      </c>
      <c r="AO46" s="33">
        <f t="shared" si="13"/>
        <v>0.26400000000000001</v>
      </c>
      <c r="AP46" s="33">
        <f t="shared" si="14"/>
        <v>0</v>
      </c>
      <c r="AQ46" s="194">
        <f t="shared" si="40"/>
        <v>16.400000000000002</v>
      </c>
      <c r="AR46" s="194">
        <f t="shared" si="41"/>
        <v>13.776000000000002</v>
      </c>
      <c r="AS46" s="194">
        <f t="shared" si="42"/>
        <v>10.824</v>
      </c>
      <c r="AT46" s="194">
        <f t="shared" si="43"/>
        <v>0</v>
      </c>
      <c r="AU46" s="33"/>
      <c r="AV46" s="33"/>
      <c r="AW46" s="33"/>
      <c r="AX46" s="33"/>
      <c r="AY46" s="76"/>
    </row>
    <row r="47" spans="2:51">
      <c r="B47" s="40"/>
      <c r="C47" s="152"/>
      <c r="D47" s="137"/>
      <c r="E47" s="141"/>
      <c r="F47" s="42"/>
      <c r="G47" s="51"/>
      <c r="I47" s="55">
        <v>42</v>
      </c>
      <c r="J47" s="33">
        <f t="shared" si="21"/>
        <v>5</v>
      </c>
      <c r="K47" s="33">
        <f t="shared" si="22"/>
        <v>1.910565629709926</v>
      </c>
      <c r="L47" s="33">
        <f t="shared" si="23"/>
        <v>45</v>
      </c>
      <c r="M47" s="33">
        <f t="shared" si="24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9"/>
        <v>30.875</v>
      </c>
      <c r="R47" s="33">
        <f t="shared" si="25"/>
        <v>320.77500000000003</v>
      </c>
      <c r="S47" s="33">
        <f t="shared" si="26"/>
        <v>147.55650000000003</v>
      </c>
      <c r="T47" s="33">
        <f t="shared" si="2"/>
        <v>38.022761796295221</v>
      </c>
      <c r="U47" s="33">
        <f t="shared" si="20"/>
        <v>58.012363525627649</v>
      </c>
      <c r="V47" s="33">
        <f t="shared" si="3"/>
        <v>10</v>
      </c>
      <c r="W47" s="33">
        <v>0</v>
      </c>
      <c r="X47" s="33">
        <f t="shared" si="4"/>
        <v>572.59588055584891</v>
      </c>
      <c r="Y47" s="38">
        <f t="shared" si="5"/>
        <v>395.55997875077082</v>
      </c>
      <c r="AA47" s="71">
        <v>42</v>
      </c>
      <c r="AB47" s="33">
        <f t="shared" si="6"/>
        <v>0</v>
      </c>
      <c r="AC47" s="305">
        <f t="shared" si="7"/>
        <v>0</v>
      </c>
      <c r="AD47" s="100">
        <f t="shared" si="8"/>
        <v>0</v>
      </c>
      <c r="AE47" s="100">
        <f t="shared" si="9"/>
        <v>0</v>
      </c>
      <c r="AF47" s="194">
        <f t="shared" si="36"/>
        <v>12.878691088527404</v>
      </c>
      <c r="AG47" s="194">
        <f t="shared" si="37"/>
        <v>39.220622313731774</v>
      </c>
      <c r="AH47" s="194">
        <f t="shared" si="38"/>
        <v>6.4563312600082572</v>
      </c>
      <c r="AI47" s="199">
        <f t="shared" si="39"/>
        <v>58.555644662267433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4">
        <f t="shared" si="40"/>
        <v>0</v>
      </c>
      <c r="AR47" s="194">
        <f t="shared" si="41"/>
        <v>0</v>
      </c>
      <c r="AS47" s="194">
        <f t="shared" si="42"/>
        <v>0</v>
      </c>
      <c r="AT47" s="194">
        <f t="shared" si="43"/>
        <v>0</v>
      </c>
      <c r="AU47" s="33"/>
      <c r="AV47" s="33"/>
      <c r="AW47" s="33"/>
      <c r="AX47" s="33"/>
      <c r="AY47" s="76"/>
    </row>
    <row r="48" spans="2:51">
      <c r="B48" s="40"/>
      <c r="C48" s="152"/>
      <c r="D48" s="137"/>
      <c r="E48" s="141"/>
      <c r="F48" s="42"/>
      <c r="G48" s="51"/>
      <c r="I48" s="55">
        <v>43</v>
      </c>
      <c r="J48" s="33">
        <f t="shared" si="21"/>
        <v>5</v>
      </c>
      <c r="K48" s="33">
        <f t="shared" si="22"/>
        <v>1.910565629709926</v>
      </c>
      <c r="L48" s="33">
        <f t="shared" si="23"/>
        <v>45</v>
      </c>
      <c r="M48" s="33">
        <f t="shared" si="24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9"/>
        <v>30.875</v>
      </c>
      <c r="R48" s="33">
        <f t="shared" si="25"/>
        <v>351.65000000000003</v>
      </c>
      <c r="S48" s="33">
        <f t="shared" si="26"/>
        <v>161.75900000000001</v>
      </c>
      <c r="T48" s="33">
        <f t="shared" si="2"/>
        <v>41.239009945858278</v>
      </c>
      <c r="U48" s="33">
        <f t="shared" si="20"/>
        <v>58.220322218117829</v>
      </c>
      <c r="V48" s="33">
        <f t="shared" si="3"/>
        <v>10</v>
      </c>
      <c r="W48" s="33">
        <v>0</v>
      </c>
      <c r="X48" s="33">
        <f t="shared" si="4"/>
        <v>603.69604878880193</v>
      </c>
      <c r="Y48" s="38">
        <f t="shared" si="5"/>
        <v>426.66014698372385</v>
      </c>
      <c r="AA48" s="71">
        <v>43</v>
      </c>
      <c r="AB48" s="33">
        <f t="shared" si="6"/>
        <v>0</v>
      </c>
      <c r="AC48" s="305">
        <f t="shared" si="7"/>
        <v>0</v>
      </c>
      <c r="AD48" s="100">
        <f t="shared" si="8"/>
        <v>0</v>
      </c>
      <c r="AE48" s="100">
        <f t="shared" si="9"/>
        <v>0</v>
      </c>
      <c r="AF48" s="194">
        <f t="shared" si="36"/>
        <v>12.626147811507307</v>
      </c>
      <c r="AG48" s="194">
        <f t="shared" si="37"/>
        <v>38.148132334039893</v>
      </c>
      <c r="AH48" s="194">
        <f t="shared" si="38"/>
        <v>4.5653156155385259</v>
      </c>
      <c r="AI48" s="199">
        <f t="shared" si="39"/>
        <v>55.339595761085725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4">
        <f t="shared" si="40"/>
        <v>0</v>
      </c>
      <c r="AR48" s="194">
        <f t="shared" si="41"/>
        <v>0</v>
      </c>
      <c r="AS48" s="194">
        <f t="shared" si="42"/>
        <v>0</v>
      </c>
      <c r="AT48" s="194">
        <f t="shared" si="43"/>
        <v>0</v>
      </c>
      <c r="AU48" s="33"/>
      <c r="AV48" s="33"/>
      <c r="AW48" s="33"/>
      <c r="AX48" s="33"/>
      <c r="AY48" s="76"/>
    </row>
    <row r="49" spans="2:51">
      <c r="B49" s="40"/>
      <c r="C49" s="152"/>
      <c r="D49" s="137"/>
      <c r="E49" s="141"/>
      <c r="F49" s="42"/>
      <c r="G49" s="51"/>
      <c r="I49" s="55">
        <v>44</v>
      </c>
      <c r="J49" s="33">
        <f t="shared" si="21"/>
        <v>5</v>
      </c>
      <c r="K49" s="33">
        <f t="shared" si="22"/>
        <v>1.910565629709926</v>
      </c>
      <c r="L49" s="33">
        <f t="shared" si="23"/>
        <v>45</v>
      </c>
      <c r="M49" s="33">
        <f t="shared" si="24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9"/>
        <v>30.875</v>
      </c>
      <c r="R49" s="33">
        <f t="shared" si="25"/>
        <v>382.52500000000003</v>
      </c>
      <c r="S49" s="33">
        <f t="shared" si="26"/>
        <v>175.96150000000003</v>
      </c>
      <c r="T49" s="33">
        <f t="shared" si="2"/>
        <v>44.42251117380227</v>
      </c>
      <c r="U49" s="33">
        <f t="shared" si="20"/>
        <v>58.424673292219296</v>
      </c>
      <c r="V49" s="33">
        <f t="shared" si="3"/>
        <v>10</v>
      </c>
      <c r="W49" s="33">
        <v>0</v>
      </c>
      <c r="X49" s="33">
        <f t="shared" si="4"/>
        <v>634.72595486584305</v>
      </c>
      <c r="Y49" s="38">
        <f t="shared" si="5"/>
        <v>457.69005306076497</v>
      </c>
      <c r="AA49" s="71">
        <v>44</v>
      </c>
      <c r="AB49" s="33">
        <f t="shared" si="6"/>
        <v>0</v>
      </c>
      <c r="AC49" s="305">
        <f t="shared" si="7"/>
        <v>0</v>
      </c>
      <c r="AD49" s="100">
        <f t="shared" si="8"/>
        <v>0</v>
      </c>
      <c r="AE49" s="100">
        <f t="shared" si="9"/>
        <v>0</v>
      </c>
      <c r="AF49" s="194">
        <f t="shared" si="36"/>
        <v>12.378556754113385</v>
      </c>
      <c r="AG49" s="194">
        <f t="shared" si="37"/>
        <v>37.104969649242484</v>
      </c>
      <c r="AH49" s="194">
        <f t="shared" si="38"/>
        <v>3.228165630004129</v>
      </c>
      <c r="AI49" s="199">
        <f t="shared" si="39"/>
        <v>52.711692033359995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4">
        <f t="shared" si="40"/>
        <v>0</v>
      </c>
      <c r="AR49" s="194">
        <f t="shared" si="41"/>
        <v>0</v>
      </c>
      <c r="AS49" s="194">
        <f t="shared" si="42"/>
        <v>0</v>
      </c>
      <c r="AT49" s="194">
        <f t="shared" si="43"/>
        <v>0</v>
      </c>
      <c r="AU49" s="33"/>
      <c r="AV49" s="33"/>
      <c r="AW49" s="33"/>
      <c r="AX49" s="33"/>
      <c r="AY49" s="76"/>
    </row>
    <row r="50" spans="2:51">
      <c r="B50" s="40"/>
      <c r="C50" s="152"/>
      <c r="D50" s="137"/>
      <c r="E50" s="141"/>
      <c r="F50" s="42"/>
      <c r="G50" s="51"/>
      <c r="I50" s="55">
        <v>45</v>
      </c>
      <c r="J50" s="33">
        <f t="shared" si="21"/>
        <v>5</v>
      </c>
      <c r="K50" s="33">
        <f t="shared" si="22"/>
        <v>1.910565629709926</v>
      </c>
      <c r="L50" s="33">
        <f t="shared" si="23"/>
        <v>45</v>
      </c>
      <c r="M50" s="33">
        <f t="shared" si="24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9"/>
        <v>30.875</v>
      </c>
      <c r="R50" s="33">
        <f t="shared" si="25"/>
        <v>413.40000000000003</v>
      </c>
      <c r="S50" s="33">
        <f t="shared" si="26"/>
        <v>190.16400000000002</v>
      </c>
      <c r="T50" s="33">
        <f t="shared" si="2"/>
        <v>47.576209101852911</v>
      </c>
      <c r="U50" s="33">
        <f t="shared" si="20"/>
        <v>58.625479332045664</v>
      </c>
      <c r="V50" s="33">
        <f t="shared" si="3"/>
        <v>10</v>
      </c>
      <c r="W50" s="33">
        <v>0</v>
      </c>
      <c r="X50" s="33">
        <f t="shared" si="4"/>
        <v>665.6909550698947</v>
      </c>
      <c r="Y50" s="38">
        <f t="shared" si="5"/>
        <v>488.65505326481662</v>
      </c>
      <c r="AA50" s="71">
        <v>45</v>
      </c>
      <c r="AB50" s="33">
        <f t="shared" si="6"/>
        <v>0</v>
      </c>
      <c r="AC50" s="305">
        <f t="shared" si="7"/>
        <v>0</v>
      </c>
      <c r="AD50" s="100">
        <f t="shared" si="8"/>
        <v>0</v>
      </c>
      <c r="AE50" s="100">
        <f t="shared" si="9"/>
        <v>0</v>
      </c>
      <c r="AF50" s="194">
        <f t="shared" si="36"/>
        <v>12.135820806339323</v>
      </c>
      <c r="AG50" s="194">
        <f t="shared" si="37"/>
        <v>36.090332302918398</v>
      </c>
      <c r="AH50" s="194">
        <f t="shared" si="38"/>
        <v>2.282657807769263</v>
      </c>
      <c r="AI50" s="199">
        <f t="shared" si="39"/>
        <v>50.508810917026985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4">
        <f t="shared" si="40"/>
        <v>0</v>
      </c>
      <c r="AR50" s="194">
        <f t="shared" si="41"/>
        <v>0</v>
      </c>
      <c r="AS50" s="194">
        <f t="shared" si="42"/>
        <v>0</v>
      </c>
      <c r="AT50" s="194">
        <f t="shared" si="43"/>
        <v>0</v>
      </c>
      <c r="AU50" s="33"/>
      <c r="AV50" s="33"/>
      <c r="AW50" s="33"/>
      <c r="AX50" s="33"/>
      <c r="AY50" s="76"/>
    </row>
    <row r="51" spans="2:51">
      <c r="B51" s="40"/>
      <c r="C51" s="152"/>
      <c r="D51" s="137"/>
      <c r="E51" s="141"/>
      <c r="F51" s="42"/>
      <c r="G51" s="51"/>
      <c r="I51" s="55">
        <v>46</v>
      </c>
      <c r="J51" s="33">
        <f t="shared" si="21"/>
        <v>5</v>
      </c>
      <c r="K51" s="33">
        <f t="shared" si="22"/>
        <v>1.910565629709926</v>
      </c>
      <c r="L51" s="33">
        <f t="shared" si="23"/>
        <v>45</v>
      </c>
      <c r="M51" s="33">
        <f t="shared" si="24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9"/>
        <v>-68.900000000000034</v>
      </c>
      <c r="R51" s="33">
        <f t="shared" si="25"/>
        <v>344.5</v>
      </c>
      <c r="S51" s="33">
        <f t="shared" si="26"/>
        <v>158.47</v>
      </c>
      <c r="T51" s="33">
        <f t="shared" si="2"/>
        <v>40.497226890293632</v>
      </c>
      <c r="U51" s="33">
        <f t="shared" si="20"/>
        <v>58.82280183601609</v>
      </c>
      <c r="V51" s="33">
        <f t="shared" si="3"/>
        <v>10</v>
      </c>
      <c r="W51" s="33">
        <v>0</v>
      </c>
      <c r="X51" s="33">
        <f t="shared" si="4"/>
        <v>598.88486023265375</v>
      </c>
      <c r="Y51" s="38">
        <f t="shared" si="5"/>
        <v>421.84895842757567</v>
      </c>
      <c r="AA51" s="71">
        <v>46</v>
      </c>
      <c r="AB51" s="33">
        <f t="shared" si="6"/>
        <v>53</v>
      </c>
      <c r="AC51" s="305">
        <f t="shared" si="7"/>
        <v>0.25</v>
      </c>
      <c r="AD51" s="100">
        <f t="shared" si="8"/>
        <v>0.28000000000000003</v>
      </c>
      <c r="AE51" s="100">
        <f t="shared" si="9"/>
        <v>0.22</v>
      </c>
      <c r="AF51" s="194">
        <f t="shared" si="36"/>
        <v>22.408878225121999</v>
      </c>
      <c r="AG51" s="194">
        <f t="shared" si="37"/>
        <v>46.829445489371707</v>
      </c>
      <c r="AH51" s="194">
        <f t="shared" si="38"/>
        <v>9.5087763113189006</v>
      </c>
      <c r="AI51" s="199">
        <f t="shared" si="39"/>
        <v>78.7471000258126</v>
      </c>
      <c r="AK51" s="71">
        <v>46</v>
      </c>
      <c r="AL51" s="33">
        <f t="shared" si="10"/>
        <v>53</v>
      </c>
      <c r="AM51" s="33">
        <f t="shared" si="11"/>
        <v>0.5</v>
      </c>
      <c r="AN51" s="33">
        <f t="shared" si="12"/>
        <v>0.28000000000000003</v>
      </c>
      <c r="AO51" s="33">
        <f t="shared" si="13"/>
        <v>0.22</v>
      </c>
      <c r="AP51" s="33">
        <f t="shared" si="14"/>
        <v>0</v>
      </c>
      <c r="AQ51" s="194">
        <f t="shared" si="40"/>
        <v>26.5</v>
      </c>
      <c r="AR51" s="194">
        <f t="shared" si="41"/>
        <v>14.840000000000002</v>
      </c>
      <c r="AS51" s="194">
        <f t="shared" si="42"/>
        <v>11.66</v>
      </c>
      <c r="AT51" s="194">
        <f t="shared" si="43"/>
        <v>0</v>
      </c>
      <c r="AU51" s="33"/>
      <c r="AV51" s="33"/>
      <c r="AW51" s="33"/>
      <c r="AX51" s="33"/>
      <c r="AY51" s="76"/>
    </row>
    <row r="52" spans="2:51">
      <c r="B52" s="40"/>
      <c r="C52" s="152"/>
      <c r="D52" s="137"/>
      <c r="E52" s="141"/>
      <c r="F52" s="42"/>
      <c r="G52" s="51"/>
      <c r="I52" s="55">
        <v>47</v>
      </c>
      <c r="J52" s="33">
        <f t="shared" si="21"/>
        <v>5</v>
      </c>
      <c r="K52" s="33">
        <f t="shared" si="22"/>
        <v>1.910565629709926</v>
      </c>
      <c r="L52" s="33">
        <f t="shared" si="23"/>
        <v>45</v>
      </c>
      <c r="M52" s="33">
        <f t="shared" si="24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9"/>
        <v>28.275000000000006</v>
      </c>
      <c r="R52" s="33">
        <f t="shared" si="25"/>
        <v>372.77499999999998</v>
      </c>
      <c r="S52" s="33">
        <f t="shared" si="26"/>
        <v>171.47649999999999</v>
      </c>
      <c r="T52" s="33">
        <f t="shared" si="2"/>
        <v>43.420543849413228</v>
      </c>
      <c r="U52" s="33">
        <f t="shared" si="20"/>
        <v>59.016701235689659</v>
      </c>
      <c r="V52" s="33">
        <f t="shared" si="3"/>
        <v>10</v>
      </c>
      <c r="W52" s="33">
        <v>0</v>
      </c>
      <c r="X52" s="33">
        <f t="shared" si="4"/>
        <v>627.34025590192346</v>
      </c>
      <c r="Y52" s="38">
        <f t="shared" si="5"/>
        <v>450.30435409684537</v>
      </c>
      <c r="AA52" s="71">
        <v>47</v>
      </c>
      <c r="AB52" s="33">
        <f t="shared" si="6"/>
        <v>0</v>
      </c>
      <c r="AC52" s="305">
        <f t="shared" si="7"/>
        <v>0</v>
      </c>
      <c r="AD52" s="100">
        <f t="shared" si="8"/>
        <v>0</v>
      </c>
      <c r="AE52" s="100">
        <f t="shared" si="9"/>
        <v>0</v>
      </c>
      <c r="AF52" s="194">
        <f t="shared" si="36"/>
        <v>21.969453791193466</v>
      </c>
      <c r="AG52" s="194">
        <f t="shared" si="37"/>
        <v>45.548891839811333</v>
      </c>
      <c r="AH52" s="194">
        <f t="shared" si="38"/>
        <v>6.723720210519601</v>
      </c>
      <c r="AI52" s="199">
        <f t="shared" si="39"/>
        <v>74.242065841524393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4">
        <f t="shared" si="40"/>
        <v>0</v>
      </c>
      <c r="AR52" s="194">
        <f t="shared" si="41"/>
        <v>0</v>
      </c>
      <c r="AS52" s="194">
        <f t="shared" si="42"/>
        <v>0</v>
      </c>
      <c r="AT52" s="194">
        <f t="shared" si="43"/>
        <v>0</v>
      </c>
      <c r="AU52" s="33"/>
      <c r="AV52" s="33"/>
      <c r="AW52" s="33"/>
      <c r="AX52" s="33"/>
      <c r="AY52" s="76"/>
    </row>
    <row r="53" spans="2:51">
      <c r="B53" s="40"/>
      <c r="C53" s="152"/>
      <c r="D53" s="137"/>
      <c r="E53" s="141"/>
      <c r="F53" s="42"/>
      <c r="G53" s="51"/>
      <c r="I53" s="55">
        <v>48</v>
      </c>
      <c r="J53" s="33">
        <f t="shared" si="21"/>
        <v>5</v>
      </c>
      <c r="K53" s="33">
        <f t="shared" si="22"/>
        <v>1.910565629709926</v>
      </c>
      <c r="L53" s="33">
        <f t="shared" si="23"/>
        <v>45</v>
      </c>
      <c r="M53" s="33">
        <f t="shared" si="24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9"/>
        <v>28.275000000000006</v>
      </c>
      <c r="R53" s="33">
        <f t="shared" si="25"/>
        <v>401.04999999999995</v>
      </c>
      <c r="S53" s="33">
        <f t="shared" si="26"/>
        <v>184.48299999999998</v>
      </c>
      <c r="T53" s="33">
        <f t="shared" si="2"/>
        <v>46.318138584708528</v>
      </c>
      <c r="U53" s="33">
        <f t="shared" si="20"/>
        <v>59.207236914273011</v>
      </c>
      <c r="V53" s="33">
        <f t="shared" si="3"/>
        <v>10</v>
      </c>
      <c r="W53" s="33">
        <v>0</v>
      </c>
      <c r="X53" s="33">
        <f t="shared" si="4"/>
        <v>655.73851838736834</v>
      </c>
      <c r="Y53" s="38">
        <f t="shared" si="5"/>
        <v>478.70261658229026</v>
      </c>
      <c r="AA53" s="71">
        <v>48</v>
      </c>
      <c r="AB53" s="33">
        <f t="shared" si="6"/>
        <v>0</v>
      </c>
      <c r="AC53" s="305">
        <f t="shared" si="7"/>
        <v>0</v>
      </c>
      <c r="AD53" s="100">
        <f t="shared" si="8"/>
        <v>0</v>
      </c>
      <c r="AE53" s="100">
        <f t="shared" si="9"/>
        <v>0</v>
      </c>
      <c r="AF53" s="194">
        <f t="shared" si="36"/>
        <v>21.538646202391831</v>
      </c>
      <c r="AG53" s="194">
        <f t="shared" si="37"/>
        <v>44.303354997139571</v>
      </c>
      <c r="AH53" s="194">
        <f t="shared" si="38"/>
        <v>4.7543881556594512</v>
      </c>
      <c r="AI53" s="199">
        <f t="shared" si="39"/>
        <v>70.596389355190865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4">
        <f t="shared" si="40"/>
        <v>0</v>
      </c>
      <c r="AR53" s="194">
        <f t="shared" si="41"/>
        <v>0</v>
      </c>
      <c r="AS53" s="194">
        <f t="shared" si="42"/>
        <v>0</v>
      </c>
      <c r="AT53" s="194">
        <f t="shared" si="43"/>
        <v>0</v>
      </c>
      <c r="AU53" s="33"/>
      <c r="AV53" s="33"/>
      <c r="AW53" s="33"/>
      <c r="AX53" s="33"/>
      <c r="AY53" s="76"/>
    </row>
    <row r="54" spans="2:51">
      <c r="B54" s="40"/>
      <c r="C54" s="152"/>
      <c r="D54" s="137"/>
      <c r="E54" s="141"/>
      <c r="F54" s="42"/>
      <c r="G54" s="51"/>
      <c r="I54" s="55">
        <v>49</v>
      </c>
      <c r="J54" s="33">
        <f t="shared" si="21"/>
        <v>5</v>
      </c>
      <c r="K54" s="33">
        <f t="shared" si="22"/>
        <v>1.910565629709926</v>
      </c>
      <c r="L54" s="33">
        <f t="shared" si="23"/>
        <v>45</v>
      </c>
      <c r="M54" s="33">
        <f t="shared" si="24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9"/>
        <v>28.275000000000006</v>
      </c>
      <c r="R54" s="33">
        <f t="shared" si="25"/>
        <v>429.32499999999993</v>
      </c>
      <c r="S54" s="33">
        <f t="shared" si="26"/>
        <v>197.48949999999996</v>
      </c>
      <c r="T54" s="33">
        <f t="shared" si="2"/>
        <v>49.192030844445625</v>
      </c>
      <c r="U54" s="33">
        <f t="shared" si="20"/>
        <v>59.394467224806895</v>
      </c>
      <c r="V54" s="33">
        <f t="shared" si="3"/>
        <v>10</v>
      </c>
      <c r="W54" s="33">
        <v>0</v>
      </c>
      <c r="X54" s="33">
        <f t="shared" si="4"/>
        <v>684.08337937836802</v>
      </c>
      <c r="Y54" s="38">
        <f t="shared" si="5"/>
        <v>507.04747757328994</v>
      </c>
      <c r="AA54" s="71">
        <v>49</v>
      </c>
      <c r="AB54" s="33">
        <f t="shared" si="6"/>
        <v>0</v>
      </c>
      <c r="AC54" s="305">
        <f t="shared" si="7"/>
        <v>0</v>
      </c>
      <c r="AD54" s="100">
        <f t="shared" si="8"/>
        <v>0</v>
      </c>
      <c r="AE54" s="100">
        <f t="shared" si="9"/>
        <v>0</v>
      </c>
      <c r="AF54" s="194">
        <f t="shared" si="36"/>
        <v>21.116286487639911</v>
      </c>
      <c r="AG54" s="194">
        <f t="shared" si="37"/>
        <v>43.091877424930608</v>
      </c>
      <c r="AH54" s="194">
        <f t="shared" si="38"/>
        <v>3.3618601052598009</v>
      </c>
      <c r="AI54" s="199">
        <f t="shared" si="39"/>
        <v>67.57002401783032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4">
        <f t="shared" si="40"/>
        <v>0</v>
      </c>
      <c r="AR54" s="194">
        <f t="shared" si="41"/>
        <v>0</v>
      </c>
      <c r="AS54" s="194">
        <f t="shared" si="42"/>
        <v>0</v>
      </c>
      <c r="AT54" s="194">
        <f t="shared" si="43"/>
        <v>0</v>
      </c>
      <c r="AU54" s="33"/>
      <c r="AV54" s="33"/>
      <c r="AW54" s="33"/>
      <c r="AX54" s="33"/>
      <c r="AY54" s="76"/>
    </row>
    <row r="55" spans="2:51">
      <c r="B55" s="40"/>
      <c r="C55" s="152"/>
      <c r="D55" s="137"/>
      <c r="E55" s="141"/>
      <c r="F55" s="42"/>
      <c r="G55" s="51"/>
      <c r="I55" s="55">
        <v>50</v>
      </c>
      <c r="J55" s="33">
        <f t="shared" si="21"/>
        <v>5</v>
      </c>
      <c r="K55" s="33">
        <f t="shared" si="22"/>
        <v>1.910565629709926</v>
      </c>
      <c r="L55" s="33">
        <f t="shared" si="23"/>
        <v>45</v>
      </c>
      <c r="M55" s="33">
        <f t="shared" si="24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9"/>
        <v>28.275000000000006</v>
      </c>
      <c r="R55" s="33">
        <f t="shared" si="25"/>
        <v>457.59999999999991</v>
      </c>
      <c r="S55" s="33">
        <f t="shared" si="26"/>
        <v>210.49599999999998</v>
      </c>
      <c r="T55" s="33">
        <f t="shared" si="2"/>
        <v>52.043959291168463</v>
      </c>
      <c r="U55" s="33">
        <f t="shared" si="20"/>
        <v>59.578449508037295</v>
      </c>
      <c r="V55" s="33">
        <f t="shared" si="3"/>
        <v>10</v>
      </c>
      <c r="W55" s="33">
        <v>0</v>
      </c>
      <c r="X55" s="33">
        <f t="shared" si="4"/>
        <v>712.3780772949217</v>
      </c>
      <c r="Y55" s="38">
        <f t="shared" si="5"/>
        <v>535.34217548984361</v>
      </c>
      <c r="AA55" s="71">
        <v>50</v>
      </c>
      <c r="AB55" s="33">
        <f t="shared" si="6"/>
        <v>0</v>
      </c>
      <c r="AC55" s="305">
        <f t="shared" si="7"/>
        <v>0</v>
      </c>
      <c r="AD55" s="100">
        <f t="shared" si="8"/>
        <v>0</v>
      </c>
      <c r="AE55" s="100">
        <f t="shared" si="9"/>
        <v>0</v>
      </c>
      <c r="AF55" s="194">
        <f t="shared" si="36"/>
        <v>20.70220898928029</v>
      </c>
      <c r="AG55" s="194">
        <f t="shared" si="37"/>
        <v>41.913527770642531</v>
      </c>
      <c r="AH55" s="194">
        <f t="shared" si="38"/>
        <v>2.377194077829726</v>
      </c>
      <c r="AI55" s="199">
        <f t="shared" si="39"/>
        <v>64.992930837752553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4">
        <f t="shared" si="40"/>
        <v>0</v>
      </c>
      <c r="AR55" s="194">
        <f t="shared" si="41"/>
        <v>0</v>
      </c>
      <c r="AS55" s="194">
        <f t="shared" si="42"/>
        <v>0</v>
      </c>
      <c r="AT55" s="194">
        <f t="shared" si="43"/>
        <v>0</v>
      </c>
      <c r="AU55" s="33"/>
      <c r="AV55" s="33"/>
      <c r="AW55" s="33"/>
      <c r="AX55" s="33"/>
      <c r="AY55" s="76"/>
    </row>
    <row r="56" spans="2:51">
      <c r="B56" s="40"/>
      <c r="C56" s="152"/>
      <c r="D56" s="137"/>
      <c r="E56" s="141"/>
      <c r="F56" s="42"/>
      <c r="G56" s="51"/>
      <c r="I56" s="55">
        <v>51</v>
      </c>
      <c r="J56" s="33">
        <f t="shared" si="21"/>
        <v>5</v>
      </c>
      <c r="K56" s="33">
        <f t="shared" si="22"/>
        <v>1.910565629709926</v>
      </c>
      <c r="L56" s="33">
        <f t="shared" si="23"/>
        <v>45</v>
      </c>
      <c r="M56" s="33">
        <f t="shared" si="24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9"/>
        <v>-68.900000000000034</v>
      </c>
      <c r="R56" s="33">
        <f t="shared" si="25"/>
        <v>388.69999999999987</v>
      </c>
      <c r="S56" s="33">
        <f t="shared" si="26"/>
        <v>178.80199999999996</v>
      </c>
      <c r="T56" s="33">
        <f t="shared" si="2"/>
        <v>45.055549739375898</v>
      </c>
      <c r="U56" s="33">
        <f t="shared" si="20"/>
        <v>59.759240109976403</v>
      </c>
      <c r="V56" s="33">
        <f t="shared" si="3"/>
        <v>10</v>
      </c>
      <c r="W56" s="33">
        <v>0</v>
      </c>
      <c r="X56" s="33">
        <f t="shared" si="4"/>
        <v>645.66911286599316</v>
      </c>
      <c r="Y56" s="38">
        <f t="shared" si="5"/>
        <v>468.63321106091507</v>
      </c>
      <c r="AA56" s="71">
        <v>51</v>
      </c>
      <c r="AB56" s="33">
        <f t="shared" si="6"/>
        <v>53</v>
      </c>
      <c r="AC56" s="305">
        <f t="shared" si="7"/>
        <v>0.3</v>
      </c>
      <c r="AD56" s="100">
        <f t="shared" si="8"/>
        <v>0.22400000000000003</v>
      </c>
      <c r="AE56" s="100">
        <f t="shared" si="9"/>
        <v>0.17600000000000002</v>
      </c>
      <c r="AF56" s="194">
        <f t="shared" si="36"/>
        <v>32.909491453311404</v>
      </c>
      <c r="AG56" s="194">
        <f t="shared" si="37"/>
        <v>50.148204326565434</v>
      </c>
      <c r="AH56" s="194">
        <f t="shared" si="38"/>
        <v>7.9966848496833709</v>
      </c>
      <c r="AI56" s="199">
        <f t="shared" si="39"/>
        <v>91.054380629560214</v>
      </c>
      <c r="AK56" s="71">
        <v>51</v>
      </c>
      <c r="AL56" s="33">
        <f t="shared" si="10"/>
        <v>53</v>
      </c>
      <c r="AM56" s="33">
        <f t="shared" si="11"/>
        <v>0.6</v>
      </c>
      <c r="AN56" s="33">
        <f t="shared" si="12"/>
        <v>0.22400000000000003</v>
      </c>
      <c r="AO56" s="33">
        <f t="shared" si="13"/>
        <v>0.17600000000000002</v>
      </c>
      <c r="AP56" s="33">
        <f t="shared" si="14"/>
        <v>0</v>
      </c>
      <c r="AQ56" s="194">
        <f t="shared" si="40"/>
        <v>31.799999999999997</v>
      </c>
      <c r="AR56" s="194">
        <f t="shared" si="41"/>
        <v>11.872000000000002</v>
      </c>
      <c r="AS56" s="194">
        <f t="shared" si="42"/>
        <v>9.3280000000000012</v>
      </c>
      <c r="AT56" s="194">
        <f t="shared" si="43"/>
        <v>0</v>
      </c>
      <c r="AU56" s="33"/>
      <c r="AV56" s="33"/>
      <c r="AW56" s="33"/>
      <c r="AX56" s="33"/>
      <c r="AY56" s="76"/>
    </row>
    <row r="57" spans="2:51">
      <c r="B57" s="40"/>
      <c r="C57" s="152"/>
      <c r="D57" s="137"/>
      <c r="E57" s="141"/>
      <c r="F57" s="42"/>
      <c r="G57" s="51"/>
      <c r="I57" s="55">
        <v>52</v>
      </c>
      <c r="J57" s="33">
        <f t="shared" si="21"/>
        <v>5</v>
      </c>
      <c r="K57" s="33">
        <f t="shared" si="22"/>
        <v>1.910565629709926</v>
      </c>
      <c r="L57" s="33">
        <f t="shared" si="23"/>
        <v>45</v>
      </c>
      <c r="M57" s="33">
        <f t="shared" si="24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9"/>
        <v>26.185714285714287</v>
      </c>
      <c r="R57" s="33">
        <f t="shared" si="25"/>
        <v>414.88571428571419</v>
      </c>
      <c r="S57" s="33">
        <f t="shared" si="26"/>
        <v>190.84742857142854</v>
      </c>
      <c r="T57" s="33">
        <f t="shared" si="2"/>
        <v>47.727258723326813</v>
      </c>
      <c r="U57" s="33">
        <f t="shared" si="20"/>
        <v>59.936894399159101</v>
      </c>
      <c r="V57" s="33">
        <f t="shared" si="3"/>
        <v>10</v>
      </c>
      <c r="W57" s="33">
        <v>0</v>
      </c>
      <c r="X57" s="33">
        <f t="shared" si="4"/>
        <v>671.9528598352822</v>
      </c>
      <c r="Y57" s="38">
        <f t="shared" si="5"/>
        <v>494.91695803020411</v>
      </c>
      <c r="AA57" s="71">
        <v>52</v>
      </c>
      <c r="AB57" s="33">
        <f t="shared" si="6"/>
        <v>0</v>
      </c>
      <c r="AC57" s="305">
        <f t="shared" si="7"/>
        <v>0</v>
      </c>
      <c r="AD57" s="100">
        <f t="shared" si="8"/>
        <v>0</v>
      </c>
      <c r="AE57" s="100">
        <f t="shared" si="9"/>
        <v>0</v>
      </c>
      <c r="AF57" s="194">
        <f t="shared" si="36"/>
        <v>32.264156398719727</v>
      </c>
      <c r="AG57" s="194">
        <f t="shared" si="37"/>
        <v>48.776899042076053</v>
      </c>
      <c r="AH57" s="194">
        <f t="shared" si="38"/>
        <v>5.6545100842228395</v>
      </c>
      <c r="AI57" s="199">
        <f t="shared" si="39"/>
        <v>86.695565525018623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4">
        <f t="shared" si="40"/>
        <v>0</v>
      </c>
      <c r="AR57" s="194">
        <f t="shared" si="41"/>
        <v>0</v>
      </c>
      <c r="AS57" s="194">
        <f t="shared" si="42"/>
        <v>0</v>
      </c>
      <c r="AT57" s="194">
        <f t="shared" si="43"/>
        <v>0</v>
      </c>
      <c r="AU57" s="33"/>
      <c r="AV57" s="33"/>
      <c r="AW57" s="33"/>
      <c r="AX57" s="33"/>
      <c r="AY57" s="76"/>
    </row>
    <row r="58" spans="2:51">
      <c r="B58" s="40"/>
      <c r="C58" s="152"/>
      <c r="D58" s="137"/>
      <c r="E58" s="141"/>
      <c r="F58" s="42"/>
      <c r="G58" s="51"/>
      <c r="I58" s="55">
        <v>53</v>
      </c>
      <c r="J58" s="33">
        <f t="shared" si="21"/>
        <v>5</v>
      </c>
      <c r="K58" s="33">
        <f t="shared" si="22"/>
        <v>1.910565629709926</v>
      </c>
      <c r="L58" s="33">
        <f t="shared" si="23"/>
        <v>45</v>
      </c>
      <c r="M58" s="33">
        <f t="shared" si="24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9"/>
        <v>26.185714285714287</v>
      </c>
      <c r="R58" s="33">
        <f t="shared" si="25"/>
        <v>441.0714285714285</v>
      </c>
      <c r="S58" s="33">
        <f t="shared" si="26"/>
        <v>202.89285714285711</v>
      </c>
      <c r="T58" s="33">
        <f t="shared" si="2"/>
        <v>50.379397827792161</v>
      </c>
      <c r="U58" s="33">
        <f t="shared" si="20"/>
        <v>60.111466783599973</v>
      </c>
      <c r="V58" s="33">
        <f t="shared" si="3"/>
        <v>10</v>
      </c>
      <c r="W58" s="33">
        <v>0</v>
      </c>
      <c r="X58" s="33">
        <f t="shared" si="4"/>
        <v>698.19122228041397</v>
      </c>
      <c r="Y58" s="38">
        <f t="shared" si="5"/>
        <v>521.15532047533588</v>
      </c>
      <c r="AA58" s="71">
        <v>53</v>
      </c>
      <c r="AB58" s="33">
        <f t="shared" si="6"/>
        <v>0</v>
      </c>
      <c r="AC58" s="305">
        <f t="shared" si="7"/>
        <v>0</v>
      </c>
      <c r="AD58" s="100">
        <f t="shared" si="8"/>
        <v>0</v>
      </c>
      <c r="AE58" s="100">
        <f t="shared" si="9"/>
        <v>0</v>
      </c>
      <c r="AF58" s="194">
        <f t="shared" si="36"/>
        <v>31.631475970933078</v>
      </c>
      <c r="AG58" s="194">
        <f t="shared" si="37"/>
        <v>47.443092172704844</v>
      </c>
      <c r="AH58" s="194">
        <f t="shared" si="38"/>
        <v>3.9983424248416859</v>
      </c>
      <c r="AI58" s="199">
        <f t="shared" si="39"/>
        <v>83.0729105684796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4">
        <f t="shared" si="40"/>
        <v>0</v>
      </c>
      <c r="AR58" s="194">
        <f t="shared" si="41"/>
        <v>0</v>
      </c>
      <c r="AS58" s="194">
        <f t="shared" si="42"/>
        <v>0</v>
      </c>
      <c r="AT58" s="194">
        <f t="shared" si="43"/>
        <v>0</v>
      </c>
      <c r="AU58" s="33"/>
      <c r="AV58" s="33"/>
      <c r="AW58" s="33"/>
      <c r="AX58" s="33"/>
      <c r="AY58" s="76"/>
    </row>
    <row r="59" spans="2:51">
      <c r="B59" s="40"/>
      <c r="C59" s="152"/>
      <c r="D59" s="137"/>
      <c r="E59" s="141"/>
      <c r="F59" s="42"/>
      <c r="G59" s="51"/>
      <c r="I59" s="55">
        <v>54</v>
      </c>
      <c r="J59" s="33">
        <f t="shared" si="21"/>
        <v>5</v>
      </c>
      <c r="K59" s="33">
        <f t="shared" si="22"/>
        <v>1.910565629709926</v>
      </c>
      <c r="L59" s="33">
        <f t="shared" si="23"/>
        <v>45</v>
      </c>
      <c r="M59" s="33">
        <f t="shared" si="24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9"/>
        <v>26.185714285714287</v>
      </c>
      <c r="R59" s="33">
        <f t="shared" si="25"/>
        <v>467.25714285714281</v>
      </c>
      <c r="S59" s="33">
        <f t="shared" si="26"/>
        <v>214.93828571428571</v>
      </c>
      <c r="T59" s="33">
        <f t="shared" si="2"/>
        <v>53.013261216311491</v>
      </c>
      <c r="U59" s="33">
        <f t="shared" si="20"/>
        <v>60.283010727456173</v>
      </c>
      <c r="V59" s="33">
        <f t="shared" si="3"/>
        <v>10</v>
      </c>
      <c r="W59" s="33">
        <v>0</v>
      </c>
      <c r="X59" s="33">
        <f t="shared" si="4"/>
        <v>724.38665023812939</v>
      </c>
      <c r="Y59" s="38">
        <f t="shared" si="5"/>
        <v>547.35074843305131</v>
      </c>
      <c r="AA59" s="71">
        <v>54</v>
      </c>
      <c r="AB59" s="33">
        <f t="shared" si="6"/>
        <v>0</v>
      </c>
      <c r="AC59" s="305">
        <f t="shared" si="7"/>
        <v>0</v>
      </c>
      <c r="AD59" s="100">
        <f t="shared" si="8"/>
        <v>0</v>
      </c>
      <c r="AE59" s="100">
        <f t="shared" si="9"/>
        <v>0</v>
      </c>
      <c r="AF59" s="194">
        <f t="shared" si="36"/>
        <v>31.011202020438368</v>
      </c>
      <c r="AG59" s="194">
        <f t="shared" si="37"/>
        <v>46.145758322318443</v>
      </c>
      <c r="AH59" s="194">
        <f t="shared" si="38"/>
        <v>2.8272550421114202</v>
      </c>
      <c r="AI59" s="199">
        <f t="shared" si="39"/>
        <v>79.984215384868222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4">
        <f t="shared" si="40"/>
        <v>0</v>
      </c>
      <c r="AR59" s="194">
        <f t="shared" si="41"/>
        <v>0</v>
      </c>
      <c r="AS59" s="194">
        <f t="shared" si="42"/>
        <v>0</v>
      </c>
      <c r="AT59" s="194">
        <f t="shared" si="43"/>
        <v>0</v>
      </c>
      <c r="AU59" s="33"/>
      <c r="AV59" s="33"/>
      <c r="AW59" s="33"/>
      <c r="AX59" s="33"/>
      <c r="AY59" s="76"/>
    </row>
    <row r="60" spans="2:51">
      <c r="B60" s="40"/>
      <c r="C60" s="152"/>
      <c r="D60" s="137"/>
      <c r="E60" s="141"/>
      <c r="F60" s="42"/>
      <c r="G60" s="51"/>
      <c r="I60" s="55">
        <v>55</v>
      </c>
      <c r="J60" s="33">
        <f t="shared" si="21"/>
        <v>5</v>
      </c>
      <c r="K60" s="33">
        <f t="shared" si="22"/>
        <v>1.910565629709926</v>
      </c>
      <c r="L60" s="33">
        <f t="shared" si="23"/>
        <v>45</v>
      </c>
      <c r="M60" s="33">
        <f t="shared" si="24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9"/>
        <v>26.185714285714287</v>
      </c>
      <c r="R60" s="33">
        <f t="shared" si="25"/>
        <v>493.44285714285712</v>
      </c>
      <c r="S60" s="33">
        <f t="shared" si="26"/>
        <v>226.98371428571429</v>
      </c>
      <c r="T60" s="33">
        <f t="shared" si="2"/>
        <v>55.62998980652975</v>
      </c>
      <c r="U60" s="33">
        <f t="shared" si="20"/>
        <v>60.45157876740128</v>
      </c>
      <c r="V60" s="33">
        <f t="shared" si="3"/>
        <v>10</v>
      </c>
      <c r="W60" s="33">
        <v>0</v>
      </c>
      <c r="X60" s="33">
        <f t="shared" si="4"/>
        <v>750.54132344112952</v>
      </c>
      <c r="Y60" s="38">
        <f t="shared" si="5"/>
        <v>573.50542163605144</v>
      </c>
      <c r="AA60" s="71">
        <v>55</v>
      </c>
      <c r="AB60" s="33">
        <f t="shared" si="6"/>
        <v>0</v>
      </c>
      <c r="AC60" s="305">
        <f t="shared" si="7"/>
        <v>0</v>
      </c>
      <c r="AD60" s="100">
        <f t="shared" si="8"/>
        <v>0</v>
      </c>
      <c r="AE60" s="100">
        <f t="shared" si="9"/>
        <v>0</v>
      </c>
      <c r="AF60" s="194">
        <f t="shared" si="36"/>
        <v>30.403091263783107</v>
      </c>
      <c r="AG60" s="194">
        <f t="shared" si="37"/>
        <v>44.883900134294684</v>
      </c>
      <c r="AH60" s="194">
        <f t="shared" si="38"/>
        <v>1.9991712124208434</v>
      </c>
      <c r="AI60" s="199">
        <f t="shared" si="39"/>
        <v>77.286162610498636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4">
        <f t="shared" si="40"/>
        <v>0</v>
      </c>
      <c r="AR60" s="194">
        <f t="shared" si="41"/>
        <v>0</v>
      </c>
      <c r="AS60" s="194">
        <f t="shared" si="42"/>
        <v>0</v>
      </c>
      <c r="AT60" s="194">
        <f t="shared" si="43"/>
        <v>0</v>
      </c>
      <c r="AU60" s="33"/>
      <c r="AV60" s="33"/>
      <c r="AW60" s="33"/>
      <c r="AX60" s="33"/>
      <c r="AY60" s="76"/>
    </row>
    <row r="61" spans="2:51">
      <c r="B61" s="40"/>
      <c r="C61" s="152"/>
      <c r="D61" s="137"/>
      <c r="E61" s="141"/>
      <c r="F61" s="42"/>
      <c r="G61" s="51"/>
      <c r="I61" s="55">
        <v>56</v>
      </c>
      <c r="J61" s="33">
        <f t="shared" si="21"/>
        <v>5</v>
      </c>
      <c r="K61" s="33">
        <f t="shared" si="22"/>
        <v>1.910565629709926</v>
      </c>
      <c r="L61" s="33">
        <f t="shared" si="23"/>
        <v>45</v>
      </c>
      <c r="M61" s="33">
        <f t="shared" si="24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9"/>
        <v>26.185714285714287</v>
      </c>
      <c r="R61" s="33">
        <f t="shared" si="25"/>
        <v>519.62857142857138</v>
      </c>
      <c r="S61" s="33">
        <f t="shared" si="26"/>
        <v>239.02914285714283</v>
      </c>
      <c r="T61" s="33">
        <f t="shared" si="2"/>
        <v>58.23059658600431</v>
      </c>
      <c r="U61" s="33">
        <f t="shared" si="20"/>
        <v>60.617222528715011</v>
      </c>
      <c r="V61" s="33">
        <f t="shared" si="3"/>
        <v>10</v>
      </c>
      <c r="W61" s="33">
        <v>0</v>
      </c>
      <c r="X61" s="33">
        <f t="shared" si="4"/>
        <v>776.65719546876971</v>
      </c>
      <c r="Y61" s="38">
        <f t="shared" si="5"/>
        <v>599.62129366369163</v>
      </c>
      <c r="AA61" s="71">
        <v>56</v>
      </c>
      <c r="AB61" s="33">
        <f t="shared" si="6"/>
        <v>0</v>
      </c>
      <c r="AC61" s="305">
        <f t="shared" si="7"/>
        <v>0</v>
      </c>
      <c r="AD61" s="100">
        <f t="shared" si="8"/>
        <v>0</v>
      </c>
      <c r="AE61" s="100">
        <f t="shared" si="9"/>
        <v>0</v>
      </c>
      <c r="AF61" s="194">
        <f t="shared" si="36"/>
        <v>29.806905188154918</v>
      </c>
      <c r="AG61" s="194">
        <f t="shared" si="37"/>
        <v>43.65654752478067</v>
      </c>
      <c r="AH61" s="194">
        <f t="shared" si="38"/>
        <v>1.4136275210557103</v>
      </c>
      <c r="AI61" s="199">
        <f t="shared" si="39"/>
        <v>74.877080233991308</v>
      </c>
      <c r="AK61" s="71">
        <v>56</v>
      </c>
      <c r="AL61" s="33">
        <f t="shared" si="10"/>
        <v>0</v>
      </c>
      <c r="AM61" s="33">
        <f t="shared" si="11"/>
        <v>0</v>
      </c>
      <c r="AN61" s="33">
        <f t="shared" si="12"/>
        <v>0</v>
      </c>
      <c r="AO61" s="33">
        <f t="shared" si="13"/>
        <v>0</v>
      </c>
      <c r="AP61" s="33">
        <f t="shared" si="14"/>
        <v>0</v>
      </c>
      <c r="AQ61" s="194">
        <f t="shared" si="40"/>
        <v>0</v>
      </c>
      <c r="AR61" s="194">
        <f t="shared" si="41"/>
        <v>0</v>
      </c>
      <c r="AS61" s="194">
        <f t="shared" si="42"/>
        <v>0</v>
      </c>
      <c r="AT61" s="194">
        <f t="shared" si="43"/>
        <v>0</v>
      </c>
      <c r="AU61" s="33"/>
      <c r="AV61" s="33"/>
      <c r="AW61" s="33"/>
      <c r="AX61" s="33"/>
      <c r="AY61" s="76"/>
    </row>
    <row r="62" spans="2:51">
      <c r="B62" s="40"/>
      <c r="C62" s="152"/>
      <c r="D62" s="137"/>
      <c r="E62" s="141"/>
      <c r="F62" s="42"/>
      <c r="G62" s="51"/>
      <c r="I62" s="55">
        <v>57</v>
      </c>
      <c r="J62" s="33">
        <f t="shared" si="21"/>
        <v>5</v>
      </c>
      <c r="K62" s="33">
        <f t="shared" si="22"/>
        <v>1.910565629709926</v>
      </c>
      <c r="L62" s="33">
        <f t="shared" si="23"/>
        <v>45</v>
      </c>
      <c r="M62" s="33">
        <f t="shared" si="24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9"/>
        <v>26.185714285714287</v>
      </c>
      <c r="R62" s="33">
        <f t="shared" si="25"/>
        <v>545.81428571428569</v>
      </c>
      <c r="S62" s="33">
        <f t="shared" si="26"/>
        <v>251.07457142857143</v>
      </c>
      <c r="T62" s="33">
        <f t="shared" si="2"/>
        <v>60.815986679944274</v>
      </c>
      <c r="U62" s="33">
        <f t="shared" si="20"/>
        <v>60.77999274109392</v>
      </c>
      <c r="V62" s="33">
        <f t="shared" si="3"/>
        <v>10</v>
      </c>
      <c r="W62" s="33">
        <v>0</v>
      </c>
      <c r="X62" s="33">
        <f t="shared" si="4"/>
        <v>802.73602875634242</v>
      </c>
      <c r="Y62" s="38">
        <f t="shared" si="5"/>
        <v>625.70012695126434</v>
      </c>
      <c r="AA62" s="71">
        <v>57</v>
      </c>
      <c r="AB62" s="33">
        <f t="shared" si="6"/>
        <v>0</v>
      </c>
      <c r="AC62" s="305">
        <f t="shared" si="7"/>
        <v>0</v>
      </c>
      <c r="AD62" s="100">
        <f t="shared" si="8"/>
        <v>0</v>
      </c>
      <c r="AE62" s="100">
        <f t="shared" si="9"/>
        <v>0</v>
      </c>
      <c r="AF62" s="194">
        <f t="shared" si="36"/>
        <v>29.222409957832198</v>
      </c>
      <c r="AG62" s="194">
        <f t="shared" si="37"/>
        <v>42.462756936917486</v>
      </c>
      <c r="AH62" s="194">
        <f t="shared" si="38"/>
        <v>0.99958560621042181</v>
      </c>
      <c r="AI62" s="199">
        <f t="shared" si="39"/>
        <v>72.684752500960101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4">
        <f t="shared" si="40"/>
        <v>0</v>
      </c>
      <c r="AR62" s="194">
        <f t="shared" si="41"/>
        <v>0</v>
      </c>
      <c r="AS62" s="194">
        <f t="shared" si="42"/>
        <v>0</v>
      </c>
      <c r="AT62" s="194">
        <f t="shared" si="43"/>
        <v>0</v>
      </c>
      <c r="AU62" s="33"/>
      <c r="AV62" s="33"/>
      <c r="AW62" s="33"/>
      <c r="AX62" s="33"/>
      <c r="AY62" s="76"/>
    </row>
    <row r="63" spans="2:51">
      <c r="B63" s="40"/>
      <c r="C63" s="152"/>
      <c r="D63" s="137"/>
      <c r="E63" s="141"/>
      <c r="F63" s="42"/>
      <c r="G63" s="51"/>
      <c r="I63" s="55">
        <v>58</v>
      </c>
      <c r="J63" s="33">
        <f t="shared" si="21"/>
        <v>5</v>
      </c>
      <c r="K63" s="33">
        <f t="shared" si="22"/>
        <v>1.910565629709926</v>
      </c>
      <c r="L63" s="33">
        <f t="shared" si="23"/>
        <v>45</v>
      </c>
      <c r="M63" s="33">
        <f t="shared" si="24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9"/>
        <v>26.185714285714287</v>
      </c>
      <c r="R63" s="33">
        <f t="shared" si="25"/>
        <v>572</v>
      </c>
      <c r="S63" s="33">
        <f t="shared" si="26"/>
        <v>263.12</v>
      </c>
      <c r="T63" s="33">
        <f t="shared" si="2"/>
        <v>63.386973458752003</v>
      </c>
      <c r="U63" s="33">
        <f t="shared" si="20"/>
        <v>60.939939254187742</v>
      </c>
      <c r="V63" s="33">
        <f t="shared" si="3"/>
        <v>10</v>
      </c>
      <c r="W63" s="33">
        <v>0</v>
      </c>
      <c r="X63" s="33">
        <f t="shared" si="4"/>
        <v>828.77942270601477</v>
      </c>
      <c r="Y63" s="38">
        <f t="shared" si="5"/>
        <v>651.74352090093669</v>
      </c>
      <c r="AA63" s="71">
        <v>58</v>
      </c>
      <c r="AB63" s="33">
        <f t="shared" si="6"/>
        <v>0</v>
      </c>
      <c r="AC63" s="305">
        <f t="shared" si="7"/>
        <v>0</v>
      </c>
      <c r="AD63" s="100">
        <f t="shared" si="8"/>
        <v>0</v>
      </c>
      <c r="AE63" s="100">
        <f t="shared" si="9"/>
        <v>0</v>
      </c>
      <c r="AF63" s="194">
        <f t="shared" si="36"/>
        <v>28.64937632246922</v>
      </c>
      <c r="AG63" s="194">
        <f t="shared" si="37"/>
        <v>41.301610615458138</v>
      </c>
      <c r="AH63" s="194">
        <f t="shared" si="38"/>
        <v>0.70681376052785527</v>
      </c>
      <c r="AI63" s="199">
        <f t="shared" si="39"/>
        <v>70.657800698455205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4">
        <f t="shared" si="40"/>
        <v>0</v>
      </c>
      <c r="AR63" s="194">
        <f t="shared" si="41"/>
        <v>0</v>
      </c>
      <c r="AS63" s="194">
        <f t="shared" si="42"/>
        <v>0</v>
      </c>
      <c r="AT63" s="194">
        <f t="shared" si="43"/>
        <v>0</v>
      </c>
      <c r="AU63" s="33"/>
      <c r="AV63" s="33"/>
      <c r="AW63" s="33"/>
      <c r="AX63" s="33"/>
      <c r="AY63" s="76"/>
    </row>
    <row r="64" spans="2:51">
      <c r="B64" s="40"/>
      <c r="C64" s="152"/>
      <c r="D64" s="137"/>
      <c r="E64" s="141"/>
      <c r="F64" s="42"/>
      <c r="G64" s="51"/>
      <c r="I64" s="55">
        <v>59</v>
      </c>
      <c r="J64" s="33">
        <f t="shared" si="21"/>
        <v>5</v>
      </c>
      <c r="K64" s="33">
        <f t="shared" si="22"/>
        <v>1.910565629709926</v>
      </c>
      <c r="L64" s="33">
        <f t="shared" si="23"/>
        <v>45</v>
      </c>
      <c r="M64" s="33">
        <f t="shared" si="24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9"/>
        <v>-101.39999999999998</v>
      </c>
      <c r="R64" s="33">
        <f t="shared" si="25"/>
        <v>470.6</v>
      </c>
      <c r="S64" s="33">
        <f t="shared" si="26"/>
        <v>216.47600000000003</v>
      </c>
      <c r="T64" s="33">
        <f t="shared" si="2"/>
        <v>53.348243400339264</v>
      </c>
      <c r="U64" s="33">
        <f t="shared" si="20"/>
        <v>61.097111052866211</v>
      </c>
      <c r="V64" s="33">
        <f t="shared" si="3"/>
        <v>10</v>
      </c>
      <c r="W64" s="33">
        <v>0</v>
      </c>
      <c r="X64" s="33">
        <f t="shared" si="4"/>
        <v>730.63329778276704</v>
      </c>
      <c r="Y64" s="38">
        <f t="shared" si="5"/>
        <v>553.59739597768896</v>
      </c>
      <c r="AA64" s="71">
        <v>59</v>
      </c>
      <c r="AB64" s="33">
        <f t="shared" si="6"/>
        <v>78</v>
      </c>
      <c r="AC64" s="305">
        <f t="shared" si="7"/>
        <v>0.35</v>
      </c>
      <c r="AD64" s="100">
        <f t="shared" si="8"/>
        <v>0.16800000000000004</v>
      </c>
      <c r="AE64" s="100">
        <f t="shared" si="9"/>
        <v>0.13200000000000003</v>
      </c>
      <c r="AF64" s="194">
        <f t="shared" si="36"/>
        <v>49.74427488801237</v>
      </c>
      <c r="AG64" s="194">
        <f t="shared" si="37"/>
        <v>50.526499756908748</v>
      </c>
      <c r="AH64" s="194">
        <f t="shared" si="38"/>
        <v>7.4709561168340439</v>
      </c>
      <c r="AI64" s="199">
        <f t="shared" si="39"/>
        <v>107.74173076175516</v>
      </c>
      <c r="AK64" s="71">
        <v>59</v>
      </c>
      <c r="AL64" s="33">
        <f t="shared" si="10"/>
        <v>78</v>
      </c>
      <c r="AM64" s="33">
        <f t="shared" si="11"/>
        <v>0.7</v>
      </c>
      <c r="AN64" s="33">
        <f t="shared" si="12"/>
        <v>0.16800000000000004</v>
      </c>
      <c r="AO64" s="33">
        <f t="shared" si="13"/>
        <v>0.13200000000000003</v>
      </c>
      <c r="AP64" s="33">
        <f t="shared" si="14"/>
        <v>0</v>
      </c>
      <c r="AQ64" s="194">
        <f t="shared" si="40"/>
        <v>54.599999999999994</v>
      </c>
      <c r="AR64" s="194">
        <f t="shared" si="41"/>
        <v>13.104000000000003</v>
      </c>
      <c r="AS64" s="194">
        <f t="shared" si="42"/>
        <v>10.296000000000003</v>
      </c>
      <c r="AT64" s="194">
        <f t="shared" si="43"/>
        <v>0</v>
      </c>
      <c r="AU64" s="33"/>
      <c r="AV64" s="33"/>
      <c r="AW64" s="33"/>
      <c r="AX64" s="33"/>
      <c r="AY64" s="76"/>
    </row>
    <row r="65" spans="2:51">
      <c r="B65" s="40"/>
      <c r="C65" s="152"/>
      <c r="D65" s="137"/>
      <c r="E65" s="141"/>
      <c r="F65" s="42"/>
      <c r="G65" s="51"/>
      <c r="I65" s="55">
        <v>60</v>
      </c>
      <c r="J65" s="33">
        <f t="shared" si="21"/>
        <v>5</v>
      </c>
      <c r="K65" s="33">
        <f t="shared" si="22"/>
        <v>1.910565629709926</v>
      </c>
      <c r="L65" s="33">
        <f t="shared" si="23"/>
        <v>45</v>
      </c>
      <c r="M65" s="33">
        <f t="shared" si="24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9"/>
        <v>24.699999999999996</v>
      </c>
      <c r="R65" s="33">
        <f t="shared" si="25"/>
        <v>495.3</v>
      </c>
      <c r="S65" s="33">
        <f t="shared" si="26"/>
        <v>227.83800000000002</v>
      </c>
      <c r="T65" s="33">
        <f t="shared" si="2"/>
        <v>55.814949938288613</v>
      </c>
      <c r="U65" s="33">
        <f t="shared" si="20"/>
        <v>61.251556272221123</v>
      </c>
      <c r="V65" s="33">
        <f t="shared" si="3"/>
        <v>10</v>
      </c>
      <c r="W65" s="33">
        <v>0</v>
      </c>
      <c r="X65" s="33">
        <f t="shared" si="4"/>
        <v>755.28459414066356</v>
      </c>
      <c r="Y65" s="38">
        <f t="shared" si="5"/>
        <v>578.24869233558547</v>
      </c>
      <c r="AA65" s="71">
        <v>60</v>
      </c>
      <c r="AB65" s="33">
        <f t="shared" si="6"/>
        <v>0</v>
      </c>
      <c r="AC65" s="305">
        <f t="shared" si="7"/>
        <v>0</v>
      </c>
      <c r="AD65" s="100">
        <f t="shared" si="8"/>
        <v>0</v>
      </c>
      <c r="AE65" s="100">
        <f t="shared" si="9"/>
        <v>0</v>
      </c>
      <c r="AF65" s="194">
        <f t="shared" si="36"/>
        <v>48.768819998470207</v>
      </c>
      <c r="AG65" s="194">
        <f t="shared" si="37"/>
        <v>49.144849963982935</v>
      </c>
      <c r="AH65" s="194">
        <f t="shared" si="38"/>
        <v>5.2827637321604692</v>
      </c>
      <c r="AI65" s="199">
        <f t="shared" si="39"/>
        <v>103.19643369461362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4">
        <f t="shared" si="40"/>
        <v>0</v>
      </c>
      <c r="AR65" s="194">
        <f t="shared" si="41"/>
        <v>0</v>
      </c>
      <c r="AS65" s="194">
        <f t="shared" si="42"/>
        <v>0</v>
      </c>
      <c r="AT65" s="194">
        <f t="shared" si="43"/>
        <v>0</v>
      </c>
      <c r="AU65" s="33"/>
      <c r="AV65" s="33"/>
      <c r="AW65" s="33"/>
      <c r="AX65" s="33"/>
      <c r="AY65" s="76"/>
    </row>
    <row r="66" spans="2:51">
      <c r="B66" s="40"/>
      <c r="C66" s="152"/>
      <c r="D66" s="137"/>
      <c r="E66" s="141"/>
      <c r="F66" s="42"/>
      <c r="G66" s="51"/>
      <c r="I66" s="55">
        <v>61</v>
      </c>
      <c r="J66" s="33">
        <f t="shared" si="21"/>
        <v>5</v>
      </c>
      <c r="K66" s="33">
        <f t="shared" si="22"/>
        <v>1.910565629709926</v>
      </c>
      <c r="L66" s="33">
        <f t="shared" si="23"/>
        <v>45</v>
      </c>
      <c r="M66" s="33">
        <f t="shared" si="24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9"/>
        <v>24.699999999999996</v>
      </c>
      <c r="R66" s="33">
        <f t="shared" si="25"/>
        <v>520</v>
      </c>
      <c r="S66" s="33">
        <f t="shared" si="26"/>
        <v>239.20000000000002</v>
      </c>
      <c r="T66" s="33">
        <f t="shared" si="2"/>
        <v>58.267373151570702</v>
      </c>
      <c r="U66" s="33">
        <f t="shared" si="20"/>
        <v>61.403322212307998</v>
      </c>
      <c r="V66" s="33">
        <f t="shared" si="3"/>
        <v>10</v>
      </c>
      <c r="W66" s="33">
        <v>0</v>
      </c>
      <c r="X66" s="33">
        <f t="shared" si="4"/>
        <v>779.9011896841148</v>
      </c>
      <c r="Y66" s="38">
        <f t="shared" si="5"/>
        <v>602.86528787903671</v>
      </c>
      <c r="AA66" s="71">
        <v>61</v>
      </c>
      <c r="AB66" s="33">
        <f t="shared" si="6"/>
        <v>0</v>
      </c>
      <c r="AC66" s="305">
        <f t="shared" si="7"/>
        <v>0</v>
      </c>
      <c r="AD66" s="100">
        <f t="shared" si="8"/>
        <v>0</v>
      </c>
      <c r="AE66" s="100">
        <f t="shared" si="9"/>
        <v>0</v>
      </c>
      <c r="AF66" s="194">
        <f t="shared" si="36"/>
        <v>47.812493184343225</v>
      </c>
      <c r="AG66" s="194">
        <f t="shared" si="37"/>
        <v>47.800981457302484</v>
      </c>
      <c r="AH66" s="194">
        <f t="shared" si="38"/>
        <v>3.7354780584170224</v>
      </c>
      <c r="AI66" s="199">
        <f t="shared" si="39"/>
        <v>99.348952700062725</v>
      </c>
      <c r="AK66" s="71">
        <v>61</v>
      </c>
      <c r="AL66" s="33">
        <f t="shared" si="10"/>
        <v>0</v>
      </c>
      <c r="AM66" s="33">
        <f t="shared" si="11"/>
        <v>0</v>
      </c>
      <c r="AN66" s="33">
        <f t="shared" si="12"/>
        <v>0</v>
      </c>
      <c r="AO66" s="33">
        <f t="shared" si="13"/>
        <v>0</v>
      </c>
      <c r="AP66" s="33">
        <f t="shared" si="14"/>
        <v>0</v>
      </c>
      <c r="AQ66" s="194">
        <f t="shared" si="40"/>
        <v>0</v>
      </c>
      <c r="AR66" s="194">
        <f t="shared" si="41"/>
        <v>0</v>
      </c>
      <c r="AS66" s="194">
        <f t="shared" si="42"/>
        <v>0</v>
      </c>
      <c r="AT66" s="194">
        <f t="shared" si="43"/>
        <v>0</v>
      </c>
      <c r="AU66" s="33"/>
      <c r="AV66" s="33"/>
      <c r="AW66" s="33"/>
      <c r="AX66" s="33"/>
      <c r="AY66" s="76"/>
    </row>
    <row r="67" spans="2:51">
      <c r="B67" s="40"/>
      <c r="C67" s="152"/>
      <c r="D67" s="137"/>
      <c r="E67" s="141"/>
      <c r="F67" s="42"/>
      <c r="G67" s="51"/>
      <c r="I67" s="55">
        <v>62</v>
      </c>
      <c r="J67" s="33">
        <f t="shared" si="21"/>
        <v>5</v>
      </c>
      <c r="K67" s="33">
        <f t="shared" si="22"/>
        <v>1.910565629709926</v>
      </c>
      <c r="L67" s="33">
        <f t="shared" si="23"/>
        <v>45</v>
      </c>
      <c r="M67" s="33">
        <f t="shared" si="24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9"/>
        <v>24.699999999999996</v>
      </c>
      <c r="R67" s="33">
        <f t="shared" si="25"/>
        <v>544.70000000000005</v>
      </c>
      <c r="S67" s="33">
        <f t="shared" si="26"/>
        <v>250.56200000000004</v>
      </c>
      <c r="T67" s="33">
        <f t="shared" si="2"/>
        <v>60.706268962016573</v>
      </c>
      <c r="U67" s="33">
        <f t="shared" si="20"/>
        <v>61.55245535263218</v>
      </c>
      <c r="V67" s="33">
        <f t="shared" si="3"/>
        <v>10</v>
      </c>
      <c r="W67" s="33">
        <v>0</v>
      </c>
      <c r="X67" s="33">
        <f t="shared" si="4"/>
        <v>804.48457140183018</v>
      </c>
      <c r="Y67" s="38">
        <f t="shared" si="5"/>
        <v>627.4486695967521</v>
      </c>
      <c r="AA67" s="71">
        <v>62</v>
      </c>
      <c r="AB67" s="33">
        <f t="shared" si="6"/>
        <v>0</v>
      </c>
      <c r="AC67" s="305">
        <f t="shared" si="7"/>
        <v>0</v>
      </c>
      <c r="AD67" s="100">
        <f t="shared" si="8"/>
        <v>0</v>
      </c>
      <c r="AE67" s="100">
        <f t="shared" si="9"/>
        <v>0</v>
      </c>
      <c r="AF67" s="194">
        <f t="shared" si="36"/>
        <v>46.874919355739515</v>
      </c>
      <c r="AG67" s="194">
        <f t="shared" si="37"/>
        <v>46.493861105608183</v>
      </c>
      <c r="AH67" s="194">
        <f t="shared" si="38"/>
        <v>2.6413818660802351</v>
      </c>
      <c r="AI67" s="199">
        <f t="shared" si="39"/>
        <v>96.010162327427935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4">
        <f t="shared" si="40"/>
        <v>0</v>
      </c>
      <c r="AR67" s="194">
        <f t="shared" si="41"/>
        <v>0</v>
      </c>
      <c r="AS67" s="194">
        <f t="shared" si="42"/>
        <v>0</v>
      </c>
      <c r="AT67" s="194">
        <f t="shared" si="43"/>
        <v>0</v>
      </c>
      <c r="AU67" s="33"/>
      <c r="AV67" s="33"/>
      <c r="AW67" s="33"/>
      <c r="AX67" s="33"/>
      <c r="AY67" s="76"/>
    </row>
    <row r="68" spans="2:51">
      <c r="B68" s="40"/>
      <c r="C68" s="152"/>
      <c r="D68" s="137"/>
      <c r="E68" s="141"/>
      <c r="F68" s="42"/>
      <c r="G68" s="51"/>
      <c r="I68" s="55">
        <v>63</v>
      </c>
      <c r="J68" s="33">
        <f t="shared" si="21"/>
        <v>5</v>
      </c>
      <c r="K68" s="33">
        <f t="shared" si="22"/>
        <v>1.910565629709926</v>
      </c>
      <c r="L68" s="33">
        <f t="shared" si="23"/>
        <v>45</v>
      </c>
      <c r="M68" s="33">
        <f t="shared" si="24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9"/>
        <v>24.699999999999996</v>
      </c>
      <c r="R68" s="33">
        <f t="shared" si="25"/>
        <v>569.40000000000009</v>
      </c>
      <c r="S68" s="33">
        <f t="shared" si="26"/>
        <v>261.92400000000004</v>
      </c>
      <c r="T68" s="33">
        <f t="shared" si="2"/>
        <v>63.132320859995644</v>
      </c>
      <c r="U68" s="33">
        <f t="shared" si="20"/>
        <v>61.699001366383484</v>
      </c>
      <c r="V68" s="33">
        <f t="shared" si="3"/>
        <v>10</v>
      </c>
      <c r="W68" s="33">
        <v>0</v>
      </c>
      <c r="X68" s="33">
        <f t="shared" si="4"/>
        <v>829.03609717456527</v>
      </c>
      <c r="Y68" s="38">
        <f t="shared" si="5"/>
        <v>652.00019536948719</v>
      </c>
      <c r="AA68" s="71">
        <v>63</v>
      </c>
      <c r="AB68" s="33">
        <f t="shared" si="6"/>
        <v>0</v>
      </c>
      <c r="AC68" s="305">
        <f t="shared" si="7"/>
        <v>0</v>
      </c>
      <c r="AD68" s="100">
        <f t="shared" si="8"/>
        <v>0</v>
      </c>
      <c r="AE68" s="100">
        <f t="shared" si="9"/>
        <v>0</v>
      </c>
      <c r="AF68" s="194">
        <f t="shared" si="36"/>
        <v>45.955730778051155</v>
      </c>
      <c r="AG68" s="194">
        <f t="shared" si="37"/>
        <v>45.222484028669435</v>
      </c>
      <c r="AH68" s="194">
        <f t="shared" si="38"/>
        <v>1.8677390292085114</v>
      </c>
      <c r="AI68" s="199">
        <f t="shared" si="39"/>
        <v>93.045953835929097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4">
        <f t="shared" si="40"/>
        <v>0</v>
      </c>
      <c r="AR68" s="194">
        <f t="shared" si="41"/>
        <v>0</v>
      </c>
      <c r="AS68" s="194">
        <f t="shared" si="42"/>
        <v>0</v>
      </c>
      <c r="AT68" s="194">
        <f t="shared" si="43"/>
        <v>0</v>
      </c>
      <c r="AU68" s="33"/>
      <c r="AV68" s="33"/>
      <c r="AW68" s="33"/>
      <c r="AX68" s="33"/>
      <c r="AY68" s="76"/>
    </row>
    <row r="69" spans="2:51">
      <c r="B69" s="40"/>
      <c r="C69" s="152"/>
      <c r="D69" s="137"/>
      <c r="E69" s="141"/>
      <c r="F69" s="42"/>
      <c r="G69" s="51"/>
      <c r="I69" s="55">
        <v>64</v>
      </c>
      <c r="J69" s="33">
        <f t="shared" si="21"/>
        <v>5</v>
      </c>
      <c r="K69" s="33">
        <f t="shared" si="22"/>
        <v>1.910565629709926</v>
      </c>
      <c r="L69" s="33">
        <f t="shared" si="23"/>
        <v>45</v>
      </c>
      <c r="M69" s="33">
        <f t="shared" si="24"/>
        <v>0</v>
      </c>
      <c r="N69" s="33">
        <f t="shared" ref="N69:N132" si="44">IF(P70&lt;=$F$18,0,)</f>
        <v>0</v>
      </c>
      <c r="O69" s="34">
        <f t="shared" ref="O69:O132" si="45">((J69+K69)*0.475+L69+M69+N69)*44/12</f>
        <v>177.03590180507811</v>
      </c>
      <c r="P69" s="55">
        <v>64</v>
      </c>
      <c r="Q69" s="33">
        <f t="shared" si="19"/>
        <v>24.699999999999996</v>
      </c>
      <c r="R69" s="33">
        <f t="shared" si="25"/>
        <v>594.10000000000014</v>
      </c>
      <c r="S69" s="33">
        <f t="shared" si="26"/>
        <v>273.28600000000006</v>
      </c>
      <c r="T69" s="33">
        <f t="shared" ref="T69:T132" si="46">IF(S69=0,0,EXP(-1.0587+0.8836*LN(S69)+0.284))</f>
        <v>65.546149684229391</v>
      </c>
      <c r="U69" s="33">
        <f t="shared" si="20"/>
        <v>61.843005134424018</v>
      </c>
      <c r="V69" s="33">
        <f t="shared" ref="V69:V132" si="47">IF(P69&lt;=$F$18,IF(P69&lt;=30,P69*($F$16-$F$6)/30,$F$16-$F$6),)</f>
        <v>10</v>
      </c>
      <c r="W69" s="33">
        <v>0</v>
      </c>
      <c r="X69" s="33">
        <f t="shared" ref="X69:X132" si="48">((S69+T69)*0.475+U69+V69+W69)*44/12</f>
        <v>853.55701285958764</v>
      </c>
      <c r="Y69" s="38">
        <f t="shared" ref="Y69:Y132" si="49">IF(P69&lt;=$F$18,X69-O69,)</f>
        <v>676.52111105450956</v>
      </c>
      <c r="AA69" s="71">
        <v>64</v>
      </c>
      <c r="AB69" s="33">
        <f t="shared" ref="AB69:AB132" si="50">IF(AA69&lt;=$F$18,IFERROR(VLOOKUP($AA69,$B$82:$G$95,2,FALSE),0),)</f>
        <v>0</v>
      </c>
      <c r="AC69" s="305">
        <f t="shared" ref="AC69:AC132" si="51">IF(AA69&lt;=$F$18,IFERROR(VLOOKUP($AA69,$B$82:$G$95,3,FALSE),0),)*50%</f>
        <v>0</v>
      </c>
      <c r="AD69" s="100">
        <f t="shared" ref="AD69:AD132" si="52">IF(AA69&lt;=$F$18,IFERROR(VLOOKUP($AA69,$B$82:$G$95,4,FALSE),0),)</f>
        <v>0</v>
      </c>
      <c r="AE69" s="100">
        <f t="shared" ref="AE69:AE132" si="53">IF(AA69&lt;=$F$18,IFERROR(VLOOKUP($AA69,$B$82:$G$95,5,FALSE),0),)</f>
        <v>0</v>
      </c>
      <c r="AF69" s="194">
        <f t="shared" si="36"/>
        <v>45.054566927721588</v>
      </c>
      <c r="AG69" s="194">
        <f t="shared" si="37"/>
        <v>43.985872824758388</v>
      </c>
      <c r="AH69" s="194">
        <f t="shared" si="38"/>
        <v>1.3206909330401178</v>
      </c>
      <c r="AI69" s="199">
        <f t="shared" si="39"/>
        <v>90.361130685520095</v>
      </c>
      <c r="AK69" s="71">
        <v>64</v>
      </c>
      <c r="AL69" s="33">
        <f t="shared" ref="AL69:AL132" si="54">IF(AK69&lt;=$F$18,IFERROR(VLOOKUP($AA69,$B$82:$G$95,2,FALSE),0),)</f>
        <v>0</v>
      </c>
      <c r="AM69" s="33">
        <f t="shared" ref="AM69:AM132" si="55">IF(AK69&lt;=$F$18,IFERROR(VLOOKUP($AA69,$B$82:$G$95,3,FALSE),0),)</f>
        <v>0</v>
      </c>
      <c r="AN69" s="33">
        <f t="shared" ref="AN69:AN132" si="56">IF(AK69&lt;=$F$18,IFERROR(VLOOKUP($AA69,$B$82:$G$95,4,FALSE),0),)</f>
        <v>0</v>
      </c>
      <c r="AO69" s="33">
        <f t="shared" ref="AO69:AO132" si="57">IF(AK69&lt;=$F$18,IFERROR(VLOOKUP($AA69,$B$82:$G$95,5,FALSE),0),)</f>
        <v>0</v>
      </c>
      <c r="AP69" s="33">
        <f t="shared" ref="AP69:AP132" si="58">IF(AK69&lt;=$F$18,IFERROR(VLOOKUP($AA69,$B$82:$G$95,6,FALSE),0),)</f>
        <v>0</v>
      </c>
      <c r="AQ69" s="194">
        <f t="shared" si="40"/>
        <v>0</v>
      </c>
      <c r="AR69" s="194">
        <f t="shared" si="41"/>
        <v>0</v>
      </c>
      <c r="AS69" s="194">
        <f t="shared" si="42"/>
        <v>0</v>
      </c>
      <c r="AT69" s="194">
        <f t="shared" si="43"/>
        <v>0</v>
      </c>
      <c r="AU69" s="33"/>
      <c r="AV69" s="33"/>
      <c r="AW69" s="33"/>
      <c r="AX69" s="33"/>
      <c r="AY69" s="76"/>
    </row>
    <row r="70" spans="2:51">
      <c r="B70" s="40"/>
      <c r="C70" s="152"/>
      <c r="D70" s="137"/>
      <c r="E70" s="141"/>
      <c r="F70" s="42"/>
      <c r="G70" s="51"/>
      <c r="I70" s="55">
        <v>65</v>
      </c>
      <c r="J70" s="33">
        <f t="shared" si="21"/>
        <v>5</v>
      </c>
      <c r="K70" s="33">
        <f t="shared" si="22"/>
        <v>1.910565629709926</v>
      </c>
      <c r="L70" s="33">
        <f t="shared" si="23"/>
        <v>45</v>
      </c>
      <c r="M70" s="33">
        <f t="shared" si="24"/>
        <v>0</v>
      </c>
      <c r="N70" s="33">
        <f t="shared" si="44"/>
        <v>0</v>
      </c>
      <c r="O70" s="34">
        <f t="shared" si="45"/>
        <v>177.03590180507811</v>
      </c>
      <c r="P70" s="55">
        <v>65</v>
      </c>
      <c r="Q70" s="33">
        <f t="shared" ref="Q70:Q133" si="59">IF(P70&lt;=$F$18,LOOKUP(P70-1,$B$25:$B$78,$G$25:$G$78),)</f>
        <v>24.699999999999996</v>
      </c>
      <c r="R70" s="33">
        <f t="shared" si="25"/>
        <v>618.80000000000018</v>
      </c>
      <c r="S70" s="33">
        <f t="shared" si="26"/>
        <v>284.64800000000008</v>
      </c>
      <c r="T70" s="33">
        <f t="shared" si="46"/>
        <v>67.948321729376303</v>
      </c>
      <c r="U70" s="33">
        <f t="shared" ref="U70:U133" si="60">IF(P70&lt;=$F$18,$F$5+($F$15-$F$5)*(1-EXP(-0.0175*P70)),)</f>
        <v>61.984510759033235</v>
      </c>
      <c r="V70" s="33">
        <f t="shared" si="47"/>
        <v>10</v>
      </c>
      <c r="W70" s="33">
        <v>0</v>
      </c>
      <c r="X70" s="33">
        <f t="shared" si="48"/>
        <v>878.04846646178567</v>
      </c>
      <c r="Y70" s="38">
        <f t="shared" si="49"/>
        <v>701.01256465670758</v>
      </c>
      <c r="AA70" s="71">
        <v>65</v>
      </c>
      <c r="AB70" s="33">
        <f t="shared" si="50"/>
        <v>362</v>
      </c>
      <c r="AC70" s="305">
        <f t="shared" si="51"/>
        <v>0.45</v>
      </c>
      <c r="AD70" s="100">
        <f t="shared" si="52"/>
        <v>5.5999999999999994E-2</v>
      </c>
      <c r="AE70" s="100">
        <f t="shared" si="53"/>
        <v>4.3999999999999991E-2</v>
      </c>
      <c r="AF70" s="194">
        <f t="shared" si="36"/>
        <v>173.39728952591983</v>
      </c>
      <c r="AG70" s="194">
        <f t="shared" si="37"/>
        <v>58.801242442150198</v>
      </c>
      <c r="AH70" s="194">
        <f t="shared" si="38"/>
        <v>11.71831874353518</v>
      </c>
      <c r="AI70" s="199">
        <f t="shared" si="39"/>
        <v>243.91685071160521</v>
      </c>
      <c r="AK70" s="71">
        <v>65</v>
      </c>
      <c r="AL70" s="33">
        <f t="shared" si="54"/>
        <v>362</v>
      </c>
      <c r="AM70" s="33">
        <f t="shared" si="55"/>
        <v>0.9</v>
      </c>
      <c r="AN70" s="33">
        <f t="shared" si="56"/>
        <v>5.5999999999999994E-2</v>
      </c>
      <c r="AO70" s="33">
        <f t="shared" si="57"/>
        <v>4.3999999999999991E-2</v>
      </c>
      <c r="AP70" s="33">
        <f t="shared" si="58"/>
        <v>0</v>
      </c>
      <c r="AQ70" s="194">
        <f t="shared" si="40"/>
        <v>325.8</v>
      </c>
      <c r="AR70" s="194">
        <f t="shared" si="41"/>
        <v>20.271999999999998</v>
      </c>
      <c r="AS70" s="194">
        <f t="shared" si="42"/>
        <v>15.927999999999997</v>
      </c>
      <c r="AT70" s="194">
        <f t="shared" si="43"/>
        <v>0</v>
      </c>
      <c r="AU70" s="33"/>
      <c r="AV70" s="33"/>
      <c r="AW70" s="33"/>
      <c r="AX70" s="33"/>
      <c r="AY70" s="76"/>
    </row>
    <row r="71" spans="2:51">
      <c r="B71" s="40"/>
      <c r="C71" s="152"/>
      <c r="D71" s="137"/>
      <c r="E71" s="141"/>
      <c r="F71" s="42"/>
      <c r="G71" s="51"/>
      <c r="I71" s="55">
        <v>66</v>
      </c>
      <c r="J71" s="33">
        <f t="shared" ref="J71:J134" si="61">IF($I71&lt;=$F$10,$F$11*$F$13+J70,)</f>
        <v>0</v>
      </c>
      <c r="K71" s="33">
        <f t="shared" ref="K71:K134" si="62">IF(J71=0,0,EXP(-1.0587+0.8836*LN(J71)+0.284))</f>
        <v>0</v>
      </c>
      <c r="L71" s="33">
        <f t="shared" ref="L71:L134" si="63">IF(I71&lt;=$F$10,$F$5+($F$8-$F$5)*(1-EXP(-0.0175*I71)),)</f>
        <v>0</v>
      </c>
      <c r="M71" s="33">
        <f t="shared" ref="M71:M134" si="64">IF(I71&lt;=$F$10,IF(I71&lt;=30,I71*($F$9-$F$6)/30,$F$9-$F$6),)</f>
        <v>0</v>
      </c>
      <c r="N71" s="33">
        <f t="shared" si="44"/>
        <v>0</v>
      </c>
      <c r="O71" s="34">
        <f t="shared" si="45"/>
        <v>0</v>
      </c>
      <c r="P71" s="55">
        <v>66</v>
      </c>
      <c r="Q71" s="33">
        <f t="shared" si="59"/>
        <v>0</v>
      </c>
      <c r="R71" s="33">
        <f t="shared" ref="R71:R134" si="65">IF(P71&lt;=$F$18,Q71+R70,)</f>
        <v>0</v>
      </c>
      <c r="S71" s="33">
        <f t="shared" ref="S71:S134" si="66">$F$19*R71</f>
        <v>0</v>
      </c>
      <c r="T71" s="33">
        <f t="shared" si="46"/>
        <v>0</v>
      </c>
      <c r="U71" s="33">
        <f t="shared" si="60"/>
        <v>0</v>
      </c>
      <c r="V71" s="33">
        <f t="shared" si="47"/>
        <v>0</v>
      </c>
      <c r="W71" s="33">
        <v>0</v>
      </c>
      <c r="X71" s="33">
        <f t="shared" si="48"/>
        <v>0</v>
      </c>
      <c r="Y71" s="38">
        <f t="shared" si="49"/>
        <v>0</v>
      </c>
      <c r="AA71" s="71">
        <v>66</v>
      </c>
      <c r="AB71" s="33">
        <f t="shared" si="50"/>
        <v>0</v>
      </c>
      <c r="AC71" s="305">
        <f t="shared" si="51"/>
        <v>0</v>
      </c>
      <c r="AD71" s="100">
        <f t="shared" si="52"/>
        <v>0</v>
      </c>
      <c r="AE71" s="100">
        <f t="shared" si="53"/>
        <v>0</v>
      </c>
      <c r="AF71" s="194">
        <f t="shared" si="36"/>
        <v>0</v>
      </c>
      <c r="AG71" s="194">
        <f t="shared" si="37"/>
        <v>0</v>
      </c>
      <c r="AH71" s="194">
        <f t="shared" si="38"/>
        <v>0</v>
      </c>
      <c r="AI71" s="199">
        <f t="shared" si="39"/>
        <v>0</v>
      </c>
      <c r="AK71" s="71">
        <v>66</v>
      </c>
      <c r="AL71" s="33">
        <f t="shared" si="54"/>
        <v>0</v>
      </c>
      <c r="AM71" s="33">
        <f t="shared" si="55"/>
        <v>0</v>
      </c>
      <c r="AN71" s="33">
        <f t="shared" si="56"/>
        <v>0</v>
      </c>
      <c r="AO71" s="33">
        <f t="shared" si="57"/>
        <v>0</v>
      </c>
      <c r="AP71" s="33">
        <f t="shared" si="58"/>
        <v>0</v>
      </c>
      <c r="AQ71" s="194">
        <f t="shared" si="40"/>
        <v>0</v>
      </c>
      <c r="AR71" s="194">
        <f t="shared" si="41"/>
        <v>0</v>
      </c>
      <c r="AS71" s="194">
        <f t="shared" si="42"/>
        <v>0</v>
      </c>
      <c r="AT71" s="194">
        <f t="shared" si="43"/>
        <v>0</v>
      </c>
      <c r="AU71" s="33"/>
      <c r="AV71" s="33"/>
      <c r="AW71" s="33"/>
      <c r="AX71" s="33"/>
      <c r="AY71" s="76"/>
    </row>
    <row r="72" spans="2:51">
      <c r="B72" s="40"/>
      <c r="C72" s="152"/>
      <c r="D72" s="137"/>
      <c r="E72" s="141"/>
      <c r="F72" s="42"/>
      <c r="G72" s="51"/>
      <c r="I72" s="55">
        <v>67</v>
      </c>
      <c r="J72" s="33">
        <f t="shared" si="61"/>
        <v>0</v>
      </c>
      <c r="K72" s="33">
        <f t="shared" si="62"/>
        <v>0</v>
      </c>
      <c r="L72" s="33">
        <f t="shared" si="63"/>
        <v>0</v>
      </c>
      <c r="M72" s="33">
        <f t="shared" si="64"/>
        <v>0</v>
      </c>
      <c r="N72" s="33">
        <f t="shared" si="44"/>
        <v>0</v>
      </c>
      <c r="O72" s="34">
        <f t="shared" si="45"/>
        <v>0</v>
      </c>
      <c r="P72" s="55">
        <v>67</v>
      </c>
      <c r="Q72" s="33">
        <f t="shared" si="59"/>
        <v>0</v>
      </c>
      <c r="R72" s="33">
        <f t="shared" si="65"/>
        <v>0</v>
      </c>
      <c r="S72" s="33">
        <f t="shared" si="66"/>
        <v>0</v>
      </c>
      <c r="T72" s="33">
        <f t="shared" si="46"/>
        <v>0</v>
      </c>
      <c r="U72" s="33">
        <f t="shared" si="60"/>
        <v>0</v>
      </c>
      <c r="V72" s="33">
        <f t="shared" si="47"/>
        <v>0</v>
      </c>
      <c r="W72" s="33">
        <v>0</v>
      </c>
      <c r="X72" s="33">
        <f t="shared" si="48"/>
        <v>0</v>
      </c>
      <c r="Y72" s="38">
        <f t="shared" si="49"/>
        <v>0</v>
      </c>
      <c r="AA72" s="71">
        <v>67</v>
      </c>
      <c r="AB72" s="33">
        <f t="shared" si="50"/>
        <v>0</v>
      </c>
      <c r="AC72" s="305">
        <f t="shared" si="51"/>
        <v>0</v>
      </c>
      <c r="AD72" s="100">
        <f t="shared" si="52"/>
        <v>0</v>
      </c>
      <c r="AE72" s="100">
        <f t="shared" si="53"/>
        <v>0</v>
      </c>
      <c r="AF72" s="194">
        <f t="shared" si="36"/>
        <v>0</v>
      </c>
      <c r="AG72" s="194">
        <f t="shared" si="37"/>
        <v>0</v>
      </c>
      <c r="AH72" s="194">
        <f t="shared" si="38"/>
        <v>0</v>
      </c>
      <c r="AI72" s="199">
        <f t="shared" si="39"/>
        <v>0</v>
      </c>
      <c r="AK72" s="71">
        <v>67</v>
      </c>
      <c r="AL72" s="33">
        <f t="shared" si="54"/>
        <v>0</v>
      </c>
      <c r="AM72" s="33">
        <f t="shared" si="55"/>
        <v>0</v>
      </c>
      <c r="AN72" s="33">
        <f t="shared" si="56"/>
        <v>0</v>
      </c>
      <c r="AO72" s="33">
        <f t="shared" si="57"/>
        <v>0</v>
      </c>
      <c r="AP72" s="33">
        <f t="shared" si="58"/>
        <v>0</v>
      </c>
      <c r="AQ72" s="194">
        <f t="shared" si="40"/>
        <v>0</v>
      </c>
      <c r="AR72" s="194">
        <f t="shared" si="41"/>
        <v>0</v>
      </c>
      <c r="AS72" s="194">
        <f t="shared" si="42"/>
        <v>0</v>
      </c>
      <c r="AT72" s="194">
        <f t="shared" si="43"/>
        <v>0</v>
      </c>
      <c r="AU72" s="33"/>
      <c r="AV72" s="33"/>
      <c r="AW72" s="33"/>
      <c r="AX72" s="33"/>
      <c r="AY72" s="76"/>
    </row>
    <row r="73" spans="2:51">
      <c r="B73" s="40"/>
      <c r="C73" s="152"/>
      <c r="D73" s="137"/>
      <c r="E73" s="141"/>
      <c r="F73" s="42"/>
      <c r="G73" s="51"/>
      <c r="I73" s="55">
        <v>68</v>
      </c>
      <c r="J73" s="33">
        <f t="shared" si="61"/>
        <v>0</v>
      </c>
      <c r="K73" s="33">
        <f t="shared" si="62"/>
        <v>0</v>
      </c>
      <c r="L73" s="33">
        <f t="shared" si="63"/>
        <v>0</v>
      </c>
      <c r="M73" s="33">
        <f t="shared" si="64"/>
        <v>0</v>
      </c>
      <c r="N73" s="33">
        <f t="shared" si="44"/>
        <v>0</v>
      </c>
      <c r="O73" s="34">
        <f t="shared" si="45"/>
        <v>0</v>
      </c>
      <c r="P73" s="55">
        <v>68</v>
      </c>
      <c r="Q73" s="33">
        <f t="shared" si="59"/>
        <v>0</v>
      </c>
      <c r="R73" s="33">
        <f t="shared" si="65"/>
        <v>0</v>
      </c>
      <c r="S73" s="33">
        <f t="shared" si="66"/>
        <v>0</v>
      </c>
      <c r="T73" s="33">
        <f t="shared" si="46"/>
        <v>0</v>
      </c>
      <c r="U73" s="33">
        <f t="shared" si="60"/>
        <v>0</v>
      </c>
      <c r="V73" s="33">
        <f t="shared" si="47"/>
        <v>0</v>
      </c>
      <c r="W73" s="33">
        <v>0</v>
      </c>
      <c r="X73" s="33">
        <f t="shared" si="48"/>
        <v>0</v>
      </c>
      <c r="Y73" s="38">
        <f t="shared" si="49"/>
        <v>0</v>
      </c>
      <c r="AA73" s="71">
        <v>68</v>
      </c>
      <c r="AB73" s="33">
        <f t="shared" si="50"/>
        <v>0</v>
      </c>
      <c r="AC73" s="305">
        <f t="shared" si="51"/>
        <v>0</v>
      </c>
      <c r="AD73" s="100">
        <f t="shared" si="52"/>
        <v>0</v>
      </c>
      <c r="AE73" s="100">
        <f t="shared" si="53"/>
        <v>0</v>
      </c>
      <c r="AF73" s="194">
        <f t="shared" si="36"/>
        <v>0</v>
      </c>
      <c r="AG73" s="194">
        <f t="shared" si="37"/>
        <v>0</v>
      </c>
      <c r="AH73" s="194">
        <f t="shared" si="38"/>
        <v>0</v>
      </c>
      <c r="AI73" s="199">
        <f t="shared" si="39"/>
        <v>0</v>
      </c>
      <c r="AK73" s="71">
        <v>68</v>
      </c>
      <c r="AL73" s="33">
        <f t="shared" si="54"/>
        <v>0</v>
      </c>
      <c r="AM73" s="33">
        <f t="shared" si="55"/>
        <v>0</v>
      </c>
      <c r="AN73" s="33">
        <f t="shared" si="56"/>
        <v>0</v>
      </c>
      <c r="AO73" s="33">
        <f t="shared" si="57"/>
        <v>0</v>
      </c>
      <c r="AP73" s="33">
        <f t="shared" si="58"/>
        <v>0</v>
      </c>
      <c r="AQ73" s="194">
        <f t="shared" si="40"/>
        <v>0</v>
      </c>
      <c r="AR73" s="194">
        <f t="shared" si="41"/>
        <v>0</v>
      </c>
      <c r="AS73" s="194">
        <f t="shared" si="42"/>
        <v>0</v>
      </c>
      <c r="AT73" s="194">
        <f t="shared" si="43"/>
        <v>0</v>
      </c>
      <c r="AU73" s="33"/>
      <c r="AV73" s="33"/>
      <c r="AW73" s="33"/>
      <c r="AX73" s="33"/>
      <c r="AY73" s="76"/>
    </row>
    <row r="74" spans="2:51">
      <c r="B74" s="40"/>
      <c r="C74" s="152"/>
      <c r="D74" s="137"/>
      <c r="E74" s="141"/>
      <c r="F74" s="42"/>
      <c r="G74" s="51"/>
      <c r="I74" s="55">
        <v>69</v>
      </c>
      <c r="J74" s="33">
        <f t="shared" si="61"/>
        <v>0</v>
      </c>
      <c r="K74" s="33">
        <f t="shared" si="62"/>
        <v>0</v>
      </c>
      <c r="L74" s="33">
        <f t="shared" si="63"/>
        <v>0</v>
      </c>
      <c r="M74" s="33">
        <f t="shared" si="64"/>
        <v>0</v>
      </c>
      <c r="N74" s="33">
        <f t="shared" si="44"/>
        <v>0</v>
      </c>
      <c r="O74" s="34">
        <f t="shared" si="45"/>
        <v>0</v>
      </c>
      <c r="P74" s="55">
        <v>69</v>
      </c>
      <c r="Q74" s="33">
        <f t="shared" si="59"/>
        <v>0</v>
      </c>
      <c r="R74" s="33">
        <f t="shared" si="65"/>
        <v>0</v>
      </c>
      <c r="S74" s="33">
        <f t="shared" si="66"/>
        <v>0</v>
      </c>
      <c r="T74" s="33">
        <f t="shared" si="46"/>
        <v>0</v>
      </c>
      <c r="U74" s="33">
        <f t="shared" si="60"/>
        <v>0</v>
      </c>
      <c r="V74" s="33">
        <f t="shared" si="47"/>
        <v>0</v>
      </c>
      <c r="W74" s="33">
        <v>0</v>
      </c>
      <c r="X74" s="33">
        <f t="shared" si="48"/>
        <v>0</v>
      </c>
      <c r="Y74" s="38">
        <f t="shared" si="49"/>
        <v>0</v>
      </c>
      <c r="AA74" s="71">
        <v>69</v>
      </c>
      <c r="AB74" s="33">
        <f t="shared" si="50"/>
        <v>0</v>
      </c>
      <c r="AC74" s="305">
        <f t="shared" si="51"/>
        <v>0</v>
      </c>
      <c r="AD74" s="100">
        <f t="shared" si="52"/>
        <v>0</v>
      </c>
      <c r="AE74" s="100">
        <f t="shared" si="53"/>
        <v>0</v>
      </c>
      <c r="AF74" s="194">
        <f t="shared" si="36"/>
        <v>0</v>
      </c>
      <c r="AG74" s="194">
        <f t="shared" si="37"/>
        <v>0</v>
      </c>
      <c r="AH74" s="194">
        <f t="shared" si="38"/>
        <v>0</v>
      </c>
      <c r="AI74" s="199">
        <f t="shared" si="39"/>
        <v>0</v>
      </c>
      <c r="AK74" s="71">
        <v>69</v>
      </c>
      <c r="AL74" s="33">
        <f t="shared" si="54"/>
        <v>0</v>
      </c>
      <c r="AM74" s="33">
        <f t="shared" si="55"/>
        <v>0</v>
      </c>
      <c r="AN74" s="33">
        <f t="shared" si="56"/>
        <v>0</v>
      </c>
      <c r="AO74" s="33">
        <f t="shared" si="57"/>
        <v>0</v>
      </c>
      <c r="AP74" s="33">
        <f t="shared" si="58"/>
        <v>0</v>
      </c>
      <c r="AQ74" s="194">
        <f t="shared" si="40"/>
        <v>0</v>
      </c>
      <c r="AR74" s="194">
        <f t="shared" si="41"/>
        <v>0</v>
      </c>
      <c r="AS74" s="194">
        <f t="shared" si="42"/>
        <v>0</v>
      </c>
      <c r="AT74" s="194">
        <f t="shared" si="43"/>
        <v>0</v>
      </c>
      <c r="AU74" s="33"/>
      <c r="AV74" s="33"/>
      <c r="AW74" s="33"/>
      <c r="AX74" s="33"/>
      <c r="AY74" s="76"/>
    </row>
    <row r="75" spans="2:51">
      <c r="B75" s="40"/>
      <c r="C75" s="152"/>
      <c r="D75" s="137"/>
      <c r="E75" s="141"/>
      <c r="F75" s="42"/>
      <c r="G75" s="51"/>
      <c r="I75" s="55">
        <v>70</v>
      </c>
      <c r="J75" s="33">
        <f t="shared" si="61"/>
        <v>0</v>
      </c>
      <c r="K75" s="33">
        <f t="shared" si="62"/>
        <v>0</v>
      </c>
      <c r="L75" s="33">
        <f t="shared" si="63"/>
        <v>0</v>
      </c>
      <c r="M75" s="33">
        <f t="shared" si="64"/>
        <v>0</v>
      </c>
      <c r="N75" s="33">
        <f t="shared" si="44"/>
        <v>0</v>
      </c>
      <c r="O75" s="34">
        <f t="shared" si="45"/>
        <v>0</v>
      </c>
      <c r="P75" s="55">
        <v>70</v>
      </c>
      <c r="Q75" s="33">
        <f t="shared" si="59"/>
        <v>0</v>
      </c>
      <c r="R75" s="33">
        <f t="shared" si="65"/>
        <v>0</v>
      </c>
      <c r="S75" s="33">
        <f t="shared" si="66"/>
        <v>0</v>
      </c>
      <c r="T75" s="33">
        <f t="shared" si="46"/>
        <v>0</v>
      </c>
      <c r="U75" s="33">
        <f t="shared" si="60"/>
        <v>0</v>
      </c>
      <c r="V75" s="33">
        <f t="shared" si="47"/>
        <v>0</v>
      </c>
      <c r="W75" s="33">
        <v>0</v>
      </c>
      <c r="X75" s="33">
        <f t="shared" si="48"/>
        <v>0</v>
      </c>
      <c r="Y75" s="38">
        <f t="shared" si="49"/>
        <v>0</v>
      </c>
      <c r="AA75" s="71">
        <v>70</v>
      </c>
      <c r="AB75" s="33">
        <f t="shared" si="50"/>
        <v>0</v>
      </c>
      <c r="AC75" s="305">
        <f t="shared" si="51"/>
        <v>0</v>
      </c>
      <c r="AD75" s="100">
        <f t="shared" si="52"/>
        <v>0</v>
      </c>
      <c r="AE75" s="100">
        <f t="shared" si="53"/>
        <v>0</v>
      </c>
      <c r="AF75" s="194">
        <f t="shared" si="36"/>
        <v>0</v>
      </c>
      <c r="AG75" s="194">
        <f t="shared" si="37"/>
        <v>0</v>
      </c>
      <c r="AH75" s="194">
        <f t="shared" si="38"/>
        <v>0</v>
      </c>
      <c r="AI75" s="199">
        <f t="shared" si="39"/>
        <v>0</v>
      </c>
      <c r="AK75" s="71">
        <v>70</v>
      </c>
      <c r="AL75" s="33">
        <f t="shared" si="54"/>
        <v>0</v>
      </c>
      <c r="AM75" s="33">
        <f t="shared" si="55"/>
        <v>0</v>
      </c>
      <c r="AN75" s="33">
        <f t="shared" si="56"/>
        <v>0</v>
      </c>
      <c r="AO75" s="33">
        <f t="shared" si="57"/>
        <v>0</v>
      </c>
      <c r="AP75" s="33">
        <f t="shared" si="58"/>
        <v>0</v>
      </c>
      <c r="AQ75" s="194">
        <f t="shared" si="40"/>
        <v>0</v>
      </c>
      <c r="AR75" s="194">
        <f t="shared" si="41"/>
        <v>0</v>
      </c>
      <c r="AS75" s="194">
        <f t="shared" si="42"/>
        <v>0</v>
      </c>
      <c r="AT75" s="194">
        <f t="shared" si="43"/>
        <v>0</v>
      </c>
      <c r="AU75" s="33"/>
      <c r="AV75" s="33"/>
      <c r="AW75" s="33"/>
      <c r="AX75" s="33"/>
      <c r="AY75" s="76"/>
    </row>
    <row r="76" spans="2:51">
      <c r="B76" s="40"/>
      <c r="C76" s="152"/>
      <c r="D76" s="137"/>
      <c r="E76" s="141"/>
      <c r="F76" s="42"/>
      <c r="G76" s="51"/>
      <c r="I76" s="55">
        <v>71</v>
      </c>
      <c r="J76" s="33">
        <f t="shared" si="61"/>
        <v>0</v>
      </c>
      <c r="K76" s="33">
        <f t="shared" si="62"/>
        <v>0</v>
      </c>
      <c r="L76" s="33">
        <f t="shared" si="63"/>
        <v>0</v>
      </c>
      <c r="M76" s="33">
        <f t="shared" si="64"/>
        <v>0</v>
      </c>
      <c r="N76" s="33">
        <f t="shared" si="44"/>
        <v>0</v>
      </c>
      <c r="O76" s="34">
        <f t="shared" si="45"/>
        <v>0</v>
      </c>
      <c r="P76" s="55">
        <v>71</v>
      </c>
      <c r="Q76" s="33">
        <f t="shared" si="59"/>
        <v>0</v>
      </c>
      <c r="R76" s="33">
        <f t="shared" si="65"/>
        <v>0</v>
      </c>
      <c r="S76" s="33">
        <f t="shared" si="66"/>
        <v>0</v>
      </c>
      <c r="T76" s="33">
        <f t="shared" si="46"/>
        <v>0</v>
      </c>
      <c r="U76" s="33">
        <f t="shared" si="60"/>
        <v>0</v>
      </c>
      <c r="V76" s="33">
        <f t="shared" si="47"/>
        <v>0</v>
      </c>
      <c r="W76" s="33">
        <v>0</v>
      </c>
      <c r="X76" s="33">
        <f t="shared" si="48"/>
        <v>0</v>
      </c>
      <c r="Y76" s="38">
        <f t="shared" si="49"/>
        <v>0</v>
      </c>
      <c r="AA76" s="71">
        <v>71</v>
      </c>
      <c r="AB76" s="33">
        <f t="shared" si="50"/>
        <v>0</v>
      </c>
      <c r="AC76" s="305">
        <f t="shared" si="51"/>
        <v>0</v>
      </c>
      <c r="AD76" s="100">
        <f t="shared" si="52"/>
        <v>0</v>
      </c>
      <c r="AE76" s="100">
        <f t="shared" si="53"/>
        <v>0</v>
      </c>
      <c r="AF76" s="194">
        <f t="shared" si="36"/>
        <v>0</v>
      </c>
      <c r="AG76" s="194">
        <f t="shared" si="37"/>
        <v>0</v>
      </c>
      <c r="AH76" s="194">
        <f t="shared" si="38"/>
        <v>0</v>
      </c>
      <c r="AI76" s="199">
        <f t="shared" si="39"/>
        <v>0</v>
      </c>
      <c r="AK76" s="71">
        <v>71</v>
      </c>
      <c r="AL76" s="33">
        <f t="shared" si="54"/>
        <v>0</v>
      </c>
      <c r="AM76" s="33">
        <f t="shared" si="55"/>
        <v>0</v>
      </c>
      <c r="AN76" s="33">
        <f t="shared" si="56"/>
        <v>0</v>
      </c>
      <c r="AO76" s="33">
        <f t="shared" si="57"/>
        <v>0</v>
      </c>
      <c r="AP76" s="33">
        <f t="shared" si="58"/>
        <v>0</v>
      </c>
      <c r="AQ76" s="194">
        <f t="shared" si="40"/>
        <v>0</v>
      </c>
      <c r="AR76" s="194">
        <f t="shared" si="41"/>
        <v>0</v>
      </c>
      <c r="AS76" s="194">
        <f t="shared" si="42"/>
        <v>0</v>
      </c>
      <c r="AT76" s="194">
        <f t="shared" si="43"/>
        <v>0</v>
      </c>
      <c r="AU76" s="33"/>
      <c r="AV76" s="33"/>
      <c r="AW76" s="33"/>
      <c r="AX76" s="33"/>
      <c r="AY76" s="76"/>
    </row>
    <row r="77" spans="2:51">
      <c r="B77" s="40"/>
      <c r="C77" s="152"/>
      <c r="D77" s="137"/>
      <c r="E77" s="141"/>
      <c r="F77" s="42"/>
      <c r="G77" s="51"/>
      <c r="I77" s="55">
        <v>72</v>
      </c>
      <c r="J77" s="33">
        <f t="shared" si="61"/>
        <v>0</v>
      </c>
      <c r="K77" s="33">
        <f t="shared" si="62"/>
        <v>0</v>
      </c>
      <c r="L77" s="33">
        <f t="shared" si="63"/>
        <v>0</v>
      </c>
      <c r="M77" s="33">
        <f t="shared" si="64"/>
        <v>0</v>
      </c>
      <c r="N77" s="33">
        <f t="shared" si="44"/>
        <v>0</v>
      </c>
      <c r="O77" s="34">
        <f t="shared" si="45"/>
        <v>0</v>
      </c>
      <c r="P77" s="55">
        <v>72</v>
      </c>
      <c r="Q77" s="33">
        <f t="shared" si="59"/>
        <v>0</v>
      </c>
      <c r="R77" s="33">
        <f t="shared" si="65"/>
        <v>0</v>
      </c>
      <c r="S77" s="33">
        <f t="shared" si="66"/>
        <v>0</v>
      </c>
      <c r="T77" s="33">
        <f t="shared" si="46"/>
        <v>0</v>
      </c>
      <c r="U77" s="33">
        <f t="shared" si="60"/>
        <v>0</v>
      </c>
      <c r="V77" s="33">
        <f t="shared" si="47"/>
        <v>0</v>
      </c>
      <c r="W77" s="33">
        <v>0</v>
      </c>
      <c r="X77" s="33">
        <f t="shared" si="48"/>
        <v>0</v>
      </c>
      <c r="Y77" s="38">
        <f t="shared" si="49"/>
        <v>0</v>
      </c>
      <c r="AA77" s="71">
        <v>72</v>
      </c>
      <c r="AB77" s="33">
        <f t="shared" si="50"/>
        <v>0</v>
      </c>
      <c r="AC77" s="305">
        <f t="shared" si="51"/>
        <v>0</v>
      </c>
      <c r="AD77" s="100">
        <f t="shared" si="52"/>
        <v>0</v>
      </c>
      <c r="AE77" s="100">
        <f t="shared" si="53"/>
        <v>0</v>
      </c>
      <c r="AF77" s="194">
        <f t="shared" si="36"/>
        <v>0</v>
      </c>
      <c r="AG77" s="194">
        <f t="shared" si="37"/>
        <v>0</v>
      </c>
      <c r="AH77" s="194">
        <f t="shared" si="38"/>
        <v>0</v>
      </c>
      <c r="AI77" s="199">
        <f t="shared" si="39"/>
        <v>0</v>
      </c>
      <c r="AK77" s="71">
        <v>72</v>
      </c>
      <c r="AL77" s="33">
        <f t="shared" si="54"/>
        <v>0</v>
      </c>
      <c r="AM77" s="33">
        <f t="shared" si="55"/>
        <v>0</v>
      </c>
      <c r="AN77" s="33">
        <f t="shared" si="56"/>
        <v>0</v>
      </c>
      <c r="AO77" s="33">
        <f t="shared" si="57"/>
        <v>0</v>
      </c>
      <c r="AP77" s="33">
        <f t="shared" si="58"/>
        <v>0</v>
      </c>
      <c r="AQ77" s="194">
        <f t="shared" si="40"/>
        <v>0</v>
      </c>
      <c r="AR77" s="194">
        <f t="shared" si="41"/>
        <v>0</v>
      </c>
      <c r="AS77" s="194">
        <f t="shared" si="42"/>
        <v>0</v>
      </c>
      <c r="AT77" s="194">
        <f t="shared" si="43"/>
        <v>0</v>
      </c>
      <c r="AU77" s="33"/>
      <c r="AV77" s="33"/>
      <c r="AW77" s="33"/>
      <c r="AX77" s="33"/>
      <c r="AY77" s="76"/>
    </row>
    <row r="78" spans="2:51">
      <c r="B78" s="43"/>
      <c r="C78" s="153"/>
      <c r="D78" s="154"/>
      <c r="E78" s="141"/>
      <c r="F78" s="42"/>
      <c r="G78" s="51"/>
      <c r="I78" s="55">
        <v>73</v>
      </c>
      <c r="J78" s="33">
        <f t="shared" si="61"/>
        <v>0</v>
      </c>
      <c r="K78" s="33">
        <f t="shared" si="62"/>
        <v>0</v>
      </c>
      <c r="L78" s="33">
        <f t="shared" si="63"/>
        <v>0</v>
      </c>
      <c r="M78" s="33">
        <f t="shared" si="64"/>
        <v>0</v>
      </c>
      <c r="N78" s="33">
        <f t="shared" si="44"/>
        <v>0</v>
      </c>
      <c r="O78" s="34">
        <f t="shared" si="45"/>
        <v>0</v>
      </c>
      <c r="P78" s="55">
        <v>73</v>
      </c>
      <c r="Q78" s="33">
        <f t="shared" si="59"/>
        <v>0</v>
      </c>
      <c r="R78" s="33">
        <f t="shared" si="65"/>
        <v>0</v>
      </c>
      <c r="S78" s="33">
        <f t="shared" si="66"/>
        <v>0</v>
      </c>
      <c r="T78" s="33">
        <f t="shared" si="46"/>
        <v>0</v>
      </c>
      <c r="U78" s="33">
        <f t="shared" si="60"/>
        <v>0</v>
      </c>
      <c r="V78" s="33">
        <f t="shared" si="47"/>
        <v>0</v>
      </c>
      <c r="W78" s="33">
        <v>0</v>
      </c>
      <c r="X78" s="33">
        <f t="shared" si="48"/>
        <v>0</v>
      </c>
      <c r="Y78" s="38">
        <f t="shared" si="49"/>
        <v>0</v>
      </c>
      <c r="AA78" s="71">
        <v>73</v>
      </c>
      <c r="AB78" s="33">
        <f t="shared" si="50"/>
        <v>0</v>
      </c>
      <c r="AC78" s="305">
        <f t="shared" si="51"/>
        <v>0</v>
      </c>
      <c r="AD78" s="100">
        <f t="shared" si="52"/>
        <v>0</v>
      </c>
      <c r="AE78" s="100">
        <f t="shared" si="53"/>
        <v>0</v>
      </c>
      <c r="AF78" s="194">
        <f t="shared" si="36"/>
        <v>0</v>
      </c>
      <c r="AG78" s="194">
        <f t="shared" si="37"/>
        <v>0</v>
      </c>
      <c r="AH78" s="194">
        <f t="shared" si="38"/>
        <v>0</v>
      </c>
      <c r="AI78" s="199">
        <f t="shared" si="39"/>
        <v>0</v>
      </c>
      <c r="AK78" s="71">
        <v>73</v>
      </c>
      <c r="AL78" s="33">
        <f t="shared" si="54"/>
        <v>0</v>
      </c>
      <c r="AM78" s="33">
        <f t="shared" si="55"/>
        <v>0</v>
      </c>
      <c r="AN78" s="33">
        <f t="shared" si="56"/>
        <v>0</v>
      </c>
      <c r="AO78" s="33">
        <f t="shared" si="57"/>
        <v>0</v>
      </c>
      <c r="AP78" s="33">
        <f t="shared" si="58"/>
        <v>0</v>
      </c>
      <c r="AQ78" s="194">
        <f t="shared" si="40"/>
        <v>0</v>
      </c>
      <c r="AR78" s="194">
        <f t="shared" si="41"/>
        <v>0</v>
      </c>
      <c r="AS78" s="194">
        <f t="shared" si="42"/>
        <v>0</v>
      </c>
      <c r="AT78" s="194">
        <f t="shared" si="43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1"/>
        <v>0</v>
      </c>
      <c r="K79" s="33">
        <f t="shared" si="62"/>
        <v>0</v>
      </c>
      <c r="L79" s="33">
        <f t="shared" si="63"/>
        <v>0</v>
      </c>
      <c r="M79" s="33">
        <f t="shared" si="64"/>
        <v>0</v>
      </c>
      <c r="N79" s="33">
        <f t="shared" si="44"/>
        <v>0</v>
      </c>
      <c r="O79" s="34">
        <f t="shared" si="45"/>
        <v>0</v>
      </c>
      <c r="P79" s="55">
        <v>74</v>
      </c>
      <c r="Q79" s="33">
        <f t="shared" si="59"/>
        <v>0</v>
      </c>
      <c r="R79" s="33">
        <f t="shared" si="65"/>
        <v>0</v>
      </c>
      <c r="S79" s="33">
        <f t="shared" si="66"/>
        <v>0</v>
      </c>
      <c r="T79" s="33">
        <f t="shared" si="46"/>
        <v>0</v>
      </c>
      <c r="U79" s="33">
        <f t="shared" si="60"/>
        <v>0</v>
      </c>
      <c r="V79" s="33">
        <f t="shared" si="47"/>
        <v>0</v>
      </c>
      <c r="W79" s="33">
        <v>0</v>
      </c>
      <c r="X79" s="33">
        <f t="shared" si="48"/>
        <v>0</v>
      </c>
      <c r="Y79" s="38">
        <f t="shared" si="49"/>
        <v>0</v>
      </c>
      <c r="AA79" s="71">
        <v>74</v>
      </c>
      <c r="AB79" s="33">
        <f t="shared" si="50"/>
        <v>0</v>
      </c>
      <c r="AC79" s="305">
        <f t="shared" si="51"/>
        <v>0</v>
      </c>
      <c r="AD79" s="100">
        <f t="shared" si="52"/>
        <v>0</v>
      </c>
      <c r="AE79" s="100">
        <f t="shared" si="53"/>
        <v>0</v>
      </c>
      <c r="AF79" s="194">
        <f t="shared" si="36"/>
        <v>0</v>
      </c>
      <c r="AG79" s="194">
        <f t="shared" si="37"/>
        <v>0</v>
      </c>
      <c r="AH79" s="194">
        <f t="shared" si="38"/>
        <v>0</v>
      </c>
      <c r="AI79" s="199">
        <f t="shared" si="39"/>
        <v>0</v>
      </c>
      <c r="AK79" s="71">
        <v>74</v>
      </c>
      <c r="AL79" s="33">
        <f t="shared" si="54"/>
        <v>0</v>
      </c>
      <c r="AM79" s="33">
        <f t="shared" si="55"/>
        <v>0</v>
      </c>
      <c r="AN79" s="33">
        <f t="shared" si="56"/>
        <v>0</v>
      </c>
      <c r="AO79" s="33">
        <f t="shared" si="57"/>
        <v>0</v>
      </c>
      <c r="AP79" s="33">
        <f t="shared" si="58"/>
        <v>0</v>
      </c>
      <c r="AQ79" s="194">
        <f t="shared" si="40"/>
        <v>0</v>
      </c>
      <c r="AR79" s="194">
        <f t="shared" si="41"/>
        <v>0</v>
      </c>
      <c r="AS79" s="194">
        <f t="shared" si="42"/>
        <v>0</v>
      </c>
      <c r="AT79" s="194">
        <f t="shared" si="43"/>
        <v>0</v>
      </c>
      <c r="AU79" s="33"/>
      <c r="AV79" s="33"/>
      <c r="AW79" s="33"/>
      <c r="AX79" s="33"/>
      <c r="AY79" s="76"/>
    </row>
    <row r="80" spans="2:51">
      <c r="B80" s="378" t="s">
        <v>258</v>
      </c>
      <c r="C80" s="379"/>
      <c r="D80" s="379"/>
      <c r="E80" s="379"/>
      <c r="F80" s="379"/>
      <c r="G80" s="380"/>
      <c r="H80" s="23"/>
      <c r="I80" s="55">
        <v>75</v>
      </c>
      <c r="J80" s="33">
        <f t="shared" si="61"/>
        <v>0</v>
      </c>
      <c r="K80" s="33">
        <f t="shared" si="62"/>
        <v>0</v>
      </c>
      <c r="L80" s="33">
        <f t="shared" si="63"/>
        <v>0</v>
      </c>
      <c r="M80" s="33">
        <f t="shared" si="64"/>
        <v>0</v>
      </c>
      <c r="N80" s="33">
        <f t="shared" si="44"/>
        <v>0</v>
      </c>
      <c r="O80" s="34">
        <f t="shared" si="45"/>
        <v>0</v>
      </c>
      <c r="P80" s="55">
        <v>75</v>
      </c>
      <c r="Q80" s="33">
        <f t="shared" si="59"/>
        <v>0</v>
      </c>
      <c r="R80" s="33">
        <f t="shared" si="65"/>
        <v>0</v>
      </c>
      <c r="S80" s="33">
        <f t="shared" si="66"/>
        <v>0</v>
      </c>
      <c r="T80" s="33">
        <f t="shared" si="46"/>
        <v>0</v>
      </c>
      <c r="U80" s="33">
        <f t="shared" si="60"/>
        <v>0</v>
      </c>
      <c r="V80" s="33">
        <f t="shared" si="47"/>
        <v>0</v>
      </c>
      <c r="W80" s="33">
        <v>0</v>
      </c>
      <c r="X80" s="33">
        <f t="shared" si="48"/>
        <v>0</v>
      </c>
      <c r="Y80" s="38">
        <f t="shared" si="49"/>
        <v>0</v>
      </c>
      <c r="AA80" s="71">
        <v>75</v>
      </c>
      <c r="AB80" s="33">
        <f t="shared" si="50"/>
        <v>0</v>
      </c>
      <c r="AC80" s="305">
        <f t="shared" si="51"/>
        <v>0</v>
      </c>
      <c r="AD80" s="100">
        <f t="shared" si="52"/>
        <v>0</v>
      </c>
      <c r="AE80" s="100">
        <f t="shared" si="53"/>
        <v>0</v>
      </c>
      <c r="AF80" s="194">
        <f t="shared" si="36"/>
        <v>0</v>
      </c>
      <c r="AG80" s="194">
        <f t="shared" si="37"/>
        <v>0</v>
      </c>
      <c r="AH80" s="194">
        <f t="shared" si="38"/>
        <v>0</v>
      </c>
      <c r="AI80" s="199">
        <f t="shared" si="39"/>
        <v>0</v>
      </c>
      <c r="AK80" s="71">
        <v>75</v>
      </c>
      <c r="AL80" s="33">
        <f t="shared" si="54"/>
        <v>0</v>
      </c>
      <c r="AM80" s="33">
        <f t="shared" si="55"/>
        <v>0</v>
      </c>
      <c r="AN80" s="33">
        <f t="shared" si="56"/>
        <v>0</v>
      </c>
      <c r="AO80" s="33">
        <f t="shared" si="57"/>
        <v>0</v>
      </c>
      <c r="AP80" s="33">
        <f t="shared" si="58"/>
        <v>0</v>
      </c>
      <c r="AQ80" s="194">
        <f t="shared" si="40"/>
        <v>0</v>
      </c>
      <c r="AR80" s="194">
        <f t="shared" si="41"/>
        <v>0</v>
      </c>
      <c r="AS80" s="194">
        <f t="shared" si="42"/>
        <v>0</v>
      </c>
      <c r="AT80" s="194">
        <f t="shared" si="43"/>
        <v>0</v>
      </c>
      <c r="AU80" s="33"/>
      <c r="AV80" s="33"/>
      <c r="AW80" s="33"/>
      <c r="AX80" s="33"/>
      <c r="AY80" s="76"/>
    </row>
    <row r="81" spans="2:51">
      <c r="B81" s="156" t="s">
        <v>76</v>
      </c>
      <c r="C81" s="132" t="s">
        <v>155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7"/>
      <c r="I81" s="55">
        <v>76</v>
      </c>
      <c r="J81" s="33">
        <f t="shared" si="61"/>
        <v>0</v>
      </c>
      <c r="K81" s="33">
        <f t="shared" si="62"/>
        <v>0</v>
      </c>
      <c r="L81" s="33">
        <f t="shared" si="63"/>
        <v>0</v>
      </c>
      <c r="M81" s="33">
        <f t="shared" si="64"/>
        <v>0</v>
      </c>
      <c r="N81" s="33">
        <f t="shared" si="44"/>
        <v>0</v>
      </c>
      <c r="O81" s="34">
        <f t="shared" si="45"/>
        <v>0</v>
      </c>
      <c r="P81" s="55">
        <v>76</v>
      </c>
      <c r="Q81" s="33">
        <f t="shared" si="59"/>
        <v>0</v>
      </c>
      <c r="R81" s="33">
        <f t="shared" si="65"/>
        <v>0</v>
      </c>
      <c r="S81" s="33">
        <f t="shared" si="66"/>
        <v>0</v>
      </c>
      <c r="T81" s="33">
        <f t="shared" si="46"/>
        <v>0</v>
      </c>
      <c r="U81" s="33">
        <f t="shared" si="60"/>
        <v>0</v>
      </c>
      <c r="V81" s="33">
        <f t="shared" si="47"/>
        <v>0</v>
      </c>
      <c r="W81" s="33">
        <v>0</v>
      </c>
      <c r="X81" s="33">
        <f t="shared" si="48"/>
        <v>0</v>
      </c>
      <c r="Y81" s="38">
        <f t="shared" si="49"/>
        <v>0</v>
      </c>
      <c r="AA81" s="71">
        <v>76</v>
      </c>
      <c r="AB81" s="33">
        <f t="shared" si="50"/>
        <v>0</v>
      </c>
      <c r="AC81" s="305">
        <f t="shared" si="51"/>
        <v>0</v>
      </c>
      <c r="AD81" s="100">
        <f t="shared" si="52"/>
        <v>0</v>
      </c>
      <c r="AE81" s="100">
        <f t="shared" si="53"/>
        <v>0</v>
      </c>
      <c r="AF81" s="194">
        <f t="shared" si="36"/>
        <v>0</v>
      </c>
      <c r="AG81" s="194">
        <f t="shared" si="37"/>
        <v>0</v>
      </c>
      <c r="AH81" s="194">
        <f t="shared" si="38"/>
        <v>0</v>
      </c>
      <c r="AI81" s="199">
        <f t="shared" si="39"/>
        <v>0</v>
      </c>
      <c r="AK81" s="71">
        <v>76</v>
      </c>
      <c r="AL81" s="33">
        <f t="shared" si="54"/>
        <v>0</v>
      </c>
      <c r="AM81" s="33">
        <f t="shared" si="55"/>
        <v>0</v>
      </c>
      <c r="AN81" s="33">
        <f t="shared" si="56"/>
        <v>0</v>
      </c>
      <c r="AO81" s="33">
        <f t="shared" si="57"/>
        <v>0</v>
      </c>
      <c r="AP81" s="33">
        <f t="shared" si="58"/>
        <v>0</v>
      </c>
      <c r="AQ81" s="194">
        <f t="shared" si="40"/>
        <v>0</v>
      </c>
      <c r="AR81" s="194">
        <f t="shared" si="41"/>
        <v>0</v>
      </c>
      <c r="AS81" s="194">
        <f t="shared" si="42"/>
        <v>0</v>
      </c>
      <c r="AT81" s="194">
        <f t="shared" si="43"/>
        <v>0</v>
      </c>
      <c r="AU81" s="33"/>
      <c r="AV81" s="33"/>
      <c r="AW81" s="33"/>
      <c r="AX81" s="33"/>
      <c r="AY81" s="76"/>
    </row>
    <row r="82" spans="2:51">
      <c r="B82" s="170">
        <f>IF(C25&lt;=$F$18,C25+1,"-")</f>
        <v>23</v>
      </c>
      <c r="C82" s="145">
        <f>D25-D26</f>
        <v>16</v>
      </c>
      <c r="D82" s="146">
        <v>0</v>
      </c>
      <c r="E82" s="171">
        <f>IF(G82+D82&lt;&gt;1,(1-(G82+D82))*56%,0)</f>
        <v>0.56000000000000005</v>
      </c>
      <c r="F82" s="171">
        <f>IF(G82+D82&lt;&gt;1,(1-(G82+D82))*44%,0)</f>
        <v>0.44</v>
      </c>
      <c r="G82" s="150"/>
      <c r="H82" s="58">
        <f t="shared" ref="H82:H93" si="67">IF(C82=0,0,IF(SUM(D82:G82)&lt;&gt;1,"erreur",))</f>
        <v>0</v>
      </c>
      <c r="I82" s="55">
        <v>77</v>
      </c>
      <c r="J82" s="33">
        <f t="shared" si="61"/>
        <v>0</v>
      </c>
      <c r="K82" s="33">
        <f t="shared" si="62"/>
        <v>0</v>
      </c>
      <c r="L82" s="33">
        <f t="shared" si="63"/>
        <v>0</v>
      </c>
      <c r="M82" s="33">
        <f t="shared" si="64"/>
        <v>0</v>
      </c>
      <c r="N82" s="33">
        <f t="shared" si="44"/>
        <v>0</v>
      </c>
      <c r="O82" s="34">
        <f t="shared" si="45"/>
        <v>0</v>
      </c>
      <c r="P82" s="55">
        <v>77</v>
      </c>
      <c r="Q82" s="33">
        <f t="shared" si="59"/>
        <v>0</v>
      </c>
      <c r="R82" s="33">
        <f t="shared" si="65"/>
        <v>0</v>
      </c>
      <c r="S82" s="33">
        <f t="shared" si="66"/>
        <v>0</v>
      </c>
      <c r="T82" s="33">
        <f t="shared" si="46"/>
        <v>0</v>
      </c>
      <c r="U82" s="33">
        <f t="shared" si="60"/>
        <v>0</v>
      </c>
      <c r="V82" s="33">
        <f t="shared" si="47"/>
        <v>0</v>
      </c>
      <c r="W82" s="33">
        <v>0</v>
      </c>
      <c r="X82" s="33">
        <f t="shared" si="48"/>
        <v>0</v>
      </c>
      <c r="Y82" s="38">
        <f t="shared" si="49"/>
        <v>0</v>
      </c>
      <c r="AA82" s="71">
        <v>77</v>
      </c>
      <c r="AB82" s="33">
        <f t="shared" si="50"/>
        <v>0</v>
      </c>
      <c r="AC82" s="305">
        <f t="shared" si="51"/>
        <v>0</v>
      </c>
      <c r="AD82" s="100">
        <f t="shared" si="52"/>
        <v>0</v>
      </c>
      <c r="AE82" s="100">
        <f t="shared" si="53"/>
        <v>0</v>
      </c>
      <c r="AF82" s="194">
        <f t="shared" si="36"/>
        <v>0</v>
      </c>
      <c r="AG82" s="194">
        <f t="shared" si="37"/>
        <v>0</v>
      </c>
      <c r="AH82" s="194">
        <f t="shared" si="38"/>
        <v>0</v>
      </c>
      <c r="AI82" s="199">
        <f t="shared" si="39"/>
        <v>0</v>
      </c>
      <c r="AK82" s="71">
        <v>77</v>
      </c>
      <c r="AL82" s="33">
        <f t="shared" si="54"/>
        <v>0</v>
      </c>
      <c r="AM82" s="33">
        <f t="shared" si="55"/>
        <v>0</v>
      </c>
      <c r="AN82" s="33">
        <f t="shared" si="56"/>
        <v>0</v>
      </c>
      <c r="AO82" s="33">
        <f t="shared" si="57"/>
        <v>0</v>
      </c>
      <c r="AP82" s="33">
        <f t="shared" si="58"/>
        <v>0</v>
      </c>
      <c r="AQ82" s="194">
        <f t="shared" si="40"/>
        <v>0</v>
      </c>
      <c r="AR82" s="194">
        <f t="shared" si="41"/>
        <v>0</v>
      </c>
      <c r="AS82" s="194">
        <f t="shared" si="42"/>
        <v>0</v>
      </c>
      <c r="AT82" s="194">
        <f t="shared" si="43"/>
        <v>0</v>
      </c>
      <c r="AU82" s="33"/>
      <c r="AV82" s="33"/>
      <c r="AW82" s="33"/>
      <c r="AX82" s="33"/>
      <c r="AY82" s="76"/>
    </row>
    <row r="83" spans="2:51">
      <c r="B83" s="172">
        <f>IF(C27&lt;=$F$18,C27+1,"-")</f>
        <v>26</v>
      </c>
      <c r="C83" s="148">
        <f>D27-D28</f>
        <v>17</v>
      </c>
      <c r="D83" s="149">
        <v>0</v>
      </c>
      <c r="E83" s="129">
        <f t="shared" ref="E83:E93" si="68">IF(G83+D83&lt;&gt;1,(1-(G83+D83))*56%,0)</f>
        <v>0.56000000000000005</v>
      </c>
      <c r="F83" s="129">
        <f t="shared" ref="F83:F93" si="69">IF(G83+D83&lt;&gt;1,(1-(G83+D83))*44%,0)</f>
        <v>0.44</v>
      </c>
      <c r="G83" s="150"/>
      <c r="H83" s="58">
        <f t="shared" si="67"/>
        <v>0</v>
      </c>
      <c r="I83" s="55">
        <v>78</v>
      </c>
      <c r="J83" s="33">
        <f t="shared" si="61"/>
        <v>0</v>
      </c>
      <c r="K83" s="33">
        <f t="shared" si="62"/>
        <v>0</v>
      </c>
      <c r="L83" s="33">
        <f t="shared" si="63"/>
        <v>0</v>
      </c>
      <c r="M83" s="33">
        <f t="shared" si="64"/>
        <v>0</v>
      </c>
      <c r="N83" s="33">
        <f t="shared" si="44"/>
        <v>0</v>
      </c>
      <c r="O83" s="34">
        <f t="shared" si="45"/>
        <v>0</v>
      </c>
      <c r="P83" s="55">
        <v>78</v>
      </c>
      <c r="Q83" s="33">
        <f t="shared" si="59"/>
        <v>0</v>
      </c>
      <c r="R83" s="33">
        <f t="shared" si="65"/>
        <v>0</v>
      </c>
      <c r="S83" s="33">
        <f t="shared" si="66"/>
        <v>0</v>
      </c>
      <c r="T83" s="33">
        <f t="shared" si="46"/>
        <v>0</v>
      </c>
      <c r="U83" s="33">
        <f t="shared" si="60"/>
        <v>0</v>
      </c>
      <c r="V83" s="33">
        <f t="shared" si="47"/>
        <v>0</v>
      </c>
      <c r="W83" s="33">
        <v>0</v>
      </c>
      <c r="X83" s="33">
        <f t="shared" si="48"/>
        <v>0</v>
      </c>
      <c r="Y83" s="38">
        <f t="shared" si="49"/>
        <v>0</v>
      </c>
      <c r="AA83" s="71">
        <v>78</v>
      </c>
      <c r="AB83" s="33">
        <f t="shared" si="50"/>
        <v>0</v>
      </c>
      <c r="AC83" s="305">
        <f t="shared" si="51"/>
        <v>0</v>
      </c>
      <c r="AD83" s="100">
        <f t="shared" si="52"/>
        <v>0</v>
      </c>
      <c r="AE83" s="100">
        <f t="shared" si="53"/>
        <v>0</v>
      </c>
      <c r="AF83" s="194">
        <f t="shared" si="36"/>
        <v>0</v>
      </c>
      <c r="AG83" s="194">
        <f t="shared" si="37"/>
        <v>0</v>
      </c>
      <c r="AH83" s="194">
        <f t="shared" si="38"/>
        <v>0</v>
      </c>
      <c r="AI83" s="199">
        <f t="shared" si="39"/>
        <v>0</v>
      </c>
      <c r="AK83" s="71">
        <v>78</v>
      </c>
      <c r="AL83" s="33">
        <f t="shared" si="54"/>
        <v>0</v>
      </c>
      <c r="AM83" s="33">
        <f t="shared" si="55"/>
        <v>0</v>
      </c>
      <c r="AN83" s="33">
        <f t="shared" si="56"/>
        <v>0</v>
      </c>
      <c r="AO83" s="33">
        <f t="shared" si="57"/>
        <v>0</v>
      </c>
      <c r="AP83" s="33">
        <f t="shared" si="58"/>
        <v>0</v>
      </c>
      <c r="AQ83" s="194">
        <f t="shared" si="40"/>
        <v>0</v>
      </c>
      <c r="AR83" s="194">
        <f t="shared" si="41"/>
        <v>0</v>
      </c>
      <c r="AS83" s="194">
        <f t="shared" si="42"/>
        <v>0</v>
      </c>
      <c r="AT83" s="194">
        <f t="shared" si="43"/>
        <v>0</v>
      </c>
      <c r="AU83" s="33"/>
      <c r="AV83" s="33"/>
      <c r="AW83" s="33"/>
      <c r="AX83" s="33"/>
      <c r="AY83" s="76"/>
    </row>
    <row r="84" spans="2:51">
      <c r="B84" s="187">
        <f>IF(C29&lt;=$F$18,C29+1,"-")</f>
        <v>31</v>
      </c>
      <c r="C84" s="148">
        <f>D29-D30</f>
        <v>34</v>
      </c>
      <c r="D84" s="149">
        <v>0.2</v>
      </c>
      <c r="E84" s="129">
        <f t="shared" si="68"/>
        <v>0.44800000000000006</v>
      </c>
      <c r="F84" s="129">
        <f t="shared" si="69"/>
        <v>0.35200000000000004</v>
      </c>
      <c r="G84" s="150"/>
      <c r="H84" s="58">
        <f t="shared" si="67"/>
        <v>0</v>
      </c>
      <c r="I84" s="55">
        <v>79</v>
      </c>
      <c r="J84" s="33">
        <f t="shared" si="61"/>
        <v>0</v>
      </c>
      <c r="K84" s="33">
        <f t="shared" si="62"/>
        <v>0</v>
      </c>
      <c r="L84" s="33">
        <f t="shared" si="63"/>
        <v>0</v>
      </c>
      <c r="M84" s="33">
        <f t="shared" si="64"/>
        <v>0</v>
      </c>
      <c r="N84" s="33">
        <f t="shared" si="44"/>
        <v>0</v>
      </c>
      <c r="O84" s="34">
        <f t="shared" si="45"/>
        <v>0</v>
      </c>
      <c r="P84" s="55">
        <v>79</v>
      </c>
      <c r="Q84" s="33">
        <f t="shared" si="59"/>
        <v>0</v>
      </c>
      <c r="R84" s="33">
        <f t="shared" si="65"/>
        <v>0</v>
      </c>
      <c r="S84" s="33">
        <f t="shared" si="66"/>
        <v>0</v>
      </c>
      <c r="T84" s="33">
        <f t="shared" si="46"/>
        <v>0</v>
      </c>
      <c r="U84" s="33">
        <f t="shared" si="60"/>
        <v>0</v>
      </c>
      <c r="V84" s="33">
        <f t="shared" si="47"/>
        <v>0</v>
      </c>
      <c r="W84" s="33">
        <v>0</v>
      </c>
      <c r="X84" s="33">
        <f t="shared" si="48"/>
        <v>0</v>
      </c>
      <c r="Y84" s="38">
        <f t="shared" si="49"/>
        <v>0</v>
      </c>
      <c r="AA84" s="71">
        <v>79</v>
      </c>
      <c r="AB84" s="33">
        <f t="shared" si="50"/>
        <v>0</v>
      </c>
      <c r="AC84" s="305">
        <f t="shared" si="51"/>
        <v>0</v>
      </c>
      <c r="AD84" s="100">
        <f t="shared" si="52"/>
        <v>0</v>
      </c>
      <c r="AE84" s="100">
        <f t="shared" si="53"/>
        <v>0</v>
      </c>
      <c r="AF84" s="194">
        <f t="shared" si="36"/>
        <v>0</v>
      </c>
      <c r="AG84" s="194">
        <f t="shared" si="37"/>
        <v>0</v>
      </c>
      <c r="AH84" s="194">
        <f t="shared" si="38"/>
        <v>0</v>
      </c>
      <c r="AI84" s="199">
        <f t="shared" si="39"/>
        <v>0</v>
      </c>
      <c r="AK84" s="71">
        <v>79</v>
      </c>
      <c r="AL84" s="33">
        <f t="shared" si="54"/>
        <v>0</v>
      </c>
      <c r="AM84" s="33">
        <f t="shared" si="55"/>
        <v>0</v>
      </c>
      <c r="AN84" s="33">
        <f t="shared" si="56"/>
        <v>0</v>
      </c>
      <c r="AO84" s="33">
        <f t="shared" si="57"/>
        <v>0</v>
      </c>
      <c r="AP84" s="33">
        <f t="shared" si="58"/>
        <v>0</v>
      </c>
      <c r="AQ84" s="194">
        <f t="shared" si="40"/>
        <v>0</v>
      </c>
      <c r="AR84" s="194">
        <f t="shared" si="41"/>
        <v>0</v>
      </c>
      <c r="AS84" s="194">
        <f t="shared" si="42"/>
        <v>0</v>
      </c>
      <c r="AT84" s="194">
        <f t="shared" si="43"/>
        <v>0</v>
      </c>
      <c r="AU84" s="33"/>
      <c r="AV84" s="33"/>
      <c r="AW84" s="33"/>
      <c r="AX84" s="33"/>
      <c r="AY84" s="76"/>
    </row>
    <row r="85" spans="2:51">
      <c r="B85" s="172">
        <f>IF(C31&lt;=$F$18,C31+1,"-")</f>
        <v>36</v>
      </c>
      <c r="C85" s="148">
        <f>D31-D32</f>
        <v>41</v>
      </c>
      <c r="D85" s="149">
        <v>0.3</v>
      </c>
      <c r="E85" s="129">
        <f t="shared" si="68"/>
        <v>0.39200000000000002</v>
      </c>
      <c r="F85" s="129">
        <f t="shared" si="69"/>
        <v>0.308</v>
      </c>
      <c r="G85" s="150"/>
      <c r="H85" s="58">
        <f t="shared" si="67"/>
        <v>0</v>
      </c>
      <c r="I85" s="55">
        <v>80</v>
      </c>
      <c r="J85" s="33">
        <f t="shared" si="61"/>
        <v>0</v>
      </c>
      <c r="K85" s="33">
        <f t="shared" si="62"/>
        <v>0</v>
      </c>
      <c r="L85" s="33">
        <f t="shared" si="63"/>
        <v>0</v>
      </c>
      <c r="M85" s="33">
        <f t="shared" si="64"/>
        <v>0</v>
      </c>
      <c r="N85" s="33">
        <f t="shared" si="44"/>
        <v>0</v>
      </c>
      <c r="O85" s="34">
        <f t="shared" si="45"/>
        <v>0</v>
      </c>
      <c r="P85" s="55">
        <v>80</v>
      </c>
      <c r="Q85" s="33">
        <f t="shared" si="59"/>
        <v>0</v>
      </c>
      <c r="R85" s="33">
        <f t="shared" si="65"/>
        <v>0</v>
      </c>
      <c r="S85" s="33">
        <f t="shared" si="66"/>
        <v>0</v>
      </c>
      <c r="T85" s="33">
        <f t="shared" si="46"/>
        <v>0</v>
      </c>
      <c r="U85" s="33">
        <f t="shared" si="60"/>
        <v>0</v>
      </c>
      <c r="V85" s="33">
        <f t="shared" si="47"/>
        <v>0</v>
      </c>
      <c r="W85" s="33">
        <v>0</v>
      </c>
      <c r="X85" s="33">
        <f t="shared" si="48"/>
        <v>0</v>
      </c>
      <c r="Y85" s="38">
        <f t="shared" si="49"/>
        <v>0</v>
      </c>
      <c r="AA85" s="71">
        <v>80</v>
      </c>
      <c r="AB85" s="33">
        <f t="shared" si="50"/>
        <v>0</v>
      </c>
      <c r="AC85" s="305">
        <f t="shared" si="51"/>
        <v>0</v>
      </c>
      <c r="AD85" s="100">
        <f t="shared" si="52"/>
        <v>0</v>
      </c>
      <c r="AE85" s="100">
        <f t="shared" si="53"/>
        <v>0</v>
      </c>
      <c r="AF85" s="194">
        <f t="shared" si="36"/>
        <v>0</v>
      </c>
      <c r="AG85" s="194">
        <f t="shared" si="37"/>
        <v>0</v>
      </c>
      <c r="AH85" s="194">
        <f t="shared" si="38"/>
        <v>0</v>
      </c>
      <c r="AI85" s="199">
        <f t="shared" si="39"/>
        <v>0</v>
      </c>
      <c r="AK85" s="71">
        <v>80</v>
      </c>
      <c r="AL85" s="33">
        <f t="shared" si="54"/>
        <v>0</v>
      </c>
      <c r="AM85" s="33">
        <f t="shared" si="55"/>
        <v>0</v>
      </c>
      <c r="AN85" s="33">
        <f t="shared" si="56"/>
        <v>0</v>
      </c>
      <c r="AO85" s="33">
        <f t="shared" si="57"/>
        <v>0</v>
      </c>
      <c r="AP85" s="33">
        <f t="shared" si="58"/>
        <v>0</v>
      </c>
      <c r="AQ85" s="194">
        <f t="shared" si="40"/>
        <v>0</v>
      </c>
      <c r="AR85" s="194">
        <f t="shared" si="41"/>
        <v>0</v>
      </c>
      <c r="AS85" s="194">
        <f t="shared" si="42"/>
        <v>0</v>
      </c>
      <c r="AT85" s="194">
        <f t="shared" si="43"/>
        <v>0</v>
      </c>
      <c r="AU85" s="33"/>
      <c r="AV85" s="33"/>
      <c r="AW85" s="33"/>
      <c r="AX85" s="33"/>
      <c r="AY85" s="76"/>
    </row>
    <row r="86" spans="2:51">
      <c r="B86" s="172">
        <f>IF(C33&lt;=$F$18,C33+1,"-")</f>
        <v>41</v>
      </c>
      <c r="C86" s="148">
        <f>D33-D34</f>
        <v>41</v>
      </c>
      <c r="D86" s="149">
        <v>0.4</v>
      </c>
      <c r="E86" s="129">
        <f t="shared" si="68"/>
        <v>0.33600000000000002</v>
      </c>
      <c r="F86" s="129">
        <f t="shared" si="69"/>
        <v>0.26400000000000001</v>
      </c>
      <c r="G86" s="150"/>
      <c r="H86" s="58">
        <f t="shared" si="67"/>
        <v>0</v>
      </c>
      <c r="I86" s="55">
        <v>81</v>
      </c>
      <c r="J86" s="33">
        <f t="shared" si="61"/>
        <v>0</v>
      </c>
      <c r="K86" s="33">
        <f t="shared" si="62"/>
        <v>0</v>
      </c>
      <c r="L86" s="33">
        <f t="shared" si="63"/>
        <v>0</v>
      </c>
      <c r="M86" s="33">
        <f t="shared" si="64"/>
        <v>0</v>
      </c>
      <c r="N86" s="33">
        <f t="shared" si="44"/>
        <v>0</v>
      </c>
      <c r="O86" s="34">
        <f t="shared" si="45"/>
        <v>0</v>
      </c>
      <c r="P86" s="55">
        <v>81</v>
      </c>
      <c r="Q86" s="33">
        <f t="shared" si="59"/>
        <v>0</v>
      </c>
      <c r="R86" s="33">
        <f t="shared" si="65"/>
        <v>0</v>
      </c>
      <c r="S86" s="33">
        <f t="shared" si="66"/>
        <v>0</v>
      </c>
      <c r="T86" s="33">
        <f t="shared" si="46"/>
        <v>0</v>
      </c>
      <c r="U86" s="33">
        <f t="shared" si="60"/>
        <v>0</v>
      </c>
      <c r="V86" s="33">
        <f t="shared" si="47"/>
        <v>0</v>
      </c>
      <c r="W86" s="33">
        <v>0</v>
      </c>
      <c r="X86" s="33">
        <f t="shared" si="48"/>
        <v>0</v>
      </c>
      <c r="Y86" s="38">
        <f t="shared" si="49"/>
        <v>0</v>
      </c>
      <c r="AA86" s="71">
        <v>81</v>
      </c>
      <c r="AB86" s="33">
        <f t="shared" si="50"/>
        <v>0</v>
      </c>
      <c r="AC86" s="305">
        <f t="shared" si="51"/>
        <v>0</v>
      </c>
      <c r="AD86" s="100">
        <f t="shared" si="52"/>
        <v>0</v>
      </c>
      <c r="AE86" s="100">
        <f t="shared" si="53"/>
        <v>0</v>
      </c>
      <c r="AF86" s="194">
        <f t="shared" si="36"/>
        <v>0</v>
      </c>
      <c r="AG86" s="194">
        <f t="shared" si="37"/>
        <v>0</v>
      </c>
      <c r="AH86" s="194">
        <f t="shared" si="38"/>
        <v>0</v>
      </c>
      <c r="AI86" s="199">
        <f t="shared" si="39"/>
        <v>0</v>
      </c>
      <c r="AK86" s="71">
        <v>81</v>
      </c>
      <c r="AL86" s="33">
        <f t="shared" si="54"/>
        <v>0</v>
      </c>
      <c r="AM86" s="33">
        <f t="shared" si="55"/>
        <v>0</v>
      </c>
      <c r="AN86" s="33">
        <f t="shared" si="56"/>
        <v>0</v>
      </c>
      <c r="AO86" s="33">
        <f t="shared" si="57"/>
        <v>0</v>
      </c>
      <c r="AP86" s="33">
        <f t="shared" si="58"/>
        <v>0</v>
      </c>
      <c r="AQ86" s="194">
        <f t="shared" si="40"/>
        <v>0</v>
      </c>
      <c r="AR86" s="194">
        <f t="shared" si="41"/>
        <v>0</v>
      </c>
      <c r="AS86" s="194">
        <f t="shared" si="42"/>
        <v>0</v>
      </c>
      <c r="AT86" s="194">
        <f t="shared" si="43"/>
        <v>0</v>
      </c>
      <c r="AU86" s="33"/>
      <c r="AV86" s="33"/>
      <c r="AW86" s="33"/>
      <c r="AX86" s="33"/>
      <c r="AY86" s="76"/>
    </row>
    <row r="87" spans="2:51">
      <c r="B87" s="172">
        <f>IF(C35&lt;=$F$18,C35+1,"-")</f>
        <v>46</v>
      </c>
      <c r="C87" s="148">
        <f>D35-D36</f>
        <v>53</v>
      </c>
      <c r="D87" s="149">
        <v>0.5</v>
      </c>
      <c r="E87" s="129">
        <f t="shared" si="68"/>
        <v>0.28000000000000003</v>
      </c>
      <c r="F87" s="129">
        <f t="shared" si="69"/>
        <v>0.22</v>
      </c>
      <c r="G87" s="150"/>
      <c r="H87" s="58">
        <f t="shared" si="67"/>
        <v>0</v>
      </c>
      <c r="I87" s="55">
        <v>82</v>
      </c>
      <c r="J87" s="33">
        <f t="shared" si="61"/>
        <v>0</v>
      </c>
      <c r="K87" s="33">
        <f t="shared" si="62"/>
        <v>0</v>
      </c>
      <c r="L87" s="33">
        <f t="shared" si="63"/>
        <v>0</v>
      </c>
      <c r="M87" s="33">
        <f t="shared" si="64"/>
        <v>0</v>
      </c>
      <c r="N87" s="33">
        <f t="shared" si="44"/>
        <v>0</v>
      </c>
      <c r="O87" s="34">
        <f t="shared" si="45"/>
        <v>0</v>
      </c>
      <c r="P87" s="55">
        <v>82</v>
      </c>
      <c r="Q87" s="33">
        <f t="shared" si="59"/>
        <v>0</v>
      </c>
      <c r="R87" s="33">
        <f t="shared" si="65"/>
        <v>0</v>
      </c>
      <c r="S87" s="33">
        <f t="shared" si="66"/>
        <v>0</v>
      </c>
      <c r="T87" s="33">
        <f t="shared" si="46"/>
        <v>0</v>
      </c>
      <c r="U87" s="33">
        <f t="shared" si="60"/>
        <v>0</v>
      </c>
      <c r="V87" s="33">
        <f t="shared" si="47"/>
        <v>0</v>
      </c>
      <c r="W87" s="33">
        <v>0</v>
      </c>
      <c r="X87" s="33">
        <f t="shared" si="48"/>
        <v>0</v>
      </c>
      <c r="Y87" s="38">
        <f t="shared" si="49"/>
        <v>0</v>
      </c>
      <c r="AA87" s="71">
        <v>82</v>
      </c>
      <c r="AB87" s="33">
        <f t="shared" si="50"/>
        <v>0</v>
      </c>
      <c r="AC87" s="305">
        <f t="shared" si="51"/>
        <v>0</v>
      </c>
      <c r="AD87" s="100">
        <f t="shared" si="52"/>
        <v>0</v>
      </c>
      <c r="AE87" s="100">
        <f t="shared" si="53"/>
        <v>0</v>
      </c>
      <c r="AF87" s="194">
        <f t="shared" si="36"/>
        <v>0</v>
      </c>
      <c r="AG87" s="194">
        <f t="shared" si="37"/>
        <v>0</v>
      </c>
      <c r="AH87" s="194">
        <f t="shared" si="38"/>
        <v>0</v>
      </c>
      <c r="AI87" s="199">
        <f t="shared" si="39"/>
        <v>0</v>
      </c>
      <c r="AK87" s="71">
        <v>82</v>
      </c>
      <c r="AL87" s="33">
        <f t="shared" si="54"/>
        <v>0</v>
      </c>
      <c r="AM87" s="33">
        <f t="shared" si="55"/>
        <v>0</v>
      </c>
      <c r="AN87" s="33">
        <f t="shared" si="56"/>
        <v>0</v>
      </c>
      <c r="AO87" s="33">
        <f t="shared" si="57"/>
        <v>0</v>
      </c>
      <c r="AP87" s="33">
        <f t="shared" si="58"/>
        <v>0</v>
      </c>
      <c r="AQ87" s="194">
        <f t="shared" si="40"/>
        <v>0</v>
      </c>
      <c r="AR87" s="194">
        <f t="shared" si="41"/>
        <v>0</v>
      </c>
      <c r="AS87" s="194">
        <f t="shared" si="42"/>
        <v>0</v>
      </c>
      <c r="AT87" s="194">
        <f t="shared" si="43"/>
        <v>0</v>
      </c>
      <c r="AU87" s="33"/>
      <c r="AV87" s="33"/>
      <c r="AW87" s="33"/>
      <c r="AX87" s="33"/>
      <c r="AY87" s="76"/>
    </row>
    <row r="88" spans="2:51">
      <c r="B88" s="172">
        <f>IF(C37&lt;=$F$18,C37+1,"-")</f>
        <v>51</v>
      </c>
      <c r="C88" s="148">
        <f>D37-D38</f>
        <v>53</v>
      </c>
      <c r="D88" s="149">
        <v>0.6</v>
      </c>
      <c r="E88" s="129">
        <f t="shared" si="68"/>
        <v>0.22400000000000003</v>
      </c>
      <c r="F88" s="129">
        <f t="shared" si="69"/>
        <v>0.17600000000000002</v>
      </c>
      <c r="G88" s="150"/>
      <c r="H88" s="58">
        <f t="shared" si="67"/>
        <v>0</v>
      </c>
      <c r="I88" s="55">
        <v>83</v>
      </c>
      <c r="J88" s="33">
        <f t="shared" si="61"/>
        <v>0</v>
      </c>
      <c r="K88" s="33">
        <f t="shared" si="62"/>
        <v>0</v>
      </c>
      <c r="L88" s="33">
        <f t="shared" si="63"/>
        <v>0</v>
      </c>
      <c r="M88" s="33">
        <f t="shared" si="64"/>
        <v>0</v>
      </c>
      <c r="N88" s="33">
        <f t="shared" si="44"/>
        <v>0</v>
      </c>
      <c r="O88" s="34">
        <f t="shared" si="45"/>
        <v>0</v>
      </c>
      <c r="P88" s="55">
        <v>83</v>
      </c>
      <c r="Q88" s="33">
        <f t="shared" si="59"/>
        <v>0</v>
      </c>
      <c r="R88" s="33">
        <f t="shared" si="65"/>
        <v>0</v>
      </c>
      <c r="S88" s="33">
        <f t="shared" si="66"/>
        <v>0</v>
      </c>
      <c r="T88" s="33">
        <f t="shared" si="46"/>
        <v>0</v>
      </c>
      <c r="U88" s="33">
        <f t="shared" si="60"/>
        <v>0</v>
      </c>
      <c r="V88" s="33">
        <f t="shared" si="47"/>
        <v>0</v>
      </c>
      <c r="W88" s="33">
        <v>0</v>
      </c>
      <c r="X88" s="33">
        <f t="shared" si="48"/>
        <v>0</v>
      </c>
      <c r="Y88" s="38">
        <f t="shared" si="49"/>
        <v>0</v>
      </c>
      <c r="AA88" s="71">
        <v>83</v>
      </c>
      <c r="AB88" s="33">
        <f t="shared" si="50"/>
        <v>0</v>
      </c>
      <c r="AC88" s="305">
        <f t="shared" si="51"/>
        <v>0</v>
      </c>
      <c r="AD88" s="100">
        <f t="shared" si="52"/>
        <v>0</v>
      </c>
      <c r="AE88" s="100">
        <f t="shared" si="53"/>
        <v>0</v>
      </c>
      <c r="AF88" s="194">
        <f t="shared" si="36"/>
        <v>0</v>
      </c>
      <c r="AG88" s="194">
        <f t="shared" si="37"/>
        <v>0</v>
      </c>
      <c r="AH88" s="194">
        <f t="shared" si="38"/>
        <v>0</v>
      </c>
      <c r="AI88" s="199">
        <f t="shared" si="39"/>
        <v>0</v>
      </c>
      <c r="AK88" s="71">
        <v>83</v>
      </c>
      <c r="AL88" s="33">
        <f t="shared" si="54"/>
        <v>0</v>
      </c>
      <c r="AM88" s="33">
        <f t="shared" si="55"/>
        <v>0</v>
      </c>
      <c r="AN88" s="33">
        <f t="shared" si="56"/>
        <v>0</v>
      </c>
      <c r="AO88" s="33">
        <f t="shared" si="57"/>
        <v>0</v>
      </c>
      <c r="AP88" s="33">
        <f t="shared" si="58"/>
        <v>0</v>
      </c>
      <c r="AQ88" s="194">
        <f t="shared" si="40"/>
        <v>0</v>
      </c>
      <c r="AR88" s="194">
        <f t="shared" si="41"/>
        <v>0</v>
      </c>
      <c r="AS88" s="194">
        <f t="shared" si="42"/>
        <v>0</v>
      </c>
      <c r="AT88" s="194">
        <f t="shared" si="43"/>
        <v>0</v>
      </c>
      <c r="AU88" s="33"/>
      <c r="AV88" s="33"/>
      <c r="AW88" s="33"/>
      <c r="AX88" s="33"/>
      <c r="AY88" s="76"/>
    </row>
    <row r="89" spans="2:51">
      <c r="B89" s="172">
        <f>IF(C39&lt;=$F$18,C39+1,"-")</f>
        <v>59</v>
      </c>
      <c r="C89" s="148">
        <f>D39-D40</f>
        <v>78</v>
      </c>
      <c r="D89" s="149">
        <v>0.7</v>
      </c>
      <c r="E89" s="129">
        <f t="shared" si="68"/>
        <v>0.16800000000000004</v>
      </c>
      <c r="F89" s="129">
        <f t="shared" si="69"/>
        <v>0.13200000000000003</v>
      </c>
      <c r="G89" s="150"/>
      <c r="H89" s="58">
        <f t="shared" si="67"/>
        <v>0</v>
      </c>
      <c r="I89" s="55">
        <v>84</v>
      </c>
      <c r="J89" s="33">
        <f t="shared" si="61"/>
        <v>0</v>
      </c>
      <c r="K89" s="33">
        <f t="shared" si="62"/>
        <v>0</v>
      </c>
      <c r="L89" s="33">
        <f t="shared" si="63"/>
        <v>0</v>
      </c>
      <c r="M89" s="33">
        <f t="shared" si="64"/>
        <v>0</v>
      </c>
      <c r="N89" s="33">
        <f t="shared" si="44"/>
        <v>0</v>
      </c>
      <c r="O89" s="34">
        <f t="shared" si="45"/>
        <v>0</v>
      </c>
      <c r="P89" s="55">
        <v>84</v>
      </c>
      <c r="Q89" s="33">
        <f t="shared" si="59"/>
        <v>0</v>
      </c>
      <c r="R89" s="33">
        <f t="shared" si="65"/>
        <v>0</v>
      </c>
      <c r="S89" s="33">
        <f t="shared" si="66"/>
        <v>0</v>
      </c>
      <c r="T89" s="33">
        <f t="shared" si="46"/>
        <v>0</v>
      </c>
      <c r="U89" s="33">
        <f t="shared" si="60"/>
        <v>0</v>
      </c>
      <c r="V89" s="33">
        <f t="shared" si="47"/>
        <v>0</v>
      </c>
      <c r="W89" s="33">
        <v>0</v>
      </c>
      <c r="X89" s="33">
        <f t="shared" si="48"/>
        <v>0</v>
      </c>
      <c r="Y89" s="38">
        <f t="shared" si="49"/>
        <v>0</v>
      </c>
      <c r="AA89" s="71">
        <v>84</v>
      </c>
      <c r="AB89" s="33">
        <f t="shared" si="50"/>
        <v>0</v>
      </c>
      <c r="AC89" s="305">
        <f t="shared" si="51"/>
        <v>0</v>
      </c>
      <c r="AD89" s="100">
        <f t="shared" si="52"/>
        <v>0</v>
      </c>
      <c r="AE89" s="100">
        <f t="shared" si="53"/>
        <v>0</v>
      </c>
      <c r="AF89" s="194">
        <f t="shared" si="36"/>
        <v>0</v>
      </c>
      <c r="AG89" s="194">
        <f t="shared" si="37"/>
        <v>0</v>
      </c>
      <c r="AH89" s="194">
        <f t="shared" si="38"/>
        <v>0</v>
      </c>
      <c r="AI89" s="199">
        <f t="shared" si="39"/>
        <v>0</v>
      </c>
      <c r="AK89" s="71">
        <v>84</v>
      </c>
      <c r="AL89" s="33">
        <f t="shared" si="54"/>
        <v>0</v>
      </c>
      <c r="AM89" s="33">
        <f t="shared" si="55"/>
        <v>0</v>
      </c>
      <c r="AN89" s="33">
        <f t="shared" si="56"/>
        <v>0</v>
      </c>
      <c r="AO89" s="33">
        <f t="shared" si="57"/>
        <v>0</v>
      </c>
      <c r="AP89" s="33">
        <f t="shared" si="58"/>
        <v>0</v>
      </c>
      <c r="AQ89" s="194">
        <f t="shared" si="40"/>
        <v>0</v>
      </c>
      <c r="AR89" s="194">
        <f t="shared" si="41"/>
        <v>0</v>
      </c>
      <c r="AS89" s="194">
        <f t="shared" si="42"/>
        <v>0</v>
      </c>
      <c r="AT89" s="194">
        <f t="shared" si="43"/>
        <v>0</v>
      </c>
      <c r="AU89" s="33"/>
      <c r="AV89" s="33"/>
      <c r="AW89" s="33"/>
      <c r="AX89" s="33"/>
      <c r="AY89" s="76"/>
    </row>
    <row r="90" spans="2:51">
      <c r="B90" s="172" t="str">
        <f>IF(C41&lt;=$F$18,C41+1,"-")</f>
        <v>-</v>
      </c>
      <c r="C90" s="148">
        <f>D41-D42</f>
        <v>65</v>
      </c>
      <c r="D90" s="149">
        <v>0.8</v>
      </c>
      <c r="E90" s="129">
        <f t="shared" si="68"/>
        <v>0.11199999999999999</v>
      </c>
      <c r="F90" s="129">
        <f t="shared" si="69"/>
        <v>8.7999999999999981E-2</v>
      </c>
      <c r="G90" s="150"/>
      <c r="H90" s="58">
        <f t="shared" si="67"/>
        <v>0</v>
      </c>
      <c r="I90" s="55">
        <v>85</v>
      </c>
      <c r="J90" s="33">
        <f t="shared" si="61"/>
        <v>0</v>
      </c>
      <c r="K90" s="33">
        <f t="shared" si="62"/>
        <v>0</v>
      </c>
      <c r="L90" s="33">
        <f t="shared" si="63"/>
        <v>0</v>
      </c>
      <c r="M90" s="33">
        <f t="shared" si="64"/>
        <v>0</v>
      </c>
      <c r="N90" s="33">
        <f t="shared" si="44"/>
        <v>0</v>
      </c>
      <c r="O90" s="34">
        <f t="shared" si="45"/>
        <v>0</v>
      </c>
      <c r="P90" s="55">
        <v>85</v>
      </c>
      <c r="Q90" s="33">
        <f t="shared" si="59"/>
        <v>0</v>
      </c>
      <c r="R90" s="33">
        <f t="shared" si="65"/>
        <v>0</v>
      </c>
      <c r="S90" s="33">
        <f t="shared" si="66"/>
        <v>0</v>
      </c>
      <c r="T90" s="33">
        <f t="shared" si="46"/>
        <v>0</v>
      </c>
      <c r="U90" s="33">
        <f t="shared" si="60"/>
        <v>0</v>
      </c>
      <c r="V90" s="33">
        <f t="shared" si="47"/>
        <v>0</v>
      </c>
      <c r="W90" s="33">
        <v>0</v>
      </c>
      <c r="X90" s="33">
        <f t="shared" si="48"/>
        <v>0</v>
      </c>
      <c r="Y90" s="38">
        <f t="shared" si="49"/>
        <v>0</v>
      </c>
      <c r="AA90" s="71">
        <v>85</v>
      </c>
      <c r="AB90" s="33">
        <f t="shared" si="50"/>
        <v>0</v>
      </c>
      <c r="AC90" s="305">
        <f t="shared" si="51"/>
        <v>0</v>
      </c>
      <c r="AD90" s="100">
        <f t="shared" si="52"/>
        <v>0</v>
      </c>
      <c r="AE90" s="100">
        <f t="shared" si="53"/>
        <v>0</v>
      </c>
      <c r="AF90" s="194">
        <f t="shared" si="36"/>
        <v>0</v>
      </c>
      <c r="AG90" s="194">
        <f t="shared" si="37"/>
        <v>0</v>
      </c>
      <c r="AH90" s="194">
        <f t="shared" si="38"/>
        <v>0</v>
      </c>
      <c r="AI90" s="199">
        <f t="shared" si="39"/>
        <v>0</v>
      </c>
      <c r="AK90" s="71">
        <v>85</v>
      </c>
      <c r="AL90" s="33">
        <f t="shared" si="54"/>
        <v>0</v>
      </c>
      <c r="AM90" s="33">
        <f t="shared" si="55"/>
        <v>0</v>
      </c>
      <c r="AN90" s="33">
        <f t="shared" si="56"/>
        <v>0</v>
      </c>
      <c r="AO90" s="33">
        <f t="shared" si="57"/>
        <v>0</v>
      </c>
      <c r="AP90" s="33">
        <f t="shared" si="58"/>
        <v>0</v>
      </c>
      <c r="AQ90" s="194">
        <f t="shared" si="40"/>
        <v>0</v>
      </c>
      <c r="AR90" s="194">
        <f t="shared" si="41"/>
        <v>0</v>
      </c>
      <c r="AS90" s="194">
        <f t="shared" si="42"/>
        <v>0</v>
      </c>
      <c r="AT90" s="194">
        <f t="shared" si="43"/>
        <v>0</v>
      </c>
      <c r="AU90" s="33"/>
      <c r="AV90" s="33"/>
      <c r="AW90" s="33"/>
      <c r="AX90" s="33"/>
      <c r="AY90" s="76"/>
    </row>
    <row r="91" spans="2:51">
      <c r="B91" s="172" t="str">
        <f>IF(C43&lt;=$F$18,C43+1,"-")</f>
        <v>-</v>
      </c>
      <c r="C91" s="148">
        <f>D43-D44</f>
        <v>37</v>
      </c>
      <c r="D91" s="149">
        <v>0.4</v>
      </c>
      <c r="E91" s="129">
        <f t="shared" si="68"/>
        <v>0.33600000000000002</v>
      </c>
      <c r="F91" s="129">
        <f t="shared" si="69"/>
        <v>0.26400000000000001</v>
      </c>
      <c r="G91" s="150"/>
      <c r="H91" s="58">
        <f t="shared" si="67"/>
        <v>0</v>
      </c>
      <c r="I91" s="55">
        <v>86</v>
      </c>
      <c r="J91" s="33">
        <f t="shared" si="61"/>
        <v>0</v>
      </c>
      <c r="K91" s="33">
        <f t="shared" si="62"/>
        <v>0</v>
      </c>
      <c r="L91" s="33">
        <f t="shared" si="63"/>
        <v>0</v>
      </c>
      <c r="M91" s="33">
        <f t="shared" si="64"/>
        <v>0</v>
      </c>
      <c r="N91" s="33">
        <f t="shared" si="44"/>
        <v>0</v>
      </c>
      <c r="O91" s="34">
        <f t="shared" si="45"/>
        <v>0</v>
      </c>
      <c r="P91" s="55">
        <v>86</v>
      </c>
      <c r="Q91" s="33">
        <f t="shared" si="59"/>
        <v>0</v>
      </c>
      <c r="R91" s="33">
        <f t="shared" si="65"/>
        <v>0</v>
      </c>
      <c r="S91" s="33">
        <f t="shared" si="66"/>
        <v>0</v>
      </c>
      <c r="T91" s="33">
        <f t="shared" si="46"/>
        <v>0</v>
      </c>
      <c r="U91" s="33">
        <f t="shared" si="60"/>
        <v>0</v>
      </c>
      <c r="V91" s="33">
        <f t="shared" si="47"/>
        <v>0</v>
      </c>
      <c r="W91" s="33">
        <v>0</v>
      </c>
      <c r="X91" s="33">
        <f t="shared" si="48"/>
        <v>0</v>
      </c>
      <c r="Y91" s="38">
        <f t="shared" si="49"/>
        <v>0</v>
      </c>
      <c r="AA91" s="71">
        <v>86</v>
      </c>
      <c r="AB91" s="33">
        <f t="shared" si="50"/>
        <v>0</v>
      </c>
      <c r="AC91" s="305">
        <f t="shared" si="51"/>
        <v>0</v>
      </c>
      <c r="AD91" s="100">
        <f t="shared" si="52"/>
        <v>0</v>
      </c>
      <c r="AE91" s="100">
        <f t="shared" si="53"/>
        <v>0</v>
      </c>
      <c r="AF91" s="194">
        <f t="shared" ref="AF91:AF154" si="70">IF(OR(AA91&lt;=$F$18,AA91&lt;=30),EXP(-LN(2)/$D$104)*AF90+((1-EXP(-LN(2)/$D$104))/(LN(2)/$D$104))*$AB91*AC91*0.475*$F$19*44/12,)</f>
        <v>0</v>
      </c>
      <c r="AG91" s="194">
        <f t="shared" ref="AG91:AG154" si="71">IF(OR(AA91&lt;=$F$18,AA91&lt;=30),EXP(-LN(2)/$D$106)*AG90+((1-EXP(-LN(2)/$D$106))/(LN(2)/$D$106))*$AB91*AD91*0.475*$F$19*44/12,)</f>
        <v>0</v>
      </c>
      <c r="AH91" s="194">
        <f t="shared" ref="AH91:AH154" si="72">IF(OR(AA91&lt;=$F$18,AA91&lt;=30),EXP(-LN(2)/$D$105)*AH90+((1-EXP(-LN(2)/$D$105))/(LN(2)/$D$105))*$AB91*AE91*0.475*$F$19*44/12,)</f>
        <v>0</v>
      </c>
      <c r="AI91" s="199">
        <f t="shared" ref="AI91:AI154" si="73">IF(OR(AA91&lt;=$F$18,AA91&lt;=30),SUM(AF91:AH91),)</f>
        <v>0</v>
      </c>
      <c r="AK91" s="71">
        <v>86</v>
      </c>
      <c r="AL91" s="33">
        <f t="shared" si="54"/>
        <v>0</v>
      </c>
      <c r="AM91" s="33">
        <f t="shared" si="55"/>
        <v>0</v>
      </c>
      <c r="AN91" s="33">
        <f t="shared" si="56"/>
        <v>0</v>
      </c>
      <c r="AO91" s="33">
        <f t="shared" si="57"/>
        <v>0</v>
      </c>
      <c r="AP91" s="33">
        <f t="shared" si="58"/>
        <v>0</v>
      </c>
      <c r="AQ91" s="194">
        <f t="shared" si="40"/>
        <v>0</v>
      </c>
      <c r="AR91" s="194">
        <f t="shared" si="41"/>
        <v>0</v>
      </c>
      <c r="AS91" s="194">
        <f t="shared" si="42"/>
        <v>0</v>
      </c>
      <c r="AT91" s="194">
        <f t="shared" si="43"/>
        <v>0</v>
      </c>
      <c r="AU91" s="33"/>
      <c r="AV91" s="33"/>
      <c r="AW91" s="33"/>
      <c r="AX91" s="33"/>
      <c r="AY91" s="76"/>
    </row>
    <row r="92" spans="2:51">
      <c r="B92" s="172" t="str">
        <f>IF(C45&lt;=$F$18,C45+1,"-")</f>
        <v>-</v>
      </c>
      <c r="C92" s="148">
        <f>D45-D46</f>
        <v>26</v>
      </c>
      <c r="D92" s="149">
        <v>0.4</v>
      </c>
      <c r="E92" s="129">
        <f t="shared" si="68"/>
        <v>0.33600000000000002</v>
      </c>
      <c r="F92" s="129">
        <f t="shared" si="69"/>
        <v>0.26400000000000001</v>
      </c>
      <c r="G92" s="150"/>
      <c r="H92" s="58">
        <f t="shared" si="67"/>
        <v>0</v>
      </c>
      <c r="I92" s="55">
        <v>87</v>
      </c>
      <c r="J92" s="33">
        <f t="shared" si="61"/>
        <v>0</v>
      </c>
      <c r="K92" s="33">
        <f t="shared" si="62"/>
        <v>0</v>
      </c>
      <c r="L92" s="33">
        <f t="shared" si="63"/>
        <v>0</v>
      </c>
      <c r="M92" s="33">
        <f t="shared" si="64"/>
        <v>0</v>
      </c>
      <c r="N92" s="33">
        <f t="shared" si="44"/>
        <v>0</v>
      </c>
      <c r="O92" s="34">
        <f t="shared" si="45"/>
        <v>0</v>
      </c>
      <c r="P92" s="55">
        <v>87</v>
      </c>
      <c r="Q92" s="33">
        <f t="shared" si="59"/>
        <v>0</v>
      </c>
      <c r="R92" s="33">
        <f t="shared" si="65"/>
        <v>0</v>
      </c>
      <c r="S92" s="33">
        <f t="shared" si="66"/>
        <v>0</v>
      </c>
      <c r="T92" s="33">
        <f t="shared" si="46"/>
        <v>0</v>
      </c>
      <c r="U92" s="33">
        <f t="shared" si="60"/>
        <v>0</v>
      </c>
      <c r="V92" s="33">
        <f t="shared" si="47"/>
        <v>0</v>
      </c>
      <c r="W92" s="33">
        <v>0</v>
      </c>
      <c r="X92" s="33">
        <f t="shared" si="48"/>
        <v>0</v>
      </c>
      <c r="Y92" s="38">
        <f t="shared" si="49"/>
        <v>0</v>
      </c>
      <c r="AA92" s="71">
        <v>87</v>
      </c>
      <c r="AB92" s="33">
        <f t="shared" si="50"/>
        <v>0</v>
      </c>
      <c r="AC92" s="305">
        <f t="shared" si="51"/>
        <v>0</v>
      </c>
      <c r="AD92" s="100">
        <f t="shared" si="52"/>
        <v>0</v>
      </c>
      <c r="AE92" s="100">
        <f t="shared" si="53"/>
        <v>0</v>
      </c>
      <c r="AF92" s="194">
        <f t="shared" si="70"/>
        <v>0</v>
      </c>
      <c r="AG92" s="194">
        <f t="shared" si="71"/>
        <v>0</v>
      </c>
      <c r="AH92" s="194">
        <f t="shared" si="72"/>
        <v>0</v>
      </c>
      <c r="AI92" s="199">
        <f t="shared" si="73"/>
        <v>0</v>
      </c>
      <c r="AK92" s="71">
        <v>87</v>
      </c>
      <c r="AL92" s="33">
        <f t="shared" si="54"/>
        <v>0</v>
      </c>
      <c r="AM92" s="33">
        <f t="shared" si="55"/>
        <v>0</v>
      </c>
      <c r="AN92" s="33">
        <f t="shared" si="56"/>
        <v>0</v>
      </c>
      <c r="AO92" s="33">
        <f t="shared" si="57"/>
        <v>0</v>
      </c>
      <c r="AP92" s="33">
        <f t="shared" si="58"/>
        <v>0</v>
      </c>
      <c r="AQ92" s="194">
        <f t="shared" si="40"/>
        <v>0</v>
      </c>
      <c r="AR92" s="194">
        <f t="shared" si="41"/>
        <v>0</v>
      </c>
      <c r="AS92" s="194">
        <f t="shared" si="42"/>
        <v>0</v>
      </c>
      <c r="AT92" s="194">
        <f t="shared" si="43"/>
        <v>0</v>
      </c>
      <c r="AU92" s="33"/>
      <c r="AV92" s="33"/>
      <c r="AW92" s="33"/>
      <c r="AX92" s="33"/>
      <c r="AY92" s="76"/>
    </row>
    <row r="93" spans="2:51">
      <c r="B93" s="172">
        <f>IF(C47&lt;=$F$18,C47+1,"-")</f>
        <v>1</v>
      </c>
      <c r="C93" s="148">
        <f>D47-D48</f>
        <v>0</v>
      </c>
      <c r="D93" s="149">
        <v>0.5</v>
      </c>
      <c r="E93" s="129">
        <f t="shared" si="68"/>
        <v>0.28000000000000003</v>
      </c>
      <c r="F93" s="129">
        <f t="shared" si="69"/>
        <v>0.22</v>
      </c>
      <c r="G93" s="150"/>
      <c r="H93" s="58">
        <f t="shared" si="67"/>
        <v>0</v>
      </c>
      <c r="I93" s="55">
        <v>88</v>
      </c>
      <c r="J93" s="33">
        <f t="shared" si="61"/>
        <v>0</v>
      </c>
      <c r="K93" s="33">
        <f t="shared" si="62"/>
        <v>0</v>
      </c>
      <c r="L93" s="33">
        <f t="shared" si="63"/>
        <v>0</v>
      </c>
      <c r="M93" s="33">
        <f t="shared" si="64"/>
        <v>0</v>
      </c>
      <c r="N93" s="33">
        <f t="shared" si="44"/>
        <v>0</v>
      </c>
      <c r="O93" s="34">
        <f t="shared" si="45"/>
        <v>0</v>
      </c>
      <c r="P93" s="55">
        <v>88</v>
      </c>
      <c r="Q93" s="33">
        <f t="shared" si="59"/>
        <v>0</v>
      </c>
      <c r="R93" s="33">
        <f t="shared" si="65"/>
        <v>0</v>
      </c>
      <c r="S93" s="33">
        <f t="shared" si="66"/>
        <v>0</v>
      </c>
      <c r="T93" s="33">
        <f t="shared" si="46"/>
        <v>0</v>
      </c>
      <c r="U93" s="33">
        <f t="shared" si="60"/>
        <v>0</v>
      </c>
      <c r="V93" s="33">
        <f t="shared" si="47"/>
        <v>0</v>
      </c>
      <c r="W93" s="33">
        <v>0</v>
      </c>
      <c r="X93" s="33">
        <f t="shared" si="48"/>
        <v>0</v>
      </c>
      <c r="Y93" s="38">
        <f t="shared" si="49"/>
        <v>0</v>
      </c>
      <c r="AA93" s="71">
        <v>88</v>
      </c>
      <c r="AB93" s="33">
        <f t="shared" si="50"/>
        <v>0</v>
      </c>
      <c r="AC93" s="305">
        <f t="shared" si="51"/>
        <v>0</v>
      </c>
      <c r="AD93" s="100">
        <f t="shared" si="52"/>
        <v>0</v>
      </c>
      <c r="AE93" s="100">
        <f t="shared" si="53"/>
        <v>0</v>
      </c>
      <c r="AF93" s="194">
        <f t="shared" si="70"/>
        <v>0</v>
      </c>
      <c r="AG93" s="194">
        <f t="shared" si="71"/>
        <v>0</v>
      </c>
      <c r="AH93" s="194">
        <f t="shared" si="72"/>
        <v>0</v>
      </c>
      <c r="AI93" s="199">
        <f t="shared" si="73"/>
        <v>0</v>
      </c>
      <c r="AK93" s="71">
        <v>88</v>
      </c>
      <c r="AL93" s="33">
        <f t="shared" si="54"/>
        <v>0</v>
      </c>
      <c r="AM93" s="33">
        <f t="shared" si="55"/>
        <v>0</v>
      </c>
      <c r="AN93" s="33">
        <f t="shared" si="56"/>
        <v>0</v>
      </c>
      <c r="AO93" s="33">
        <f t="shared" si="57"/>
        <v>0</v>
      </c>
      <c r="AP93" s="33">
        <f t="shared" si="58"/>
        <v>0</v>
      </c>
      <c r="AQ93" s="194">
        <f t="shared" si="40"/>
        <v>0</v>
      </c>
      <c r="AR93" s="194">
        <f t="shared" si="41"/>
        <v>0</v>
      </c>
      <c r="AS93" s="194">
        <f t="shared" si="42"/>
        <v>0</v>
      </c>
      <c r="AT93" s="194">
        <f t="shared" si="43"/>
        <v>0</v>
      </c>
      <c r="AU93" s="33"/>
      <c r="AV93" s="33"/>
      <c r="AW93" s="33"/>
      <c r="AX93" s="33"/>
      <c r="AY93" s="76"/>
    </row>
    <row r="94" spans="2:51">
      <c r="B94" s="172">
        <f>IF(C49&lt;=$F$18,C49+1,"-")</f>
        <v>1</v>
      </c>
      <c r="C94" s="148">
        <f>D49-D50</f>
        <v>0</v>
      </c>
      <c r="D94" s="149">
        <v>0.5</v>
      </c>
      <c r="E94" s="129">
        <f>IF(G94+D94&lt;&gt;1,(1-(G94+D94))*56%,0)</f>
        <v>0.28000000000000003</v>
      </c>
      <c r="F94" s="129">
        <f>IF(G94+D94&lt;&gt;1,(1-(G94+D94))*44%,0)</f>
        <v>0.22</v>
      </c>
      <c r="G94" s="150"/>
      <c r="H94" s="58">
        <f>IF(C94=0,0,IF(SUM(D94:G94)&lt;&gt;1,"erreur",))</f>
        <v>0</v>
      </c>
      <c r="I94" s="55">
        <v>89</v>
      </c>
      <c r="J94" s="33">
        <f t="shared" si="61"/>
        <v>0</v>
      </c>
      <c r="K94" s="33">
        <f t="shared" si="62"/>
        <v>0</v>
      </c>
      <c r="L94" s="33">
        <f t="shared" si="63"/>
        <v>0</v>
      </c>
      <c r="M94" s="33">
        <f t="shared" si="64"/>
        <v>0</v>
      </c>
      <c r="N94" s="33">
        <f t="shared" si="44"/>
        <v>0</v>
      </c>
      <c r="O94" s="34">
        <f t="shared" si="45"/>
        <v>0</v>
      </c>
      <c r="P94" s="55">
        <v>89</v>
      </c>
      <c r="Q94" s="33">
        <f t="shared" si="59"/>
        <v>0</v>
      </c>
      <c r="R94" s="33">
        <f t="shared" si="65"/>
        <v>0</v>
      </c>
      <c r="S94" s="33">
        <f t="shared" si="66"/>
        <v>0</v>
      </c>
      <c r="T94" s="33">
        <f t="shared" si="46"/>
        <v>0</v>
      </c>
      <c r="U94" s="33">
        <f t="shared" si="60"/>
        <v>0</v>
      </c>
      <c r="V94" s="33">
        <f t="shared" si="47"/>
        <v>0</v>
      </c>
      <c r="W94" s="33">
        <v>0</v>
      </c>
      <c r="X94" s="33">
        <f t="shared" si="48"/>
        <v>0</v>
      </c>
      <c r="Y94" s="38">
        <f t="shared" si="49"/>
        <v>0</v>
      </c>
      <c r="AA94" s="71">
        <v>89</v>
      </c>
      <c r="AB94" s="33">
        <f t="shared" si="50"/>
        <v>0</v>
      </c>
      <c r="AC94" s="305">
        <f t="shared" si="51"/>
        <v>0</v>
      </c>
      <c r="AD94" s="100">
        <f t="shared" si="52"/>
        <v>0</v>
      </c>
      <c r="AE94" s="100">
        <f t="shared" si="53"/>
        <v>0</v>
      </c>
      <c r="AF94" s="194">
        <f t="shared" si="70"/>
        <v>0</v>
      </c>
      <c r="AG94" s="194">
        <f t="shared" si="71"/>
        <v>0</v>
      </c>
      <c r="AH94" s="194">
        <f t="shared" si="72"/>
        <v>0</v>
      </c>
      <c r="AI94" s="199">
        <f t="shared" si="73"/>
        <v>0</v>
      </c>
      <c r="AK94" s="71">
        <v>89</v>
      </c>
      <c r="AL94" s="33">
        <f t="shared" si="54"/>
        <v>0</v>
      </c>
      <c r="AM94" s="33">
        <f t="shared" si="55"/>
        <v>0</v>
      </c>
      <c r="AN94" s="33">
        <f t="shared" si="56"/>
        <v>0</v>
      </c>
      <c r="AO94" s="33">
        <f t="shared" si="57"/>
        <v>0</v>
      </c>
      <c r="AP94" s="33">
        <f t="shared" si="58"/>
        <v>0</v>
      </c>
      <c r="AQ94" s="194">
        <f t="shared" si="40"/>
        <v>0</v>
      </c>
      <c r="AR94" s="194">
        <f t="shared" si="41"/>
        <v>0</v>
      </c>
      <c r="AS94" s="194">
        <f t="shared" si="42"/>
        <v>0</v>
      </c>
      <c r="AT94" s="194">
        <f t="shared" si="43"/>
        <v>0</v>
      </c>
      <c r="AU94" s="33"/>
      <c r="AV94" s="33"/>
      <c r="AW94" s="33"/>
      <c r="AX94" s="33"/>
      <c r="AY94" s="76"/>
    </row>
    <row r="95" spans="2:51">
      <c r="B95" s="184">
        <f>F18</f>
        <v>65</v>
      </c>
      <c r="C95" s="181">
        <f>VLOOKUP(B95,C25:D78,2)</f>
        <v>362</v>
      </c>
      <c r="D95" s="336">
        <v>0.9</v>
      </c>
      <c r="E95" s="338">
        <f>IF(G95+D95&lt;&gt;1,(1-(G95+D95))*56%,0)</f>
        <v>5.5999999999999994E-2</v>
      </c>
      <c r="F95" s="338">
        <f>IF(G95+D95&lt;&gt;1,(1-(G95+D95))*44%,0)</f>
        <v>4.3999999999999991E-2</v>
      </c>
      <c r="G95" s="151"/>
      <c r="H95" s="58">
        <f>IF(C95=0,0,IF(SUM(D95:G95)&lt;&gt;1,"erreur",))</f>
        <v>0</v>
      </c>
      <c r="I95" s="55">
        <v>90</v>
      </c>
      <c r="J95" s="33">
        <f t="shared" si="61"/>
        <v>0</v>
      </c>
      <c r="K95" s="33">
        <f t="shared" si="62"/>
        <v>0</v>
      </c>
      <c r="L95" s="33">
        <f t="shared" si="63"/>
        <v>0</v>
      </c>
      <c r="M95" s="33">
        <f t="shared" si="64"/>
        <v>0</v>
      </c>
      <c r="N95" s="33">
        <f t="shared" si="44"/>
        <v>0</v>
      </c>
      <c r="O95" s="34">
        <f t="shared" si="45"/>
        <v>0</v>
      </c>
      <c r="P95" s="55">
        <v>90</v>
      </c>
      <c r="Q95" s="33">
        <f t="shared" si="59"/>
        <v>0</v>
      </c>
      <c r="R95" s="33">
        <f t="shared" si="65"/>
        <v>0</v>
      </c>
      <c r="S95" s="33">
        <f t="shared" si="66"/>
        <v>0</v>
      </c>
      <c r="T95" s="33">
        <f t="shared" si="46"/>
        <v>0</v>
      </c>
      <c r="U95" s="33">
        <f t="shared" si="60"/>
        <v>0</v>
      </c>
      <c r="V95" s="33">
        <f t="shared" si="47"/>
        <v>0</v>
      </c>
      <c r="W95" s="33">
        <v>0</v>
      </c>
      <c r="X95" s="33">
        <f t="shared" si="48"/>
        <v>0</v>
      </c>
      <c r="Y95" s="38">
        <f t="shared" si="49"/>
        <v>0</v>
      </c>
      <c r="AA95" s="71">
        <v>90</v>
      </c>
      <c r="AB95" s="33">
        <f t="shared" si="50"/>
        <v>0</v>
      </c>
      <c r="AC95" s="305">
        <f t="shared" si="51"/>
        <v>0</v>
      </c>
      <c r="AD95" s="100">
        <f t="shared" si="52"/>
        <v>0</v>
      </c>
      <c r="AE95" s="100">
        <f t="shared" si="53"/>
        <v>0</v>
      </c>
      <c r="AF95" s="194">
        <f t="shared" si="70"/>
        <v>0</v>
      </c>
      <c r="AG95" s="194">
        <f t="shared" si="71"/>
        <v>0</v>
      </c>
      <c r="AH95" s="194">
        <f t="shared" si="72"/>
        <v>0</v>
      </c>
      <c r="AI95" s="199">
        <f t="shared" si="73"/>
        <v>0</v>
      </c>
      <c r="AK95" s="71">
        <v>90</v>
      </c>
      <c r="AL95" s="33">
        <f t="shared" si="54"/>
        <v>0</v>
      </c>
      <c r="AM95" s="33">
        <f t="shared" si="55"/>
        <v>0</v>
      </c>
      <c r="AN95" s="33">
        <f t="shared" si="56"/>
        <v>0</v>
      </c>
      <c r="AO95" s="33">
        <f t="shared" si="57"/>
        <v>0</v>
      </c>
      <c r="AP95" s="33">
        <f t="shared" si="58"/>
        <v>0</v>
      </c>
      <c r="AQ95" s="194">
        <f t="shared" si="40"/>
        <v>0</v>
      </c>
      <c r="AR95" s="194">
        <f t="shared" si="41"/>
        <v>0</v>
      </c>
      <c r="AS95" s="194">
        <f t="shared" si="42"/>
        <v>0</v>
      </c>
      <c r="AT95" s="194">
        <f t="shared" si="43"/>
        <v>0</v>
      </c>
      <c r="AU95" s="33"/>
      <c r="AV95" s="33"/>
      <c r="AW95" s="33"/>
      <c r="AX95" s="33"/>
      <c r="AY95" s="76"/>
    </row>
    <row r="96" spans="2:51">
      <c r="I96" s="55">
        <v>91</v>
      </c>
      <c r="J96" s="33">
        <f t="shared" si="61"/>
        <v>0</v>
      </c>
      <c r="K96" s="33">
        <f t="shared" si="62"/>
        <v>0</v>
      </c>
      <c r="L96" s="33">
        <f t="shared" si="63"/>
        <v>0</v>
      </c>
      <c r="M96" s="33">
        <f t="shared" si="64"/>
        <v>0</v>
      </c>
      <c r="N96" s="33">
        <f t="shared" si="44"/>
        <v>0</v>
      </c>
      <c r="O96" s="34">
        <f t="shared" si="45"/>
        <v>0</v>
      </c>
      <c r="P96" s="55">
        <v>91</v>
      </c>
      <c r="Q96" s="33">
        <f t="shared" si="59"/>
        <v>0</v>
      </c>
      <c r="R96" s="33">
        <f t="shared" si="65"/>
        <v>0</v>
      </c>
      <c r="S96" s="33">
        <f t="shared" si="66"/>
        <v>0</v>
      </c>
      <c r="T96" s="33">
        <f t="shared" si="46"/>
        <v>0</v>
      </c>
      <c r="U96" s="33">
        <f t="shared" si="60"/>
        <v>0</v>
      </c>
      <c r="V96" s="33">
        <f t="shared" si="47"/>
        <v>0</v>
      </c>
      <c r="W96" s="33">
        <v>0</v>
      </c>
      <c r="X96" s="33">
        <f t="shared" si="48"/>
        <v>0</v>
      </c>
      <c r="Y96" s="38">
        <f t="shared" si="49"/>
        <v>0</v>
      </c>
      <c r="AA96" s="71">
        <v>91</v>
      </c>
      <c r="AB96" s="33">
        <f t="shared" si="50"/>
        <v>0</v>
      </c>
      <c r="AC96" s="305">
        <f t="shared" si="51"/>
        <v>0</v>
      </c>
      <c r="AD96" s="100">
        <f t="shared" si="52"/>
        <v>0</v>
      </c>
      <c r="AE96" s="100">
        <f t="shared" si="53"/>
        <v>0</v>
      </c>
      <c r="AF96" s="194">
        <f t="shared" si="70"/>
        <v>0</v>
      </c>
      <c r="AG96" s="194">
        <f t="shared" si="71"/>
        <v>0</v>
      </c>
      <c r="AH96" s="194">
        <f t="shared" si="72"/>
        <v>0</v>
      </c>
      <c r="AI96" s="199">
        <f t="shared" si="73"/>
        <v>0</v>
      </c>
      <c r="AK96" s="71">
        <v>91</v>
      </c>
      <c r="AL96" s="33">
        <f t="shared" si="54"/>
        <v>0</v>
      </c>
      <c r="AM96" s="33">
        <f t="shared" si="55"/>
        <v>0</v>
      </c>
      <c r="AN96" s="33">
        <f t="shared" si="56"/>
        <v>0</v>
      </c>
      <c r="AO96" s="33">
        <f t="shared" si="57"/>
        <v>0</v>
      </c>
      <c r="AP96" s="33">
        <f t="shared" si="58"/>
        <v>0</v>
      </c>
      <c r="AQ96" s="194">
        <f t="shared" si="40"/>
        <v>0</v>
      </c>
      <c r="AR96" s="194">
        <f t="shared" si="41"/>
        <v>0</v>
      </c>
      <c r="AS96" s="194">
        <f t="shared" si="42"/>
        <v>0</v>
      </c>
      <c r="AT96" s="194">
        <f t="shared" si="43"/>
        <v>0</v>
      </c>
      <c r="AU96" s="33"/>
      <c r="AV96" s="33"/>
      <c r="AW96" s="33"/>
      <c r="AX96" s="33"/>
      <c r="AY96" s="76"/>
    </row>
    <row r="97" spans="2:51">
      <c r="C97" s="67" t="s">
        <v>153</v>
      </c>
      <c r="D97" t="s">
        <v>136</v>
      </c>
      <c r="E97" s="6"/>
      <c r="I97" s="55">
        <v>92</v>
      </c>
      <c r="J97" s="33">
        <f t="shared" si="61"/>
        <v>0</v>
      </c>
      <c r="K97" s="33">
        <f t="shared" si="62"/>
        <v>0</v>
      </c>
      <c r="L97" s="33">
        <f t="shared" si="63"/>
        <v>0</v>
      </c>
      <c r="M97" s="33">
        <f t="shared" si="64"/>
        <v>0</v>
      </c>
      <c r="N97" s="33">
        <f t="shared" si="44"/>
        <v>0</v>
      </c>
      <c r="O97" s="34">
        <f t="shared" si="45"/>
        <v>0</v>
      </c>
      <c r="P97" s="55">
        <v>92</v>
      </c>
      <c r="Q97" s="33">
        <f t="shared" si="59"/>
        <v>0</v>
      </c>
      <c r="R97" s="33">
        <f t="shared" si="65"/>
        <v>0</v>
      </c>
      <c r="S97" s="33">
        <f t="shared" si="66"/>
        <v>0</v>
      </c>
      <c r="T97" s="33">
        <f t="shared" si="46"/>
        <v>0</v>
      </c>
      <c r="U97" s="33">
        <f t="shared" si="60"/>
        <v>0</v>
      </c>
      <c r="V97" s="33">
        <f t="shared" si="47"/>
        <v>0</v>
      </c>
      <c r="W97" s="33">
        <v>0</v>
      </c>
      <c r="X97" s="33">
        <f t="shared" si="48"/>
        <v>0</v>
      </c>
      <c r="Y97" s="38">
        <f t="shared" si="49"/>
        <v>0</v>
      </c>
      <c r="AA97" s="71">
        <v>92</v>
      </c>
      <c r="AB97" s="33">
        <f t="shared" si="50"/>
        <v>0</v>
      </c>
      <c r="AC97" s="305">
        <f t="shared" si="51"/>
        <v>0</v>
      </c>
      <c r="AD97" s="100">
        <f t="shared" si="52"/>
        <v>0</v>
      </c>
      <c r="AE97" s="100">
        <f t="shared" si="53"/>
        <v>0</v>
      </c>
      <c r="AF97" s="194">
        <f t="shared" si="70"/>
        <v>0</v>
      </c>
      <c r="AG97" s="194">
        <f t="shared" si="71"/>
        <v>0</v>
      </c>
      <c r="AH97" s="194">
        <f t="shared" si="72"/>
        <v>0</v>
      </c>
      <c r="AI97" s="199">
        <f t="shared" si="73"/>
        <v>0</v>
      </c>
      <c r="AK97" s="71">
        <v>92</v>
      </c>
      <c r="AL97" s="33">
        <f t="shared" si="54"/>
        <v>0</v>
      </c>
      <c r="AM97" s="33">
        <f t="shared" si="55"/>
        <v>0</v>
      </c>
      <c r="AN97" s="33">
        <f t="shared" si="56"/>
        <v>0</v>
      </c>
      <c r="AO97" s="33">
        <f t="shared" si="57"/>
        <v>0</v>
      </c>
      <c r="AP97" s="33">
        <f t="shared" si="58"/>
        <v>0</v>
      </c>
      <c r="AQ97" s="194">
        <f t="shared" si="40"/>
        <v>0</v>
      </c>
      <c r="AR97" s="194">
        <f t="shared" si="41"/>
        <v>0</v>
      </c>
      <c r="AS97" s="194">
        <f t="shared" si="42"/>
        <v>0</v>
      </c>
      <c r="AT97" s="194">
        <f t="shared" si="43"/>
        <v>0</v>
      </c>
      <c r="AU97" s="33"/>
      <c r="AV97" s="33"/>
      <c r="AW97" s="33"/>
      <c r="AX97" s="33"/>
      <c r="AY97" s="76"/>
    </row>
    <row r="98" spans="2:51">
      <c r="B98" s="2" t="s">
        <v>0</v>
      </c>
      <c r="C98">
        <v>32</v>
      </c>
      <c r="D98">
        <v>0</v>
      </c>
      <c r="E98" s="6"/>
      <c r="I98" s="55">
        <v>93</v>
      </c>
      <c r="J98" s="33">
        <f t="shared" si="61"/>
        <v>0</v>
      </c>
      <c r="K98" s="33">
        <f t="shared" si="62"/>
        <v>0</v>
      </c>
      <c r="L98" s="33">
        <f t="shared" si="63"/>
        <v>0</v>
      </c>
      <c r="M98" s="33">
        <f t="shared" si="64"/>
        <v>0</v>
      </c>
      <c r="N98" s="33">
        <f t="shared" si="44"/>
        <v>0</v>
      </c>
      <c r="O98" s="34">
        <f t="shared" si="45"/>
        <v>0</v>
      </c>
      <c r="P98" s="55">
        <v>93</v>
      </c>
      <c r="Q98" s="33">
        <f t="shared" si="59"/>
        <v>0</v>
      </c>
      <c r="R98" s="33">
        <f t="shared" si="65"/>
        <v>0</v>
      </c>
      <c r="S98" s="33">
        <f t="shared" si="66"/>
        <v>0</v>
      </c>
      <c r="T98" s="33">
        <f t="shared" si="46"/>
        <v>0</v>
      </c>
      <c r="U98" s="33">
        <f t="shared" si="60"/>
        <v>0</v>
      </c>
      <c r="V98" s="33">
        <f t="shared" si="47"/>
        <v>0</v>
      </c>
      <c r="W98" s="33">
        <v>0</v>
      </c>
      <c r="X98" s="33">
        <f t="shared" si="48"/>
        <v>0</v>
      </c>
      <c r="Y98" s="38">
        <f t="shared" si="49"/>
        <v>0</v>
      </c>
      <c r="AA98" s="71">
        <v>93</v>
      </c>
      <c r="AB98" s="33">
        <f t="shared" si="50"/>
        <v>0</v>
      </c>
      <c r="AC98" s="305">
        <f t="shared" si="51"/>
        <v>0</v>
      </c>
      <c r="AD98" s="100">
        <f t="shared" si="52"/>
        <v>0</v>
      </c>
      <c r="AE98" s="100">
        <f t="shared" si="53"/>
        <v>0</v>
      </c>
      <c r="AF98" s="194">
        <f t="shared" si="70"/>
        <v>0</v>
      </c>
      <c r="AG98" s="194">
        <f t="shared" si="71"/>
        <v>0</v>
      </c>
      <c r="AH98" s="194">
        <f t="shared" si="72"/>
        <v>0</v>
      </c>
      <c r="AI98" s="199">
        <f t="shared" si="73"/>
        <v>0</v>
      </c>
      <c r="AK98" s="71">
        <v>93</v>
      </c>
      <c r="AL98" s="33">
        <f t="shared" si="54"/>
        <v>0</v>
      </c>
      <c r="AM98" s="33">
        <f t="shared" si="55"/>
        <v>0</v>
      </c>
      <c r="AN98" s="33">
        <f t="shared" si="56"/>
        <v>0</v>
      </c>
      <c r="AO98" s="33">
        <f t="shared" si="57"/>
        <v>0</v>
      </c>
      <c r="AP98" s="33">
        <f t="shared" si="58"/>
        <v>0</v>
      </c>
      <c r="AQ98" s="194">
        <f t="shared" si="40"/>
        <v>0</v>
      </c>
      <c r="AR98" s="194">
        <f t="shared" si="41"/>
        <v>0</v>
      </c>
      <c r="AS98" s="194">
        <f t="shared" si="42"/>
        <v>0</v>
      </c>
      <c r="AT98" s="194">
        <f t="shared" si="43"/>
        <v>0</v>
      </c>
      <c r="AU98" s="33"/>
      <c r="AV98" s="33"/>
      <c r="AW98" s="33"/>
      <c r="AX98" s="33"/>
      <c r="AY98" s="76"/>
    </row>
    <row r="99" spans="2:51">
      <c r="B99" s="2" t="s">
        <v>1</v>
      </c>
      <c r="C99">
        <v>45</v>
      </c>
      <c r="D99">
        <v>0</v>
      </c>
      <c r="E99" s="6"/>
      <c r="I99" s="55">
        <v>94</v>
      </c>
      <c r="J99" s="33">
        <f t="shared" si="61"/>
        <v>0</v>
      </c>
      <c r="K99" s="33">
        <f t="shared" si="62"/>
        <v>0</v>
      </c>
      <c r="L99" s="33">
        <f t="shared" si="63"/>
        <v>0</v>
      </c>
      <c r="M99" s="33">
        <f t="shared" si="64"/>
        <v>0</v>
      </c>
      <c r="N99" s="33">
        <f t="shared" si="44"/>
        <v>0</v>
      </c>
      <c r="O99" s="34">
        <f t="shared" si="45"/>
        <v>0</v>
      </c>
      <c r="P99" s="55">
        <v>94</v>
      </c>
      <c r="Q99" s="33">
        <f t="shared" si="59"/>
        <v>0</v>
      </c>
      <c r="R99" s="33">
        <f t="shared" si="65"/>
        <v>0</v>
      </c>
      <c r="S99" s="33">
        <f t="shared" si="66"/>
        <v>0</v>
      </c>
      <c r="T99" s="33">
        <f t="shared" si="46"/>
        <v>0</v>
      </c>
      <c r="U99" s="33">
        <f t="shared" si="60"/>
        <v>0</v>
      </c>
      <c r="V99" s="33">
        <f t="shared" si="47"/>
        <v>0</v>
      </c>
      <c r="W99" s="33">
        <v>0</v>
      </c>
      <c r="X99" s="33">
        <f t="shared" si="48"/>
        <v>0</v>
      </c>
      <c r="Y99" s="38">
        <f t="shared" si="49"/>
        <v>0</v>
      </c>
      <c r="AA99" s="71">
        <v>94</v>
      </c>
      <c r="AB99" s="33">
        <f t="shared" si="50"/>
        <v>0</v>
      </c>
      <c r="AC99" s="305">
        <f t="shared" si="51"/>
        <v>0</v>
      </c>
      <c r="AD99" s="100">
        <f t="shared" si="52"/>
        <v>0</v>
      </c>
      <c r="AE99" s="100">
        <f t="shared" si="53"/>
        <v>0</v>
      </c>
      <c r="AF99" s="194">
        <f t="shared" si="70"/>
        <v>0</v>
      </c>
      <c r="AG99" s="194">
        <f t="shared" si="71"/>
        <v>0</v>
      </c>
      <c r="AH99" s="194">
        <f t="shared" si="72"/>
        <v>0</v>
      </c>
      <c r="AI99" s="199">
        <f t="shared" si="73"/>
        <v>0</v>
      </c>
      <c r="AK99" s="71">
        <v>94</v>
      </c>
      <c r="AL99" s="33">
        <f t="shared" si="54"/>
        <v>0</v>
      </c>
      <c r="AM99" s="33">
        <f t="shared" si="55"/>
        <v>0</v>
      </c>
      <c r="AN99" s="33">
        <f t="shared" si="56"/>
        <v>0</v>
      </c>
      <c r="AO99" s="33">
        <f t="shared" si="57"/>
        <v>0</v>
      </c>
      <c r="AP99" s="33">
        <f t="shared" si="58"/>
        <v>0</v>
      </c>
      <c r="AQ99" s="194">
        <f t="shared" si="40"/>
        <v>0</v>
      </c>
      <c r="AR99" s="194">
        <f t="shared" si="41"/>
        <v>0</v>
      </c>
      <c r="AS99" s="194">
        <f t="shared" si="42"/>
        <v>0</v>
      </c>
      <c r="AT99" s="194">
        <f t="shared" si="43"/>
        <v>0</v>
      </c>
      <c r="AU99" s="33"/>
      <c r="AV99" s="33"/>
      <c r="AW99" s="33"/>
      <c r="AX99" s="33"/>
      <c r="AY99" s="76"/>
    </row>
    <row r="100" spans="2:51">
      <c r="B100" s="2" t="s">
        <v>2</v>
      </c>
      <c r="C100">
        <v>70</v>
      </c>
      <c r="D100">
        <v>0</v>
      </c>
      <c r="E100" s="6"/>
      <c r="I100" s="55">
        <v>95</v>
      </c>
      <c r="J100" s="33">
        <f t="shared" si="61"/>
        <v>0</v>
      </c>
      <c r="K100" s="33">
        <f t="shared" si="62"/>
        <v>0</v>
      </c>
      <c r="L100" s="33">
        <f t="shared" si="63"/>
        <v>0</v>
      </c>
      <c r="M100" s="33">
        <f t="shared" si="64"/>
        <v>0</v>
      </c>
      <c r="N100" s="33">
        <f t="shared" si="44"/>
        <v>0</v>
      </c>
      <c r="O100" s="34">
        <f t="shared" si="45"/>
        <v>0</v>
      </c>
      <c r="P100" s="55">
        <v>95</v>
      </c>
      <c r="Q100" s="33">
        <f t="shared" si="59"/>
        <v>0</v>
      </c>
      <c r="R100" s="33">
        <f t="shared" si="65"/>
        <v>0</v>
      </c>
      <c r="S100" s="33">
        <f t="shared" si="66"/>
        <v>0</v>
      </c>
      <c r="T100" s="33">
        <f t="shared" si="46"/>
        <v>0</v>
      </c>
      <c r="U100" s="33">
        <f t="shared" si="60"/>
        <v>0</v>
      </c>
      <c r="V100" s="33">
        <f t="shared" si="47"/>
        <v>0</v>
      </c>
      <c r="W100" s="33">
        <v>0</v>
      </c>
      <c r="X100" s="33">
        <f t="shared" si="48"/>
        <v>0</v>
      </c>
      <c r="Y100" s="38">
        <f t="shared" si="49"/>
        <v>0</v>
      </c>
      <c r="AA100" s="71">
        <v>95</v>
      </c>
      <c r="AB100" s="33">
        <f t="shared" si="50"/>
        <v>0</v>
      </c>
      <c r="AC100" s="305">
        <f t="shared" si="51"/>
        <v>0</v>
      </c>
      <c r="AD100" s="100">
        <f t="shared" si="52"/>
        <v>0</v>
      </c>
      <c r="AE100" s="100">
        <f t="shared" si="53"/>
        <v>0</v>
      </c>
      <c r="AF100" s="194">
        <f t="shared" si="70"/>
        <v>0</v>
      </c>
      <c r="AG100" s="194">
        <f t="shared" si="71"/>
        <v>0</v>
      </c>
      <c r="AH100" s="194">
        <f t="shared" si="72"/>
        <v>0</v>
      </c>
      <c r="AI100" s="199">
        <f t="shared" si="73"/>
        <v>0</v>
      </c>
      <c r="AK100" s="71">
        <v>95</v>
      </c>
      <c r="AL100" s="33">
        <f t="shared" si="54"/>
        <v>0</v>
      </c>
      <c r="AM100" s="33">
        <f t="shared" si="55"/>
        <v>0</v>
      </c>
      <c r="AN100" s="33">
        <f t="shared" si="56"/>
        <v>0</v>
      </c>
      <c r="AO100" s="33">
        <f t="shared" si="57"/>
        <v>0</v>
      </c>
      <c r="AP100" s="33">
        <f t="shared" si="58"/>
        <v>0</v>
      </c>
      <c r="AQ100" s="194">
        <f t="shared" ref="AQ100:AQ163" si="74">IF($AK100&lt;=$F$18,$AL100*AM100,)</f>
        <v>0</v>
      </c>
      <c r="AR100" s="194">
        <f t="shared" ref="AR100:AR163" si="75">IF($AK100&lt;=$F$18,$AL100*AN100,)</f>
        <v>0</v>
      </c>
      <c r="AS100" s="194">
        <f t="shared" ref="AS100:AS163" si="76">IF($AK100&lt;=$F$18,$AL100*AO100,)</f>
        <v>0</v>
      </c>
      <c r="AT100" s="194">
        <f t="shared" ref="AT100:AT163" si="77">IF($AK100&lt;=$F$18,$AL100*AP100,)</f>
        <v>0</v>
      </c>
      <c r="AU100" s="33"/>
      <c r="AV100" s="33"/>
      <c r="AW100" s="33"/>
      <c r="AX100" s="33"/>
      <c r="AY100" s="76"/>
    </row>
    <row r="101" spans="2:51">
      <c r="B101" s="2" t="s">
        <v>134</v>
      </c>
      <c r="C101">
        <v>70</v>
      </c>
      <c r="D101">
        <v>0</v>
      </c>
      <c r="E101" s="6"/>
      <c r="I101" s="55">
        <v>96</v>
      </c>
      <c r="J101" s="33">
        <f t="shared" si="61"/>
        <v>0</v>
      </c>
      <c r="K101" s="33">
        <f t="shared" si="62"/>
        <v>0</v>
      </c>
      <c r="L101" s="33">
        <f t="shared" si="63"/>
        <v>0</v>
      </c>
      <c r="M101" s="33">
        <f t="shared" si="64"/>
        <v>0</v>
      </c>
      <c r="N101" s="33">
        <f t="shared" si="44"/>
        <v>0</v>
      </c>
      <c r="O101" s="34">
        <f t="shared" si="45"/>
        <v>0</v>
      </c>
      <c r="P101" s="55">
        <v>96</v>
      </c>
      <c r="Q101" s="33">
        <f t="shared" si="59"/>
        <v>0</v>
      </c>
      <c r="R101" s="33">
        <f t="shared" si="65"/>
        <v>0</v>
      </c>
      <c r="S101" s="33">
        <f t="shared" si="66"/>
        <v>0</v>
      </c>
      <c r="T101" s="33">
        <f t="shared" si="46"/>
        <v>0</v>
      </c>
      <c r="U101" s="33">
        <f t="shared" si="60"/>
        <v>0</v>
      </c>
      <c r="V101" s="33">
        <f t="shared" si="47"/>
        <v>0</v>
      </c>
      <c r="W101" s="33">
        <v>0</v>
      </c>
      <c r="X101" s="33">
        <f t="shared" si="48"/>
        <v>0</v>
      </c>
      <c r="Y101" s="38">
        <f t="shared" si="49"/>
        <v>0</v>
      </c>
      <c r="AA101" s="71">
        <v>96</v>
      </c>
      <c r="AB101" s="33">
        <f t="shared" si="50"/>
        <v>0</v>
      </c>
      <c r="AC101" s="305">
        <f t="shared" si="51"/>
        <v>0</v>
      </c>
      <c r="AD101" s="100">
        <f t="shared" si="52"/>
        <v>0</v>
      </c>
      <c r="AE101" s="100">
        <f t="shared" si="53"/>
        <v>0</v>
      </c>
      <c r="AF101" s="194">
        <f t="shared" si="70"/>
        <v>0</v>
      </c>
      <c r="AG101" s="194">
        <f t="shared" si="71"/>
        <v>0</v>
      </c>
      <c r="AH101" s="194">
        <f t="shared" si="72"/>
        <v>0</v>
      </c>
      <c r="AI101" s="199">
        <f t="shared" si="73"/>
        <v>0</v>
      </c>
      <c r="AK101" s="71">
        <v>96</v>
      </c>
      <c r="AL101" s="33">
        <f t="shared" si="54"/>
        <v>0</v>
      </c>
      <c r="AM101" s="33">
        <f t="shared" si="55"/>
        <v>0</v>
      </c>
      <c r="AN101" s="33">
        <f t="shared" si="56"/>
        <v>0</v>
      </c>
      <c r="AO101" s="33">
        <f t="shared" si="57"/>
        <v>0</v>
      </c>
      <c r="AP101" s="33">
        <f t="shared" si="58"/>
        <v>0</v>
      </c>
      <c r="AQ101" s="194">
        <f t="shared" si="74"/>
        <v>0</v>
      </c>
      <c r="AR101" s="194">
        <f t="shared" si="75"/>
        <v>0</v>
      </c>
      <c r="AS101" s="194">
        <f t="shared" si="76"/>
        <v>0</v>
      </c>
      <c r="AT101" s="194">
        <f t="shared" si="77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1"/>
        <v>0</v>
      </c>
      <c r="K102" s="33">
        <f t="shared" si="62"/>
        <v>0</v>
      </c>
      <c r="L102" s="33">
        <f t="shared" si="63"/>
        <v>0</v>
      </c>
      <c r="M102" s="33">
        <f t="shared" si="64"/>
        <v>0</v>
      </c>
      <c r="N102" s="33">
        <f t="shared" si="44"/>
        <v>0</v>
      </c>
      <c r="O102" s="34">
        <f t="shared" si="45"/>
        <v>0</v>
      </c>
      <c r="P102" s="55">
        <v>97</v>
      </c>
      <c r="Q102" s="33">
        <f t="shared" si="59"/>
        <v>0</v>
      </c>
      <c r="R102" s="33">
        <f t="shared" si="65"/>
        <v>0</v>
      </c>
      <c r="S102" s="33">
        <f t="shared" si="66"/>
        <v>0</v>
      </c>
      <c r="T102" s="33">
        <f t="shared" si="46"/>
        <v>0</v>
      </c>
      <c r="U102" s="33">
        <f t="shared" si="60"/>
        <v>0</v>
      </c>
      <c r="V102" s="33">
        <f t="shared" si="47"/>
        <v>0</v>
      </c>
      <c r="W102" s="33">
        <v>0</v>
      </c>
      <c r="X102" s="33">
        <f t="shared" si="48"/>
        <v>0</v>
      </c>
      <c r="Y102" s="38">
        <f t="shared" si="49"/>
        <v>0</v>
      </c>
      <c r="AA102" s="71">
        <v>97</v>
      </c>
      <c r="AB102" s="33">
        <f t="shared" si="50"/>
        <v>0</v>
      </c>
      <c r="AC102" s="305">
        <f t="shared" si="51"/>
        <v>0</v>
      </c>
      <c r="AD102" s="100">
        <f t="shared" si="52"/>
        <v>0</v>
      </c>
      <c r="AE102" s="100">
        <f t="shared" si="53"/>
        <v>0</v>
      </c>
      <c r="AF102" s="194">
        <f t="shared" si="70"/>
        <v>0</v>
      </c>
      <c r="AG102" s="194">
        <f t="shared" si="71"/>
        <v>0</v>
      </c>
      <c r="AH102" s="194">
        <f t="shared" si="72"/>
        <v>0</v>
      </c>
      <c r="AI102" s="199">
        <f t="shared" si="73"/>
        <v>0</v>
      </c>
      <c r="AK102" s="71">
        <v>97</v>
      </c>
      <c r="AL102" s="33">
        <f t="shared" si="54"/>
        <v>0</v>
      </c>
      <c r="AM102" s="33">
        <f t="shared" si="55"/>
        <v>0</v>
      </c>
      <c r="AN102" s="33">
        <f t="shared" si="56"/>
        <v>0</v>
      </c>
      <c r="AO102" s="33">
        <f t="shared" si="57"/>
        <v>0</v>
      </c>
      <c r="AP102" s="33">
        <f t="shared" si="58"/>
        <v>0</v>
      </c>
      <c r="AQ102" s="194">
        <f t="shared" si="74"/>
        <v>0</v>
      </c>
      <c r="AR102" s="194">
        <f t="shared" si="75"/>
        <v>0</v>
      </c>
      <c r="AS102" s="194">
        <f t="shared" si="76"/>
        <v>0</v>
      </c>
      <c r="AT102" s="194">
        <f t="shared" si="77"/>
        <v>0</v>
      </c>
      <c r="AU102" s="33"/>
      <c r="AV102" s="33"/>
      <c r="AW102" s="33"/>
      <c r="AX102" s="33"/>
      <c r="AY102" s="76"/>
    </row>
    <row r="103" spans="2:51" ht="16">
      <c r="C103" s="25" t="s">
        <v>156</v>
      </c>
      <c r="D103" s="157" t="s">
        <v>157</v>
      </c>
      <c r="F103" s="190" t="s">
        <v>231</v>
      </c>
      <c r="I103" s="55">
        <v>98</v>
      </c>
      <c r="J103" s="33">
        <f t="shared" si="61"/>
        <v>0</v>
      </c>
      <c r="K103" s="33">
        <f t="shared" si="62"/>
        <v>0</v>
      </c>
      <c r="L103" s="33">
        <f t="shared" si="63"/>
        <v>0</v>
      </c>
      <c r="M103" s="33">
        <f t="shared" si="64"/>
        <v>0</v>
      </c>
      <c r="N103" s="33">
        <f t="shared" si="44"/>
        <v>0</v>
      </c>
      <c r="O103" s="34">
        <f t="shared" si="45"/>
        <v>0</v>
      </c>
      <c r="P103" s="55">
        <v>98</v>
      </c>
      <c r="Q103" s="33">
        <f t="shared" si="59"/>
        <v>0</v>
      </c>
      <c r="R103" s="33">
        <f t="shared" si="65"/>
        <v>0</v>
      </c>
      <c r="S103" s="33">
        <f t="shared" si="66"/>
        <v>0</v>
      </c>
      <c r="T103" s="33">
        <f t="shared" si="46"/>
        <v>0</v>
      </c>
      <c r="U103" s="33">
        <f t="shared" si="60"/>
        <v>0</v>
      </c>
      <c r="V103" s="33">
        <f t="shared" si="47"/>
        <v>0</v>
      </c>
      <c r="W103" s="33">
        <v>0</v>
      </c>
      <c r="X103" s="33">
        <f t="shared" si="48"/>
        <v>0</v>
      </c>
      <c r="Y103" s="38">
        <f t="shared" si="49"/>
        <v>0</v>
      </c>
      <c r="AA103" s="71">
        <v>98</v>
      </c>
      <c r="AB103" s="33">
        <f t="shared" si="50"/>
        <v>0</v>
      </c>
      <c r="AC103" s="305">
        <f t="shared" si="51"/>
        <v>0</v>
      </c>
      <c r="AD103" s="100">
        <f t="shared" si="52"/>
        <v>0</v>
      </c>
      <c r="AE103" s="100">
        <f t="shared" si="53"/>
        <v>0</v>
      </c>
      <c r="AF103" s="194">
        <f t="shared" si="70"/>
        <v>0</v>
      </c>
      <c r="AG103" s="194">
        <f t="shared" si="71"/>
        <v>0</v>
      </c>
      <c r="AH103" s="194">
        <f t="shared" si="72"/>
        <v>0</v>
      </c>
      <c r="AI103" s="199">
        <f t="shared" si="73"/>
        <v>0</v>
      </c>
      <c r="AK103" s="71">
        <v>98</v>
      </c>
      <c r="AL103" s="33">
        <f t="shared" si="54"/>
        <v>0</v>
      </c>
      <c r="AM103" s="33">
        <f t="shared" si="55"/>
        <v>0</v>
      </c>
      <c r="AN103" s="33">
        <f t="shared" si="56"/>
        <v>0</v>
      </c>
      <c r="AO103" s="33">
        <f t="shared" si="57"/>
        <v>0</v>
      </c>
      <c r="AP103" s="33">
        <f t="shared" si="58"/>
        <v>0</v>
      </c>
      <c r="AQ103" s="194">
        <f t="shared" si="74"/>
        <v>0</v>
      </c>
      <c r="AR103" s="194">
        <f t="shared" si="75"/>
        <v>0</v>
      </c>
      <c r="AS103" s="194">
        <f t="shared" si="76"/>
        <v>0</v>
      </c>
      <c r="AT103" s="194">
        <f t="shared" si="77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300" t="s">
        <v>227</v>
      </c>
      <c r="G104" s="24">
        <v>0.25</v>
      </c>
      <c r="I104" s="55">
        <v>99</v>
      </c>
      <c r="J104" s="33">
        <f t="shared" si="61"/>
        <v>0</v>
      </c>
      <c r="K104" s="33">
        <f t="shared" si="62"/>
        <v>0</v>
      </c>
      <c r="L104" s="33">
        <f t="shared" si="63"/>
        <v>0</v>
      </c>
      <c r="M104" s="33">
        <f t="shared" si="64"/>
        <v>0</v>
      </c>
      <c r="N104" s="33">
        <f t="shared" si="44"/>
        <v>0</v>
      </c>
      <c r="O104" s="34">
        <f t="shared" si="45"/>
        <v>0</v>
      </c>
      <c r="P104" s="55">
        <v>99</v>
      </c>
      <c r="Q104" s="33">
        <f t="shared" si="59"/>
        <v>0</v>
      </c>
      <c r="R104" s="33">
        <f t="shared" si="65"/>
        <v>0</v>
      </c>
      <c r="S104" s="33">
        <f t="shared" si="66"/>
        <v>0</v>
      </c>
      <c r="T104" s="33">
        <f t="shared" si="46"/>
        <v>0</v>
      </c>
      <c r="U104" s="33">
        <f t="shared" si="60"/>
        <v>0</v>
      </c>
      <c r="V104" s="33">
        <f t="shared" si="47"/>
        <v>0</v>
      </c>
      <c r="W104" s="33">
        <v>0</v>
      </c>
      <c r="X104" s="33">
        <f t="shared" si="48"/>
        <v>0</v>
      </c>
      <c r="Y104" s="38">
        <f t="shared" si="49"/>
        <v>0</v>
      </c>
      <c r="AA104" s="71">
        <v>99</v>
      </c>
      <c r="AB104" s="33">
        <f t="shared" si="50"/>
        <v>0</v>
      </c>
      <c r="AC104" s="305">
        <f t="shared" si="51"/>
        <v>0</v>
      </c>
      <c r="AD104" s="100">
        <f t="shared" si="52"/>
        <v>0</v>
      </c>
      <c r="AE104" s="100">
        <f t="shared" si="53"/>
        <v>0</v>
      </c>
      <c r="AF104" s="194">
        <f t="shared" si="70"/>
        <v>0</v>
      </c>
      <c r="AG104" s="194">
        <f t="shared" si="71"/>
        <v>0</v>
      </c>
      <c r="AH104" s="194">
        <f t="shared" si="72"/>
        <v>0</v>
      </c>
      <c r="AI104" s="199">
        <f t="shared" si="73"/>
        <v>0</v>
      </c>
      <c r="AK104" s="71">
        <v>99</v>
      </c>
      <c r="AL104" s="33">
        <f t="shared" si="54"/>
        <v>0</v>
      </c>
      <c r="AM104" s="33">
        <f t="shared" si="55"/>
        <v>0</v>
      </c>
      <c r="AN104" s="33">
        <f t="shared" si="56"/>
        <v>0</v>
      </c>
      <c r="AO104" s="33">
        <f t="shared" si="57"/>
        <v>0</v>
      </c>
      <c r="AP104" s="33">
        <f t="shared" si="58"/>
        <v>0</v>
      </c>
      <c r="AQ104" s="194">
        <f t="shared" si="74"/>
        <v>0</v>
      </c>
      <c r="AR104" s="194">
        <f t="shared" si="75"/>
        <v>0</v>
      </c>
      <c r="AS104" s="194">
        <f t="shared" si="76"/>
        <v>0</v>
      </c>
      <c r="AT104" s="194">
        <f t="shared" si="77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300" t="s">
        <v>229</v>
      </c>
      <c r="G105" s="24">
        <v>1.03</v>
      </c>
      <c r="I105" s="55">
        <v>100</v>
      </c>
      <c r="J105" s="33">
        <f t="shared" si="61"/>
        <v>0</v>
      </c>
      <c r="K105" s="33">
        <f t="shared" si="62"/>
        <v>0</v>
      </c>
      <c r="L105" s="33">
        <f t="shared" si="63"/>
        <v>0</v>
      </c>
      <c r="M105" s="33">
        <f t="shared" si="64"/>
        <v>0</v>
      </c>
      <c r="N105" s="33">
        <f t="shared" si="44"/>
        <v>0</v>
      </c>
      <c r="O105" s="34">
        <f t="shared" si="45"/>
        <v>0</v>
      </c>
      <c r="P105" s="55">
        <v>100</v>
      </c>
      <c r="Q105" s="33">
        <f t="shared" si="59"/>
        <v>0</v>
      </c>
      <c r="R105" s="33">
        <f t="shared" si="65"/>
        <v>0</v>
      </c>
      <c r="S105" s="33">
        <f t="shared" si="66"/>
        <v>0</v>
      </c>
      <c r="T105" s="33">
        <f t="shared" si="46"/>
        <v>0</v>
      </c>
      <c r="U105" s="33">
        <f t="shared" si="60"/>
        <v>0</v>
      </c>
      <c r="V105" s="33">
        <f t="shared" si="47"/>
        <v>0</v>
      </c>
      <c r="W105" s="33">
        <v>0</v>
      </c>
      <c r="X105" s="33">
        <f t="shared" si="48"/>
        <v>0</v>
      </c>
      <c r="Y105" s="38">
        <f t="shared" si="49"/>
        <v>0</v>
      </c>
      <c r="AA105" s="71">
        <v>100</v>
      </c>
      <c r="AB105" s="33">
        <f t="shared" si="50"/>
        <v>0</v>
      </c>
      <c r="AC105" s="305">
        <f t="shared" si="51"/>
        <v>0</v>
      </c>
      <c r="AD105" s="100">
        <f t="shared" si="52"/>
        <v>0</v>
      </c>
      <c r="AE105" s="100">
        <f t="shared" si="53"/>
        <v>0</v>
      </c>
      <c r="AF105" s="194">
        <f t="shared" si="70"/>
        <v>0</v>
      </c>
      <c r="AG105" s="194">
        <f t="shared" si="71"/>
        <v>0</v>
      </c>
      <c r="AH105" s="194">
        <f t="shared" si="72"/>
        <v>0</v>
      </c>
      <c r="AI105" s="199">
        <f t="shared" si="73"/>
        <v>0</v>
      </c>
      <c r="AK105" s="71">
        <v>100</v>
      </c>
      <c r="AL105" s="33">
        <f t="shared" si="54"/>
        <v>0</v>
      </c>
      <c r="AM105" s="33">
        <f t="shared" si="55"/>
        <v>0</v>
      </c>
      <c r="AN105" s="33">
        <f t="shared" si="56"/>
        <v>0</v>
      </c>
      <c r="AO105" s="33">
        <f t="shared" si="57"/>
        <v>0</v>
      </c>
      <c r="AP105" s="33">
        <f t="shared" si="58"/>
        <v>0</v>
      </c>
      <c r="AQ105" s="194">
        <f t="shared" si="74"/>
        <v>0</v>
      </c>
      <c r="AR105" s="194">
        <f t="shared" si="75"/>
        <v>0</v>
      </c>
      <c r="AS105" s="194">
        <f t="shared" si="76"/>
        <v>0</v>
      </c>
      <c r="AT105" s="194">
        <f t="shared" si="77"/>
        <v>0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300" t="s">
        <v>230</v>
      </c>
      <c r="G106" s="24">
        <v>0.59</v>
      </c>
      <c r="I106" s="55">
        <v>101</v>
      </c>
      <c r="J106" s="33">
        <f t="shared" si="61"/>
        <v>0</v>
      </c>
      <c r="K106" s="33">
        <f t="shared" si="62"/>
        <v>0</v>
      </c>
      <c r="L106" s="33">
        <f t="shared" si="63"/>
        <v>0</v>
      </c>
      <c r="M106" s="33">
        <f t="shared" si="64"/>
        <v>0</v>
      </c>
      <c r="N106" s="33">
        <f t="shared" si="44"/>
        <v>0</v>
      </c>
      <c r="O106" s="34">
        <f t="shared" si="45"/>
        <v>0</v>
      </c>
      <c r="P106" s="55">
        <v>101</v>
      </c>
      <c r="Q106" s="33">
        <f t="shared" si="59"/>
        <v>0</v>
      </c>
      <c r="R106" s="33">
        <f t="shared" si="65"/>
        <v>0</v>
      </c>
      <c r="S106" s="33">
        <f t="shared" si="66"/>
        <v>0</v>
      </c>
      <c r="T106" s="33">
        <f t="shared" si="46"/>
        <v>0</v>
      </c>
      <c r="U106" s="33">
        <f t="shared" si="60"/>
        <v>0</v>
      </c>
      <c r="V106" s="33">
        <f t="shared" si="47"/>
        <v>0</v>
      </c>
      <c r="W106" s="33">
        <v>0</v>
      </c>
      <c r="X106" s="33">
        <f t="shared" si="48"/>
        <v>0</v>
      </c>
      <c r="Y106" s="38">
        <f t="shared" si="49"/>
        <v>0</v>
      </c>
      <c r="AA106" s="71">
        <v>101</v>
      </c>
      <c r="AB106" s="33">
        <f t="shared" si="50"/>
        <v>0</v>
      </c>
      <c r="AC106" s="305">
        <f t="shared" si="51"/>
        <v>0</v>
      </c>
      <c r="AD106" s="100">
        <f t="shared" si="52"/>
        <v>0</v>
      </c>
      <c r="AE106" s="100">
        <f t="shared" si="53"/>
        <v>0</v>
      </c>
      <c r="AF106" s="194">
        <f t="shared" si="70"/>
        <v>0</v>
      </c>
      <c r="AG106" s="194">
        <f t="shared" si="71"/>
        <v>0</v>
      </c>
      <c r="AH106" s="194">
        <f t="shared" si="72"/>
        <v>0</v>
      </c>
      <c r="AI106" s="199">
        <f t="shared" si="73"/>
        <v>0</v>
      </c>
      <c r="AK106" s="71">
        <v>101</v>
      </c>
      <c r="AL106" s="33">
        <f t="shared" si="54"/>
        <v>0</v>
      </c>
      <c r="AM106" s="33">
        <f t="shared" si="55"/>
        <v>0</v>
      </c>
      <c r="AN106" s="33">
        <f t="shared" si="56"/>
        <v>0</v>
      </c>
      <c r="AO106" s="33">
        <f t="shared" si="57"/>
        <v>0</v>
      </c>
      <c r="AP106" s="33">
        <f t="shared" si="58"/>
        <v>0</v>
      </c>
      <c r="AQ106" s="194">
        <f t="shared" si="74"/>
        <v>0</v>
      </c>
      <c r="AR106" s="194">
        <f t="shared" si="75"/>
        <v>0</v>
      </c>
      <c r="AS106" s="194">
        <f t="shared" si="76"/>
        <v>0</v>
      </c>
      <c r="AT106" s="194">
        <f t="shared" si="77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 s="341">
        <f>44%*D105+56%*D106</f>
        <v>14.880000000000003</v>
      </c>
      <c r="F107" s="300" t="s">
        <v>228</v>
      </c>
      <c r="G107" s="24">
        <v>0.43</v>
      </c>
      <c r="I107" s="55">
        <v>102</v>
      </c>
      <c r="J107" s="33">
        <f t="shared" si="61"/>
        <v>0</v>
      </c>
      <c r="K107" s="33">
        <f t="shared" si="62"/>
        <v>0</v>
      </c>
      <c r="L107" s="33">
        <f t="shared" si="63"/>
        <v>0</v>
      </c>
      <c r="M107" s="33">
        <f t="shared" si="64"/>
        <v>0</v>
      </c>
      <c r="N107" s="33">
        <f t="shared" si="44"/>
        <v>0</v>
      </c>
      <c r="O107" s="34">
        <f t="shared" si="45"/>
        <v>0</v>
      </c>
      <c r="P107" s="55">
        <v>102</v>
      </c>
      <c r="Q107" s="33">
        <f t="shared" si="59"/>
        <v>0</v>
      </c>
      <c r="R107" s="33">
        <f t="shared" si="65"/>
        <v>0</v>
      </c>
      <c r="S107" s="33">
        <f t="shared" si="66"/>
        <v>0</v>
      </c>
      <c r="T107" s="33">
        <f t="shared" si="46"/>
        <v>0</v>
      </c>
      <c r="U107" s="33">
        <f t="shared" si="60"/>
        <v>0</v>
      </c>
      <c r="V107" s="33">
        <f t="shared" si="47"/>
        <v>0</v>
      </c>
      <c r="W107" s="33">
        <v>0</v>
      </c>
      <c r="X107" s="33">
        <f t="shared" si="48"/>
        <v>0</v>
      </c>
      <c r="Y107" s="38">
        <f t="shared" si="49"/>
        <v>0</v>
      </c>
      <c r="AA107" s="71">
        <v>102</v>
      </c>
      <c r="AB107" s="33">
        <f t="shared" si="50"/>
        <v>0</v>
      </c>
      <c r="AC107" s="305">
        <f t="shared" si="51"/>
        <v>0</v>
      </c>
      <c r="AD107" s="100">
        <f t="shared" si="52"/>
        <v>0</v>
      </c>
      <c r="AE107" s="100">
        <f t="shared" si="53"/>
        <v>0</v>
      </c>
      <c r="AF107" s="194">
        <f t="shared" si="70"/>
        <v>0</v>
      </c>
      <c r="AG107" s="194">
        <f t="shared" si="71"/>
        <v>0</v>
      </c>
      <c r="AH107" s="194">
        <f t="shared" si="72"/>
        <v>0</v>
      </c>
      <c r="AI107" s="199">
        <f t="shared" si="73"/>
        <v>0</v>
      </c>
      <c r="AK107" s="71">
        <v>102</v>
      </c>
      <c r="AL107" s="33">
        <f t="shared" si="54"/>
        <v>0</v>
      </c>
      <c r="AM107" s="33">
        <f t="shared" si="55"/>
        <v>0</v>
      </c>
      <c r="AN107" s="33">
        <f t="shared" si="56"/>
        <v>0</v>
      </c>
      <c r="AO107" s="33">
        <f t="shared" si="57"/>
        <v>0</v>
      </c>
      <c r="AP107" s="33">
        <f t="shared" si="58"/>
        <v>0</v>
      </c>
      <c r="AQ107" s="194">
        <f t="shared" si="74"/>
        <v>0</v>
      </c>
      <c r="AR107" s="194">
        <f t="shared" si="75"/>
        <v>0</v>
      </c>
      <c r="AS107" s="194">
        <f t="shared" si="76"/>
        <v>0</v>
      </c>
      <c r="AT107" s="194">
        <f t="shared" si="77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301" t="s">
        <v>232</v>
      </c>
      <c r="G108" s="302">
        <f>VLOOKUP(VLOOKUP(F17,C131:E195,3,FALSE),F104:G107,2,FALSE)</f>
        <v>0.43</v>
      </c>
      <c r="I108" s="55">
        <v>103</v>
      </c>
      <c r="J108" s="33">
        <f t="shared" si="61"/>
        <v>0</v>
      </c>
      <c r="K108" s="33">
        <f t="shared" si="62"/>
        <v>0</v>
      </c>
      <c r="L108" s="33">
        <f t="shared" si="63"/>
        <v>0</v>
      </c>
      <c r="M108" s="33">
        <f t="shared" si="64"/>
        <v>0</v>
      </c>
      <c r="N108" s="33">
        <f t="shared" si="44"/>
        <v>0</v>
      </c>
      <c r="O108" s="34">
        <f t="shared" si="45"/>
        <v>0</v>
      </c>
      <c r="P108" s="55">
        <v>103</v>
      </c>
      <c r="Q108" s="33">
        <f t="shared" si="59"/>
        <v>0</v>
      </c>
      <c r="R108" s="33">
        <f t="shared" si="65"/>
        <v>0</v>
      </c>
      <c r="S108" s="33">
        <f t="shared" si="66"/>
        <v>0</v>
      </c>
      <c r="T108" s="33">
        <f t="shared" si="46"/>
        <v>0</v>
      </c>
      <c r="U108" s="33">
        <f t="shared" si="60"/>
        <v>0</v>
      </c>
      <c r="V108" s="33">
        <f t="shared" si="47"/>
        <v>0</v>
      </c>
      <c r="W108" s="33">
        <v>0</v>
      </c>
      <c r="X108" s="33">
        <f t="shared" si="48"/>
        <v>0</v>
      </c>
      <c r="Y108" s="38">
        <f t="shared" si="49"/>
        <v>0</v>
      </c>
      <c r="AA108" s="71">
        <v>103</v>
      </c>
      <c r="AB108" s="33">
        <f t="shared" si="50"/>
        <v>0</v>
      </c>
      <c r="AC108" s="305">
        <f t="shared" si="51"/>
        <v>0</v>
      </c>
      <c r="AD108" s="100">
        <f t="shared" si="52"/>
        <v>0</v>
      </c>
      <c r="AE108" s="100">
        <f t="shared" si="53"/>
        <v>0</v>
      </c>
      <c r="AF108" s="194">
        <f t="shared" si="70"/>
        <v>0</v>
      </c>
      <c r="AG108" s="194">
        <f t="shared" si="71"/>
        <v>0</v>
      </c>
      <c r="AH108" s="194">
        <f t="shared" si="72"/>
        <v>0</v>
      </c>
      <c r="AI108" s="199">
        <f t="shared" si="73"/>
        <v>0</v>
      </c>
      <c r="AK108" s="71">
        <v>103</v>
      </c>
      <c r="AL108" s="33">
        <f t="shared" si="54"/>
        <v>0</v>
      </c>
      <c r="AM108" s="33">
        <f t="shared" si="55"/>
        <v>0</v>
      </c>
      <c r="AN108" s="33">
        <f t="shared" si="56"/>
        <v>0</v>
      </c>
      <c r="AO108" s="33">
        <f t="shared" si="57"/>
        <v>0</v>
      </c>
      <c r="AP108" s="33">
        <f t="shared" si="58"/>
        <v>0</v>
      </c>
      <c r="AQ108" s="194">
        <f t="shared" si="74"/>
        <v>0</v>
      </c>
      <c r="AR108" s="194">
        <f t="shared" si="75"/>
        <v>0</v>
      </c>
      <c r="AS108" s="194">
        <f t="shared" si="76"/>
        <v>0</v>
      </c>
      <c r="AT108" s="194">
        <f t="shared" si="77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1"/>
        <v>0</v>
      </c>
      <c r="K109" s="33">
        <f t="shared" si="62"/>
        <v>0</v>
      </c>
      <c r="L109" s="33">
        <f t="shared" si="63"/>
        <v>0</v>
      </c>
      <c r="M109" s="33">
        <f t="shared" si="64"/>
        <v>0</v>
      </c>
      <c r="N109" s="33">
        <f t="shared" si="44"/>
        <v>0</v>
      </c>
      <c r="O109" s="34">
        <f t="shared" si="45"/>
        <v>0</v>
      </c>
      <c r="P109" s="55">
        <v>104</v>
      </c>
      <c r="Q109" s="33">
        <f t="shared" si="59"/>
        <v>0</v>
      </c>
      <c r="R109" s="33">
        <f t="shared" si="65"/>
        <v>0</v>
      </c>
      <c r="S109" s="33">
        <f t="shared" si="66"/>
        <v>0</v>
      </c>
      <c r="T109" s="33">
        <f t="shared" si="46"/>
        <v>0</v>
      </c>
      <c r="U109" s="33">
        <f t="shared" si="60"/>
        <v>0</v>
      </c>
      <c r="V109" s="33">
        <f t="shared" si="47"/>
        <v>0</v>
      </c>
      <c r="W109" s="33">
        <v>0</v>
      </c>
      <c r="X109" s="33">
        <f t="shared" si="48"/>
        <v>0</v>
      </c>
      <c r="Y109" s="38">
        <f t="shared" si="49"/>
        <v>0</v>
      </c>
      <c r="AA109" s="71">
        <v>104</v>
      </c>
      <c r="AB109" s="33">
        <f t="shared" si="50"/>
        <v>0</v>
      </c>
      <c r="AC109" s="305">
        <f t="shared" si="51"/>
        <v>0</v>
      </c>
      <c r="AD109" s="100">
        <f t="shared" si="52"/>
        <v>0</v>
      </c>
      <c r="AE109" s="100">
        <f t="shared" si="53"/>
        <v>0</v>
      </c>
      <c r="AF109" s="194">
        <f t="shared" si="70"/>
        <v>0</v>
      </c>
      <c r="AG109" s="194">
        <f t="shared" si="71"/>
        <v>0</v>
      </c>
      <c r="AH109" s="194">
        <f t="shared" si="72"/>
        <v>0</v>
      </c>
      <c r="AI109" s="199">
        <f t="shared" si="73"/>
        <v>0</v>
      </c>
      <c r="AK109" s="71">
        <v>104</v>
      </c>
      <c r="AL109" s="33">
        <f t="shared" si="54"/>
        <v>0</v>
      </c>
      <c r="AM109" s="33">
        <f t="shared" si="55"/>
        <v>0</v>
      </c>
      <c r="AN109" s="33">
        <f t="shared" si="56"/>
        <v>0</v>
      </c>
      <c r="AO109" s="33">
        <f t="shared" si="57"/>
        <v>0</v>
      </c>
      <c r="AP109" s="33">
        <f t="shared" si="58"/>
        <v>0</v>
      </c>
      <c r="AQ109" s="194">
        <f t="shared" si="74"/>
        <v>0</v>
      </c>
      <c r="AR109" s="194">
        <f t="shared" si="75"/>
        <v>0</v>
      </c>
      <c r="AS109" s="194">
        <f t="shared" si="76"/>
        <v>0</v>
      </c>
      <c r="AT109" s="194">
        <f t="shared" si="77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1"/>
        <v>0</v>
      </c>
      <c r="K110" s="33">
        <f t="shared" si="62"/>
        <v>0</v>
      </c>
      <c r="L110" s="33">
        <f t="shared" si="63"/>
        <v>0</v>
      </c>
      <c r="M110" s="33">
        <f t="shared" si="64"/>
        <v>0</v>
      </c>
      <c r="N110" s="33">
        <f t="shared" si="44"/>
        <v>0</v>
      </c>
      <c r="O110" s="34">
        <f t="shared" si="45"/>
        <v>0</v>
      </c>
      <c r="P110" s="55">
        <v>105</v>
      </c>
      <c r="Q110" s="33">
        <f t="shared" si="59"/>
        <v>0</v>
      </c>
      <c r="R110" s="33">
        <f t="shared" si="65"/>
        <v>0</v>
      </c>
      <c r="S110" s="33">
        <f t="shared" si="66"/>
        <v>0</v>
      </c>
      <c r="T110" s="33">
        <f t="shared" si="46"/>
        <v>0</v>
      </c>
      <c r="U110" s="33">
        <f t="shared" si="60"/>
        <v>0</v>
      </c>
      <c r="V110" s="33">
        <f t="shared" si="47"/>
        <v>0</v>
      </c>
      <c r="W110" s="33">
        <v>0</v>
      </c>
      <c r="X110" s="33">
        <f t="shared" si="48"/>
        <v>0</v>
      </c>
      <c r="Y110" s="38">
        <f t="shared" si="49"/>
        <v>0</v>
      </c>
      <c r="AA110" s="71">
        <v>105</v>
      </c>
      <c r="AB110" s="33">
        <f t="shared" si="50"/>
        <v>0</v>
      </c>
      <c r="AC110" s="305">
        <f t="shared" si="51"/>
        <v>0</v>
      </c>
      <c r="AD110" s="100">
        <f t="shared" si="52"/>
        <v>0</v>
      </c>
      <c r="AE110" s="100">
        <f t="shared" si="53"/>
        <v>0</v>
      </c>
      <c r="AF110" s="194">
        <f t="shared" si="70"/>
        <v>0</v>
      </c>
      <c r="AG110" s="194">
        <f t="shared" si="71"/>
        <v>0</v>
      </c>
      <c r="AH110" s="194">
        <f t="shared" si="72"/>
        <v>0</v>
      </c>
      <c r="AI110" s="199">
        <f t="shared" si="73"/>
        <v>0</v>
      </c>
      <c r="AK110" s="71">
        <v>105</v>
      </c>
      <c r="AL110" s="33">
        <f t="shared" si="54"/>
        <v>0</v>
      </c>
      <c r="AM110" s="33">
        <f t="shared" si="55"/>
        <v>0</v>
      </c>
      <c r="AN110" s="33">
        <f t="shared" si="56"/>
        <v>0</v>
      </c>
      <c r="AO110" s="33">
        <f t="shared" si="57"/>
        <v>0</v>
      </c>
      <c r="AP110" s="33">
        <f t="shared" si="58"/>
        <v>0</v>
      </c>
      <c r="AQ110" s="194">
        <f t="shared" si="74"/>
        <v>0</v>
      </c>
      <c r="AR110" s="194">
        <f t="shared" si="75"/>
        <v>0</v>
      </c>
      <c r="AS110" s="194">
        <f t="shared" si="76"/>
        <v>0</v>
      </c>
      <c r="AT110" s="194">
        <f t="shared" si="77"/>
        <v>0</v>
      </c>
      <c r="AU110" s="33"/>
      <c r="AV110" s="33"/>
      <c r="AW110" s="33"/>
      <c r="AX110" s="33"/>
      <c r="AY110" s="76"/>
    </row>
    <row r="111" spans="2:51">
      <c r="C111" s="157" t="s">
        <v>168</v>
      </c>
      <c r="D111" s="157"/>
      <c r="E111" s="157"/>
      <c r="I111" s="55">
        <v>106</v>
      </c>
      <c r="J111" s="33">
        <f t="shared" si="61"/>
        <v>0</v>
      </c>
      <c r="K111" s="33">
        <f t="shared" si="62"/>
        <v>0</v>
      </c>
      <c r="L111" s="33">
        <f t="shared" si="63"/>
        <v>0</v>
      </c>
      <c r="M111" s="33">
        <f t="shared" si="64"/>
        <v>0</v>
      </c>
      <c r="N111" s="33">
        <f t="shared" si="44"/>
        <v>0</v>
      </c>
      <c r="O111" s="34">
        <f t="shared" si="45"/>
        <v>0</v>
      </c>
      <c r="P111" s="55">
        <v>106</v>
      </c>
      <c r="Q111" s="33">
        <f t="shared" si="59"/>
        <v>0</v>
      </c>
      <c r="R111" s="33">
        <f t="shared" si="65"/>
        <v>0</v>
      </c>
      <c r="S111" s="33">
        <f t="shared" si="66"/>
        <v>0</v>
      </c>
      <c r="T111" s="33">
        <f t="shared" si="46"/>
        <v>0</v>
      </c>
      <c r="U111" s="33">
        <f t="shared" si="60"/>
        <v>0</v>
      </c>
      <c r="V111" s="33">
        <f t="shared" si="47"/>
        <v>0</v>
      </c>
      <c r="W111" s="33">
        <v>0</v>
      </c>
      <c r="X111" s="33">
        <f t="shared" si="48"/>
        <v>0</v>
      </c>
      <c r="Y111" s="38">
        <f t="shared" si="49"/>
        <v>0</v>
      </c>
      <c r="AA111" s="71">
        <v>106</v>
      </c>
      <c r="AB111" s="33">
        <f t="shared" si="50"/>
        <v>0</v>
      </c>
      <c r="AC111" s="305">
        <f t="shared" si="51"/>
        <v>0</v>
      </c>
      <c r="AD111" s="100">
        <f t="shared" si="52"/>
        <v>0</v>
      </c>
      <c r="AE111" s="100">
        <f t="shared" si="53"/>
        <v>0</v>
      </c>
      <c r="AF111" s="194">
        <f t="shared" si="70"/>
        <v>0</v>
      </c>
      <c r="AG111" s="194">
        <f t="shared" si="71"/>
        <v>0</v>
      </c>
      <c r="AH111" s="194">
        <f t="shared" si="72"/>
        <v>0</v>
      </c>
      <c r="AI111" s="199">
        <f t="shared" si="73"/>
        <v>0</v>
      </c>
      <c r="AK111" s="71">
        <v>106</v>
      </c>
      <c r="AL111" s="33">
        <f t="shared" si="54"/>
        <v>0</v>
      </c>
      <c r="AM111" s="33">
        <f t="shared" si="55"/>
        <v>0</v>
      </c>
      <c r="AN111" s="33">
        <f t="shared" si="56"/>
        <v>0</v>
      </c>
      <c r="AO111" s="33">
        <f t="shared" si="57"/>
        <v>0</v>
      </c>
      <c r="AP111" s="33">
        <f t="shared" si="58"/>
        <v>0</v>
      </c>
      <c r="AQ111" s="194">
        <f t="shared" si="74"/>
        <v>0</v>
      </c>
      <c r="AR111" s="194">
        <f t="shared" si="75"/>
        <v>0</v>
      </c>
      <c r="AS111" s="194">
        <f t="shared" si="76"/>
        <v>0</v>
      </c>
      <c r="AT111" s="194">
        <f t="shared" si="77"/>
        <v>0</v>
      </c>
      <c r="AU111" s="33"/>
      <c r="AV111" s="33"/>
      <c r="AW111" s="33"/>
      <c r="AX111" s="33"/>
      <c r="AY111" s="76"/>
    </row>
    <row r="112" spans="2:51">
      <c r="C112" s="74" t="s">
        <v>144</v>
      </c>
      <c r="D112" s="74" t="s">
        <v>72</v>
      </c>
      <c r="E112" s="74" t="s">
        <v>165</v>
      </c>
      <c r="I112" s="55">
        <v>107</v>
      </c>
      <c r="J112" s="33">
        <f t="shared" si="61"/>
        <v>0</v>
      </c>
      <c r="K112" s="33">
        <f t="shared" si="62"/>
        <v>0</v>
      </c>
      <c r="L112" s="33">
        <f t="shared" si="63"/>
        <v>0</v>
      </c>
      <c r="M112" s="33">
        <f t="shared" si="64"/>
        <v>0</v>
      </c>
      <c r="N112" s="33">
        <f t="shared" si="44"/>
        <v>0</v>
      </c>
      <c r="O112" s="34">
        <f t="shared" si="45"/>
        <v>0</v>
      </c>
      <c r="P112" s="55">
        <v>107</v>
      </c>
      <c r="Q112" s="33">
        <f t="shared" si="59"/>
        <v>0</v>
      </c>
      <c r="R112" s="33">
        <f t="shared" si="65"/>
        <v>0</v>
      </c>
      <c r="S112" s="33">
        <f t="shared" si="66"/>
        <v>0</v>
      </c>
      <c r="T112" s="33">
        <f t="shared" si="46"/>
        <v>0</v>
      </c>
      <c r="U112" s="33">
        <f t="shared" si="60"/>
        <v>0</v>
      </c>
      <c r="V112" s="33">
        <f t="shared" si="47"/>
        <v>0</v>
      </c>
      <c r="W112" s="33">
        <v>0</v>
      </c>
      <c r="X112" s="33">
        <f t="shared" si="48"/>
        <v>0</v>
      </c>
      <c r="Y112" s="38">
        <f t="shared" si="49"/>
        <v>0</v>
      </c>
      <c r="AA112" s="71">
        <v>107</v>
      </c>
      <c r="AB112" s="33">
        <f t="shared" si="50"/>
        <v>0</v>
      </c>
      <c r="AC112" s="305">
        <f t="shared" si="51"/>
        <v>0</v>
      </c>
      <c r="AD112" s="100">
        <f t="shared" si="52"/>
        <v>0</v>
      </c>
      <c r="AE112" s="100">
        <f t="shared" si="53"/>
        <v>0</v>
      </c>
      <c r="AF112" s="194">
        <f t="shared" si="70"/>
        <v>0</v>
      </c>
      <c r="AG112" s="194">
        <f t="shared" si="71"/>
        <v>0</v>
      </c>
      <c r="AH112" s="194">
        <f t="shared" si="72"/>
        <v>0</v>
      </c>
      <c r="AI112" s="199">
        <f t="shared" si="73"/>
        <v>0</v>
      </c>
      <c r="AK112" s="71">
        <v>107</v>
      </c>
      <c r="AL112" s="33">
        <f t="shared" si="54"/>
        <v>0</v>
      </c>
      <c r="AM112" s="33">
        <f t="shared" si="55"/>
        <v>0</v>
      </c>
      <c r="AN112" s="33">
        <f t="shared" si="56"/>
        <v>0</v>
      </c>
      <c r="AO112" s="33">
        <f t="shared" si="57"/>
        <v>0</v>
      </c>
      <c r="AP112" s="33">
        <f t="shared" si="58"/>
        <v>0</v>
      </c>
      <c r="AQ112" s="194">
        <f t="shared" si="74"/>
        <v>0</v>
      </c>
      <c r="AR112" s="194">
        <f t="shared" si="75"/>
        <v>0</v>
      </c>
      <c r="AS112" s="194">
        <f t="shared" si="76"/>
        <v>0</v>
      </c>
      <c r="AT112" s="194">
        <f t="shared" si="77"/>
        <v>0</v>
      </c>
      <c r="AU112" s="33"/>
      <c r="AV112" s="33"/>
      <c r="AW112" s="33"/>
      <c r="AX112" s="33"/>
      <c r="AY112" s="76"/>
    </row>
    <row r="113" spans="2:51">
      <c r="B113" s="67" t="s">
        <v>166</v>
      </c>
      <c r="C113" s="79">
        <f>1/$F$18*SUM(X6:X205)</f>
        <v>502.71297568485932</v>
      </c>
      <c r="D113" s="79">
        <f>1/$F$10*SUM(O6:O205)</f>
        <v>177.03590180507837</v>
      </c>
      <c r="E113" s="78">
        <f>C113-D113</f>
        <v>325.67707387978095</v>
      </c>
      <c r="I113" s="55">
        <v>108</v>
      </c>
      <c r="J113" s="33">
        <f t="shared" si="61"/>
        <v>0</v>
      </c>
      <c r="K113" s="33">
        <f t="shared" si="62"/>
        <v>0</v>
      </c>
      <c r="L113" s="33">
        <f t="shared" si="63"/>
        <v>0</v>
      </c>
      <c r="M113" s="33">
        <f t="shared" si="64"/>
        <v>0</v>
      </c>
      <c r="N113" s="33">
        <f t="shared" si="44"/>
        <v>0</v>
      </c>
      <c r="O113" s="34">
        <f t="shared" si="45"/>
        <v>0</v>
      </c>
      <c r="P113" s="55">
        <v>108</v>
      </c>
      <c r="Q113" s="33">
        <f t="shared" si="59"/>
        <v>0</v>
      </c>
      <c r="R113" s="33">
        <f t="shared" si="65"/>
        <v>0</v>
      </c>
      <c r="S113" s="33">
        <f t="shared" si="66"/>
        <v>0</v>
      </c>
      <c r="T113" s="33">
        <f t="shared" si="46"/>
        <v>0</v>
      </c>
      <c r="U113" s="33">
        <f t="shared" si="60"/>
        <v>0</v>
      </c>
      <c r="V113" s="33">
        <f t="shared" si="47"/>
        <v>0</v>
      </c>
      <c r="W113" s="33">
        <v>0</v>
      </c>
      <c r="X113" s="33">
        <f t="shared" si="48"/>
        <v>0</v>
      </c>
      <c r="Y113" s="38">
        <f t="shared" si="49"/>
        <v>0</v>
      </c>
      <c r="AA113" s="71">
        <v>108</v>
      </c>
      <c r="AB113" s="33">
        <f t="shared" si="50"/>
        <v>0</v>
      </c>
      <c r="AC113" s="305">
        <f t="shared" si="51"/>
        <v>0</v>
      </c>
      <c r="AD113" s="100">
        <f t="shared" si="52"/>
        <v>0</v>
      </c>
      <c r="AE113" s="100">
        <f t="shared" si="53"/>
        <v>0</v>
      </c>
      <c r="AF113" s="194">
        <f t="shared" si="70"/>
        <v>0</v>
      </c>
      <c r="AG113" s="194">
        <f t="shared" si="71"/>
        <v>0</v>
      </c>
      <c r="AH113" s="194">
        <f t="shared" si="72"/>
        <v>0</v>
      </c>
      <c r="AI113" s="199">
        <f t="shared" si="73"/>
        <v>0</v>
      </c>
      <c r="AK113" s="71">
        <v>108</v>
      </c>
      <c r="AL113" s="33">
        <f t="shared" si="54"/>
        <v>0</v>
      </c>
      <c r="AM113" s="33">
        <f t="shared" si="55"/>
        <v>0</v>
      </c>
      <c r="AN113" s="33">
        <f t="shared" si="56"/>
        <v>0</v>
      </c>
      <c r="AO113" s="33">
        <f t="shared" si="57"/>
        <v>0</v>
      </c>
      <c r="AP113" s="33">
        <f t="shared" si="58"/>
        <v>0</v>
      </c>
      <c r="AQ113" s="194">
        <f t="shared" si="74"/>
        <v>0</v>
      </c>
      <c r="AR113" s="194">
        <f t="shared" si="75"/>
        <v>0</v>
      </c>
      <c r="AS113" s="194">
        <f t="shared" si="76"/>
        <v>0</v>
      </c>
      <c r="AT113" s="194">
        <f t="shared" si="77"/>
        <v>0</v>
      </c>
      <c r="AU113" s="33"/>
      <c r="AV113" s="33"/>
      <c r="AW113" s="33"/>
      <c r="AX113" s="33"/>
      <c r="AY113" s="76"/>
    </row>
    <row r="114" spans="2:51">
      <c r="B114" s="67" t="s">
        <v>167</v>
      </c>
      <c r="C114" s="79">
        <f>X35</f>
        <v>494.70578989990685</v>
      </c>
      <c r="D114" s="79">
        <f>O35</f>
        <v>177.03590180507811</v>
      </c>
      <c r="E114" s="78">
        <f>VLOOKUP(30,I5:Y205,17,FALSE)</f>
        <v>317.66988809482871</v>
      </c>
      <c r="I114" s="55">
        <v>109</v>
      </c>
      <c r="J114" s="33">
        <f t="shared" si="61"/>
        <v>0</v>
      </c>
      <c r="K114" s="33">
        <f t="shared" si="62"/>
        <v>0</v>
      </c>
      <c r="L114" s="33">
        <f t="shared" si="63"/>
        <v>0</v>
      </c>
      <c r="M114" s="33">
        <f t="shared" si="64"/>
        <v>0</v>
      </c>
      <c r="N114" s="33">
        <f t="shared" si="44"/>
        <v>0</v>
      </c>
      <c r="O114" s="34">
        <f t="shared" si="45"/>
        <v>0</v>
      </c>
      <c r="P114" s="55">
        <v>109</v>
      </c>
      <c r="Q114" s="33">
        <f t="shared" si="59"/>
        <v>0</v>
      </c>
      <c r="R114" s="33">
        <f t="shared" si="65"/>
        <v>0</v>
      </c>
      <c r="S114" s="33">
        <f t="shared" si="66"/>
        <v>0</v>
      </c>
      <c r="T114" s="33">
        <f t="shared" si="46"/>
        <v>0</v>
      </c>
      <c r="U114" s="33">
        <f t="shared" si="60"/>
        <v>0</v>
      </c>
      <c r="V114" s="33">
        <f t="shared" si="47"/>
        <v>0</v>
      </c>
      <c r="W114" s="33">
        <v>0</v>
      </c>
      <c r="X114" s="33">
        <f t="shared" si="48"/>
        <v>0</v>
      </c>
      <c r="Y114" s="38">
        <f t="shared" si="49"/>
        <v>0</v>
      </c>
      <c r="AA114" s="71">
        <v>109</v>
      </c>
      <c r="AB114" s="33">
        <f t="shared" si="50"/>
        <v>0</v>
      </c>
      <c r="AC114" s="305">
        <f t="shared" si="51"/>
        <v>0</v>
      </c>
      <c r="AD114" s="100">
        <f t="shared" si="52"/>
        <v>0</v>
      </c>
      <c r="AE114" s="100">
        <f t="shared" si="53"/>
        <v>0</v>
      </c>
      <c r="AF114" s="194">
        <f t="shared" si="70"/>
        <v>0</v>
      </c>
      <c r="AG114" s="194">
        <f t="shared" si="71"/>
        <v>0</v>
      </c>
      <c r="AH114" s="194">
        <f t="shared" si="72"/>
        <v>0</v>
      </c>
      <c r="AI114" s="199">
        <f t="shared" si="73"/>
        <v>0</v>
      </c>
      <c r="AK114" s="71">
        <v>109</v>
      </c>
      <c r="AL114" s="33">
        <f t="shared" si="54"/>
        <v>0</v>
      </c>
      <c r="AM114" s="33">
        <f t="shared" si="55"/>
        <v>0</v>
      </c>
      <c r="AN114" s="33">
        <f t="shared" si="56"/>
        <v>0</v>
      </c>
      <c r="AO114" s="33">
        <f t="shared" si="57"/>
        <v>0</v>
      </c>
      <c r="AP114" s="33">
        <f t="shared" si="58"/>
        <v>0</v>
      </c>
      <c r="AQ114" s="194">
        <f t="shared" si="74"/>
        <v>0</v>
      </c>
      <c r="AR114" s="194">
        <f t="shared" si="75"/>
        <v>0</v>
      </c>
      <c r="AS114" s="194">
        <f t="shared" si="76"/>
        <v>0</v>
      </c>
      <c r="AT114" s="194">
        <f t="shared" si="77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1"/>
        <v>0</v>
      </c>
      <c r="K115" s="33">
        <f t="shared" si="62"/>
        <v>0</v>
      </c>
      <c r="L115" s="33">
        <f t="shared" si="63"/>
        <v>0</v>
      </c>
      <c r="M115" s="33">
        <f t="shared" si="64"/>
        <v>0</v>
      </c>
      <c r="N115" s="33">
        <f t="shared" si="44"/>
        <v>0</v>
      </c>
      <c r="O115" s="34">
        <f t="shared" si="45"/>
        <v>0</v>
      </c>
      <c r="P115" s="55">
        <v>110</v>
      </c>
      <c r="Q115" s="33">
        <f t="shared" si="59"/>
        <v>0</v>
      </c>
      <c r="R115" s="33">
        <f t="shared" si="65"/>
        <v>0</v>
      </c>
      <c r="S115" s="33">
        <f t="shared" si="66"/>
        <v>0</v>
      </c>
      <c r="T115" s="33">
        <f t="shared" si="46"/>
        <v>0</v>
      </c>
      <c r="U115" s="33">
        <f t="shared" si="60"/>
        <v>0</v>
      </c>
      <c r="V115" s="33">
        <f t="shared" si="47"/>
        <v>0</v>
      </c>
      <c r="W115" s="33">
        <v>0</v>
      </c>
      <c r="X115" s="33">
        <f t="shared" si="48"/>
        <v>0</v>
      </c>
      <c r="Y115" s="38">
        <f t="shared" si="49"/>
        <v>0</v>
      </c>
      <c r="AA115" s="71">
        <v>110</v>
      </c>
      <c r="AB115" s="33">
        <f t="shared" si="50"/>
        <v>0</v>
      </c>
      <c r="AC115" s="305">
        <f t="shared" si="51"/>
        <v>0</v>
      </c>
      <c r="AD115" s="100">
        <f t="shared" si="52"/>
        <v>0</v>
      </c>
      <c r="AE115" s="100">
        <f t="shared" si="53"/>
        <v>0</v>
      </c>
      <c r="AF115" s="194">
        <f t="shared" si="70"/>
        <v>0</v>
      </c>
      <c r="AG115" s="194">
        <f t="shared" si="71"/>
        <v>0</v>
      </c>
      <c r="AH115" s="194">
        <f t="shared" si="72"/>
        <v>0</v>
      </c>
      <c r="AI115" s="199">
        <f t="shared" si="73"/>
        <v>0</v>
      </c>
      <c r="AK115" s="71">
        <v>110</v>
      </c>
      <c r="AL115" s="33">
        <f t="shared" si="54"/>
        <v>0</v>
      </c>
      <c r="AM115" s="33">
        <f t="shared" si="55"/>
        <v>0</v>
      </c>
      <c r="AN115" s="33">
        <f t="shared" si="56"/>
        <v>0</v>
      </c>
      <c r="AO115" s="33">
        <f t="shared" si="57"/>
        <v>0</v>
      </c>
      <c r="AP115" s="33">
        <f t="shared" si="58"/>
        <v>0</v>
      </c>
      <c r="AQ115" s="194">
        <f t="shared" si="74"/>
        <v>0</v>
      </c>
      <c r="AR115" s="194">
        <f t="shared" si="75"/>
        <v>0</v>
      </c>
      <c r="AS115" s="194">
        <f t="shared" si="76"/>
        <v>0</v>
      </c>
      <c r="AT115" s="194">
        <f t="shared" si="77"/>
        <v>0</v>
      </c>
      <c r="AU115" s="33"/>
      <c r="AV115" s="33"/>
      <c r="AW115" s="33"/>
      <c r="AX115" s="33"/>
      <c r="AY115" s="76"/>
    </row>
    <row r="116" spans="2:51">
      <c r="C116" s="135" t="s">
        <v>124</v>
      </c>
      <c r="D116" s="135"/>
      <c r="E116" s="135"/>
      <c r="I116" s="55">
        <v>111</v>
      </c>
      <c r="J116" s="33">
        <f t="shared" si="61"/>
        <v>0</v>
      </c>
      <c r="K116" s="33">
        <f t="shared" si="62"/>
        <v>0</v>
      </c>
      <c r="L116" s="33">
        <f t="shared" si="63"/>
        <v>0</v>
      </c>
      <c r="M116" s="33">
        <f t="shared" si="64"/>
        <v>0</v>
      </c>
      <c r="N116" s="33">
        <f t="shared" si="44"/>
        <v>0</v>
      </c>
      <c r="O116" s="34">
        <f t="shared" si="45"/>
        <v>0</v>
      </c>
      <c r="P116" s="55">
        <v>111</v>
      </c>
      <c r="Q116" s="33">
        <f t="shared" si="59"/>
        <v>0</v>
      </c>
      <c r="R116" s="33">
        <f t="shared" si="65"/>
        <v>0</v>
      </c>
      <c r="S116" s="33">
        <f t="shared" si="66"/>
        <v>0</v>
      </c>
      <c r="T116" s="33">
        <f t="shared" si="46"/>
        <v>0</v>
      </c>
      <c r="U116" s="33">
        <f t="shared" si="60"/>
        <v>0</v>
      </c>
      <c r="V116" s="33">
        <f t="shared" si="47"/>
        <v>0</v>
      </c>
      <c r="W116" s="33">
        <v>0</v>
      </c>
      <c r="X116" s="33">
        <f t="shared" si="48"/>
        <v>0</v>
      </c>
      <c r="Y116" s="38">
        <f t="shared" si="49"/>
        <v>0</v>
      </c>
      <c r="AA116" s="71">
        <v>111</v>
      </c>
      <c r="AB116" s="33">
        <f t="shared" si="50"/>
        <v>0</v>
      </c>
      <c r="AC116" s="305">
        <f t="shared" si="51"/>
        <v>0</v>
      </c>
      <c r="AD116" s="100">
        <f t="shared" si="52"/>
        <v>0</v>
      </c>
      <c r="AE116" s="100">
        <f t="shared" si="53"/>
        <v>0</v>
      </c>
      <c r="AF116" s="194">
        <f t="shared" si="70"/>
        <v>0</v>
      </c>
      <c r="AG116" s="194">
        <f t="shared" si="71"/>
        <v>0</v>
      </c>
      <c r="AH116" s="194">
        <f t="shared" si="72"/>
        <v>0</v>
      </c>
      <c r="AI116" s="199">
        <f t="shared" si="73"/>
        <v>0</v>
      </c>
      <c r="AK116" s="71">
        <v>111</v>
      </c>
      <c r="AL116" s="33">
        <f t="shared" si="54"/>
        <v>0</v>
      </c>
      <c r="AM116" s="33">
        <f t="shared" si="55"/>
        <v>0</v>
      </c>
      <c r="AN116" s="33">
        <f t="shared" si="56"/>
        <v>0</v>
      </c>
      <c r="AO116" s="33">
        <f t="shared" si="57"/>
        <v>0</v>
      </c>
      <c r="AP116" s="33">
        <f t="shared" si="58"/>
        <v>0</v>
      </c>
      <c r="AQ116" s="194">
        <f t="shared" si="74"/>
        <v>0</v>
      </c>
      <c r="AR116" s="194">
        <f t="shared" si="75"/>
        <v>0</v>
      </c>
      <c r="AS116" s="194">
        <f t="shared" si="76"/>
        <v>0</v>
      </c>
      <c r="AT116" s="194">
        <f t="shared" si="77"/>
        <v>0</v>
      </c>
      <c r="AU116" s="33"/>
      <c r="AV116" s="33"/>
      <c r="AW116" s="33"/>
      <c r="AX116" s="33"/>
      <c r="AY116" s="76"/>
    </row>
    <row r="117" spans="2:51">
      <c r="C117" s="135" t="s">
        <v>144</v>
      </c>
      <c r="D117" s="135" t="s">
        <v>72</v>
      </c>
      <c r="E117" s="81" t="s">
        <v>165</v>
      </c>
      <c r="I117" s="55">
        <v>112</v>
      </c>
      <c r="J117" s="33">
        <f t="shared" si="61"/>
        <v>0</v>
      </c>
      <c r="K117" s="33">
        <f t="shared" si="62"/>
        <v>0</v>
      </c>
      <c r="L117" s="33">
        <f t="shared" si="63"/>
        <v>0</v>
      </c>
      <c r="M117" s="33">
        <f t="shared" si="64"/>
        <v>0</v>
      </c>
      <c r="N117" s="33">
        <f t="shared" si="44"/>
        <v>0</v>
      </c>
      <c r="O117" s="34">
        <f t="shared" si="45"/>
        <v>0</v>
      </c>
      <c r="P117" s="55">
        <v>112</v>
      </c>
      <c r="Q117" s="33">
        <f t="shared" si="59"/>
        <v>0</v>
      </c>
      <c r="R117" s="33">
        <f t="shared" si="65"/>
        <v>0</v>
      </c>
      <c r="S117" s="33">
        <f t="shared" si="66"/>
        <v>0</v>
      </c>
      <c r="T117" s="33">
        <f t="shared" si="46"/>
        <v>0</v>
      </c>
      <c r="U117" s="33">
        <f t="shared" si="60"/>
        <v>0</v>
      </c>
      <c r="V117" s="33">
        <f t="shared" si="47"/>
        <v>0</v>
      </c>
      <c r="W117" s="33">
        <v>0</v>
      </c>
      <c r="X117" s="33">
        <f t="shared" si="48"/>
        <v>0</v>
      </c>
      <c r="Y117" s="38">
        <f t="shared" si="49"/>
        <v>0</v>
      </c>
      <c r="AA117" s="71">
        <v>112</v>
      </c>
      <c r="AB117" s="33">
        <f t="shared" si="50"/>
        <v>0</v>
      </c>
      <c r="AC117" s="305">
        <f t="shared" si="51"/>
        <v>0</v>
      </c>
      <c r="AD117" s="100">
        <f t="shared" si="52"/>
        <v>0</v>
      </c>
      <c r="AE117" s="100">
        <f t="shared" si="53"/>
        <v>0</v>
      </c>
      <c r="AF117" s="194">
        <f t="shared" si="70"/>
        <v>0</v>
      </c>
      <c r="AG117" s="194">
        <f t="shared" si="71"/>
        <v>0</v>
      </c>
      <c r="AH117" s="194">
        <f t="shared" si="72"/>
        <v>0</v>
      </c>
      <c r="AI117" s="199">
        <f t="shared" si="73"/>
        <v>0</v>
      </c>
      <c r="AK117" s="71">
        <v>112</v>
      </c>
      <c r="AL117" s="33">
        <f t="shared" si="54"/>
        <v>0</v>
      </c>
      <c r="AM117" s="33">
        <f t="shared" si="55"/>
        <v>0</v>
      </c>
      <c r="AN117" s="33">
        <f t="shared" si="56"/>
        <v>0</v>
      </c>
      <c r="AO117" s="33">
        <f t="shared" si="57"/>
        <v>0</v>
      </c>
      <c r="AP117" s="33">
        <f t="shared" si="58"/>
        <v>0</v>
      </c>
      <c r="AQ117" s="194">
        <f t="shared" si="74"/>
        <v>0</v>
      </c>
      <c r="AR117" s="194">
        <f t="shared" si="75"/>
        <v>0</v>
      </c>
      <c r="AS117" s="194">
        <f t="shared" si="76"/>
        <v>0</v>
      </c>
      <c r="AT117" s="194">
        <f t="shared" si="77"/>
        <v>0</v>
      </c>
      <c r="AU117" s="33"/>
      <c r="AV117" s="33"/>
      <c r="AW117" s="33"/>
      <c r="AX117" s="33"/>
      <c r="AY117" s="76"/>
    </row>
    <row r="118" spans="2:51">
      <c r="B118" s="67" t="s">
        <v>260</v>
      </c>
      <c r="C118" s="303">
        <f>1/30*SUM(AI6:AI35)</f>
        <v>3.8868842634585605</v>
      </c>
      <c r="D118" s="79">
        <v>0</v>
      </c>
      <c r="E118" s="78">
        <f>C118-D118</f>
        <v>3.8868842634585605</v>
      </c>
      <c r="I118" s="55">
        <v>113</v>
      </c>
      <c r="J118" s="33">
        <f t="shared" si="61"/>
        <v>0</v>
      </c>
      <c r="K118" s="33">
        <f t="shared" si="62"/>
        <v>0</v>
      </c>
      <c r="L118" s="33">
        <f t="shared" si="63"/>
        <v>0</v>
      </c>
      <c r="M118" s="33">
        <f t="shared" si="64"/>
        <v>0</v>
      </c>
      <c r="N118" s="33">
        <f t="shared" si="44"/>
        <v>0</v>
      </c>
      <c r="O118" s="34">
        <f t="shared" si="45"/>
        <v>0</v>
      </c>
      <c r="P118" s="55">
        <v>113</v>
      </c>
      <c r="Q118" s="33">
        <f t="shared" si="59"/>
        <v>0</v>
      </c>
      <c r="R118" s="33">
        <f t="shared" si="65"/>
        <v>0</v>
      </c>
      <c r="S118" s="33">
        <f t="shared" si="66"/>
        <v>0</v>
      </c>
      <c r="T118" s="33">
        <f t="shared" si="46"/>
        <v>0</v>
      </c>
      <c r="U118" s="33">
        <f t="shared" si="60"/>
        <v>0</v>
      </c>
      <c r="V118" s="33">
        <f t="shared" si="47"/>
        <v>0</v>
      </c>
      <c r="W118" s="33">
        <v>0</v>
      </c>
      <c r="X118" s="33">
        <f t="shared" si="48"/>
        <v>0</v>
      </c>
      <c r="Y118" s="38">
        <f t="shared" si="49"/>
        <v>0</v>
      </c>
      <c r="AA118" s="71">
        <v>113</v>
      </c>
      <c r="AB118" s="33">
        <f t="shared" si="50"/>
        <v>0</v>
      </c>
      <c r="AC118" s="305">
        <f t="shared" si="51"/>
        <v>0</v>
      </c>
      <c r="AD118" s="100">
        <f t="shared" si="52"/>
        <v>0</v>
      </c>
      <c r="AE118" s="100">
        <f t="shared" si="53"/>
        <v>0</v>
      </c>
      <c r="AF118" s="194">
        <f t="shared" si="70"/>
        <v>0</v>
      </c>
      <c r="AG118" s="194">
        <f t="shared" si="71"/>
        <v>0</v>
      </c>
      <c r="AH118" s="194">
        <f t="shared" si="72"/>
        <v>0</v>
      </c>
      <c r="AI118" s="199">
        <f t="shared" si="73"/>
        <v>0</v>
      </c>
      <c r="AK118" s="71">
        <v>113</v>
      </c>
      <c r="AL118" s="33">
        <f t="shared" si="54"/>
        <v>0</v>
      </c>
      <c r="AM118" s="33">
        <f t="shared" si="55"/>
        <v>0</v>
      </c>
      <c r="AN118" s="33">
        <f t="shared" si="56"/>
        <v>0</v>
      </c>
      <c r="AO118" s="33">
        <f t="shared" si="57"/>
        <v>0</v>
      </c>
      <c r="AP118" s="33">
        <f t="shared" si="58"/>
        <v>0</v>
      </c>
      <c r="AQ118" s="194">
        <f t="shared" si="74"/>
        <v>0</v>
      </c>
      <c r="AR118" s="194">
        <f t="shared" si="75"/>
        <v>0</v>
      </c>
      <c r="AS118" s="194">
        <f t="shared" si="76"/>
        <v>0</v>
      </c>
      <c r="AT118" s="194">
        <f t="shared" si="77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1"/>
        <v>0</v>
      </c>
      <c r="K119" s="33">
        <f t="shared" si="62"/>
        <v>0</v>
      </c>
      <c r="L119" s="33">
        <f t="shared" si="63"/>
        <v>0</v>
      </c>
      <c r="M119" s="33">
        <f t="shared" si="64"/>
        <v>0</v>
      </c>
      <c r="N119" s="33">
        <f t="shared" si="44"/>
        <v>0</v>
      </c>
      <c r="O119" s="34">
        <f t="shared" si="45"/>
        <v>0</v>
      </c>
      <c r="P119" s="55">
        <v>114</v>
      </c>
      <c r="Q119" s="33">
        <f t="shared" si="59"/>
        <v>0</v>
      </c>
      <c r="R119" s="33">
        <f t="shared" si="65"/>
        <v>0</v>
      </c>
      <c r="S119" s="33">
        <f t="shared" si="66"/>
        <v>0</v>
      </c>
      <c r="T119" s="33">
        <f t="shared" si="46"/>
        <v>0</v>
      </c>
      <c r="U119" s="33">
        <f t="shared" si="60"/>
        <v>0</v>
      </c>
      <c r="V119" s="33">
        <f t="shared" si="47"/>
        <v>0</v>
      </c>
      <c r="W119" s="33">
        <v>0</v>
      </c>
      <c r="X119" s="33">
        <f t="shared" si="48"/>
        <v>0</v>
      </c>
      <c r="Y119" s="38">
        <f t="shared" si="49"/>
        <v>0</v>
      </c>
      <c r="AA119" s="71">
        <v>114</v>
      </c>
      <c r="AB119" s="33">
        <f t="shared" si="50"/>
        <v>0</v>
      </c>
      <c r="AC119" s="305">
        <f t="shared" si="51"/>
        <v>0</v>
      </c>
      <c r="AD119" s="100">
        <f t="shared" si="52"/>
        <v>0</v>
      </c>
      <c r="AE119" s="100">
        <f t="shared" si="53"/>
        <v>0</v>
      </c>
      <c r="AF119" s="194">
        <f t="shared" si="70"/>
        <v>0</v>
      </c>
      <c r="AG119" s="194">
        <f t="shared" si="71"/>
        <v>0</v>
      </c>
      <c r="AH119" s="194">
        <f t="shared" si="72"/>
        <v>0</v>
      </c>
      <c r="AI119" s="199">
        <f t="shared" si="73"/>
        <v>0</v>
      </c>
      <c r="AK119" s="71">
        <v>114</v>
      </c>
      <c r="AL119" s="33">
        <f t="shared" si="54"/>
        <v>0</v>
      </c>
      <c r="AM119" s="33">
        <f t="shared" si="55"/>
        <v>0</v>
      </c>
      <c r="AN119" s="33">
        <f t="shared" si="56"/>
        <v>0</v>
      </c>
      <c r="AO119" s="33">
        <f t="shared" si="57"/>
        <v>0</v>
      </c>
      <c r="AP119" s="33">
        <f t="shared" si="58"/>
        <v>0</v>
      </c>
      <c r="AQ119" s="194">
        <f t="shared" si="74"/>
        <v>0</v>
      </c>
      <c r="AR119" s="194">
        <f t="shared" si="75"/>
        <v>0</v>
      </c>
      <c r="AS119" s="194">
        <f t="shared" si="76"/>
        <v>0</v>
      </c>
      <c r="AT119" s="194">
        <f t="shared" si="77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1"/>
        <v>0</v>
      </c>
      <c r="K120" s="33">
        <f t="shared" si="62"/>
        <v>0</v>
      </c>
      <c r="L120" s="33">
        <f t="shared" si="63"/>
        <v>0</v>
      </c>
      <c r="M120" s="33">
        <f t="shared" si="64"/>
        <v>0</v>
      </c>
      <c r="N120" s="33">
        <f t="shared" si="44"/>
        <v>0</v>
      </c>
      <c r="O120" s="34">
        <f t="shared" si="45"/>
        <v>0</v>
      </c>
      <c r="P120" s="55">
        <v>115</v>
      </c>
      <c r="Q120" s="33">
        <f t="shared" si="59"/>
        <v>0</v>
      </c>
      <c r="R120" s="33">
        <f t="shared" si="65"/>
        <v>0</v>
      </c>
      <c r="S120" s="33">
        <f t="shared" si="66"/>
        <v>0</v>
      </c>
      <c r="T120" s="33">
        <f t="shared" si="46"/>
        <v>0</v>
      </c>
      <c r="U120" s="33">
        <f t="shared" si="60"/>
        <v>0</v>
      </c>
      <c r="V120" s="33">
        <f t="shared" si="47"/>
        <v>0</v>
      </c>
      <c r="W120" s="33">
        <v>0</v>
      </c>
      <c r="X120" s="33">
        <f t="shared" si="48"/>
        <v>0</v>
      </c>
      <c r="Y120" s="38">
        <f t="shared" si="49"/>
        <v>0</v>
      </c>
      <c r="AA120" s="71">
        <v>115</v>
      </c>
      <c r="AB120" s="33">
        <f t="shared" si="50"/>
        <v>0</v>
      </c>
      <c r="AC120" s="305">
        <f t="shared" si="51"/>
        <v>0</v>
      </c>
      <c r="AD120" s="100">
        <f t="shared" si="52"/>
        <v>0</v>
      </c>
      <c r="AE120" s="100">
        <f t="shared" si="53"/>
        <v>0</v>
      </c>
      <c r="AF120" s="194">
        <f t="shared" si="70"/>
        <v>0</v>
      </c>
      <c r="AG120" s="194">
        <f t="shared" si="71"/>
        <v>0</v>
      </c>
      <c r="AH120" s="194">
        <f t="shared" si="72"/>
        <v>0</v>
      </c>
      <c r="AI120" s="199">
        <f t="shared" si="73"/>
        <v>0</v>
      </c>
      <c r="AK120" s="71">
        <v>115</v>
      </c>
      <c r="AL120" s="33">
        <f t="shared" si="54"/>
        <v>0</v>
      </c>
      <c r="AM120" s="33">
        <f t="shared" si="55"/>
        <v>0</v>
      </c>
      <c r="AN120" s="33">
        <f t="shared" si="56"/>
        <v>0</v>
      </c>
      <c r="AO120" s="33">
        <f t="shared" si="57"/>
        <v>0</v>
      </c>
      <c r="AP120" s="33">
        <f t="shared" si="58"/>
        <v>0</v>
      </c>
      <c r="AQ120" s="194">
        <f t="shared" si="74"/>
        <v>0</v>
      </c>
      <c r="AR120" s="194">
        <f t="shared" si="75"/>
        <v>0</v>
      </c>
      <c r="AS120" s="194">
        <f t="shared" si="76"/>
        <v>0</v>
      </c>
      <c r="AT120" s="194">
        <f t="shared" si="77"/>
        <v>0</v>
      </c>
      <c r="AU120" s="33"/>
      <c r="AV120" s="33"/>
      <c r="AW120" s="33"/>
      <c r="AX120" s="33"/>
      <c r="AY120" s="76"/>
    </row>
    <row r="121" spans="2:51">
      <c r="C121" s="135" t="s">
        <v>159</v>
      </c>
      <c r="D121" s="135"/>
      <c r="E121" s="135"/>
      <c r="I121" s="55">
        <v>116</v>
      </c>
      <c r="J121" s="33">
        <f t="shared" si="61"/>
        <v>0</v>
      </c>
      <c r="K121" s="33">
        <f t="shared" si="62"/>
        <v>0</v>
      </c>
      <c r="L121" s="33">
        <f t="shared" si="63"/>
        <v>0</v>
      </c>
      <c r="M121" s="33">
        <f t="shared" si="64"/>
        <v>0</v>
      </c>
      <c r="N121" s="33">
        <f t="shared" si="44"/>
        <v>0</v>
      </c>
      <c r="O121" s="34">
        <f t="shared" si="45"/>
        <v>0</v>
      </c>
      <c r="P121" s="55">
        <v>116</v>
      </c>
      <c r="Q121" s="33">
        <f t="shared" si="59"/>
        <v>0</v>
      </c>
      <c r="R121" s="33">
        <f t="shared" si="65"/>
        <v>0</v>
      </c>
      <c r="S121" s="33">
        <f t="shared" si="66"/>
        <v>0</v>
      </c>
      <c r="T121" s="33">
        <f t="shared" si="46"/>
        <v>0</v>
      </c>
      <c r="U121" s="33">
        <f t="shared" si="60"/>
        <v>0</v>
      </c>
      <c r="V121" s="33">
        <f t="shared" si="47"/>
        <v>0</v>
      </c>
      <c r="W121" s="33">
        <v>0</v>
      </c>
      <c r="X121" s="33">
        <f t="shared" si="48"/>
        <v>0</v>
      </c>
      <c r="Y121" s="38">
        <f t="shared" si="49"/>
        <v>0</v>
      </c>
      <c r="AA121" s="71">
        <v>116</v>
      </c>
      <c r="AB121" s="33">
        <f t="shared" si="50"/>
        <v>0</v>
      </c>
      <c r="AC121" s="305">
        <f t="shared" si="51"/>
        <v>0</v>
      </c>
      <c r="AD121" s="100">
        <f t="shared" si="52"/>
        <v>0</v>
      </c>
      <c r="AE121" s="100">
        <f t="shared" si="53"/>
        <v>0</v>
      </c>
      <c r="AF121" s="194">
        <f t="shared" si="70"/>
        <v>0</v>
      </c>
      <c r="AG121" s="194">
        <f t="shared" si="71"/>
        <v>0</v>
      </c>
      <c r="AH121" s="194">
        <f t="shared" si="72"/>
        <v>0</v>
      </c>
      <c r="AI121" s="199">
        <f t="shared" si="73"/>
        <v>0</v>
      </c>
      <c r="AK121" s="71">
        <v>116</v>
      </c>
      <c r="AL121" s="33">
        <f t="shared" si="54"/>
        <v>0</v>
      </c>
      <c r="AM121" s="33">
        <f t="shared" si="55"/>
        <v>0</v>
      </c>
      <c r="AN121" s="33">
        <f t="shared" si="56"/>
        <v>0</v>
      </c>
      <c r="AO121" s="33">
        <f t="shared" si="57"/>
        <v>0</v>
      </c>
      <c r="AP121" s="33">
        <f t="shared" si="58"/>
        <v>0</v>
      </c>
      <c r="AQ121" s="194">
        <f t="shared" si="74"/>
        <v>0</v>
      </c>
      <c r="AR121" s="194">
        <f t="shared" si="75"/>
        <v>0</v>
      </c>
      <c r="AS121" s="194">
        <f t="shared" si="76"/>
        <v>0</v>
      </c>
      <c r="AT121" s="194">
        <f t="shared" si="77"/>
        <v>0</v>
      </c>
      <c r="AU121" s="33"/>
      <c r="AV121" s="33"/>
      <c r="AW121" s="33"/>
      <c r="AX121" s="33"/>
      <c r="AY121" s="76"/>
    </row>
    <row r="122" spans="2:51">
      <c r="C122" s="135" t="s">
        <v>144</v>
      </c>
      <c r="D122" s="135" t="s">
        <v>72</v>
      </c>
      <c r="E122" s="81" t="s">
        <v>165</v>
      </c>
      <c r="I122" s="55">
        <v>117</v>
      </c>
      <c r="J122" s="33">
        <f t="shared" si="61"/>
        <v>0</v>
      </c>
      <c r="K122" s="33">
        <f t="shared" si="62"/>
        <v>0</v>
      </c>
      <c r="L122" s="33">
        <f t="shared" si="63"/>
        <v>0</v>
      </c>
      <c r="M122" s="33">
        <f t="shared" si="64"/>
        <v>0</v>
      </c>
      <c r="N122" s="33">
        <f t="shared" si="44"/>
        <v>0</v>
      </c>
      <c r="O122" s="34">
        <f t="shared" si="45"/>
        <v>0</v>
      </c>
      <c r="P122" s="55">
        <v>117</v>
      </c>
      <c r="Q122" s="33">
        <f t="shared" si="59"/>
        <v>0</v>
      </c>
      <c r="R122" s="33">
        <f t="shared" si="65"/>
        <v>0</v>
      </c>
      <c r="S122" s="33">
        <f t="shared" si="66"/>
        <v>0</v>
      </c>
      <c r="T122" s="33">
        <f t="shared" si="46"/>
        <v>0</v>
      </c>
      <c r="U122" s="33">
        <f t="shared" si="60"/>
        <v>0</v>
      </c>
      <c r="V122" s="33">
        <f t="shared" si="47"/>
        <v>0</v>
      </c>
      <c r="W122" s="33">
        <v>0</v>
      </c>
      <c r="X122" s="33">
        <f t="shared" si="48"/>
        <v>0</v>
      </c>
      <c r="Y122" s="38">
        <f t="shared" si="49"/>
        <v>0</v>
      </c>
      <c r="AA122" s="71">
        <v>117</v>
      </c>
      <c r="AB122" s="33">
        <f t="shared" si="50"/>
        <v>0</v>
      </c>
      <c r="AC122" s="305">
        <f t="shared" si="51"/>
        <v>0</v>
      </c>
      <c r="AD122" s="100">
        <f t="shared" si="52"/>
        <v>0</v>
      </c>
      <c r="AE122" s="100">
        <f t="shared" si="53"/>
        <v>0</v>
      </c>
      <c r="AF122" s="194">
        <f t="shared" si="70"/>
        <v>0</v>
      </c>
      <c r="AG122" s="194">
        <f t="shared" si="71"/>
        <v>0</v>
      </c>
      <c r="AH122" s="194">
        <f t="shared" si="72"/>
        <v>0</v>
      </c>
      <c r="AI122" s="199">
        <f t="shared" si="73"/>
        <v>0</v>
      </c>
      <c r="AK122" s="71">
        <v>117</v>
      </c>
      <c r="AL122" s="33">
        <f t="shared" si="54"/>
        <v>0</v>
      </c>
      <c r="AM122" s="33">
        <f t="shared" si="55"/>
        <v>0</v>
      </c>
      <c r="AN122" s="33">
        <f t="shared" si="56"/>
        <v>0</v>
      </c>
      <c r="AO122" s="33">
        <f t="shared" si="57"/>
        <v>0</v>
      </c>
      <c r="AP122" s="33">
        <f t="shared" si="58"/>
        <v>0</v>
      </c>
      <c r="AQ122" s="194">
        <f t="shared" si="74"/>
        <v>0</v>
      </c>
      <c r="AR122" s="194">
        <f t="shared" si="75"/>
        <v>0</v>
      </c>
      <c r="AS122" s="194">
        <f t="shared" si="76"/>
        <v>0</v>
      </c>
      <c r="AT122" s="194">
        <f t="shared" si="77"/>
        <v>0</v>
      </c>
      <c r="AU122" s="33"/>
      <c r="AV122" s="33"/>
      <c r="AW122" s="33"/>
      <c r="AX122" s="33"/>
      <c r="AY122" s="76"/>
    </row>
    <row r="123" spans="2:51">
      <c r="B123" s="67" t="s">
        <v>167</v>
      </c>
      <c r="C123" s="82">
        <f>AY35</f>
        <v>14.19</v>
      </c>
      <c r="D123" s="304">
        <f>IF(AND(D8=B101,F12=C194),J34*50%*G107,0)</f>
        <v>0</v>
      </c>
      <c r="E123" s="78">
        <f>C123-D123</f>
        <v>14.19</v>
      </c>
      <c r="I123" s="55">
        <v>118</v>
      </c>
      <c r="J123" s="33">
        <f t="shared" si="61"/>
        <v>0</v>
      </c>
      <c r="K123" s="33">
        <f t="shared" si="62"/>
        <v>0</v>
      </c>
      <c r="L123" s="33">
        <f t="shared" si="63"/>
        <v>0</v>
      </c>
      <c r="M123" s="33">
        <f t="shared" si="64"/>
        <v>0</v>
      </c>
      <c r="N123" s="33">
        <f t="shared" si="44"/>
        <v>0</v>
      </c>
      <c r="O123" s="34">
        <f t="shared" si="45"/>
        <v>0</v>
      </c>
      <c r="P123" s="55">
        <v>118</v>
      </c>
      <c r="Q123" s="33">
        <f t="shared" si="59"/>
        <v>0</v>
      </c>
      <c r="R123" s="33">
        <f t="shared" si="65"/>
        <v>0</v>
      </c>
      <c r="S123" s="33">
        <f t="shared" si="66"/>
        <v>0</v>
      </c>
      <c r="T123" s="33">
        <f t="shared" si="46"/>
        <v>0</v>
      </c>
      <c r="U123" s="33">
        <f t="shared" si="60"/>
        <v>0</v>
      </c>
      <c r="V123" s="33">
        <f t="shared" si="47"/>
        <v>0</v>
      </c>
      <c r="W123" s="33">
        <v>0</v>
      </c>
      <c r="X123" s="33">
        <f t="shared" si="48"/>
        <v>0</v>
      </c>
      <c r="Y123" s="38">
        <f t="shared" si="49"/>
        <v>0</v>
      </c>
      <c r="AA123" s="71">
        <v>118</v>
      </c>
      <c r="AB123" s="33">
        <f t="shared" si="50"/>
        <v>0</v>
      </c>
      <c r="AC123" s="305">
        <f t="shared" si="51"/>
        <v>0</v>
      </c>
      <c r="AD123" s="100">
        <f t="shared" si="52"/>
        <v>0</v>
      </c>
      <c r="AE123" s="100">
        <f t="shared" si="53"/>
        <v>0</v>
      </c>
      <c r="AF123" s="194">
        <f t="shared" si="70"/>
        <v>0</v>
      </c>
      <c r="AG123" s="194">
        <f t="shared" si="71"/>
        <v>0</v>
      </c>
      <c r="AH123" s="194">
        <f t="shared" si="72"/>
        <v>0</v>
      </c>
      <c r="AI123" s="199">
        <f t="shared" si="73"/>
        <v>0</v>
      </c>
      <c r="AK123" s="71">
        <v>118</v>
      </c>
      <c r="AL123" s="33">
        <f t="shared" si="54"/>
        <v>0</v>
      </c>
      <c r="AM123" s="33">
        <f t="shared" si="55"/>
        <v>0</v>
      </c>
      <c r="AN123" s="33">
        <f t="shared" si="56"/>
        <v>0</v>
      </c>
      <c r="AO123" s="33">
        <f t="shared" si="57"/>
        <v>0</v>
      </c>
      <c r="AP123" s="33">
        <f t="shared" si="58"/>
        <v>0</v>
      </c>
      <c r="AQ123" s="194">
        <f t="shared" si="74"/>
        <v>0</v>
      </c>
      <c r="AR123" s="194">
        <f t="shared" si="75"/>
        <v>0</v>
      </c>
      <c r="AS123" s="194">
        <f t="shared" si="76"/>
        <v>0</v>
      </c>
      <c r="AT123" s="194">
        <f t="shared" si="77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1"/>
        <v>0</v>
      </c>
      <c r="K124" s="33">
        <f t="shared" si="62"/>
        <v>0</v>
      </c>
      <c r="L124" s="33">
        <f t="shared" si="63"/>
        <v>0</v>
      </c>
      <c r="M124" s="33">
        <f t="shared" si="64"/>
        <v>0</v>
      </c>
      <c r="N124" s="33">
        <f t="shared" si="44"/>
        <v>0</v>
      </c>
      <c r="O124" s="34">
        <f t="shared" si="45"/>
        <v>0</v>
      </c>
      <c r="P124" s="55">
        <v>119</v>
      </c>
      <c r="Q124" s="33">
        <f t="shared" si="59"/>
        <v>0</v>
      </c>
      <c r="R124" s="33">
        <f t="shared" si="65"/>
        <v>0</v>
      </c>
      <c r="S124" s="33">
        <f t="shared" si="66"/>
        <v>0</v>
      </c>
      <c r="T124" s="33">
        <f t="shared" si="46"/>
        <v>0</v>
      </c>
      <c r="U124" s="33">
        <f t="shared" si="60"/>
        <v>0</v>
      </c>
      <c r="V124" s="33">
        <f t="shared" si="47"/>
        <v>0</v>
      </c>
      <c r="W124" s="33">
        <v>0</v>
      </c>
      <c r="X124" s="33">
        <f t="shared" si="48"/>
        <v>0</v>
      </c>
      <c r="Y124" s="38">
        <f t="shared" si="49"/>
        <v>0</v>
      </c>
      <c r="AA124" s="71">
        <v>119</v>
      </c>
      <c r="AB124" s="33">
        <f t="shared" si="50"/>
        <v>0</v>
      </c>
      <c r="AC124" s="305">
        <f t="shared" si="51"/>
        <v>0</v>
      </c>
      <c r="AD124" s="100">
        <f t="shared" si="52"/>
        <v>0</v>
      </c>
      <c r="AE124" s="100">
        <f t="shared" si="53"/>
        <v>0</v>
      </c>
      <c r="AF124" s="194">
        <f t="shared" si="70"/>
        <v>0</v>
      </c>
      <c r="AG124" s="194">
        <f t="shared" si="71"/>
        <v>0</v>
      </c>
      <c r="AH124" s="194">
        <f t="shared" si="72"/>
        <v>0</v>
      </c>
      <c r="AI124" s="199">
        <f t="shared" si="73"/>
        <v>0</v>
      </c>
      <c r="AK124" s="71">
        <v>119</v>
      </c>
      <c r="AL124" s="33">
        <f t="shared" si="54"/>
        <v>0</v>
      </c>
      <c r="AM124" s="33">
        <f t="shared" si="55"/>
        <v>0</v>
      </c>
      <c r="AN124" s="33">
        <f t="shared" si="56"/>
        <v>0</v>
      </c>
      <c r="AO124" s="33">
        <f t="shared" si="57"/>
        <v>0</v>
      </c>
      <c r="AP124" s="33">
        <f t="shared" si="58"/>
        <v>0</v>
      </c>
      <c r="AQ124" s="194">
        <f t="shared" si="74"/>
        <v>0</v>
      </c>
      <c r="AR124" s="194">
        <f t="shared" si="75"/>
        <v>0</v>
      </c>
      <c r="AS124" s="194">
        <f t="shared" si="76"/>
        <v>0</v>
      </c>
      <c r="AT124" s="194">
        <f t="shared" si="77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1"/>
        <v>0</v>
      </c>
      <c r="K125" s="33">
        <f t="shared" si="62"/>
        <v>0</v>
      </c>
      <c r="L125" s="33">
        <f t="shared" si="63"/>
        <v>0</v>
      </c>
      <c r="M125" s="33">
        <f t="shared" si="64"/>
        <v>0</v>
      </c>
      <c r="N125" s="33">
        <f t="shared" si="44"/>
        <v>0</v>
      </c>
      <c r="O125" s="34">
        <f t="shared" si="45"/>
        <v>0</v>
      </c>
      <c r="P125" s="55">
        <v>120</v>
      </c>
      <c r="Q125" s="33">
        <f t="shared" si="59"/>
        <v>0</v>
      </c>
      <c r="R125" s="33">
        <f t="shared" si="65"/>
        <v>0</v>
      </c>
      <c r="S125" s="33">
        <f t="shared" si="66"/>
        <v>0</v>
      </c>
      <c r="T125" s="33">
        <f t="shared" si="46"/>
        <v>0</v>
      </c>
      <c r="U125" s="33">
        <f t="shared" si="60"/>
        <v>0</v>
      </c>
      <c r="V125" s="33">
        <f t="shared" si="47"/>
        <v>0</v>
      </c>
      <c r="W125" s="33">
        <v>0</v>
      </c>
      <c r="X125" s="33">
        <f t="shared" si="48"/>
        <v>0</v>
      </c>
      <c r="Y125" s="38">
        <f t="shared" si="49"/>
        <v>0</v>
      </c>
      <c r="AA125" s="71">
        <v>120</v>
      </c>
      <c r="AB125" s="33">
        <f t="shared" si="50"/>
        <v>0</v>
      </c>
      <c r="AC125" s="305">
        <f t="shared" si="51"/>
        <v>0</v>
      </c>
      <c r="AD125" s="100">
        <f t="shared" si="52"/>
        <v>0</v>
      </c>
      <c r="AE125" s="100">
        <f t="shared" si="53"/>
        <v>0</v>
      </c>
      <c r="AF125" s="194">
        <f t="shared" si="70"/>
        <v>0</v>
      </c>
      <c r="AG125" s="194">
        <f t="shared" si="71"/>
        <v>0</v>
      </c>
      <c r="AH125" s="194">
        <f t="shared" si="72"/>
        <v>0</v>
      </c>
      <c r="AI125" s="199">
        <f t="shared" si="73"/>
        <v>0</v>
      </c>
      <c r="AK125" s="71">
        <v>120</v>
      </c>
      <c r="AL125" s="33">
        <f t="shared" si="54"/>
        <v>0</v>
      </c>
      <c r="AM125" s="33">
        <f t="shared" si="55"/>
        <v>0</v>
      </c>
      <c r="AN125" s="33">
        <f t="shared" si="56"/>
        <v>0</v>
      </c>
      <c r="AO125" s="33">
        <f t="shared" si="57"/>
        <v>0</v>
      </c>
      <c r="AP125" s="33">
        <f t="shared" si="58"/>
        <v>0</v>
      </c>
      <c r="AQ125" s="194">
        <f t="shared" si="74"/>
        <v>0</v>
      </c>
      <c r="AR125" s="194">
        <f t="shared" si="75"/>
        <v>0</v>
      </c>
      <c r="AS125" s="194">
        <f t="shared" si="76"/>
        <v>0</v>
      </c>
      <c r="AT125" s="194">
        <f t="shared" si="77"/>
        <v>0</v>
      </c>
      <c r="AU125" s="33"/>
      <c r="AV125" s="33"/>
      <c r="AW125" s="33"/>
      <c r="AX125" s="33"/>
      <c r="AY125" s="76"/>
    </row>
    <row r="126" spans="2:51">
      <c r="C126" s="84" t="s">
        <v>128</v>
      </c>
      <c r="D126" s="84" t="s">
        <v>129</v>
      </c>
      <c r="E126" s="84" t="s">
        <v>159</v>
      </c>
      <c r="F126" s="157" t="s">
        <v>169</v>
      </c>
      <c r="I126" s="55">
        <v>121</v>
      </c>
      <c r="J126" s="33">
        <f t="shared" si="61"/>
        <v>0</v>
      </c>
      <c r="K126" s="33">
        <f t="shared" si="62"/>
        <v>0</v>
      </c>
      <c r="L126" s="33">
        <f t="shared" si="63"/>
        <v>0</v>
      </c>
      <c r="M126" s="33">
        <f t="shared" si="64"/>
        <v>0</v>
      </c>
      <c r="N126" s="33">
        <f t="shared" si="44"/>
        <v>0</v>
      </c>
      <c r="O126" s="34">
        <f t="shared" si="45"/>
        <v>0</v>
      </c>
      <c r="P126" s="55">
        <v>121</v>
      </c>
      <c r="Q126" s="33">
        <f t="shared" si="59"/>
        <v>0</v>
      </c>
      <c r="R126" s="33">
        <f t="shared" si="65"/>
        <v>0</v>
      </c>
      <c r="S126" s="33">
        <f t="shared" si="66"/>
        <v>0</v>
      </c>
      <c r="T126" s="33">
        <f t="shared" si="46"/>
        <v>0</v>
      </c>
      <c r="U126" s="33">
        <f t="shared" si="60"/>
        <v>0</v>
      </c>
      <c r="V126" s="33">
        <f t="shared" si="47"/>
        <v>0</v>
      </c>
      <c r="W126" s="33">
        <v>0</v>
      </c>
      <c r="X126" s="33">
        <f t="shared" si="48"/>
        <v>0</v>
      </c>
      <c r="Y126" s="38">
        <f t="shared" si="49"/>
        <v>0</v>
      </c>
      <c r="AA126" s="71">
        <v>121</v>
      </c>
      <c r="AB126" s="33">
        <f t="shared" si="50"/>
        <v>0</v>
      </c>
      <c r="AC126" s="305">
        <f t="shared" si="51"/>
        <v>0</v>
      </c>
      <c r="AD126" s="100">
        <f t="shared" si="52"/>
        <v>0</v>
      </c>
      <c r="AE126" s="100">
        <f t="shared" si="53"/>
        <v>0</v>
      </c>
      <c r="AF126" s="194">
        <f t="shared" si="70"/>
        <v>0</v>
      </c>
      <c r="AG126" s="194">
        <f t="shared" si="71"/>
        <v>0</v>
      </c>
      <c r="AH126" s="194">
        <f t="shared" si="72"/>
        <v>0</v>
      </c>
      <c r="AI126" s="199">
        <f t="shared" si="73"/>
        <v>0</v>
      </c>
      <c r="AK126" s="71">
        <v>121</v>
      </c>
      <c r="AL126" s="33">
        <f t="shared" si="54"/>
        <v>0</v>
      </c>
      <c r="AM126" s="33">
        <f t="shared" si="55"/>
        <v>0</v>
      </c>
      <c r="AN126" s="33">
        <f t="shared" si="56"/>
        <v>0</v>
      </c>
      <c r="AO126" s="33">
        <f t="shared" si="57"/>
        <v>0</v>
      </c>
      <c r="AP126" s="33">
        <f t="shared" si="58"/>
        <v>0</v>
      </c>
      <c r="AQ126" s="194">
        <f t="shared" si="74"/>
        <v>0</v>
      </c>
      <c r="AR126" s="194">
        <f t="shared" si="75"/>
        <v>0</v>
      </c>
      <c r="AS126" s="194">
        <f t="shared" si="76"/>
        <v>0</v>
      </c>
      <c r="AT126" s="194">
        <f t="shared" si="77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317.66988809482871</v>
      </c>
      <c r="D127" s="82">
        <f>MIN(E118:E119)</f>
        <v>3.8868842634585605</v>
      </c>
      <c r="E127" s="85">
        <f>E123</f>
        <v>14.19</v>
      </c>
      <c r="F127" s="86">
        <f>SUM(C127:E127)</f>
        <v>335.74677235828727</v>
      </c>
      <c r="I127" s="55">
        <v>122</v>
      </c>
      <c r="J127" s="33">
        <f t="shared" si="61"/>
        <v>0</v>
      </c>
      <c r="K127" s="33">
        <f t="shared" si="62"/>
        <v>0</v>
      </c>
      <c r="L127" s="33">
        <f t="shared" si="63"/>
        <v>0</v>
      </c>
      <c r="M127" s="33">
        <f t="shared" si="64"/>
        <v>0</v>
      </c>
      <c r="N127" s="33">
        <f t="shared" si="44"/>
        <v>0</v>
      </c>
      <c r="O127" s="34">
        <f t="shared" si="45"/>
        <v>0</v>
      </c>
      <c r="P127" s="55">
        <v>122</v>
      </c>
      <c r="Q127" s="33">
        <f t="shared" si="59"/>
        <v>0</v>
      </c>
      <c r="R127" s="33">
        <f t="shared" si="65"/>
        <v>0</v>
      </c>
      <c r="S127" s="33">
        <f t="shared" si="66"/>
        <v>0</v>
      </c>
      <c r="T127" s="33">
        <f t="shared" si="46"/>
        <v>0</v>
      </c>
      <c r="U127" s="33">
        <f t="shared" si="60"/>
        <v>0</v>
      </c>
      <c r="V127" s="33">
        <f t="shared" si="47"/>
        <v>0</v>
      </c>
      <c r="W127" s="33">
        <v>0</v>
      </c>
      <c r="X127" s="33">
        <f t="shared" si="48"/>
        <v>0</v>
      </c>
      <c r="Y127" s="38">
        <f t="shared" si="49"/>
        <v>0</v>
      </c>
      <c r="AA127" s="71">
        <v>122</v>
      </c>
      <c r="AB127" s="33">
        <f t="shared" si="50"/>
        <v>0</v>
      </c>
      <c r="AC127" s="305">
        <f t="shared" si="51"/>
        <v>0</v>
      </c>
      <c r="AD127" s="100">
        <f t="shared" si="52"/>
        <v>0</v>
      </c>
      <c r="AE127" s="100">
        <f t="shared" si="53"/>
        <v>0</v>
      </c>
      <c r="AF127" s="194">
        <f t="shared" si="70"/>
        <v>0</v>
      </c>
      <c r="AG127" s="194">
        <f t="shared" si="71"/>
        <v>0</v>
      </c>
      <c r="AH127" s="194">
        <f t="shared" si="72"/>
        <v>0</v>
      </c>
      <c r="AI127" s="199">
        <f t="shared" si="73"/>
        <v>0</v>
      </c>
      <c r="AK127" s="71">
        <v>122</v>
      </c>
      <c r="AL127" s="33">
        <f t="shared" si="54"/>
        <v>0</v>
      </c>
      <c r="AM127" s="33">
        <f t="shared" si="55"/>
        <v>0</v>
      </c>
      <c r="AN127" s="33">
        <f t="shared" si="56"/>
        <v>0</v>
      </c>
      <c r="AO127" s="33">
        <f t="shared" si="57"/>
        <v>0</v>
      </c>
      <c r="AP127" s="33">
        <f t="shared" si="58"/>
        <v>0</v>
      </c>
      <c r="AQ127" s="194">
        <f t="shared" si="74"/>
        <v>0</v>
      </c>
      <c r="AR127" s="194">
        <f t="shared" si="75"/>
        <v>0</v>
      </c>
      <c r="AS127" s="194">
        <f t="shared" si="76"/>
        <v>0</v>
      </c>
      <c r="AT127" s="194">
        <f t="shared" si="77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1"/>
        <v>0</v>
      </c>
      <c r="K128" s="33">
        <f t="shared" si="62"/>
        <v>0</v>
      </c>
      <c r="L128" s="33">
        <f t="shared" si="63"/>
        <v>0</v>
      </c>
      <c r="M128" s="33">
        <f t="shared" si="64"/>
        <v>0</v>
      </c>
      <c r="N128" s="33">
        <f t="shared" si="44"/>
        <v>0</v>
      </c>
      <c r="O128" s="34">
        <f t="shared" si="45"/>
        <v>0</v>
      </c>
      <c r="P128" s="55">
        <v>123</v>
      </c>
      <c r="Q128" s="33">
        <f t="shared" si="59"/>
        <v>0</v>
      </c>
      <c r="R128" s="33">
        <f t="shared" si="65"/>
        <v>0</v>
      </c>
      <c r="S128" s="33">
        <f t="shared" si="66"/>
        <v>0</v>
      </c>
      <c r="T128" s="33">
        <f t="shared" si="46"/>
        <v>0</v>
      </c>
      <c r="U128" s="33">
        <f t="shared" si="60"/>
        <v>0</v>
      </c>
      <c r="V128" s="33">
        <f t="shared" si="47"/>
        <v>0</v>
      </c>
      <c r="W128" s="33">
        <v>0</v>
      </c>
      <c r="X128" s="33">
        <f t="shared" si="48"/>
        <v>0</v>
      </c>
      <c r="Y128" s="38">
        <f t="shared" si="49"/>
        <v>0</v>
      </c>
      <c r="AA128" s="71">
        <v>123</v>
      </c>
      <c r="AB128" s="33">
        <f t="shared" si="50"/>
        <v>0</v>
      </c>
      <c r="AC128" s="305">
        <f t="shared" si="51"/>
        <v>0</v>
      </c>
      <c r="AD128" s="100">
        <f t="shared" si="52"/>
        <v>0</v>
      </c>
      <c r="AE128" s="100">
        <f t="shared" si="53"/>
        <v>0</v>
      </c>
      <c r="AF128" s="194">
        <f t="shared" si="70"/>
        <v>0</v>
      </c>
      <c r="AG128" s="194">
        <f t="shared" si="71"/>
        <v>0</v>
      </c>
      <c r="AH128" s="194">
        <f t="shared" si="72"/>
        <v>0</v>
      </c>
      <c r="AI128" s="199">
        <f t="shared" si="73"/>
        <v>0</v>
      </c>
      <c r="AK128" s="71">
        <v>123</v>
      </c>
      <c r="AL128" s="33">
        <f t="shared" si="54"/>
        <v>0</v>
      </c>
      <c r="AM128" s="33">
        <f t="shared" si="55"/>
        <v>0</v>
      </c>
      <c r="AN128" s="33">
        <f t="shared" si="56"/>
        <v>0</v>
      </c>
      <c r="AO128" s="33">
        <f t="shared" si="57"/>
        <v>0</v>
      </c>
      <c r="AP128" s="33">
        <f t="shared" si="58"/>
        <v>0</v>
      </c>
      <c r="AQ128" s="194">
        <f t="shared" si="74"/>
        <v>0</v>
      </c>
      <c r="AR128" s="194">
        <f t="shared" si="75"/>
        <v>0</v>
      </c>
      <c r="AS128" s="194">
        <f t="shared" si="76"/>
        <v>0</v>
      </c>
      <c r="AT128" s="194">
        <f t="shared" si="77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1"/>
        <v>0</v>
      </c>
      <c r="K129" s="33">
        <f t="shared" si="62"/>
        <v>0</v>
      </c>
      <c r="L129" s="33">
        <f t="shared" si="63"/>
        <v>0</v>
      </c>
      <c r="M129" s="33">
        <f t="shared" si="64"/>
        <v>0</v>
      </c>
      <c r="N129" s="33">
        <f t="shared" si="44"/>
        <v>0</v>
      </c>
      <c r="O129" s="34">
        <f t="shared" si="45"/>
        <v>0</v>
      </c>
      <c r="P129" s="55">
        <v>124</v>
      </c>
      <c r="Q129" s="33">
        <f t="shared" si="59"/>
        <v>0</v>
      </c>
      <c r="R129" s="33">
        <f t="shared" si="65"/>
        <v>0</v>
      </c>
      <c r="S129" s="33">
        <f t="shared" si="66"/>
        <v>0</v>
      </c>
      <c r="T129" s="33">
        <f t="shared" si="46"/>
        <v>0</v>
      </c>
      <c r="U129" s="33">
        <f t="shared" si="60"/>
        <v>0</v>
      </c>
      <c r="V129" s="33">
        <f t="shared" si="47"/>
        <v>0</v>
      </c>
      <c r="W129" s="33">
        <v>0</v>
      </c>
      <c r="X129" s="33">
        <f t="shared" si="48"/>
        <v>0</v>
      </c>
      <c r="Y129" s="38">
        <f t="shared" si="49"/>
        <v>0</v>
      </c>
      <c r="AA129" s="71">
        <v>124</v>
      </c>
      <c r="AB129" s="33">
        <f t="shared" si="50"/>
        <v>0</v>
      </c>
      <c r="AC129" s="305">
        <f t="shared" si="51"/>
        <v>0</v>
      </c>
      <c r="AD129" s="100">
        <f t="shared" si="52"/>
        <v>0</v>
      </c>
      <c r="AE129" s="100">
        <f t="shared" si="53"/>
        <v>0</v>
      </c>
      <c r="AF129" s="194">
        <f t="shared" si="70"/>
        <v>0</v>
      </c>
      <c r="AG129" s="194">
        <f t="shared" si="71"/>
        <v>0</v>
      </c>
      <c r="AH129" s="194">
        <f t="shared" si="72"/>
        <v>0</v>
      </c>
      <c r="AI129" s="199">
        <f t="shared" si="73"/>
        <v>0</v>
      </c>
      <c r="AK129" s="71">
        <v>124</v>
      </c>
      <c r="AL129" s="33">
        <f t="shared" si="54"/>
        <v>0</v>
      </c>
      <c r="AM129" s="33">
        <f t="shared" si="55"/>
        <v>0</v>
      </c>
      <c r="AN129" s="33">
        <f t="shared" si="56"/>
        <v>0</v>
      </c>
      <c r="AO129" s="33">
        <f t="shared" si="57"/>
        <v>0</v>
      </c>
      <c r="AP129" s="33">
        <f t="shared" si="58"/>
        <v>0</v>
      </c>
      <c r="AQ129" s="194">
        <f t="shared" si="74"/>
        <v>0</v>
      </c>
      <c r="AR129" s="194">
        <f t="shared" si="75"/>
        <v>0</v>
      </c>
      <c r="AS129" s="194">
        <f t="shared" si="76"/>
        <v>0</v>
      </c>
      <c r="AT129" s="194">
        <f t="shared" si="77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8" t="s">
        <v>226</v>
      </c>
      <c r="F130" s="343" t="s">
        <v>272</v>
      </c>
      <c r="I130" s="55">
        <v>125</v>
      </c>
      <c r="J130" s="33">
        <f t="shared" si="61"/>
        <v>0</v>
      </c>
      <c r="K130" s="33">
        <f t="shared" si="62"/>
        <v>0</v>
      </c>
      <c r="L130" s="33">
        <f t="shared" si="63"/>
        <v>0</v>
      </c>
      <c r="M130" s="33">
        <f t="shared" si="64"/>
        <v>0</v>
      </c>
      <c r="N130" s="33">
        <f t="shared" si="44"/>
        <v>0</v>
      </c>
      <c r="O130" s="34">
        <f t="shared" si="45"/>
        <v>0</v>
      </c>
      <c r="P130" s="55">
        <v>125</v>
      </c>
      <c r="Q130" s="33">
        <f t="shared" si="59"/>
        <v>0</v>
      </c>
      <c r="R130" s="33">
        <f t="shared" si="65"/>
        <v>0</v>
      </c>
      <c r="S130" s="33">
        <f t="shared" si="66"/>
        <v>0</v>
      </c>
      <c r="T130" s="33">
        <f t="shared" si="46"/>
        <v>0</v>
      </c>
      <c r="U130" s="33">
        <f t="shared" si="60"/>
        <v>0</v>
      </c>
      <c r="V130" s="33">
        <f t="shared" si="47"/>
        <v>0</v>
      </c>
      <c r="W130" s="33">
        <v>0</v>
      </c>
      <c r="X130" s="33">
        <f t="shared" si="48"/>
        <v>0</v>
      </c>
      <c r="Y130" s="38">
        <f t="shared" si="49"/>
        <v>0</v>
      </c>
      <c r="AA130" s="71">
        <v>125</v>
      </c>
      <c r="AB130" s="33">
        <f t="shared" si="50"/>
        <v>0</v>
      </c>
      <c r="AC130" s="305">
        <f t="shared" si="51"/>
        <v>0</v>
      </c>
      <c r="AD130" s="100">
        <f t="shared" si="52"/>
        <v>0</v>
      </c>
      <c r="AE130" s="100">
        <f t="shared" si="53"/>
        <v>0</v>
      </c>
      <c r="AF130" s="194">
        <f t="shared" si="70"/>
        <v>0</v>
      </c>
      <c r="AG130" s="194">
        <f t="shared" si="71"/>
        <v>0</v>
      </c>
      <c r="AH130" s="194">
        <f t="shared" si="72"/>
        <v>0</v>
      </c>
      <c r="AI130" s="199">
        <f t="shared" si="73"/>
        <v>0</v>
      </c>
      <c r="AK130" s="71">
        <v>125</v>
      </c>
      <c r="AL130" s="33">
        <f t="shared" si="54"/>
        <v>0</v>
      </c>
      <c r="AM130" s="33">
        <f t="shared" si="55"/>
        <v>0</v>
      </c>
      <c r="AN130" s="33">
        <f t="shared" si="56"/>
        <v>0</v>
      </c>
      <c r="AO130" s="33">
        <f t="shared" si="57"/>
        <v>0</v>
      </c>
      <c r="AP130" s="33">
        <f t="shared" si="58"/>
        <v>0</v>
      </c>
      <c r="AQ130" s="194">
        <f t="shared" si="74"/>
        <v>0</v>
      </c>
      <c r="AR130" s="194">
        <f t="shared" si="75"/>
        <v>0</v>
      </c>
      <c r="AS130" s="194">
        <f t="shared" si="76"/>
        <v>0</v>
      </c>
      <c r="AT130" s="194">
        <f t="shared" si="77"/>
        <v>0</v>
      </c>
      <c r="AU130" s="33"/>
      <c r="AV130" s="33"/>
      <c r="AW130" s="33"/>
      <c r="AX130" s="33"/>
      <c r="AY130" s="76"/>
    </row>
    <row r="131" spans="3:51">
      <c r="C131" s="166" t="s">
        <v>7</v>
      </c>
      <c r="D131" s="4">
        <v>0.62</v>
      </c>
      <c r="E131" s="188" t="s">
        <v>227</v>
      </c>
      <c r="F131" s="343">
        <f>IF(OR(Tableau145[[#This Row],[Type]]="Feuillus",Tableau145[[#This Row],[Type]]="Peupliers"),1.56,1.3)</f>
        <v>1.56</v>
      </c>
      <c r="I131" s="55">
        <v>126</v>
      </c>
      <c r="J131" s="33">
        <f t="shared" si="61"/>
        <v>0</v>
      </c>
      <c r="K131" s="33">
        <f t="shared" si="62"/>
        <v>0</v>
      </c>
      <c r="L131" s="33">
        <f t="shared" si="63"/>
        <v>0</v>
      </c>
      <c r="M131" s="33">
        <f t="shared" si="64"/>
        <v>0</v>
      </c>
      <c r="N131" s="33">
        <f t="shared" si="44"/>
        <v>0</v>
      </c>
      <c r="O131" s="34">
        <f t="shared" si="45"/>
        <v>0</v>
      </c>
      <c r="P131" s="55">
        <v>126</v>
      </c>
      <c r="Q131" s="33">
        <f t="shared" si="59"/>
        <v>0</v>
      </c>
      <c r="R131" s="33">
        <f t="shared" si="65"/>
        <v>0</v>
      </c>
      <c r="S131" s="33">
        <f t="shared" si="66"/>
        <v>0</v>
      </c>
      <c r="T131" s="33">
        <f t="shared" si="46"/>
        <v>0</v>
      </c>
      <c r="U131" s="33">
        <f t="shared" si="60"/>
        <v>0</v>
      </c>
      <c r="V131" s="33">
        <f t="shared" si="47"/>
        <v>0</v>
      </c>
      <c r="W131" s="33">
        <v>0</v>
      </c>
      <c r="X131" s="33">
        <f t="shared" si="48"/>
        <v>0</v>
      </c>
      <c r="Y131" s="38">
        <f t="shared" si="49"/>
        <v>0</v>
      </c>
      <c r="AA131" s="71">
        <v>126</v>
      </c>
      <c r="AB131" s="33">
        <f t="shared" si="50"/>
        <v>0</v>
      </c>
      <c r="AC131" s="305">
        <f t="shared" si="51"/>
        <v>0</v>
      </c>
      <c r="AD131" s="100">
        <f t="shared" si="52"/>
        <v>0</v>
      </c>
      <c r="AE131" s="100">
        <f t="shared" si="53"/>
        <v>0</v>
      </c>
      <c r="AF131" s="194">
        <f t="shared" si="70"/>
        <v>0</v>
      </c>
      <c r="AG131" s="194">
        <f t="shared" si="71"/>
        <v>0</v>
      </c>
      <c r="AH131" s="194">
        <f t="shared" si="72"/>
        <v>0</v>
      </c>
      <c r="AI131" s="199">
        <f t="shared" si="73"/>
        <v>0</v>
      </c>
      <c r="AK131" s="71">
        <v>126</v>
      </c>
      <c r="AL131" s="33">
        <f t="shared" si="54"/>
        <v>0</v>
      </c>
      <c r="AM131" s="33">
        <f t="shared" si="55"/>
        <v>0</v>
      </c>
      <c r="AN131" s="33">
        <f t="shared" si="56"/>
        <v>0</v>
      </c>
      <c r="AO131" s="33">
        <f t="shared" si="57"/>
        <v>0</v>
      </c>
      <c r="AP131" s="33">
        <f t="shared" si="58"/>
        <v>0</v>
      </c>
      <c r="AQ131" s="194">
        <f t="shared" si="74"/>
        <v>0</v>
      </c>
      <c r="AR131" s="194">
        <f t="shared" si="75"/>
        <v>0</v>
      </c>
      <c r="AS131" s="194">
        <f t="shared" si="76"/>
        <v>0</v>
      </c>
      <c r="AT131" s="194">
        <f t="shared" si="77"/>
        <v>0</v>
      </c>
      <c r="AU131" s="33"/>
      <c r="AV131" s="33"/>
      <c r="AW131" s="33"/>
      <c r="AX131" s="33"/>
      <c r="AY131" s="76"/>
    </row>
    <row r="132" spans="3:51">
      <c r="C132" s="166" t="s">
        <v>4</v>
      </c>
      <c r="D132" s="4">
        <v>0.64</v>
      </c>
      <c r="E132" s="188" t="s">
        <v>227</v>
      </c>
      <c r="F132" s="343">
        <f>IF(OR(Tableau145[[#This Row],[Type]]="Feuillus",Tableau145[[#This Row],[Type]]="Peupliers"),1.56,1.3)</f>
        <v>1.56</v>
      </c>
      <c r="I132" s="55">
        <v>127</v>
      </c>
      <c r="J132" s="33">
        <f t="shared" si="61"/>
        <v>0</v>
      </c>
      <c r="K132" s="33">
        <f t="shared" si="62"/>
        <v>0</v>
      </c>
      <c r="L132" s="33">
        <f t="shared" si="63"/>
        <v>0</v>
      </c>
      <c r="M132" s="33">
        <f t="shared" si="64"/>
        <v>0</v>
      </c>
      <c r="N132" s="33">
        <f t="shared" si="44"/>
        <v>0</v>
      </c>
      <c r="O132" s="34">
        <f t="shared" si="45"/>
        <v>0</v>
      </c>
      <c r="P132" s="55">
        <v>127</v>
      </c>
      <c r="Q132" s="33">
        <f t="shared" si="59"/>
        <v>0</v>
      </c>
      <c r="R132" s="33">
        <f t="shared" si="65"/>
        <v>0</v>
      </c>
      <c r="S132" s="33">
        <f t="shared" si="66"/>
        <v>0</v>
      </c>
      <c r="T132" s="33">
        <f t="shared" si="46"/>
        <v>0</v>
      </c>
      <c r="U132" s="33">
        <f t="shared" si="60"/>
        <v>0</v>
      </c>
      <c r="V132" s="33">
        <f t="shared" si="47"/>
        <v>0</v>
      </c>
      <c r="W132" s="33">
        <v>0</v>
      </c>
      <c r="X132" s="33">
        <f t="shared" si="48"/>
        <v>0</v>
      </c>
      <c r="Y132" s="38">
        <f t="shared" si="49"/>
        <v>0</v>
      </c>
      <c r="AA132" s="71">
        <v>127</v>
      </c>
      <c r="AB132" s="33">
        <f t="shared" si="50"/>
        <v>0</v>
      </c>
      <c r="AC132" s="305">
        <f t="shared" si="51"/>
        <v>0</v>
      </c>
      <c r="AD132" s="100">
        <f t="shared" si="52"/>
        <v>0</v>
      </c>
      <c r="AE132" s="100">
        <f t="shared" si="53"/>
        <v>0</v>
      </c>
      <c r="AF132" s="194">
        <f t="shared" si="70"/>
        <v>0</v>
      </c>
      <c r="AG132" s="194">
        <f t="shared" si="71"/>
        <v>0</v>
      </c>
      <c r="AH132" s="194">
        <f t="shared" si="72"/>
        <v>0</v>
      </c>
      <c r="AI132" s="199">
        <f t="shared" si="73"/>
        <v>0</v>
      </c>
      <c r="AK132" s="71">
        <v>127</v>
      </c>
      <c r="AL132" s="33">
        <f t="shared" si="54"/>
        <v>0</v>
      </c>
      <c r="AM132" s="33">
        <f t="shared" si="55"/>
        <v>0</v>
      </c>
      <c r="AN132" s="33">
        <f t="shared" si="56"/>
        <v>0</v>
      </c>
      <c r="AO132" s="33">
        <f t="shared" si="57"/>
        <v>0</v>
      </c>
      <c r="AP132" s="33">
        <f t="shared" si="58"/>
        <v>0</v>
      </c>
      <c r="AQ132" s="194">
        <f t="shared" si="74"/>
        <v>0</v>
      </c>
      <c r="AR132" s="194">
        <f t="shared" si="75"/>
        <v>0</v>
      </c>
      <c r="AS132" s="194">
        <f t="shared" si="76"/>
        <v>0</v>
      </c>
      <c r="AT132" s="194">
        <f t="shared" si="77"/>
        <v>0</v>
      </c>
      <c r="AU132" s="33"/>
      <c r="AV132" s="33"/>
      <c r="AW132" s="33"/>
      <c r="AX132" s="33"/>
      <c r="AY132" s="76"/>
    </row>
    <row r="133" spans="3:51">
      <c r="C133" s="166" t="s">
        <v>8</v>
      </c>
      <c r="D133" s="4">
        <v>0.42</v>
      </c>
      <c r="E133" s="188" t="s">
        <v>227</v>
      </c>
      <c r="F133" s="343">
        <f>IF(OR(Tableau145[[#This Row],[Type]]="Feuillus",Tableau145[[#This Row],[Type]]="Peupliers"),1.56,1.3)</f>
        <v>1.56</v>
      </c>
      <c r="I133" s="55">
        <v>128</v>
      </c>
      <c r="J133" s="33">
        <f t="shared" si="61"/>
        <v>0</v>
      </c>
      <c r="K133" s="33">
        <f t="shared" si="62"/>
        <v>0</v>
      </c>
      <c r="L133" s="33">
        <f t="shared" si="63"/>
        <v>0</v>
      </c>
      <c r="M133" s="33">
        <f t="shared" si="64"/>
        <v>0</v>
      </c>
      <c r="N133" s="33">
        <f t="shared" ref="N133:N196" si="78">IF(P134&lt;=$F$18,0,)</f>
        <v>0</v>
      </c>
      <c r="O133" s="34">
        <f t="shared" ref="O133:O196" si="79">((J133+K133)*0.475+L133+M133+N133)*44/12</f>
        <v>0</v>
      </c>
      <c r="P133" s="55">
        <v>128</v>
      </c>
      <c r="Q133" s="33">
        <f t="shared" si="59"/>
        <v>0</v>
      </c>
      <c r="R133" s="33">
        <f t="shared" si="65"/>
        <v>0</v>
      </c>
      <c r="S133" s="33">
        <f t="shared" si="66"/>
        <v>0</v>
      </c>
      <c r="T133" s="33">
        <f t="shared" ref="T133:T196" si="80">IF(S133=0,0,EXP(-1.0587+0.8836*LN(S133)+0.284))</f>
        <v>0</v>
      </c>
      <c r="U133" s="33">
        <f t="shared" si="60"/>
        <v>0</v>
      </c>
      <c r="V133" s="33">
        <f t="shared" ref="V133:V196" si="81">IF(P133&lt;=$F$18,IF(P133&lt;=30,P133*($F$16-$F$6)/30,$F$16-$F$6),)</f>
        <v>0</v>
      </c>
      <c r="W133" s="33">
        <v>0</v>
      </c>
      <c r="X133" s="33">
        <f t="shared" ref="X133:X196" si="82">((S133+T133)*0.475+U133+V133+W133)*44/12</f>
        <v>0</v>
      </c>
      <c r="Y133" s="38">
        <f t="shared" ref="Y133:Y196" si="83">IF(P133&lt;=$F$18,X133-O133,)</f>
        <v>0</v>
      </c>
      <c r="AA133" s="71">
        <v>128</v>
      </c>
      <c r="AB133" s="33">
        <f t="shared" ref="AB133:AB196" si="84">IF(AA133&lt;=$F$18,IFERROR(VLOOKUP($AA133,$B$82:$G$95,2,FALSE),0),)</f>
        <v>0</v>
      </c>
      <c r="AC133" s="305">
        <f t="shared" ref="AC133:AC196" si="85">IF(AA133&lt;=$F$18,IFERROR(VLOOKUP($AA133,$B$82:$G$95,3,FALSE),0),)*50%</f>
        <v>0</v>
      </c>
      <c r="AD133" s="100">
        <f t="shared" ref="AD133:AD196" si="86">IF(AA133&lt;=$F$18,IFERROR(VLOOKUP($AA133,$B$82:$G$95,4,FALSE),0),)</f>
        <v>0</v>
      </c>
      <c r="AE133" s="100">
        <f t="shared" ref="AE133:AE196" si="87">IF(AA133&lt;=$F$18,IFERROR(VLOOKUP($AA133,$B$82:$G$95,5,FALSE),0),)</f>
        <v>0</v>
      </c>
      <c r="AF133" s="194">
        <f t="shared" si="70"/>
        <v>0</v>
      </c>
      <c r="AG133" s="194">
        <f t="shared" si="71"/>
        <v>0</v>
      </c>
      <c r="AH133" s="194">
        <f t="shared" si="72"/>
        <v>0</v>
      </c>
      <c r="AI133" s="199">
        <f t="shared" si="73"/>
        <v>0</v>
      </c>
      <c r="AK133" s="71">
        <v>128</v>
      </c>
      <c r="AL133" s="33">
        <f t="shared" ref="AL133:AL196" si="88">IF(AK133&lt;=$F$18,IFERROR(VLOOKUP($AA133,$B$82:$G$95,2,FALSE),0),)</f>
        <v>0</v>
      </c>
      <c r="AM133" s="33">
        <f t="shared" ref="AM133:AM196" si="89">IF(AK133&lt;=$F$18,IFERROR(VLOOKUP($AA133,$B$82:$G$95,3,FALSE),0),)</f>
        <v>0</v>
      </c>
      <c r="AN133" s="33">
        <f t="shared" ref="AN133:AN196" si="90">IF(AK133&lt;=$F$18,IFERROR(VLOOKUP($AA133,$B$82:$G$95,4,FALSE),0),)</f>
        <v>0</v>
      </c>
      <c r="AO133" s="33">
        <f t="shared" ref="AO133:AO196" si="91">IF(AK133&lt;=$F$18,IFERROR(VLOOKUP($AA133,$B$82:$G$95,5,FALSE),0),)</f>
        <v>0</v>
      </c>
      <c r="AP133" s="33">
        <f t="shared" ref="AP133:AP196" si="92">IF(AK133&lt;=$F$18,IFERROR(VLOOKUP($AA133,$B$82:$G$95,6,FALSE),0),)</f>
        <v>0</v>
      </c>
      <c r="AQ133" s="194">
        <f t="shared" si="74"/>
        <v>0</v>
      </c>
      <c r="AR133" s="194">
        <f t="shared" si="75"/>
        <v>0</v>
      </c>
      <c r="AS133" s="194">
        <f t="shared" si="76"/>
        <v>0</v>
      </c>
      <c r="AT133" s="194">
        <f t="shared" si="77"/>
        <v>0</v>
      </c>
      <c r="AU133" s="33"/>
      <c r="AV133" s="33"/>
      <c r="AW133" s="33"/>
      <c r="AX133" s="33"/>
      <c r="AY133" s="76"/>
    </row>
    <row r="134" spans="3:51">
      <c r="C134" s="166" t="s">
        <v>9</v>
      </c>
      <c r="D134" s="4">
        <v>0.42</v>
      </c>
      <c r="E134" s="188" t="s">
        <v>227</v>
      </c>
      <c r="F134" s="343">
        <f>IF(OR(Tableau145[[#This Row],[Type]]="Feuillus",Tableau145[[#This Row],[Type]]="Peupliers"),1.56,1.3)</f>
        <v>1.56</v>
      </c>
      <c r="I134" s="55">
        <v>129</v>
      </c>
      <c r="J134" s="33">
        <f t="shared" si="61"/>
        <v>0</v>
      </c>
      <c r="K134" s="33">
        <f t="shared" si="62"/>
        <v>0</v>
      </c>
      <c r="L134" s="33">
        <f t="shared" si="63"/>
        <v>0</v>
      </c>
      <c r="M134" s="33">
        <f t="shared" si="64"/>
        <v>0</v>
      </c>
      <c r="N134" s="33">
        <f t="shared" si="78"/>
        <v>0</v>
      </c>
      <c r="O134" s="34">
        <f t="shared" si="79"/>
        <v>0</v>
      </c>
      <c r="P134" s="55">
        <v>129</v>
      </c>
      <c r="Q134" s="33">
        <f t="shared" ref="Q134:Q197" si="93">IF(P134&lt;=$F$18,LOOKUP(P134-1,$B$25:$B$78,$G$25:$G$78),)</f>
        <v>0</v>
      </c>
      <c r="R134" s="33">
        <f t="shared" si="65"/>
        <v>0</v>
      </c>
      <c r="S134" s="33">
        <f t="shared" si="66"/>
        <v>0</v>
      </c>
      <c r="T134" s="33">
        <f t="shared" si="80"/>
        <v>0</v>
      </c>
      <c r="U134" s="33">
        <f t="shared" ref="U134:U197" si="94">IF(P134&lt;=$F$18,$F$5+($F$15-$F$5)*(1-EXP(-0.0175*P134)),)</f>
        <v>0</v>
      </c>
      <c r="V134" s="33">
        <f t="shared" si="81"/>
        <v>0</v>
      </c>
      <c r="W134" s="33">
        <v>0</v>
      </c>
      <c r="X134" s="33">
        <f t="shared" si="82"/>
        <v>0</v>
      </c>
      <c r="Y134" s="38">
        <f t="shared" si="83"/>
        <v>0</v>
      </c>
      <c r="AA134" s="71">
        <v>129</v>
      </c>
      <c r="AB134" s="33">
        <f t="shared" si="84"/>
        <v>0</v>
      </c>
      <c r="AC134" s="305">
        <f t="shared" si="85"/>
        <v>0</v>
      </c>
      <c r="AD134" s="100">
        <f t="shared" si="86"/>
        <v>0</v>
      </c>
      <c r="AE134" s="100">
        <f t="shared" si="87"/>
        <v>0</v>
      </c>
      <c r="AF134" s="194">
        <f t="shared" si="70"/>
        <v>0</v>
      </c>
      <c r="AG134" s="194">
        <f t="shared" si="71"/>
        <v>0</v>
      </c>
      <c r="AH134" s="194">
        <f t="shared" si="72"/>
        <v>0</v>
      </c>
      <c r="AI134" s="199">
        <f t="shared" si="73"/>
        <v>0</v>
      </c>
      <c r="AK134" s="71">
        <v>129</v>
      </c>
      <c r="AL134" s="33">
        <f t="shared" si="88"/>
        <v>0</v>
      </c>
      <c r="AM134" s="33">
        <f t="shared" si="89"/>
        <v>0</v>
      </c>
      <c r="AN134" s="33">
        <f t="shared" si="90"/>
        <v>0</v>
      </c>
      <c r="AO134" s="33">
        <f t="shared" si="91"/>
        <v>0</v>
      </c>
      <c r="AP134" s="33">
        <f t="shared" si="92"/>
        <v>0</v>
      </c>
      <c r="AQ134" s="194">
        <f t="shared" si="74"/>
        <v>0</v>
      </c>
      <c r="AR134" s="194">
        <f t="shared" si="75"/>
        <v>0</v>
      </c>
      <c r="AS134" s="194">
        <f t="shared" si="76"/>
        <v>0</v>
      </c>
      <c r="AT134" s="194">
        <f t="shared" si="77"/>
        <v>0</v>
      </c>
      <c r="AU134" s="33"/>
      <c r="AV134" s="33"/>
      <c r="AW134" s="33"/>
      <c r="AX134" s="33"/>
      <c r="AY134" s="76"/>
    </row>
    <row r="135" spans="3:51">
      <c r="C135" s="166" t="s">
        <v>10</v>
      </c>
      <c r="D135" s="4">
        <v>0.52</v>
      </c>
      <c r="E135" s="188" t="s">
        <v>227</v>
      </c>
      <c r="F135" s="343">
        <f>IF(OR(Tableau145[[#This Row],[Type]]="Feuillus",Tableau145[[#This Row],[Type]]="Peupliers"),1.56,1.3)</f>
        <v>1.56</v>
      </c>
      <c r="I135" s="55">
        <v>130</v>
      </c>
      <c r="J135" s="33">
        <f t="shared" ref="J135:J198" si="95">IF($I135&lt;=$F$10,$F$11*$F$13+J134,)</f>
        <v>0</v>
      </c>
      <c r="K135" s="33">
        <f t="shared" ref="K135:K198" si="96">IF(J135=0,0,EXP(-1.0587+0.8836*LN(J135)+0.284))</f>
        <v>0</v>
      </c>
      <c r="L135" s="33">
        <f t="shared" ref="L135:L198" si="97">IF(I135&lt;=$F$10,$F$5+($F$8-$F$5)*(1-EXP(-0.0175*I135)),)</f>
        <v>0</v>
      </c>
      <c r="M135" s="33">
        <f t="shared" ref="M135:M198" si="98">IF(I135&lt;=$F$10,IF(I135&lt;=30,I135*($F$9-$F$6)/30,$F$9-$F$6),)</f>
        <v>0</v>
      </c>
      <c r="N135" s="33">
        <f t="shared" si="78"/>
        <v>0</v>
      </c>
      <c r="O135" s="34">
        <f t="shared" si="79"/>
        <v>0</v>
      </c>
      <c r="P135" s="55">
        <v>130</v>
      </c>
      <c r="Q135" s="33">
        <f t="shared" si="93"/>
        <v>0</v>
      </c>
      <c r="R135" s="33">
        <f t="shared" ref="R135:R198" si="99">IF(P135&lt;=$F$18,Q135+R134,)</f>
        <v>0</v>
      </c>
      <c r="S135" s="33">
        <f t="shared" ref="S135:S198" si="100">$F$19*R135</f>
        <v>0</v>
      </c>
      <c r="T135" s="33">
        <f t="shared" si="80"/>
        <v>0</v>
      </c>
      <c r="U135" s="33">
        <f t="shared" si="94"/>
        <v>0</v>
      </c>
      <c r="V135" s="33">
        <f t="shared" si="81"/>
        <v>0</v>
      </c>
      <c r="W135" s="33">
        <v>0</v>
      </c>
      <c r="X135" s="33">
        <f t="shared" si="82"/>
        <v>0</v>
      </c>
      <c r="Y135" s="38">
        <f t="shared" si="83"/>
        <v>0</v>
      </c>
      <c r="AA135" s="71">
        <v>130</v>
      </c>
      <c r="AB135" s="33">
        <f t="shared" si="84"/>
        <v>0</v>
      </c>
      <c r="AC135" s="305">
        <f t="shared" si="85"/>
        <v>0</v>
      </c>
      <c r="AD135" s="100">
        <f t="shared" si="86"/>
        <v>0</v>
      </c>
      <c r="AE135" s="100">
        <f t="shared" si="87"/>
        <v>0</v>
      </c>
      <c r="AF135" s="194">
        <f t="shared" si="70"/>
        <v>0</v>
      </c>
      <c r="AG135" s="194">
        <f t="shared" si="71"/>
        <v>0</v>
      </c>
      <c r="AH135" s="194">
        <f t="shared" si="72"/>
        <v>0</v>
      </c>
      <c r="AI135" s="199">
        <f t="shared" si="73"/>
        <v>0</v>
      </c>
      <c r="AK135" s="71">
        <v>130</v>
      </c>
      <c r="AL135" s="33">
        <f t="shared" si="88"/>
        <v>0</v>
      </c>
      <c r="AM135" s="33">
        <f t="shared" si="89"/>
        <v>0</v>
      </c>
      <c r="AN135" s="33">
        <f t="shared" si="90"/>
        <v>0</v>
      </c>
      <c r="AO135" s="33">
        <f t="shared" si="91"/>
        <v>0</v>
      </c>
      <c r="AP135" s="33">
        <f t="shared" si="92"/>
        <v>0</v>
      </c>
      <c r="AQ135" s="194">
        <f t="shared" si="74"/>
        <v>0</v>
      </c>
      <c r="AR135" s="194">
        <f t="shared" si="75"/>
        <v>0</v>
      </c>
      <c r="AS135" s="194">
        <f t="shared" si="76"/>
        <v>0</v>
      </c>
      <c r="AT135" s="194">
        <f t="shared" si="77"/>
        <v>0</v>
      </c>
      <c r="AU135" s="33"/>
      <c r="AV135" s="33"/>
      <c r="AW135" s="33"/>
      <c r="AX135" s="33"/>
      <c r="AY135" s="76"/>
    </row>
    <row r="136" spans="3:51">
      <c r="C136" s="166" t="s">
        <v>11</v>
      </c>
      <c r="D136" s="4">
        <v>0.36</v>
      </c>
      <c r="E136" s="188" t="s">
        <v>228</v>
      </c>
      <c r="F136" s="343">
        <f>IF(OR(Tableau145[[#This Row],[Type]]="Feuillus",Tableau145[[#This Row],[Type]]="Peupliers"),1.56,1.3)</f>
        <v>1.3</v>
      </c>
      <c r="I136" s="55">
        <v>131</v>
      </c>
      <c r="J136" s="33">
        <f t="shared" si="95"/>
        <v>0</v>
      </c>
      <c r="K136" s="33">
        <f t="shared" si="96"/>
        <v>0</v>
      </c>
      <c r="L136" s="33">
        <f t="shared" si="97"/>
        <v>0</v>
      </c>
      <c r="M136" s="33">
        <f t="shared" si="98"/>
        <v>0</v>
      </c>
      <c r="N136" s="33">
        <f t="shared" si="78"/>
        <v>0</v>
      </c>
      <c r="O136" s="34">
        <f t="shared" si="79"/>
        <v>0</v>
      </c>
      <c r="P136" s="55">
        <v>131</v>
      </c>
      <c r="Q136" s="33">
        <f t="shared" si="93"/>
        <v>0</v>
      </c>
      <c r="R136" s="33">
        <f t="shared" si="99"/>
        <v>0</v>
      </c>
      <c r="S136" s="33">
        <f t="shared" si="100"/>
        <v>0</v>
      </c>
      <c r="T136" s="33">
        <f t="shared" si="80"/>
        <v>0</v>
      </c>
      <c r="U136" s="33">
        <f t="shared" si="94"/>
        <v>0</v>
      </c>
      <c r="V136" s="33">
        <f t="shared" si="81"/>
        <v>0</v>
      </c>
      <c r="W136" s="33">
        <v>0</v>
      </c>
      <c r="X136" s="33">
        <f t="shared" si="82"/>
        <v>0</v>
      </c>
      <c r="Y136" s="38">
        <f t="shared" si="83"/>
        <v>0</v>
      </c>
      <c r="AA136" s="71">
        <v>131</v>
      </c>
      <c r="AB136" s="33">
        <f t="shared" si="84"/>
        <v>0</v>
      </c>
      <c r="AC136" s="305">
        <f t="shared" si="85"/>
        <v>0</v>
      </c>
      <c r="AD136" s="100">
        <f t="shared" si="86"/>
        <v>0</v>
      </c>
      <c r="AE136" s="100">
        <f t="shared" si="87"/>
        <v>0</v>
      </c>
      <c r="AF136" s="194">
        <f t="shared" si="70"/>
        <v>0</v>
      </c>
      <c r="AG136" s="194">
        <f t="shared" si="71"/>
        <v>0</v>
      </c>
      <c r="AH136" s="194">
        <f t="shared" si="72"/>
        <v>0</v>
      </c>
      <c r="AI136" s="199">
        <f t="shared" si="73"/>
        <v>0</v>
      </c>
      <c r="AK136" s="71">
        <v>131</v>
      </c>
      <c r="AL136" s="33">
        <f t="shared" si="88"/>
        <v>0</v>
      </c>
      <c r="AM136" s="33">
        <f t="shared" si="89"/>
        <v>0</v>
      </c>
      <c r="AN136" s="33">
        <f t="shared" si="90"/>
        <v>0</v>
      </c>
      <c r="AO136" s="33">
        <f t="shared" si="91"/>
        <v>0</v>
      </c>
      <c r="AP136" s="33">
        <f t="shared" si="92"/>
        <v>0</v>
      </c>
      <c r="AQ136" s="194">
        <f t="shared" si="74"/>
        <v>0</v>
      </c>
      <c r="AR136" s="194">
        <f t="shared" si="75"/>
        <v>0</v>
      </c>
      <c r="AS136" s="194">
        <f t="shared" si="76"/>
        <v>0</v>
      </c>
      <c r="AT136" s="194">
        <f t="shared" si="77"/>
        <v>0</v>
      </c>
      <c r="AU136" s="33"/>
      <c r="AV136" s="33"/>
      <c r="AW136" s="33"/>
      <c r="AX136" s="33"/>
      <c r="AY136" s="76"/>
    </row>
    <row r="137" spans="3:51">
      <c r="C137" s="166" t="s">
        <v>12</v>
      </c>
      <c r="D137" s="4">
        <v>0.61</v>
      </c>
      <c r="E137" s="188" t="s">
        <v>227</v>
      </c>
      <c r="F137" s="343">
        <f>IF(OR(Tableau145[[#This Row],[Type]]="Feuillus",Tableau145[[#This Row],[Type]]="Peupliers"),1.56,1.3)</f>
        <v>1.56</v>
      </c>
      <c r="I137" s="55">
        <v>132</v>
      </c>
      <c r="J137" s="33">
        <f t="shared" si="95"/>
        <v>0</v>
      </c>
      <c r="K137" s="33">
        <f t="shared" si="96"/>
        <v>0</v>
      </c>
      <c r="L137" s="33">
        <f t="shared" si="97"/>
        <v>0</v>
      </c>
      <c r="M137" s="33">
        <f t="shared" si="98"/>
        <v>0</v>
      </c>
      <c r="N137" s="33">
        <f t="shared" si="78"/>
        <v>0</v>
      </c>
      <c r="O137" s="34">
        <f t="shared" si="79"/>
        <v>0</v>
      </c>
      <c r="P137" s="55">
        <v>132</v>
      </c>
      <c r="Q137" s="33">
        <f t="shared" si="93"/>
        <v>0</v>
      </c>
      <c r="R137" s="33">
        <f t="shared" si="99"/>
        <v>0</v>
      </c>
      <c r="S137" s="33">
        <f t="shared" si="100"/>
        <v>0</v>
      </c>
      <c r="T137" s="33">
        <f t="shared" si="80"/>
        <v>0</v>
      </c>
      <c r="U137" s="33">
        <f t="shared" si="94"/>
        <v>0</v>
      </c>
      <c r="V137" s="33">
        <f t="shared" si="81"/>
        <v>0</v>
      </c>
      <c r="W137" s="33">
        <v>0</v>
      </c>
      <c r="X137" s="33">
        <f t="shared" si="82"/>
        <v>0</v>
      </c>
      <c r="Y137" s="38">
        <f t="shared" si="83"/>
        <v>0</v>
      </c>
      <c r="AA137" s="71">
        <v>132</v>
      </c>
      <c r="AB137" s="33">
        <f t="shared" si="84"/>
        <v>0</v>
      </c>
      <c r="AC137" s="305">
        <f t="shared" si="85"/>
        <v>0</v>
      </c>
      <c r="AD137" s="100">
        <f t="shared" si="86"/>
        <v>0</v>
      </c>
      <c r="AE137" s="100">
        <f t="shared" si="87"/>
        <v>0</v>
      </c>
      <c r="AF137" s="194">
        <f t="shared" si="70"/>
        <v>0</v>
      </c>
      <c r="AG137" s="194">
        <f t="shared" si="71"/>
        <v>0</v>
      </c>
      <c r="AH137" s="194">
        <f t="shared" si="72"/>
        <v>0</v>
      </c>
      <c r="AI137" s="199">
        <f t="shared" si="73"/>
        <v>0</v>
      </c>
      <c r="AK137" s="71">
        <v>132</v>
      </c>
      <c r="AL137" s="33">
        <f t="shared" si="88"/>
        <v>0</v>
      </c>
      <c r="AM137" s="33">
        <f t="shared" si="89"/>
        <v>0</v>
      </c>
      <c r="AN137" s="33">
        <f t="shared" si="90"/>
        <v>0</v>
      </c>
      <c r="AO137" s="33">
        <f t="shared" si="91"/>
        <v>0</v>
      </c>
      <c r="AP137" s="33">
        <f t="shared" si="92"/>
        <v>0</v>
      </c>
      <c r="AQ137" s="194">
        <f t="shared" si="74"/>
        <v>0</v>
      </c>
      <c r="AR137" s="194">
        <f t="shared" si="75"/>
        <v>0</v>
      </c>
      <c r="AS137" s="194">
        <f t="shared" si="76"/>
        <v>0</v>
      </c>
      <c r="AT137" s="194">
        <f t="shared" si="77"/>
        <v>0</v>
      </c>
      <c r="AU137" s="33"/>
      <c r="AV137" s="33"/>
      <c r="AW137" s="33"/>
      <c r="AX137" s="33"/>
      <c r="AY137" s="76"/>
    </row>
    <row r="138" spans="3:51">
      <c r="C138" s="166" t="s">
        <v>13</v>
      </c>
      <c r="D138" s="4">
        <v>0.66</v>
      </c>
      <c r="E138" s="188" t="s">
        <v>227</v>
      </c>
      <c r="F138" s="343">
        <f>IF(OR(Tableau145[[#This Row],[Type]]="Feuillus",Tableau145[[#This Row],[Type]]="Peupliers"),1.56,1.3)</f>
        <v>1.56</v>
      </c>
      <c r="I138" s="55">
        <v>133</v>
      </c>
      <c r="J138" s="33">
        <f t="shared" si="95"/>
        <v>0</v>
      </c>
      <c r="K138" s="33">
        <f t="shared" si="96"/>
        <v>0</v>
      </c>
      <c r="L138" s="33">
        <f t="shared" si="97"/>
        <v>0</v>
      </c>
      <c r="M138" s="33">
        <f t="shared" si="98"/>
        <v>0</v>
      </c>
      <c r="N138" s="33">
        <f t="shared" si="78"/>
        <v>0</v>
      </c>
      <c r="O138" s="34">
        <f t="shared" si="79"/>
        <v>0</v>
      </c>
      <c r="P138" s="55">
        <v>133</v>
      </c>
      <c r="Q138" s="33">
        <f t="shared" si="93"/>
        <v>0</v>
      </c>
      <c r="R138" s="33">
        <f t="shared" si="99"/>
        <v>0</v>
      </c>
      <c r="S138" s="33">
        <f t="shared" si="100"/>
        <v>0</v>
      </c>
      <c r="T138" s="33">
        <f t="shared" si="80"/>
        <v>0</v>
      </c>
      <c r="U138" s="33">
        <f t="shared" si="94"/>
        <v>0</v>
      </c>
      <c r="V138" s="33">
        <f t="shared" si="81"/>
        <v>0</v>
      </c>
      <c r="W138" s="33">
        <v>0</v>
      </c>
      <c r="X138" s="33">
        <f t="shared" si="82"/>
        <v>0</v>
      </c>
      <c r="Y138" s="38">
        <f t="shared" si="83"/>
        <v>0</v>
      </c>
      <c r="AA138" s="71">
        <v>133</v>
      </c>
      <c r="AB138" s="33">
        <f t="shared" si="84"/>
        <v>0</v>
      </c>
      <c r="AC138" s="305">
        <f t="shared" si="85"/>
        <v>0</v>
      </c>
      <c r="AD138" s="100">
        <f t="shared" si="86"/>
        <v>0</v>
      </c>
      <c r="AE138" s="100">
        <f t="shared" si="87"/>
        <v>0</v>
      </c>
      <c r="AF138" s="194">
        <f t="shared" si="70"/>
        <v>0</v>
      </c>
      <c r="AG138" s="194">
        <f t="shared" si="71"/>
        <v>0</v>
      </c>
      <c r="AH138" s="194">
        <f t="shared" si="72"/>
        <v>0</v>
      </c>
      <c r="AI138" s="199">
        <f t="shared" si="73"/>
        <v>0</v>
      </c>
      <c r="AK138" s="71">
        <v>133</v>
      </c>
      <c r="AL138" s="33">
        <f t="shared" si="88"/>
        <v>0</v>
      </c>
      <c r="AM138" s="33">
        <f t="shared" si="89"/>
        <v>0</v>
      </c>
      <c r="AN138" s="33">
        <f t="shared" si="90"/>
        <v>0</v>
      </c>
      <c r="AO138" s="33">
        <f t="shared" si="91"/>
        <v>0</v>
      </c>
      <c r="AP138" s="33">
        <f t="shared" si="92"/>
        <v>0</v>
      </c>
      <c r="AQ138" s="194">
        <f t="shared" si="74"/>
        <v>0</v>
      </c>
      <c r="AR138" s="194">
        <f t="shared" si="75"/>
        <v>0</v>
      </c>
      <c r="AS138" s="194">
        <f t="shared" si="76"/>
        <v>0</v>
      </c>
      <c r="AT138" s="194">
        <f t="shared" si="77"/>
        <v>0</v>
      </c>
      <c r="AU138" s="33"/>
      <c r="AV138" s="33"/>
      <c r="AW138" s="33"/>
      <c r="AX138" s="33"/>
      <c r="AY138" s="76"/>
    </row>
    <row r="139" spans="3:51">
      <c r="C139" s="167" t="s">
        <v>14</v>
      </c>
      <c r="D139" s="134">
        <v>0.47</v>
      </c>
      <c r="E139" s="188" t="s">
        <v>227</v>
      </c>
      <c r="F139" s="343">
        <f>IF(OR(Tableau145[[#This Row],[Type]]="Feuillus",Tableau145[[#This Row],[Type]]="Peupliers"),1.56,1.3)</f>
        <v>1.56</v>
      </c>
      <c r="I139" s="55">
        <v>134</v>
      </c>
      <c r="J139" s="33">
        <f t="shared" si="95"/>
        <v>0</v>
      </c>
      <c r="K139" s="33">
        <f t="shared" si="96"/>
        <v>0</v>
      </c>
      <c r="L139" s="33">
        <f t="shared" si="97"/>
        <v>0</v>
      </c>
      <c r="M139" s="33">
        <f t="shared" si="98"/>
        <v>0</v>
      </c>
      <c r="N139" s="33">
        <f t="shared" si="78"/>
        <v>0</v>
      </c>
      <c r="O139" s="34">
        <f t="shared" si="79"/>
        <v>0</v>
      </c>
      <c r="P139" s="55">
        <v>134</v>
      </c>
      <c r="Q139" s="33">
        <f t="shared" si="93"/>
        <v>0</v>
      </c>
      <c r="R139" s="33">
        <f t="shared" si="99"/>
        <v>0</v>
      </c>
      <c r="S139" s="33">
        <f t="shared" si="100"/>
        <v>0</v>
      </c>
      <c r="T139" s="33">
        <f t="shared" si="80"/>
        <v>0</v>
      </c>
      <c r="U139" s="33">
        <f t="shared" si="94"/>
        <v>0</v>
      </c>
      <c r="V139" s="33">
        <f t="shared" si="81"/>
        <v>0</v>
      </c>
      <c r="W139" s="33">
        <v>0</v>
      </c>
      <c r="X139" s="33">
        <f t="shared" si="82"/>
        <v>0</v>
      </c>
      <c r="Y139" s="38">
        <f t="shared" si="83"/>
        <v>0</v>
      </c>
      <c r="AA139" s="71">
        <v>134</v>
      </c>
      <c r="AB139" s="33">
        <f t="shared" si="84"/>
        <v>0</v>
      </c>
      <c r="AC139" s="305">
        <f t="shared" si="85"/>
        <v>0</v>
      </c>
      <c r="AD139" s="100">
        <f t="shared" si="86"/>
        <v>0</v>
      </c>
      <c r="AE139" s="100">
        <f t="shared" si="87"/>
        <v>0</v>
      </c>
      <c r="AF139" s="194">
        <f t="shared" si="70"/>
        <v>0</v>
      </c>
      <c r="AG139" s="194">
        <f t="shared" si="71"/>
        <v>0</v>
      </c>
      <c r="AH139" s="194">
        <f t="shared" si="72"/>
        <v>0</v>
      </c>
      <c r="AI139" s="199">
        <f t="shared" si="73"/>
        <v>0</v>
      </c>
      <c r="AK139" s="71">
        <v>134</v>
      </c>
      <c r="AL139" s="33">
        <f t="shared" si="88"/>
        <v>0</v>
      </c>
      <c r="AM139" s="33">
        <f t="shared" si="89"/>
        <v>0</v>
      </c>
      <c r="AN139" s="33">
        <f t="shared" si="90"/>
        <v>0</v>
      </c>
      <c r="AO139" s="33">
        <f t="shared" si="91"/>
        <v>0</v>
      </c>
      <c r="AP139" s="33">
        <f t="shared" si="92"/>
        <v>0</v>
      </c>
      <c r="AQ139" s="194">
        <f t="shared" si="74"/>
        <v>0</v>
      </c>
      <c r="AR139" s="194">
        <f t="shared" si="75"/>
        <v>0</v>
      </c>
      <c r="AS139" s="194">
        <f t="shared" si="76"/>
        <v>0</v>
      </c>
      <c r="AT139" s="194">
        <f t="shared" si="77"/>
        <v>0</v>
      </c>
      <c r="AU139" s="33"/>
      <c r="AV139" s="33"/>
      <c r="AW139" s="33"/>
      <c r="AX139" s="33"/>
      <c r="AY139" s="76"/>
    </row>
    <row r="140" spans="3:51">
      <c r="C140" s="166" t="s">
        <v>15</v>
      </c>
      <c r="D140" s="4">
        <v>0.67</v>
      </c>
      <c r="E140" s="188" t="s">
        <v>227</v>
      </c>
      <c r="F140" s="343">
        <f>IF(OR(Tableau145[[#This Row],[Type]]="Feuillus",Tableau145[[#This Row],[Type]]="Peupliers"),1.56,1.3)</f>
        <v>1.56</v>
      </c>
      <c r="I140" s="55">
        <v>135</v>
      </c>
      <c r="J140" s="33">
        <f t="shared" si="95"/>
        <v>0</v>
      </c>
      <c r="K140" s="33">
        <f t="shared" si="96"/>
        <v>0</v>
      </c>
      <c r="L140" s="33">
        <f t="shared" si="97"/>
        <v>0</v>
      </c>
      <c r="M140" s="33">
        <f t="shared" si="98"/>
        <v>0</v>
      </c>
      <c r="N140" s="33">
        <f t="shared" si="78"/>
        <v>0</v>
      </c>
      <c r="O140" s="34">
        <f t="shared" si="79"/>
        <v>0</v>
      </c>
      <c r="P140" s="55">
        <v>135</v>
      </c>
      <c r="Q140" s="33">
        <f t="shared" si="93"/>
        <v>0</v>
      </c>
      <c r="R140" s="33">
        <f t="shared" si="99"/>
        <v>0</v>
      </c>
      <c r="S140" s="33">
        <f t="shared" si="100"/>
        <v>0</v>
      </c>
      <c r="T140" s="33">
        <f t="shared" si="80"/>
        <v>0</v>
      </c>
      <c r="U140" s="33">
        <f t="shared" si="94"/>
        <v>0</v>
      </c>
      <c r="V140" s="33">
        <f t="shared" si="81"/>
        <v>0</v>
      </c>
      <c r="W140" s="33">
        <v>0</v>
      </c>
      <c r="X140" s="33">
        <f t="shared" si="82"/>
        <v>0</v>
      </c>
      <c r="Y140" s="38">
        <f t="shared" si="83"/>
        <v>0</v>
      </c>
      <c r="AA140" s="71">
        <v>135</v>
      </c>
      <c r="AB140" s="33">
        <f t="shared" si="84"/>
        <v>0</v>
      </c>
      <c r="AC140" s="305">
        <f t="shared" si="85"/>
        <v>0</v>
      </c>
      <c r="AD140" s="100">
        <f t="shared" si="86"/>
        <v>0</v>
      </c>
      <c r="AE140" s="100">
        <f t="shared" si="87"/>
        <v>0</v>
      </c>
      <c r="AF140" s="194">
        <f t="shared" si="70"/>
        <v>0</v>
      </c>
      <c r="AG140" s="194">
        <f t="shared" si="71"/>
        <v>0</v>
      </c>
      <c r="AH140" s="194">
        <f t="shared" si="72"/>
        <v>0</v>
      </c>
      <c r="AI140" s="199">
        <f t="shared" si="73"/>
        <v>0</v>
      </c>
      <c r="AK140" s="71">
        <v>135</v>
      </c>
      <c r="AL140" s="33">
        <f t="shared" si="88"/>
        <v>0</v>
      </c>
      <c r="AM140" s="33">
        <f t="shared" si="89"/>
        <v>0</v>
      </c>
      <c r="AN140" s="33">
        <f t="shared" si="90"/>
        <v>0</v>
      </c>
      <c r="AO140" s="33">
        <f t="shared" si="91"/>
        <v>0</v>
      </c>
      <c r="AP140" s="33">
        <f t="shared" si="92"/>
        <v>0</v>
      </c>
      <c r="AQ140" s="194">
        <f t="shared" si="74"/>
        <v>0</v>
      </c>
      <c r="AR140" s="194">
        <f t="shared" si="75"/>
        <v>0</v>
      </c>
      <c r="AS140" s="194">
        <f t="shared" si="76"/>
        <v>0</v>
      </c>
      <c r="AT140" s="194">
        <f t="shared" si="77"/>
        <v>0</v>
      </c>
      <c r="AU140" s="33"/>
      <c r="AV140" s="33"/>
      <c r="AW140" s="33"/>
      <c r="AX140" s="33"/>
      <c r="AY140" s="76"/>
    </row>
    <row r="141" spans="3:51">
      <c r="C141" s="166" t="s">
        <v>16</v>
      </c>
      <c r="D141" s="4">
        <v>0.7</v>
      </c>
      <c r="E141" s="188" t="s">
        <v>227</v>
      </c>
      <c r="F141" s="343">
        <f>IF(OR(Tableau145[[#This Row],[Type]]="Feuillus",Tableau145[[#This Row],[Type]]="Peupliers"),1.56,1.3)</f>
        <v>1.56</v>
      </c>
      <c r="I141" s="55">
        <v>136</v>
      </c>
      <c r="J141" s="33">
        <f t="shared" si="95"/>
        <v>0</v>
      </c>
      <c r="K141" s="33">
        <f t="shared" si="96"/>
        <v>0</v>
      </c>
      <c r="L141" s="33">
        <f t="shared" si="97"/>
        <v>0</v>
      </c>
      <c r="M141" s="33">
        <f t="shared" si="98"/>
        <v>0</v>
      </c>
      <c r="N141" s="33">
        <f t="shared" si="78"/>
        <v>0</v>
      </c>
      <c r="O141" s="34">
        <f t="shared" si="79"/>
        <v>0</v>
      </c>
      <c r="P141" s="55">
        <v>136</v>
      </c>
      <c r="Q141" s="33">
        <f t="shared" si="93"/>
        <v>0</v>
      </c>
      <c r="R141" s="33">
        <f t="shared" si="99"/>
        <v>0</v>
      </c>
      <c r="S141" s="33">
        <f t="shared" si="100"/>
        <v>0</v>
      </c>
      <c r="T141" s="33">
        <f t="shared" si="80"/>
        <v>0</v>
      </c>
      <c r="U141" s="33">
        <f t="shared" si="94"/>
        <v>0</v>
      </c>
      <c r="V141" s="33">
        <f t="shared" si="81"/>
        <v>0</v>
      </c>
      <c r="W141" s="33">
        <v>0</v>
      </c>
      <c r="X141" s="33">
        <f t="shared" si="82"/>
        <v>0</v>
      </c>
      <c r="Y141" s="38">
        <f t="shared" si="83"/>
        <v>0</v>
      </c>
      <c r="AA141" s="71">
        <v>136</v>
      </c>
      <c r="AB141" s="33">
        <f t="shared" si="84"/>
        <v>0</v>
      </c>
      <c r="AC141" s="305">
        <f t="shared" si="85"/>
        <v>0</v>
      </c>
      <c r="AD141" s="100">
        <f t="shared" si="86"/>
        <v>0</v>
      </c>
      <c r="AE141" s="100">
        <f t="shared" si="87"/>
        <v>0</v>
      </c>
      <c r="AF141" s="194">
        <f t="shared" si="70"/>
        <v>0</v>
      </c>
      <c r="AG141" s="194">
        <f t="shared" si="71"/>
        <v>0</v>
      </c>
      <c r="AH141" s="194">
        <f t="shared" si="72"/>
        <v>0</v>
      </c>
      <c r="AI141" s="199">
        <f t="shared" si="73"/>
        <v>0</v>
      </c>
      <c r="AK141" s="71">
        <v>136</v>
      </c>
      <c r="AL141" s="33">
        <f t="shared" si="88"/>
        <v>0</v>
      </c>
      <c r="AM141" s="33">
        <f t="shared" si="89"/>
        <v>0</v>
      </c>
      <c r="AN141" s="33">
        <f t="shared" si="90"/>
        <v>0</v>
      </c>
      <c r="AO141" s="33">
        <f t="shared" si="91"/>
        <v>0</v>
      </c>
      <c r="AP141" s="33">
        <f t="shared" si="92"/>
        <v>0</v>
      </c>
      <c r="AQ141" s="194">
        <f t="shared" si="74"/>
        <v>0</v>
      </c>
      <c r="AR141" s="194">
        <f t="shared" si="75"/>
        <v>0</v>
      </c>
      <c r="AS141" s="194">
        <f t="shared" si="76"/>
        <v>0</v>
      </c>
      <c r="AT141" s="194">
        <f t="shared" si="77"/>
        <v>0</v>
      </c>
      <c r="AU141" s="33"/>
      <c r="AV141" s="33"/>
      <c r="AW141" s="33"/>
      <c r="AX141" s="33"/>
      <c r="AY141" s="76"/>
    </row>
    <row r="142" spans="3:51">
      <c r="C142" s="166" t="s">
        <v>17</v>
      </c>
      <c r="D142" s="4">
        <v>0.54</v>
      </c>
      <c r="E142" s="188" t="s">
        <v>227</v>
      </c>
      <c r="F142" s="343">
        <f>IF(OR(Tableau145[[#This Row],[Type]]="Feuillus",Tableau145[[#This Row],[Type]]="Peupliers"),1.56,1.3)</f>
        <v>1.56</v>
      </c>
      <c r="I142" s="55">
        <v>137</v>
      </c>
      <c r="J142" s="33">
        <f t="shared" si="95"/>
        <v>0</v>
      </c>
      <c r="K142" s="33">
        <f t="shared" si="96"/>
        <v>0</v>
      </c>
      <c r="L142" s="33">
        <f t="shared" si="97"/>
        <v>0</v>
      </c>
      <c r="M142" s="33">
        <f t="shared" si="98"/>
        <v>0</v>
      </c>
      <c r="N142" s="33">
        <f t="shared" si="78"/>
        <v>0</v>
      </c>
      <c r="O142" s="34">
        <f t="shared" si="79"/>
        <v>0</v>
      </c>
      <c r="P142" s="55">
        <v>137</v>
      </c>
      <c r="Q142" s="33">
        <f t="shared" si="93"/>
        <v>0</v>
      </c>
      <c r="R142" s="33">
        <f t="shared" si="99"/>
        <v>0</v>
      </c>
      <c r="S142" s="33">
        <f t="shared" si="100"/>
        <v>0</v>
      </c>
      <c r="T142" s="33">
        <f t="shared" si="80"/>
        <v>0</v>
      </c>
      <c r="U142" s="33">
        <f t="shared" si="94"/>
        <v>0</v>
      </c>
      <c r="V142" s="33">
        <f t="shared" si="81"/>
        <v>0</v>
      </c>
      <c r="W142" s="33">
        <v>0</v>
      </c>
      <c r="X142" s="33">
        <f t="shared" si="82"/>
        <v>0</v>
      </c>
      <c r="Y142" s="38">
        <f t="shared" si="83"/>
        <v>0</v>
      </c>
      <c r="AA142" s="71">
        <v>137</v>
      </c>
      <c r="AB142" s="33">
        <f t="shared" si="84"/>
        <v>0</v>
      </c>
      <c r="AC142" s="305">
        <f t="shared" si="85"/>
        <v>0</v>
      </c>
      <c r="AD142" s="100">
        <f t="shared" si="86"/>
        <v>0</v>
      </c>
      <c r="AE142" s="100">
        <f t="shared" si="87"/>
        <v>0</v>
      </c>
      <c r="AF142" s="194">
        <f t="shared" si="70"/>
        <v>0</v>
      </c>
      <c r="AG142" s="194">
        <f t="shared" si="71"/>
        <v>0</v>
      </c>
      <c r="AH142" s="194">
        <f t="shared" si="72"/>
        <v>0</v>
      </c>
      <c r="AI142" s="199">
        <f t="shared" si="73"/>
        <v>0</v>
      </c>
      <c r="AK142" s="71">
        <v>137</v>
      </c>
      <c r="AL142" s="33">
        <f t="shared" si="88"/>
        <v>0</v>
      </c>
      <c r="AM142" s="33">
        <f t="shared" si="89"/>
        <v>0</v>
      </c>
      <c r="AN142" s="33">
        <f t="shared" si="90"/>
        <v>0</v>
      </c>
      <c r="AO142" s="33">
        <f t="shared" si="91"/>
        <v>0</v>
      </c>
      <c r="AP142" s="33">
        <f t="shared" si="92"/>
        <v>0</v>
      </c>
      <c r="AQ142" s="194">
        <f t="shared" si="74"/>
        <v>0</v>
      </c>
      <c r="AR142" s="194">
        <f t="shared" si="75"/>
        <v>0</v>
      </c>
      <c r="AS142" s="194">
        <f t="shared" si="76"/>
        <v>0</v>
      </c>
      <c r="AT142" s="194">
        <f t="shared" si="77"/>
        <v>0</v>
      </c>
      <c r="AU142" s="33"/>
      <c r="AV142" s="33"/>
      <c r="AW142" s="33"/>
      <c r="AX142" s="33"/>
      <c r="AY142" s="76"/>
    </row>
    <row r="143" spans="3:51">
      <c r="C143" s="166" t="s">
        <v>18</v>
      </c>
      <c r="D143" s="4">
        <v>0.65</v>
      </c>
      <c r="E143" s="188" t="s">
        <v>227</v>
      </c>
      <c r="F143" s="343">
        <f>IF(OR(Tableau145[[#This Row],[Type]]="Feuillus",Tableau145[[#This Row],[Type]]="Peupliers"),1.56,1.3)</f>
        <v>1.56</v>
      </c>
      <c r="I143" s="55">
        <v>138</v>
      </c>
      <c r="J143" s="33">
        <f t="shared" si="95"/>
        <v>0</v>
      </c>
      <c r="K143" s="33">
        <f t="shared" si="96"/>
        <v>0</v>
      </c>
      <c r="L143" s="33">
        <f t="shared" si="97"/>
        <v>0</v>
      </c>
      <c r="M143" s="33">
        <f t="shared" si="98"/>
        <v>0</v>
      </c>
      <c r="N143" s="33">
        <f t="shared" si="78"/>
        <v>0</v>
      </c>
      <c r="O143" s="34">
        <f t="shared" si="79"/>
        <v>0</v>
      </c>
      <c r="P143" s="55">
        <v>138</v>
      </c>
      <c r="Q143" s="33">
        <f t="shared" si="93"/>
        <v>0</v>
      </c>
      <c r="R143" s="33">
        <f t="shared" si="99"/>
        <v>0</v>
      </c>
      <c r="S143" s="33">
        <f t="shared" si="100"/>
        <v>0</v>
      </c>
      <c r="T143" s="33">
        <f t="shared" si="80"/>
        <v>0</v>
      </c>
      <c r="U143" s="33">
        <f t="shared" si="94"/>
        <v>0</v>
      </c>
      <c r="V143" s="33">
        <f t="shared" si="81"/>
        <v>0</v>
      </c>
      <c r="W143" s="33">
        <v>0</v>
      </c>
      <c r="X143" s="33">
        <f t="shared" si="82"/>
        <v>0</v>
      </c>
      <c r="Y143" s="38">
        <f t="shared" si="83"/>
        <v>0</v>
      </c>
      <c r="AA143" s="71">
        <v>138</v>
      </c>
      <c r="AB143" s="33">
        <f t="shared" si="84"/>
        <v>0</v>
      </c>
      <c r="AC143" s="305">
        <f t="shared" si="85"/>
        <v>0</v>
      </c>
      <c r="AD143" s="100">
        <f t="shared" si="86"/>
        <v>0</v>
      </c>
      <c r="AE143" s="100">
        <f t="shared" si="87"/>
        <v>0</v>
      </c>
      <c r="AF143" s="194">
        <f t="shared" si="70"/>
        <v>0</v>
      </c>
      <c r="AG143" s="194">
        <f t="shared" si="71"/>
        <v>0</v>
      </c>
      <c r="AH143" s="194">
        <f t="shared" si="72"/>
        <v>0</v>
      </c>
      <c r="AI143" s="199">
        <f t="shared" si="73"/>
        <v>0</v>
      </c>
      <c r="AK143" s="71">
        <v>138</v>
      </c>
      <c r="AL143" s="33">
        <f t="shared" si="88"/>
        <v>0</v>
      </c>
      <c r="AM143" s="33">
        <f t="shared" si="89"/>
        <v>0</v>
      </c>
      <c r="AN143" s="33">
        <f t="shared" si="90"/>
        <v>0</v>
      </c>
      <c r="AO143" s="33">
        <f t="shared" si="91"/>
        <v>0</v>
      </c>
      <c r="AP143" s="33">
        <f t="shared" si="92"/>
        <v>0</v>
      </c>
      <c r="AQ143" s="194">
        <f t="shared" si="74"/>
        <v>0</v>
      </c>
      <c r="AR143" s="194">
        <f t="shared" si="75"/>
        <v>0</v>
      </c>
      <c r="AS143" s="194">
        <f t="shared" si="76"/>
        <v>0</v>
      </c>
      <c r="AT143" s="194">
        <f t="shared" si="77"/>
        <v>0</v>
      </c>
      <c r="AU143" s="33"/>
      <c r="AV143" s="33"/>
      <c r="AW143" s="33"/>
      <c r="AX143" s="33"/>
      <c r="AY143" s="76"/>
    </row>
    <row r="144" spans="3:51">
      <c r="C144" s="166" t="s">
        <v>19</v>
      </c>
      <c r="D144" s="4">
        <v>0.56000000000000005</v>
      </c>
      <c r="E144" s="188" t="s">
        <v>227</v>
      </c>
      <c r="F144" s="343">
        <f>IF(OR(Tableau145[[#This Row],[Type]]="Feuillus",Tableau145[[#This Row],[Type]]="Peupliers"),1.56,1.3)</f>
        <v>1.56</v>
      </c>
      <c r="I144" s="55">
        <v>139</v>
      </c>
      <c r="J144" s="33">
        <f t="shared" si="95"/>
        <v>0</v>
      </c>
      <c r="K144" s="33">
        <f t="shared" si="96"/>
        <v>0</v>
      </c>
      <c r="L144" s="33">
        <f t="shared" si="97"/>
        <v>0</v>
      </c>
      <c r="M144" s="33">
        <f t="shared" si="98"/>
        <v>0</v>
      </c>
      <c r="N144" s="33">
        <f t="shared" si="78"/>
        <v>0</v>
      </c>
      <c r="O144" s="34">
        <f t="shared" si="79"/>
        <v>0</v>
      </c>
      <c r="P144" s="55">
        <v>139</v>
      </c>
      <c r="Q144" s="33">
        <f t="shared" si="93"/>
        <v>0</v>
      </c>
      <c r="R144" s="33">
        <f t="shared" si="99"/>
        <v>0</v>
      </c>
      <c r="S144" s="33">
        <f t="shared" si="100"/>
        <v>0</v>
      </c>
      <c r="T144" s="33">
        <f t="shared" si="80"/>
        <v>0</v>
      </c>
      <c r="U144" s="33">
        <f t="shared" si="94"/>
        <v>0</v>
      </c>
      <c r="V144" s="33">
        <f t="shared" si="81"/>
        <v>0</v>
      </c>
      <c r="W144" s="33">
        <v>0</v>
      </c>
      <c r="X144" s="33">
        <f t="shared" si="82"/>
        <v>0</v>
      </c>
      <c r="Y144" s="38">
        <f t="shared" si="83"/>
        <v>0</v>
      </c>
      <c r="AA144" s="71">
        <v>139</v>
      </c>
      <c r="AB144" s="33">
        <f t="shared" si="84"/>
        <v>0</v>
      </c>
      <c r="AC144" s="305">
        <f t="shared" si="85"/>
        <v>0</v>
      </c>
      <c r="AD144" s="100">
        <f t="shared" si="86"/>
        <v>0</v>
      </c>
      <c r="AE144" s="100">
        <f t="shared" si="87"/>
        <v>0</v>
      </c>
      <c r="AF144" s="194">
        <f t="shared" si="70"/>
        <v>0</v>
      </c>
      <c r="AG144" s="194">
        <f t="shared" si="71"/>
        <v>0</v>
      </c>
      <c r="AH144" s="194">
        <f t="shared" si="72"/>
        <v>0</v>
      </c>
      <c r="AI144" s="199">
        <f t="shared" si="73"/>
        <v>0</v>
      </c>
      <c r="AK144" s="71">
        <v>139</v>
      </c>
      <c r="AL144" s="33">
        <f t="shared" si="88"/>
        <v>0</v>
      </c>
      <c r="AM144" s="33">
        <f t="shared" si="89"/>
        <v>0</v>
      </c>
      <c r="AN144" s="33">
        <f t="shared" si="90"/>
        <v>0</v>
      </c>
      <c r="AO144" s="33">
        <f t="shared" si="91"/>
        <v>0</v>
      </c>
      <c r="AP144" s="33">
        <f t="shared" si="92"/>
        <v>0</v>
      </c>
      <c r="AQ144" s="194">
        <f t="shared" si="74"/>
        <v>0</v>
      </c>
      <c r="AR144" s="194">
        <f t="shared" si="75"/>
        <v>0</v>
      </c>
      <c r="AS144" s="194">
        <f t="shared" si="76"/>
        <v>0</v>
      </c>
      <c r="AT144" s="194">
        <f t="shared" si="77"/>
        <v>0</v>
      </c>
      <c r="AU144" s="33"/>
      <c r="AV144" s="33"/>
      <c r="AW144" s="33"/>
      <c r="AX144" s="33"/>
      <c r="AY144" s="76"/>
    </row>
    <row r="145" spans="3:51">
      <c r="C145" s="166" t="s">
        <v>20</v>
      </c>
      <c r="D145" s="340">
        <v>0.57899999999999996</v>
      </c>
      <c r="E145" s="188" t="s">
        <v>227</v>
      </c>
      <c r="F145" s="343">
        <f>IF(OR(Tableau145[[#This Row],[Type]]="Feuillus",Tableau145[[#This Row],[Type]]="Peupliers"),1.56,1.3)</f>
        <v>1.56</v>
      </c>
      <c r="I145" s="55">
        <v>140</v>
      </c>
      <c r="J145" s="33">
        <f t="shared" si="95"/>
        <v>0</v>
      </c>
      <c r="K145" s="33">
        <f t="shared" si="96"/>
        <v>0</v>
      </c>
      <c r="L145" s="33">
        <f t="shared" si="97"/>
        <v>0</v>
      </c>
      <c r="M145" s="33">
        <f t="shared" si="98"/>
        <v>0</v>
      </c>
      <c r="N145" s="33">
        <f t="shared" si="78"/>
        <v>0</v>
      </c>
      <c r="O145" s="34">
        <f t="shared" si="79"/>
        <v>0</v>
      </c>
      <c r="P145" s="55">
        <v>140</v>
      </c>
      <c r="Q145" s="33">
        <f t="shared" si="93"/>
        <v>0</v>
      </c>
      <c r="R145" s="33">
        <f t="shared" si="99"/>
        <v>0</v>
      </c>
      <c r="S145" s="33">
        <f t="shared" si="100"/>
        <v>0</v>
      </c>
      <c r="T145" s="33">
        <f t="shared" si="80"/>
        <v>0</v>
      </c>
      <c r="U145" s="33">
        <f t="shared" si="94"/>
        <v>0</v>
      </c>
      <c r="V145" s="33">
        <f t="shared" si="81"/>
        <v>0</v>
      </c>
      <c r="W145" s="33">
        <v>0</v>
      </c>
      <c r="X145" s="33">
        <f t="shared" si="82"/>
        <v>0</v>
      </c>
      <c r="Y145" s="38">
        <f t="shared" si="83"/>
        <v>0</v>
      </c>
      <c r="AA145" s="71">
        <v>140</v>
      </c>
      <c r="AB145" s="33">
        <f t="shared" si="84"/>
        <v>0</v>
      </c>
      <c r="AC145" s="305">
        <f t="shared" si="85"/>
        <v>0</v>
      </c>
      <c r="AD145" s="100">
        <f t="shared" si="86"/>
        <v>0</v>
      </c>
      <c r="AE145" s="100">
        <f t="shared" si="87"/>
        <v>0</v>
      </c>
      <c r="AF145" s="194">
        <f t="shared" si="70"/>
        <v>0</v>
      </c>
      <c r="AG145" s="194">
        <f t="shared" si="71"/>
        <v>0</v>
      </c>
      <c r="AH145" s="194">
        <f t="shared" si="72"/>
        <v>0</v>
      </c>
      <c r="AI145" s="199">
        <f t="shared" si="73"/>
        <v>0</v>
      </c>
      <c r="AK145" s="71">
        <v>140</v>
      </c>
      <c r="AL145" s="33">
        <f t="shared" si="88"/>
        <v>0</v>
      </c>
      <c r="AM145" s="33">
        <f t="shared" si="89"/>
        <v>0</v>
      </c>
      <c r="AN145" s="33">
        <f t="shared" si="90"/>
        <v>0</v>
      </c>
      <c r="AO145" s="33">
        <f t="shared" si="91"/>
        <v>0</v>
      </c>
      <c r="AP145" s="33">
        <f t="shared" si="92"/>
        <v>0</v>
      </c>
      <c r="AQ145" s="194">
        <f t="shared" si="74"/>
        <v>0</v>
      </c>
      <c r="AR145" s="194">
        <f t="shared" si="75"/>
        <v>0</v>
      </c>
      <c r="AS145" s="194">
        <f t="shared" si="76"/>
        <v>0</v>
      </c>
      <c r="AT145" s="194">
        <f t="shared" si="77"/>
        <v>0</v>
      </c>
      <c r="AU145" s="33"/>
      <c r="AV145" s="33"/>
      <c r="AW145" s="33"/>
      <c r="AX145" s="33"/>
      <c r="AY145" s="76"/>
    </row>
    <row r="146" spans="3:51">
      <c r="C146" s="166" t="s">
        <v>21</v>
      </c>
      <c r="D146" s="4">
        <v>0.64</v>
      </c>
      <c r="E146" s="188" t="s">
        <v>227</v>
      </c>
      <c r="F146" s="343">
        <f>IF(OR(Tableau145[[#This Row],[Type]]="Feuillus",Tableau145[[#This Row],[Type]]="Peupliers"),1.56,1.3)</f>
        <v>1.56</v>
      </c>
      <c r="I146" s="55">
        <v>141</v>
      </c>
      <c r="J146" s="33">
        <f t="shared" si="95"/>
        <v>0</v>
      </c>
      <c r="K146" s="33">
        <f t="shared" si="96"/>
        <v>0</v>
      </c>
      <c r="L146" s="33">
        <f t="shared" si="97"/>
        <v>0</v>
      </c>
      <c r="M146" s="33">
        <f t="shared" si="98"/>
        <v>0</v>
      </c>
      <c r="N146" s="33">
        <f t="shared" si="78"/>
        <v>0</v>
      </c>
      <c r="O146" s="34">
        <f t="shared" si="79"/>
        <v>0</v>
      </c>
      <c r="P146" s="55">
        <v>141</v>
      </c>
      <c r="Q146" s="33">
        <f t="shared" si="93"/>
        <v>0</v>
      </c>
      <c r="R146" s="33">
        <f t="shared" si="99"/>
        <v>0</v>
      </c>
      <c r="S146" s="33">
        <f t="shared" si="100"/>
        <v>0</v>
      </c>
      <c r="T146" s="33">
        <f t="shared" si="80"/>
        <v>0</v>
      </c>
      <c r="U146" s="33">
        <f t="shared" si="94"/>
        <v>0</v>
      </c>
      <c r="V146" s="33">
        <f t="shared" si="81"/>
        <v>0</v>
      </c>
      <c r="W146" s="33">
        <v>0</v>
      </c>
      <c r="X146" s="33">
        <f t="shared" si="82"/>
        <v>0</v>
      </c>
      <c r="Y146" s="38">
        <f t="shared" si="83"/>
        <v>0</v>
      </c>
      <c r="AA146" s="71">
        <v>141</v>
      </c>
      <c r="AB146" s="33">
        <f t="shared" si="84"/>
        <v>0</v>
      </c>
      <c r="AC146" s="305">
        <f t="shared" si="85"/>
        <v>0</v>
      </c>
      <c r="AD146" s="100">
        <f t="shared" si="86"/>
        <v>0</v>
      </c>
      <c r="AE146" s="100">
        <f t="shared" si="87"/>
        <v>0</v>
      </c>
      <c r="AF146" s="194">
        <f t="shared" si="70"/>
        <v>0</v>
      </c>
      <c r="AG146" s="194">
        <f t="shared" si="71"/>
        <v>0</v>
      </c>
      <c r="AH146" s="194">
        <f t="shared" si="72"/>
        <v>0</v>
      </c>
      <c r="AI146" s="199">
        <f t="shared" si="73"/>
        <v>0</v>
      </c>
      <c r="AK146" s="71">
        <v>141</v>
      </c>
      <c r="AL146" s="33">
        <f t="shared" si="88"/>
        <v>0</v>
      </c>
      <c r="AM146" s="33">
        <f t="shared" si="89"/>
        <v>0</v>
      </c>
      <c r="AN146" s="33">
        <f t="shared" si="90"/>
        <v>0</v>
      </c>
      <c r="AO146" s="33">
        <f t="shared" si="91"/>
        <v>0</v>
      </c>
      <c r="AP146" s="33">
        <f t="shared" si="92"/>
        <v>0</v>
      </c>
      <c r="AQ146" s="194">
        <f t="shared" si="74"/>
        <v>0</v>
      </c>
      <c r="AR146" s="194">
        <f t="shared" si="75"/>
        <v>0</v>
      </c>
      <c r="AS146" s="194">
        <f t="shared" si="76"/>
        <v>0</v>
      </c>
      <c r="AT146" s="194">
        <f t="shared" si="77"/>
        <v>0</v>
      </c>
      <c r="AU146" s="33"/>
      <c r="AV146" s="33"/>
      <c r="AW146" s="33"/>
      <c r="AX146" s="33"/>
      <c r="AY146" s="76"/>
    </row>
    <row r="147" spans="3:51">
      <c r="C147" s="166" t="s">
        <v>22</v>
      </c>
      <c r="D147" s="4">
        <v>0.73</v>
      </c>
      <c r="E147" s="188" t="s">
        <v>227</v>
      </c>
      <c r="F147" s="343">
        <f>IF(OR(Tableau145[[#This Row],[Type]]="Feuillus",Tableau145[[#This Row],[Type]]="Peupliers"),1.56,1.3)</f>
        <v>1.56</v>
      </c>
      <c r="I147" s="55">
        <v>142</v>
      </c>
      <c r="J147" s="33">
        <f t="shared" si="95"/>
        <v>0</v>
      </c>
      <c r="K147" s="33">
        <f t="shared" si="96"/>
        <v>0</v>
      </c>
      <c r="L147" s="33">
        <f t="shared" si="97"/>
        <v>0</v>
      </c>
      <c r="M147" s="33">
        <f t="shared" si="98"/>
        <v>0</v>
      </c>
      <c r="N147" s="33">
        <f t="shared" si="78"/>
        <v>0</v>
      </c>
      <c r="O147" s="34">
        <f t="shared" si="79"/>
        <v>0</v>
      </c>
      <c r="P147" s="55">
        <v>142</v>
      </c>
      <c r="Q147" s="33">
        <f t="shared" si="93"/>
        <v>0</v>
      </c>
      <c r="R147" s="33">
        <f t="shared" si="99"/>
        <v>0</v>
      </c>
      <c r="S147" s="33">
        <f t="shared" si="100"/>
        <v>0</v>
      </c>
      <c r="T147" s="33">
        <f t="shared" si="80"/>
        <v>0</v>
      </c>
      <c r="U147" s="33">
        <f t="shared" si="94"/>
        <v>0</v>
      </c>
      <c r="V147" s="33">
        <f t="shared" si="81"/>
        <v>0</v>
      </c>
      <c r="W147" s="33">
        <v>0</v>
      </c>
      <c r="X147" s="33">
        <f t="shared" si="82"/>
        <v>0</v>
      </c>
      <c r="Y147" s="38">
        <f t="shared" si="83"/>
        <v>0</v>
      </c>
      <c r="AA147" s="71">
        <v>142</v>
      </c>
      <c r="AB147" s="33">
        <f t="shared" si="84"/>
        <v>0</v>
      </c>
      <c r="AC147" s="305">
        <f t="shared" si="85"/>
        <v>0</v>
      </c>
      <c r="AD147" s="100">
        <f t="shared" si="86"/>
        <v>0</v>
      </c>
      <c r="AE147" s="100">
        <f t="shared" si="87"/>
        <v>0</v>
      </c>
      <c r="AF147" s="194">
        <f t="shared" si="70"/>
        <v>0</v>
      </c>
      <c r="AG147" s="194">
        <f t="shared" si="71"/>
        <v>0</v>
      </c>
      <c r="AH147" s="194">
        <f t="shared" si="72"/>
        <v>0</v>
      </c>
      <c r="AI147" s="199">
        <f t="shared" si="73"/>
        <v>0</v>
      </c>
      <c r="AK147" s="71">
        <v>142</v>
      </c>
      <c r="AL147" s="33">
        <f t="shared" si="88"/>
        <v>0</v>
      </c>
      <c r="AM147" s="33">
        <f t="shared" si="89"/>
        <v>0</v>
      </c>
      <c r="AN147" s="33">
        <f t="shared" si="90"/>
        <v>0</v>
      </c>
      <c r="AO147" s="33">
        <f t="shared" si="91"/>
        <v>0</v>
      </c>
      <c r="AP147" s="33">
        <f t="shared" si="92"/>
        <v>0</v>
      </c>
      <c r="AQ147" s="194">
        <f t="shared" si="74"/>
        <v>0</v>
      </c>
      <c r="AR147" s="194">
        <f t="shared" si="75"/>
        <v>0</v>
      </c>
      <c r="AS147" s="194">
        <f t="shared" si="76"/>
        <v>0</v>
      </c>
      <c r="AT147" s="194">
        <f t="shared" si="77"/>
        <v>0</v>
      </c>
      <c r="AU147" s="33"/>
      <c r="AV147" s="33"/>
      <c r="AW147" s="33"/>
      <c r="AX147" s="33"/>
      <c r="AY147" s="76"/>
    </row>
    <row r="148" spans="3:51">
      <c r="C148" s="166" t="s">
        <v>23</v>
      </c>
      <c r="D148" s="4">
        <v>0.56000000000000005</v>
      </c>
      <c r="E148" s="188" t="s">
        <v>227</v>
      </c>
      <c r="F148" s="343">
        <f>IF(OR(Tableau145[[#This Row],[Type]]="Feuillus",Tableau145[[#This Row],[Type]]="Peupliers"),1.56,1.3)</f>
        <v>1.56</v>
      </c>
      <c r="I148" s="55">
        <v>143</v>
      </c>
      <c r="J148" s="33">
        <f t="shared" si="95"/>
        <v>0</v>
      </c>
      <c r="K148" s="33">
        <f t="shared" si="96"/>
        <v>0</v>
      </c>
      <c r="L148" s="33">
        <f t="shared" si="97"/>
        <v>0</v>
      </c>
      <c r="M148" s="33">
        <f t="shared" si="98"/>
        <v>0</v>
      </c>
      <c r="N148" s="33">
        <f t="shared" si="78"/>
        <v>0</v>
      </c>
      <c r="O148" s="34">
        <f t="shared" si="79"/>
        <v>0</v>
      </c>
      <c r="P148" s="55">
        <v>143</v>
      </c>
      <c r="Q148" s="33">
        <f t="shared" si="93"/>
        <v>0</v>
      </c>
      <c r="R148" s="33">
        <f t="shared" si="99"/>
        <v>0</v>
      </c>
      <c r="S148" s="33">
        <f t="shared" si="100"/>
        <v>0</v>
      </c>
      <c r="T148" s="33">
        <f t="shared" si="80"/>
        <v>0</v>
      </c>
      <c r="U148" s="33">
        <f t="shared" si="94"/>
        <v>0</v>
      </c>
      <c r="V148" s="33">
        <f t="shared" si="81"/>
        <v>0</v>
      </c>
      <c r="W148" s="33">
        <v>0</v>
      </c>
      <c r="X148" s="33">
        <f t="shared" si="82"/>
        <v>0</v>
      </c>
      <c r="Y148" s="38">
        <f t="shared" si="83"/>
        <v>0</v>
      </c>
      <c r="AA148" s="71">
        <v>143</v>
      </c>
      <c r="AB148" s="33">
        <f t="shared" si="84"/>
        <v>0</v>
      </c>
      <c r="AC148" s="305">
        <f t="shared" si="85"/>
        <v>0</v>
      </c>
      <c r="AD148" s="100">
        <f t="shared" si="86"/>
        <v>0</v>
      </c>
      <c r="AE148" s="100">
        <f t="shared" si="87"/>
        <v>0</v>
      </c>
      <c r="AF148" s="194">
        <f t="shared" si="70"/>
        <v>0</v>
      </c>
      <c r="AG148" s="194">
        <f t="shared" si="71"/>
        <v>0</v>
      </c>
      <c r="AH148" s="194">
        <f t="shared" si="72"/>
        <v>0</v>
      </c>
      <c r="AI148" s="199">
        <f t="shared" si="73"/>
        <v>0</v>
      </c>
      <c r="AK148" s="71">
        <v>143</v>
      </c>
      <c r="AL148" s="33">
        <f t="shared" si="88"/>
        <v>0</v>
      </c>
      <c r="AM148" s="33">
        <f t="shared" si="89"/>
        <v>0</v>
      </c>
      <c r="AN148" s="33">
        <f t="shared" si="90"/>
        <v>0</v>
      </c>
      <c r="AO148" s="33">
        <f t="shared" si="91"/>
        <v>0</v>
      </c>
      <c r="AP148" s="33">
        <f t="shared" si="92"/>
        <v>0</v>
      </c>
      <c r="AQ148" s="194">
        <f t="shared" si="74"/>
        <v>0</v>
      </c>
      <c r="AR148" s="194">
        <f t="shared" si="75"/>
        <v>0</v>
      </c>
      <c r="AS148" s="194">
        <f t="shared" si="76"/>
        <v>0</v>
      </c>
      <c r="AT148" s="194">
        <f t="shared" si="77"/>
        <v>0</v>
      </c>
      <c r="AU148" s="33"/>
      <c r="AV148" s="33"/>
      <c r="AW148" s="33"/>
      <c r="AX148" s="33"/>
      <c r="AY148" s="76"/>
    </row>
    <row r="149" spans="3:51">
      <c r="C149" s="166" t="s">
        <v>24</v>
      </c>
      <c r="D149" s="4">
        <v>0.74</v>
      </c>
      <c r="E149" s="188" t="s">
        <v>227</v>
      </c>
      <c r="F149" s="343">
        <f>IF(OR(Tableau145[[#This Row],[Type]]="Feuillus",Tableau145[[#This Row],[Type]]="Peupliers"),1.56,1.3)</f>
        <v>1.56</v>
      </c>
      <c r="I149" s="55">
        <v>144</v>
      </c>
      <c r="J149" s="33">
        <f t="shared" si="95"/>
        <v>0</v>
      </c>
      <c r="K149" s="33">
        <f t="shared" si="96"/>
        <v>0</v>
      </c>
      <c r="L149" s="33">
        <f t="shared" si="97"/>
        <v>0</v>
      </c>
      <c r="M149" s="33">
        <f t="shared" si="98"/>
        <v>0</v>
      </c>
      <c r="N149" s="33">
        <f t="shared" si="78"/>
        <v>0</v>
      </c>
      <c r="O149" s="34">
        <f t="shared" si="79"/>
        <v>0</v>
      </c>
      <c r="P149" s="55">
        <v>144</v>
      </c>
      <c r="Q149" s="33">
        <f t="shared" si="93"/>
        <v>0</v>
      </c>
      <c r="R149" s="33">
        <f t="shared" si="99"/>
        <v>0</v>
      </c>
      <c r="S149" s="33">
        <f t="shared" si="100"/>
        <v>0</v>
      </c>
      <c r="T149" s="33">
        <f t="shared" si="80"/>
        <v>0</v>
      </c>
      <c r="U149" s="33">
        <f t="shared" si="94"/>
        <v>0</v>
      </c>
      <c r="V149" s="33">
        <f t="shared" si="81"/>
        <v>0</v>
      </c>
      <c r="W149" s="33">
        <v>0</v>
      </c>
      <c r="X149" s="33">
        <f t="shared" si="82"/>
        <v>0</v>
      </c>
      <c r="Y149" s="38">
        <f t="shared" si="83"/>
        <v>0</v>
      </c>
      <c r="AA149" s="71">
        <v>144</v>
      </c>
      <c r="AB149" s="33">
        <f t="shared" si="84"/>
        <v>0</v>
      </c>
      <c r="AC149" s="305">
        <f t="shared" si="85"/>
        <v>0</v>
      </c>
      <c r="AD149" s="100">
        <f t="shared" si="86"/>
        <v>0</v>
      </c>
      <c r="AE149" s="100">
        <f t="shared" si="87"/>
        <v>0</v>
      </c>
      <c r="AF149" s="194">
        <f t="shared" si="70"/>
        <v>0</v>
      </c>
      <c r="AG149" s="194">
        <f t="shared" si="71"/>
        <v>0</v>
      </c>
      <c r="AH149" s="194">
        <f t="shared" si="72"/>
        <v>0</v>
      </c>
      <c r="AI149" s="199">
        <f t="shared" si="73"/>
        <v>0</v>
      </c>
      <c r="AK149" s="71">
        <v>144</v>
      </c>
      <c r="AL149" s="33">
        <f t="shared" si="88"/>
        <v>0</v>
      </c>
      <c r="AM149" s="33">
        <f t="shared" si="89"/>
        <v>0</v>
      </c>
      <c r="AN149" s="33">
        <f t="shared" si="90"/>
        <v>0</v>
      </c>
      <c r="AO149" s="33">
        <f t="shared" si="91"/>
        <v>0</v>
      </c>
      <c r="AP149" s="33">
        <f t="shared" si="92"/>
        <v>0</v>
      </c>
      <c r="AQ149" s="194">
        <f t="shared" si="74"/>
        <v>0</v>
      </c>
      <c r="AR149" s="194">
        <f t="shared" si="75"/>
        <v>0</v>
      </c>
      <c r="AS149" s="194">
        <f t="shared" si="76"/>
        <v>0</v>
      </c>
      <c r="AT149" s="194">
        <f t="shared" si="77"/>
        <v>0</v>
      </c>
      <c r="AU149" s="33"/>
      <c r="AV149" s="33"/>
      <c r="AW149" s="33"/>
      <c r="AX149" s="33"/>
      <c r="AY149" s="76"/>
    </row>
    <row r="150" spans="3:51">
      <c r="C150" s="166" t="s">
        <v>25</v>
      </c>
      <c r="D150" s="4">
        <v>0.4</v>
      </c>
      <c r="E150" s="188" t="s">
        <v>228</v>
      </c>
      <c r="F150" s="343">
        <f>IF(OR(Tableau145[[#This Row],[Type]]="Feuillus",Tableau145[[#This Row],[Type]]="Peupliers"),1.56,1.3)</f>
        <v>1.3</v>
      </c>
      <c r="I150" s="55">
        <v>145</v>
      </c>
      <c r="J150" s="33">
        <f t="shared" si="95"/>
        <v>0</v>
      </c>
      <c r="K150" s="33">
        <f t="shared" si="96"/>
        <v>0</v>
      </c>
      <c r="L150" s="33">
        <f t="shared" si="97"/>
        <v>0</v>
      </c>
      <c r="M150" s="33">
        <f t="shared" si="98"/>
        <v>0</v>
      </c>
      <c r="N150" s="33">
        <f t="shared" si="78"/>
        <v>0</v>
      </c>
      <c r="O150" s="34">
        <f t="shared" si="79"/>
        <v>0</v>
      </c>
      <c r="P150" s="55">
        <v>145</v>
      </c>
      <c r="Q150" s="33">
        <f t="shared" si="93"/>
        <v>0</v>
      </c>
      <c r="R150" s="33">
        <f t="shared" si="99"/>
        <v>0</v>
      </c>
      <c r="S150" s="33">
        <f t="shared" si="100"/>
        <v>0</v>
      </c>
      <c r="T150" s="33">
        <f t="shared" si="80"/>
        <v>0</v>
      </c>
      <c r="U150" s="33">
        <f t="shared" si="94"/>
        <v>0</v>
      </c>
      <c r="V150" s="33">
        <f t="shared" si="81"/>
        <v>0</v>
      </c>
      <c r="W150" s="33">
        <v>0</v>
      </c>
      <c r="X150" s="33">
        <f t="shared" si="82"/>
        <v>0</v>
      </c>
      <c r="Y150" s="38">
        <f t="shared" si="83"/>
        <v>0</v>
      </c>
      <c r="AA150" s="71">
        <v>145</v>
      </c>
      <c r="AB150" s="33">
        <f t="shared" si="84"/>
        <v>0</v>
      </c>
      <c r="AC150" s="305">
        <f t="shared" si="85"/>
        <v>0</v>
      </c>
      <c r="AD150" s="100">
        <f t="shared" si="86"/>
        <v>0</v>
      </c>
      <c r="AE150" s="100">
        <f t="shared" si="87"/>
        <v>0</v>
      </c>
      <c r="AF150" s="194">
        <f t="shared" si="70"/>
        <v>0</v>
      </c>
      <c r="AG150" s="194">
        <f t="shared" si="71"/>
        <v>0</v>
      </c>
      <c r="AH150" s="194">
        <f t="shared" si="72"/>
        <v>0</v>
      </c>
      <c r="AI150" s="199">
        <f t="shared" si="73"/>
        <v>0</v>
      </c>
      <c r="AK150" s="71">
        <v>145</v>
      </c>
      <c r="AL150" s="33">
        <f t="shared" si="88"/>
        <v>0</v>
      </c>
      <c r="AM150" s="33">
        <f t="shared" si="89"/>
        <v>0</v>
      </c>
      <c r="AN150" s="33">
        <f t="shared" si="90"/>
        <v>0</v>
      </c>
      <c r="AO150" s="33">
        <f t="shared" si="91"/>
        <v>0</v>
      </c>
      <c r="AP150" s="33">
        <f t="shared" si="92"/>
        <v>0</v>
      </c>
      <c r="AQ150" s="194">
        <f t="shared" si="74"/>
        <v>0</v>
      </c>
      <c r="AR150" s="194">
        <f t="shared" si="75"/>
        <v>0</v>
      </c>
      <c r="AS150" s="194">
        <f t="shared" si="76"/>
        <v>0</v>
      </c>
      <c r="AT150" s="194">
        <f t="shared" si="77"/>
        <v>0</v>
      </c>
      <c r="AU150" s="33"/>
      <c r="AV150" s="33"/>
      <c r="AW150" s="33"/>
      <c r="AX150" s="33"/>
      <c r="AY150" s="76"/>
    </row>
    <row r="151" spans="3:51">
      <c r="C151" s="166" t="s">
        <v>26</v>
      </c>
      <c r="D151" s="4">
        <v>0.6</v>
      </c>
      <c r="E151" s="188" t="s">
        <v>227</v>
      </c>
      <c r="F151" s="343">
        <f>IF(OR(Tableau145[[#This Row],[Type]]="Feuillus",Tableau145[[#This Row],[Type]]="Peupliers"),1.56,1.3)</f>
        <v>1.56</v>
      </c>
      <c r="I151" s="55">
        <v>146</v>
      </c>
      <c r="J151" s="33">
        <f t="shared" si="95"/>
        <v>0</v>
      </c>
      <c r="K151" s="33">
        <f t="shared" si="96"/>
        <v>0</v>
      </c>
      <c r="L151" s="33">
        <f t="shared" si="97"/>
        <v>0</v>
      </c>
      <c r="M151" s="33">
        <f t="shared" si="98"/>
        <v>0</v>
      </c>
      <c r="N151" s="33">
        <f t="shared" si="78"/>
        <v>0</v>
      </c>
      <c r="O151" s="34">
        <f t="shared" si="79"/>
        <v>0</v>
      </c>
      <c r="P151" s="55">
        <v>146</v>
      </c>
      <c r="Q151" s="33">
        <f t="shared" si="93"/>
        <v>0</v>
      </c>
      <c r="R151" s="33">
        <f t="shared" si="99"/>
        <v>0</v>
      </c>
      <c r="S151" s="33">
        <f t="shared" si="100"/>
        <v>0</v>
      </c>
      <c r="T151" s="33">
        <f t="shared" si="80"/>
        <v>0</v>
      </c>
      <c r="U151" s="33">
        <f t="shared" si="94"/>
        <v>0</v>
      </c>
      <c r="V151" s="33">
        <f t="shared" si="81"/>
        <v>0</v>
      </c>
      <c r="W151" s="33">
        <v>0</v>
      </c>
      <c r="X151" s="33">
        <f t="shared" si="82"/>
        <v>0</v>
      </c>
      <c r="Y151" s="38">
        <f t="shared" si="83"/>
        <v>0</v>
      </c>
      <c r="AA151" s="71">
        <v>146</v>
      </c>
      <c r="AB151" s="33">
        <f t="shared" si="84"/>
        <v>0</v>
      </c>
      <c r="AC151" s="305">
        <f t="shared" si="85"/>
        <v>0</v>
      </c>
      <c r="AD151" s="100">
        <f t="shared" si="86"/>
        <v>0</v>
      </c>
      <c r="AE151" s="100">
        <f t="shared" si="87"/>
        <v>0</v>
      </c>
      <c r="AF151" s="194">
        <f t="shared" si="70"/>
        <v>0</v>
      </c>
      <c r="AG151" s="194">
        <f t="shared" si="71"/>
        <v>0</v>
      </c>
      <c r="AH151" s="194">
        <f t="shared" si="72"/>
        <v>0</v>
      </c>
      <c r="AI151" s="199">
        <f t="shared" si="73"/>
        <v>0</v>
      </c>
      <c r="AK151" s="71">
        <v>146</v>
      </c>
      <c r="AL151" s="33">
        <f t="shared" si="88"/>
        <v>0</v>
      </c>
      <c r="AM151" s="33">
        <f t="shared" si="89"/>
        <v>0</v>
      </c>
      <c r="AN151" s="33">
        <f t="shared" si="90"/>
        <v>0</v>
      </c>
      <c r="AO151" s="33">
        <f t="shared" si="91"/>
        <v>0</v>
      </c>
      <c r="AP151" s="33">
        <f t="shared" si="92"/>
        <v>0</v>
      </c>
      <c r="AQ151" s="194">
        <f t="shared" si="74"/>
        <v>0</v>
      </c>
      <c r="AR151" s="194">
        <f t="shared" si="75"/>
        <v>0</v>
      </c>
      <c r="AS151" s="194">
        <f t="shared" si="76"/>
        <v>0</v>
      </c>
      <c r="AT151" s="194">
        <f t="shared" si="77"/>
        <v>0</v>
      </c>
      <c r="AU151" s="33"/>
      <c r="AV151" s="33"/>
      <c r="AW151" s="33"/>
      <c r="AX151" s="33"/>
      <c r="AY151" s="76"/>
    </row>
    <row r="152" spans="3:51">
      <c r="C152" s="166" t="s">
        <v>27</v>
      </c>
      <c r="D152" s="4">
        <v>0.43</v>
      </c>
      <c r="E152" s="188" t="s">
        <v>228</v>
      </c>
      <c r="F152" s="343">
        <f>IF(OR(Tableau145[[#This Row],[Type]]="Feuillus",Tableau145[[#This Row],[Type]]="Peupliers"),1.56,1.3)</f>
        <v>1.3</v>
      </c>
      <c r="I152" s="55">
        <v>147</v>
      </c>
      <c r="J152" s="33">
        <f t="shared" si="95"/>
        <v>0</v>
      </c>
      <c r="K152" s="33">
        <f t="shared" si="96"/>
        <v>0</v>
      </c>
      <c r="L152" s="33">
        <f t="shared" si="97"/>
        <v>0</v>
      </c>
      <c r="M152" s="33">
        <f t="shared" si="98"/>
        <v>0</v>
      </c>
      <c r="N152" s="33">
        <f t="shared" si="78"/>
        <v>0</v>
      </c>
      <c r="O152" s="34">
        <f t="shared" si="79"/>
        <v>0</v>
      </c>
      <c r="P152" s="55">
        <v>147</v>
      </c>
      <c r="Q152" s="33">
        <f t="shared" si="93"/>
        <v>0</v>
      </c>
      <c r="R152" s="33">
        <f t="shared" si="99"/>
        <v>0</v>
      </c>
      <c r="S152" s="33">
        <f t="shared" si="100"/>
        <v>0</v>
      </c>
      <c r="T152" s="33">
        <f t="shared" si="80"/>
        <v>0</v>
      </c>
      <c r="U152" s="33">
        <f t="shared" si="94"/>
        <v>0</v>
      </c>
      <c r="V152" s="33">
        <f t="shared" si="81"/>
        <v>0</v>
      </c>
      <c r="W152" s="33">
        <v>0</v>
      </c>
      <c r="X152" s="33">
        <f t="shared" si="82"/>
        <v>0</v>
      </c>
      <c r="Y152" s="38">
        <f t="shared" si="83"/>
        <v>0</v>
      </c>
      <c r="AA152" s="71">
        <v>147</v>
      </c>
      <c r="AB152" s="33">
        <f t="shared" si="84"/>
        <v>0</v>
      </c>
      <c r="AC152" s="305">
        <f t="shared" si="85"/>
        <v>0</v>
      </c>
      <c r="AD152" s="100">
        <f t="shared" si="86"/>
        <v>0</v>
      </c>
      <c r="AE152" s="100">
        <f t="shared" si="87"/>
        <v>0</v>
      </c>
      <c r="AF152" s="194">
        <f t="shared" si="70"/>
        <v>0</v>
      </c>
      <c r="AG152" s="194">
        <f t="shared" si="71"/>
        <v>0</v>
      </c>
      <c r="AH152" s="194">
        <f t="shared" si="72"/>
        <v>0</v>
      </c>
      <c r="AI152" s="199">
        <f t="shared" si="73"/>
        <v>0</v>
      </c>
      <c r="AK152" s="71">
        <v>147</v>
      </c>
      <c r="AL152" s="33">
        <f t="shared" si="88"/>
        <v>0</v>
      </c>
      <c r="AM152" s="33">
        <f t="shared" si="89"/>
        <v>0</v>
      </c>
      <c r="AN152" s="33">
        <f t="shared" si="90"/>
        <v>0</v>
      </c>
      <c r="AO152" s="33">
        <f t="shared" si="91"/>
        <v>0</v>
      </c>
      <c r="AP152" s="33">
        <f t="shared" si="92"/>
        <v>0</v>
      </c>
      <c r="AQ152" s="194">
        <f t="shared" si="74"/>
        <v>0</v>
      </c>
      <c r="AR152" s="194">
        <f t="shared" si="75"/>
        <v>0</v>
      </c>
      <c r="AS152" s="194">
        <f t="shared" si="76"/>
        <v>0</v>
      </c>
      <c r="AT152" s="194">
        <f t="shared" si="77"/>
        <v>0</v>
      </c>
      <c r="AU152" s="33"/>
      <c r="AV152" s="33"/>
      <c r="AW152" s="33"/>
      <c r="AX152" s="33"/>
      <c r="AY152" s="76"/>
    </row>
    <row r="153" spans="3:51">
      <c r="C153" s="166" t="s">
        <v>28</v>
      </c>
      <c r="D153" s="4">
        <v>0.37</v>
      </c>
      <c r="E153" s="188" t="s">
        <v>228</v>
      </c>
      <c r="F153" s="343">
        <f>IF(OR(Tableau145[[#This Row],[Type]]="Feuillus",Tableau145[[#This Row],[Type]]="Peupliers"),1.56,1.3)</f>
        <v>1.3</v>
      </c>
      <c r="I153" s="55">
        <v>148</v>
      </c>
      <c r="J153" s="33">
        <f t="shared" si="95"/>
        <v>0</v>
      </c>
      <c r="K153" s="33">
        <f t="shared" si="96"/>
        <v>0</v>
      </c>
      <c r="L153" s="33">
        <f t="shared" si="97"/>
        <v>0</v>
      </c>
      <c r="M153" s="33">
        <f t="shared" si="98"/>
        <v>0</v>
      </c>
      <c r="N153" s="33">
        <f t="shared" si="78"/>
        <v>0</v>
      </c>
      <c r="O153" s="34">
        <f t="shared" si="79"/>
        <v>0</v>
      </c>
      <c r="P153" s="55">
        <v>148</v>
      </c>
      <c r="Q153" s="33">
        <f t="shared" si="93"/>
        <v>0</v>
      </c>
      <c r="R153" s="33">
        <f t="shared" si="99"/>
        <v>0</v>
      </c>
      <c r="S153" s="33">
        <f t="shared" si="100"/>
        <v>0</v>
      </c>
      <c r="T153" s="33">
        <f t="shared" si="80"/>
        <v>0</v>
      </c>
      <c r="U153" s="33">
        <f t="shared" si="94"/>
        <v>0</v>
      </c>
      <c r="V153" s="33">
        <f t="shared" si="81"/>
        <v>0</v>
      </c>
      <c r="W153" s="33">
        <v>0</v>
      </c>
      <c r="X153" s="33">
        <f t="shared" si="82"/>
        <v>0</v>
      </c>
      <c r="Y153" s="38">
        <f t="shared" si="83"/>
        <v>0</v>
      </c>
      <c r="AA153" s="71">
        <v>148</v>
      </c>
      <c r="AB153" s="33">
        <f t="shared" si="84"/>
        <v>0</v>
      </c>
      <c r="AC153" s="305">
        <f t="shared" si="85"/>
        <v>0</v>
      </c>
      <c r="AD153" s="100">
        <f t="shared" si="86"/>
        <v>0</v>
      </c>
      <c r="AE153" s="100">
        <f t="shared" si="87"/>
        <v>0</v>
      </c>
      <c r="AF153" s="194">
        <f t="shared" si="70"/>
        <v>0</v>
      </c>
      <c r="AG153" s="194">
        <f t="shared" si="71"/>
        <v>0</v>
      </c>
      <c r="AH153" s="194">
        <f t="shared" si="72"/>
        <v>0</v>
      </c>
      <c r="AI153" s="199">
        <f t="shared" si="73"/>
        <v>0</v>
      </c>
      <c r="AK153" s="71">
        <v>148</v>
      </c>
      <c r="AL153" s="33">
        <f t="shared" si="88"/>
        <v>0</v>
      </c>
      <c r="AM153" s="33">
        <f t="shared" si="89"/>
        <v>0</v>
      </c>
      <c r="AN153" s="33">
        <f t="shared" si="90"/>
        <v>0</v>
      </c>
      <c r="AO153" s="33">
        <f t="shared" si="91"/>
        <v>0</v>
      </c>
      <c r="AP153" s="33">
        <f t="shared" si="92"/>
        <v>0</v>
      </c>
      <c r="AQ153" s="194">
        <f t="shared" si="74"/>
        <v>0</v>
      </c>
      <c r="AR153" s="194">
        <f t="shared" si="75"/>
        <v>0</v>
      </c>
      <c r="AS153" s="194">
        <f t="shared" si="76"/>
        <v>0</v>
      </c>
      <c r="AT153" s="194">
        <f t="shared" si="77"/>
        <v>0</v>
      </c>
      <c r="AU153" s="33"/>
      <c r="AV153" s="33"/>
      <c r="AW153" s="33"/>
      <c r="AX153" s="33"/>
      <c r="AY153" s="76"/>
    </row>
    <row r="154" spans="3:51">
      <c r="C154" s="166" t="s">
        <v>29</v>
      </c>
      <c r="D154" s="4">
        <v>0.36</v>
      </c>
      <c r="E154" s="188" t="s">
        <v>228</v>
      </c>
      <c r="F154" s="343">
        <f>IF(OR(Tableau145[[#This Row],[Type]]="Feuillus",Tableau145[[#This Row],[Type]]="Peupliers"),1.56,1.3)</f>
        <v>1.3</v>
      </c>
      <c r="I154" s="55">
        <v>149</v>
      </c>
      <c r="J154" s="33">
        <f t="shared" si="95"/>
        <v>0</v>
      </c>
      <c r="K154" s="33">
        <f t="shared" si="96"/>
        <v>0</v>
      </c>
      <c r="L154" s="33">
        <f t="shared" si="97"/>
        <v>0</v>
      </c>
      <c r="M154" s="33">
        <f t="shared" si="98"/>
        <v>0</v>
      </c>
      <c r="N154" s="33">
        <f t="shared" si="78"/>
        <v>0</v>
      </c>
      <c r="O154" s="34">
        <f t="shared" si="79"/>
        <v>0</v>
      </c>
      <c r="P154" s="55">
        <v>149</v>
      </c>
      <c r="Q154" s="33">
        <f t="shared" si="93"/>
        <v>0</v>
      </c>
      <c r="R154" s="33">
        <f t="shared" si="99"/>
        <v>0</v>
      </c>
      <c r="S154" s="33">
        <f t="shared" si="100"/>
        <v>0</v>
      </c>
      <c r="T154" s="33">
        <f t="shared" si="80"/>
        <v>0</v>
      </c>
      <c r="U154" s="33">
        <f t="shared" si="94"/>
        <v>0</v>
      </c>
      <c r="V154" s="33">
        <f t="shared" si="81"/>
        <v>0</v>
      </c>
      <c r="W154" s="33">
        <v>0</v>
      </c>
      <c r="X154" s="33">
        <f t="shared" si="82"/>
        <v>0</v>
      </c>
      <c r="Y154" s="38">
        <f t="shared" si="83"/>
        <v>0</v>
      </c>
      <c r="AA154" s="71">
        <v>149</v>
      </c>
      <c r="AB154" s="33">
        <f t="shared" si="84"/>
        <v>0</v>
      </c>
      <c r="AC154" s="305">
        <f t="shared" si="85"/>
        <v>0</v>
      </c>
      <c r="AD154" s="100">
        <f t="shared" si="86"/>
        <v>0</v>
      </c>
      <c r="AE154" s="100">
        <f t="shared" si="87"/>
        <v>0</v>
      </c>
      <c r="AF154" s="194">
        <f t="shared" si="70"/>
        <v>0</v>
      </c>
      <c r="AG154" s="194">
        <f t="shared" si="71"/>
        <v>0</v>
      </c>
      <c r="AH154" s="194">
        <f t="shared" si="72"/>
        <v>0</v>
      </c>
      <c r="AI154" s="199">
        <f t="shared" si="73"/>
        <v>0</v>
      </c>
      <c r="AK154" s="71">
        <v>149</v>
      </c>
      <c r="AL154" s="33">
        <f t="shared" si="88"/>
        <v>0</v>
      </c>
      <c r="AM154" s="33">
        <f t="shared" si="89"/>
        <v>0</v>
      </c>
      <c r="AN154" s="33">
        <f t="shared" si="90"/>
        <v>0</v>
      </c>
      <c r="AO154" s="33">
        <f t="shared" si="91"/>
        <v>0</v>
      </c>
      <c r="AP154" s="33">
        <f t="shared" si="92"/>
        <v>0</v>
      </c>
      <c r="AQ154" s="194">
        <f t="shared" si="74"/>
        <v>0</v>
      </c>
      <c r="AR154" s="194">
        <f t="shared" si="75"/>
        <v>0</v>
      </c>
      <c r="AS154" s="194">
        <f t="shared" si="76"/>
        <v>0</v>
      </c>
      <c r="AT154" s="194">
        <f t="shared" si="77"/>
        <v>0</v>
      </c>
      <c r="AU154" s="33"/>
      <c r="AV154" s="33"/>
      <c r="AW154" s="33"/>
      <c r="AX154" s="33"/>
      <c r="AY154" s="76"/>
    </row>
    <row r="155" spans="3:51">
      <c r="C155" s="166" t="s">
        <v>30</v>
      </c>
      <c r="D155" s="4">
        <v>0.51</v>
      </c>
      <c r="E155" s="188" t="s">
        <v>227</v>
      </c>
      <c r="F155" s="343">
        <f>IF(OR(Tableau145[[#This Row],[Type]]="Feuillus",Tableau145[[#This Row],[Type]]="Peupliers"),1.56,1.3)</f>
        <v>1.56</v>
      </c>
      <c r="I155" s="55">
        <v>150</v>
      </c>
      <c r="J155" s="33">
        <f t="shared" si="95"/>
        <v>0</v>
      </c>
      <c r="K155" s="33">
        <f t="shared" si="96"/>
        <v>0</v>
      </c>
      <c r="L155" s="33">
        <f t="shared" si="97"/>
        <v>0</v>
      </c>
      <c r="M155" s="33">
        <f t="shared" si="98"/>
        <v>0</v>
      </c>
      <c r="N155" s="33">
        <f t="shared" si="78"/>
        <v>0</v>
      </c>
      <c r="O155" s="34">
        <f t="shared" si="79"/>
        <v>0</v>
      </c>
      <c r="P155" s="55">
        <v>150</v>
      </c>
      <c r="Q155" s="33">
        <f t="shared" si="93"/>
        <v>0</v>
      </c>
      <c r="R155" s="33">
        <f t="shared" si="99"/>
        <v>0</v>
      </c>
      <c r="S155" s="33">
        <f t="shared" si="100"/>
        <v>0</v>
      </c>
      <c r="T155" s="33">
        <f t="shared" si="80"/>
        <v>0</v>
      </c>
      <c r="U155" s="33">
        <f t="shared" si="94"/>
        <v>0</v>
      </c>
      <c r="V155" s="33">
        <f t="shared" si="81"/>
        <v>0</v>
      </c>
      <c r="W155" s="33">
        <v>0</v>
      </c>
      <c r="X155" s="33">
        <f t="shared" si="82"/>
        <v>0</v>
      </c>
      <c r="Y155" s="38">
        <f t="shared" si="83"/>
        <v>0</v>
      </c>
      <c r="AA155" s="71">
        <v>150</v>
      </c>
      <c r="AB155" s="33">
        <f t="shared" si="84"/>
        <v>0</v>
      </c>
      <c r="AC155" s="305">
        <f t="shared" si="85"/>
        <v>0</v>
      </c>
      <c r="AD155" s="100">
        <f t="shared" si="86"/>
        <v>0</v>
      </c>
      <c r="AE155" s="100">
        <f t="shared" si="87"/>
        <v>0</v>
      </c>
      <c r="AF155" s="194">
        <f t="shared" ref="AF155:AF205" si="101">IF(OR(AA155&lt;=$F$18,AA155&lt;=30),EXP(-LN(2)/$D$104)*AF154+((1-EXP(-LN(2)/$D$104))/(LN(2)/$D$104))*$AB155*AC155*0.475*$F$19*44/12,)</f>
        <v>0</v>
      </c>
      <c r="AG155" s="194">
        <f t="shared" ref="AG155:AG205" si="102">IF(OR(AA155&lt;=$F$18,AA155&lt;=30),EXP(-LN(2)/$D$106)*AG154+((1-EXP(-LN(2)/$D$106))/(LN(2)/$D$106))*$AB155*AD155*0.475*$F$19*44/12,)</f>
        <v>0</v>
      </c>
      <c r="AH155" s="194">
        <f t="shared" ref="AH155:AH205" si="103">IF(OR(AA155&lt;=$F$18,AA155&lt;=30),EXP(-LN(2)/$D$105)*AH154+((1-EXP(-LN(2)/$D$105))/(LN(2)/$D$105))*$AB155*AE155*0.475*$F$19*44/12,)</f>
        <v>0</v>
      </c>
      <c r="AI155" s="199">
        <f t="shared" ref="AI155:AI205" si="104">IF(OR(AA155&lt;=$F$18,AA155&lt;=30),SUM(AF155:AH155),)</f>
        <v>0</v>
      </c>
      <c r="AK155" s="71">
        <v>150</v>
      </c>
      <c r="AL155" s="33">
        <f t="shared" si="88"/>
        <v>0</v>
      </c>
      <c r="AM155" s="33">
        <f t="shared" si="89"/>
        <v>0</v>
      </c>
      <c r="AN155" s="33">
        <f t="shared" si="90"/>
        <v>0</v>
      </c>
      <c r="AO155" s="33">
        <f t="shared" si="91"/>
        <v>0</v>
      </c>
      <c r="AP155" s="33">
        <f t="shared" si="92"/>
        <v>0</v>
      </c>
      <c r="AQ155" s="194">
        <f t="shared" si="74"/>
        <v>0</v>
      </c>
      <c r="AR155" s="194">
        <f t="shared" si="75"/>
        <v>0</v>
      </c>
      <c r="AS155" s="194">
        <f t="shared" si="76"/>
        <v>0</v>
      </c>
      <c r="AT155" s="194">
        <f t="shared" si="77"/>
        <v>0</v>
      </c>
      <c r="AU155" s="33"/>
      <c r="AV155" s="33"/>
      <c r="AW155" s="33"/>
      <c r="AX155" s="33"/>
      <c r="AY155" s="76"/>
    </row>
    <row r="156" spans="3:51">
      <c r="C156" s="166" t="s">
        <v>31</v>
      </c>
      <c r="D156" s="4">
        <v>0.56000000000000005</v>
      </c>
      <c r="E156" s="188" t="s">
        <v>227</v>
      </c>
      <c r="F156" s="343">
        <f>IF(OR(Tableau145[[#This Row],[Type]]="Feuillus",Tableau145[[#This Row],[Type]]="Peupliers"),1.56,1.3)</f>
        <v>1.56</v>
      </c>
      <c r="I156" s="55">
        <v>151</v>
      </c>
      <c r="J156" s="33">
        <f t="shared" si="95"/>
        <v>0</v>
      </c>
      <c r="K156" s="33">
        <f t="shared" si="96"/>
        <v>0</v>
      </c>
      <c r="L156" s="33">
        <f t="shared" si="97"/>
        <v>0</v>
      </c>
      <c r="M156" s="33">
        <f t="shared" si="98"/>
        <v>0</v>
      </c>
      <c r="N156" s="33">
        <f t="shared" si="78"/>
        <v>0</v>
      </c>
      <c r="O156" s="34">
        <f t="shared" si="79"/>
        <v>0</v>
      </c>
      <c r="P156" s="55">
        <v>151</v>
      </c>
      <c r="Q156" s="33">
        <f t="shared" si="93"/>
        <v>0</v>
      </c>
      <c r="R156" s="33">
        <f t="shared" si="99"/>
        <v>0</v>
      </c>
      <c r="S156" s="33">
        <f t="shared" si="100"/>
        <v>0</v>
      </c>
      <c r="T156" s="33">
        <f t="shared" si="80"/>
        <v>0</v>
      </c>
      <c r="U156" s="33">
        <f t="shared" si="94"/>
        <v>0</v>
      </c>
      <c r="V156" s="33">
        <f t="shared" si="81"/>
        <v>0</v>
      </c>
      <c r="W156" s="33">
        <v>0</v>
      </c>
      <c r="X156" s="33">
        <f t="shared" si="82"/>
        <v>0</v>
      </c>
      <c r="Y156" s="38">
        <f t="shared" si="83"/>
        <v>0</v>
      </c>
      <c r="AA156" s="71">
        <v>151</v>
      </c>
      <c r="AB156" s="33">
        <f t="shared" si="84"/>
        <v>0</v>
      </c>
      <c r="AC156" s="305">
        <f t="shared" si="85"/>
        <v>0</v>
      </c>
      <c r="AD156" s="100">
        <f t="shared" si="86"/>
        <v>0</v>
      </c>
      <c r="AE156" s="100">
        <f t="shared" si="87"/>
        <v>0</v>
      </c>
      <c r="AF156" s="194">
        <f t="shared" si="101"/>
        <v>0</v>
      </c>
      <c r="AG156" s="194">
        <f t="shared" si="102"/>
        <v>0</v>
      </c>
      <c r="AH156" s="194">
        <f t="shared" si="103"/>
        <v>0</v>
      </c>
      <c r="AI156" s="199">
        <f t="shared" si="104"/>
        <v>0</v>
      </c>
      <c r="AK156" s="71">
        <v>151</v>
      </c>
      <c r="AL156" s="33">
        <f t="shared" si="88"/>
        <v>0</v>
      </c>
      <c r="AM156" s="33">
        <f t="shared" si="89"/>
        <v>0</v>
      </c>
      <c r="AN156" s="33">
        <f t="shared" si="90"/>
        <v>0</v>
      </c>
      <c r="AO156" s="33">
        <f t="shared" si="91"/>
        <v>0</v>
      </c>
      <c r="AP156" s="33">
        <f t="shared" si="92"/>
        <v>0</v>
      </c>
      <c r="AQ156" s="194">
        <f t="shared" si="74"/>
        <v>0</v>
      </c>
      <c r="AR156" s="194">
        <f t="shared" si="75"/>
        <v>0</v>
      </c>
      <c r="AS156" s="194">
        <f t="shared" si="76"/>
        <v>0</v>
      </c>
      <c r="AT156" s="194">
        <f t="shared" si="77"/>
        <v>0</v>
      </c>
      <c r="AU156" s="33"/>
      <c r="AV156" s="33"/>
      <c r="AW156" s="33"/>
      <c r="AX156" s="33"/>
      <c r="AY156" s="76"/>
    </row>
    <row r="157" spans="3:51">
      <c r="C157" s="166" t="s">
        <v>32</v>
      </c>
      <c r="D157" s="4">
        <v>0.56000000000000005</v>
      </c>
      <c r="E157" s="188" t="s">
        <v>227</v>
      </c>
      <c r="F157" s="343">
        <f>IF(OR(Tableau145[[#This Row],[Type]]="Feuillus",Tableau145[[#This Row],[Type]]="Peupliers"),1.56,1.3)</f>
        <v>1.56</v>
      </c>
      <c r="I157" s="55">
        <v>152</v>
      </c>
      <c r="J157" s="33">
        <f t="shared" si="95"/>
        <v>0</v>
      </c>
      <c r="K157" s="33">
        <f t="shared" si="96"/>
        <v>0</v>
      </c>
      <c r="L157" s="33">
        <f t="shared" si="97"/>
        <v>0</v>
      </c>
      <c r="M157" s="33">
        <f t="shared" si="98"/>
        <v>0</v>
      </c>
      <c r="N157" s="33">
        <f t="shared" si="78"/>
        <v>0</v>
      </c>
      <c r="O157" s="34">
        <f t="shared" si="79"/>
        <v>0</v>
      </c>
      <c r="P157" s="55">
        <v>152</v>
      </c>
      <c r="Q157" s="33">
        <f t="shared" si="93"/>
        <v>0</v>
      </c>
      <c r="R157" s="33">
        <f t="shared" si="99"/>
        <v>0</v>
      </c>
      <c r="S157" s="33">
        <f t="shared" si="100"/>
        <v>0</v>
      </c>
      <c r="T157" s="33">
        <f t="shared" si="80"/>
        <v>0</v>
      </c>
      <c r="U157" s="33">
        <f t="shared" si="94"/>
        <v>0</v>
      </c>
      <c r="V157" s="33">
        <f t="shared" si="81"/>
        <v>0</v>
      </c>
      <c r="W157" s="33">
        <v>0</v>
      </c>
      <c r="X157" s="33">
        <f t="shared" si="82"/>
        <v>0</v>
      </c>
      <c r="Y157" s="38">
        <f t="shared" si="83"/>
        <v>0</v>
      </c>
      <c r="AA157" s="71">
        <v>152</v>
      </c>
      <c r="AB157" s="33">
        <f t="shared" si="84"/>
        <v>0</v>
      </c>
      <c r="AC157" s="305">
        <f t="shared" si="85"/>
        <v>0</v>
      </c>
      <c r="AD157" s="100">
        <f t="shared" si="86"/>
        <v>0</v>
      </c>
      <c r="AE157" s="100">
        <f t="shared" si="87"/>
        <v>0</v>
      </c>
      <c r="AF157" s="194">
        <f t="shared" si="101"/>
        <v>0</v>
      </c>
      <c r="AG157" s="194">
        <f t="shared" si="102"/>
        <v>0</v>
      </c>
      <c r="AH157" s="194">
        <f t="shared" si="103"/>
        <v>0</v>
      </c>
      <c r="AI157" s="199">
        <f t="shared" si="104"/>
        <v>0</v>
      </c>
      <c r="AK157" s="71">
        <v>152</v>
      </c>
      <c r="AL157" s="33">
        <f t="shared" si="88"/>
        <v>0</v>
      </c>
      <c r="AM157" s="33">
        <f t="shared" si="89"/>
        <v>0</v>
      </c>
      <c r="AN157" s="33">
        <f t="shared" si="90"/>
        <v>0</v>
      </c>
      <c r="AO157" s="33">
        <f t="shared" si="91"/>
        <v>0</v>
      </c>
      <c r="AP157" s="33">
        <f t="shared" si="92"/>
        <v>0</v>
      </c>
      <c r="AQ157" s="194">
        <f t="shared" si="74"/>
        <v>0</v>
      </c>
      <c r="AR157" s="194">
        <f t="shared" si="75"/>
        <v>0</v>
      </c>
      <c r="AS157" s="194">
        <f t="shared" si="76"/>
        <v>0</v>
      </c>
      <c r="AT157" s="194">
        <f t="shared" si="77"/>
        <v>0</v>
      </c>
      <c r="AU157" s="33"/>
      <c r="AV157" s="33"/>
      <c r="AW157" s="33"/>
      <c r="AX157" s="33"/>
      <c r="AY157" s="76"/>
    </row>
    <row r="158" spans="3:51">
      <c r="C158" s="166" t="s">
        <v>33</v>
      </c>
      <c r="D158" s="4">
        <v>0.48</v>
      </c>
      <c r="E158" s="188" t="s">
        <v>227</v>
      </c>
      <c r="F158" s="343">
        <f>IF(OR(Tableau145[[#This Row],[Type]]="Feuillus",Tableau145[[#This Row],[Type]]="Peupliers"),1.56,1.3)</f>
        <v>1.56</v>
      </c>
      <c r="I158" s="55">
        <v>153</v>
      </c>
      <c r="J158" s="33">
        <f t="shared" si="95"/>
        <v>0</v>
      </c>
      <c r="K158" s="33">
        <f t="shared" si="96"/>
        <v>0</v>
      </c>
      <c r="L158" s="33">
        <f t="shared" si="97"/>
        <v>0</v>
      </c>
      <c r="M158" s="33">
        <f t="shared" si="98"/>
        <v>0</v>
      </c>
      <c r="N158" s="33">
        <f t="shared" si="78"/>
        <v>0</v>
      </c>
      <c r="O158" s="34">
        <f t="shared" si="79"/>
        <v>0</v>
      </c>
      <c r="P158" s="55">
        <v>153</v>
      </c>
      <c r="Q158" s="33">
        <f t="shared" si="93"/>
        <v>0</v>
      </c>
      <c r="R158" s="33">
        <f t="shared" si="99"/>
        <v>0</v>
      </c>
      <c r="S158" s="33">
        <f t="shared" si="100"/>
        <v>0</v>
      </c>
      <c r="T158" s="33">
        <f t="shared" si="80"/>
        <v>0</v>
      </c>
      <c r="U158" s="33">
        <f t="shared" si="94"/>
        <v>0</v>
      </c>
      <c r="V158" s="33">
        <f t="shared" si="81"/>
        <v>0</v>
      </c>
      <c r="W158" s="33">
        <v>0</v>
      </c>
      <c r="X158" s="33">
        <f t="shared" si="82"/>
        <v>0</v>
      </c>
      <c r="Y158" s="38">
        <f t="shared" si="83"/>
        <v>0</v>
      </c>
      <c r="AA158" s="71">
        <v>153</v>
      </c>
      <c r="AB158" s="33">
        <f t="shared" si="84"/>
        <v>0</v>
      </c>
      <c r="AC158" s="305">
        <f t="shared" si="85"/>
        <v>0</v>
      </c>
      <c r="AD158" s="100">
        <f t="shared" si="86"/>
        <v>0</v>
      </c>
      <c r="AE158" s="100">
        <f t="shared" si="87"/>
        <v>0</v>
      </c>
      <c r="AF158" s="194">
        <f t="shared" si="101"/>
        <v>0</v>
      </c>
      <c r="AG158" s="194">
        <f t="shared" si="102"/>
        <v>0</v>
      </c>
      <c r="AH158" s="194">
        <f t="shared" si="103"/>
        <v>0</v>
      </c>
      <c r="AI158" s="199">
        <f t="shared" si="104"/>
        <v>0</v>
      </c>
      <c r="AK158" s="71">
        <v>153</v>
      </c>
      <c r="AL158" s="33">
        <f t="shared" si="88"/>
        <v>0</v>
      </c>
      <c r="AM158" s="33">
        <f t="shared" si="89"/>
        <v>0</v>
      </c>
      <c r="AN158" s="33">
        <f t="shared" si="90"/>
        <v>0</v>
      </c>
      <c r="AO158" s="33">
        <f t="shared" si="91"/>
        <v>0</v>
      </c>
      <c r="AP158" s="33">
        <f t="shared" si="92"/>
        <v>0</v>
      </c>
      <c r="AQ158" s="194">
        <f t="shared" si="74"/>
        <v>0</v>
      </c>
      <c r="AR158" s="194">
        <f t="shared" si="75"/>
        <v>0</v>
      </c>
      <c r="AS158" s="194">
        <f t="shared" si="76"/>
        <v>0</v>
      </c>
      <c r="AT158" s="194">
        <f t="shared" si="77"/>
        <v>0</v>
      </c>
      <c r="AU158" s="33"/>
      <c r="AV158" s="33"/>
      <c r="AW158" s="33"/>
      <c r="AX158" s="33"/>
      <c r="AY158" s="76"/>
    </row>
    <row r="159" spans="3:51">
      <c r="C159" s="166" t="s">
        <v>34</v>
      </c>
      <c r="D159" s="4">
        <v>0.55000000000000004</v>
      </c>
      <c r="E159" s="188" t="s">
        <v>227</v>
      </c>
      <c r="F159" s="343">
        <f>IF(OR(Tableau145[[#This Row],[Type]]="Feuillus",Tableau145[[#This Row],[Type]]="Peupliers"),1.56,1.3)</f>
        <v>1.56</v>
      </c>
      <c r="I159" s="55">
        <v>154</v>
      </c>
      <c r="J159" s="33">
        <f t="shared" si="95"/>
        <v>0</v>
      </c>
      <c r="K159" s="33">
        <f t="shared" si="96"/>
        <v>0</v>
      </c>
      <c r="L159" s="33">
        <f t="shared" si="97"/>
        <v>0</v>
      </c>
      <c r="M159" s="33">
        <f t="shared" si="98"/>
        <v>0</v>
      </c>
      <c r="N159" s="33">
        <f t="shared" si="78"/>
        <v>0</v>
      </c>
      <c r="O159" s="34">
        <f t="shared" si="79"/>
        <v>0</v>
      </c>
      <c r="P159" s="55">
        <v>154</v>
      </c>
      <c r="Q159" s="33">
        <f t="shared" si="93"/>
        <v>0</v>
      </c>
      <c r="R159" s="33">
        <f t="shared" si="99"/>
        <v>0</v>
      </c>
      <c r="S159" s="33">
        <f t="shared" si="100"/>
        <v>0</v>
      </c>
      <c r="T159" s="33">
        <f t="shared" si="80"/>
        <v>0</v>
      </c>
      <c r="U159" s="33">
        <f t="shared" si="94"/>
        <v>0</v>
      </c>
      <c r="V159" s="33">
        <f t="shared" si="81"/>
        <v>0</v>
      </c>
      <c r="W159" s="33">
        <v>0</v>
      </c>
      <c r="X159" s="33">
        <f t="shared" si="82"/>
        <v>0</v>
      </c>
      <c r="Y159" s="38">
        <f t="shared" si="83"/>
        <v>0</v>
      </c>
      <c r="AA159" s="71">
        <v>154</v>
      </c>
      <c r="AB159" s="33">
        <f t="shared" si="84"/>
        <v>0</v>
      </c>
      <c r="AC159" s="305">
        <f t="shared" si="85"/>
        <v>0</v>
      </c>
      <c r="AD159" s="100">
        <f t="shared" si="86"/>
        <v>0</v>
      </c>
      <c r="AE159" s="100">
        <f t="shared" si="87"/>
        <v>0</v>
      </c>
      <c r="AF159" s="194">
        <f t="shared" si="101"/>
        <v>0</v>
      </c>
      <c r="AG159" s="194">
        <f t="shared" si="102"/>
        <v>0</v>
      </c>
      <c r="AH159" s="194">
        <f t="shared" si="103"/>
        <v>0</v>
      </c>
      <c r="AI159" s="199">
        <f t="shared" si="104"/>
        <v>0</v>
      </c>
      <c r="AK159" s="71">
        <v>154</v>
      </c>
      <c r="AL159" s="33">
        <f t="shared" si="88"/>
        <v>0</v>
      </c>
      <c r="AM159" s="33">
        <f t="shared" si="89"/>
        <v>0</v>
      </c>
      <c r="AN159" s="33">
        <f t="shared" si="90"/>
        <v>0</v>
      </c>
      <c r="AO159" s="33">
        <f t="shared" si="91"/>
        <v>0</v>
      </c>
      <c r="AP159" s="33">
        <f t="shared" si="92"/>
        <v>0</v>
      </c>
      <c r="AQ159" s="194">
        <f t="shared" si="74"/>
        <v>0</v>
      </c>
      <c r="AR159" s="194">
        <f t="shared" si="75"/>
        <v>0</v>
      </c>
      <c r="AS159" s="194">
        <f t="shared" si="76"/>
        <v>0</v>
      </c>
      <c r="AT159" s="194">
        <f t="shared" si="77"/>
        <v>0</v>
      </c>
      <c r="AU159" s="33"/>
      <c r="AV159" s="33"/>
      <c r="AW159" s="33"/>
      <c r="AX159" s="33"/>
      <c r="AY159" s="76"/>
    </row>
    <row r="160" spans="3:51">
      <c r="C160" s="166" t="s">
        <v>35</v>
      </c>
      <c r="D160" s="4">
        <v>0.56000000000000005</v>
      </c>
      <c r="E160" s="188" t="s">
        <v>227</v>
      </c>
      <c r="F160" s="343">
        <f>IF(OR(Tableau145[[#This Row],[Type]]="Feuillus",Tableau145[[#This Row],[Type]]="Peupliers"),1.56,1.3)</f>
        <v>1.56</v>
      </c>
      <c r="I160" s="55">
        <v>155</v>
      </c>
      <c r="J160" s="33">
        <f t="shared" si="95"/>
        <v>0</v>
      </c>
      <c r="K160" s="33">
        <f t="shared" si="96"/>
        <v>0</v>
      </c>
      <c r="L160" s="33">
        <f t="shared" si="97"/>
        <v>0</v>
      </c>
      <c r="M160" s="33">
        <f t="shared" si="98"/>
        <v>0</v>
      </c>
      <c r="N160" s="33">
        <f t="shared" si="78"/>
        <v>0</v>
      </c>
      <c r="O160" s="34">
        <f t="shared" si="79"/>
        <v>0</v>
      </c>
      <c r="P160" s="55">
        <v>155</v>
      </c>
      <c r="Q160" s="33">
        <f t="shared" si="93"/>
        <v>0</v>
      </c>
      <c r="R160" s="33">
        <f t="shared" si="99"/>
        <v>0</v>
      </c>
      <c r="S160" s="33">
        <f t="shared" si="100"/>
        <v>0</v>
      </c>
      <c r="T160" s="33">
        <f t="shared" si="80"/>
        <v>0</v>
      </c>
      <c r="U160" s="33">
        <f t="shared" si="94"/>
        <v>0</v>
      </c>
      <c r="V160" s="33">
        <f t="shared" si="81"/>
        <v>0</v>
      </c>
      <c r="W160" s="33">
        <v>0</v>
      </c>
      <c r="X160" s="33">
        <f t="shared" si="82"/>
        <v>0</v>
      </c>
      <c r="Y160" s="38">
        <f t="shared" si="83"/>
        <v>0</v>
      </c>
      <c r="AA160" s="71">
        <v>155</v>
      </c>
      <c r="AB160" s="33">
        <f t="shared" si="84"/>
        <v>0</v>
      </c>
      <c r="AC160" s="305">
        <f t="shared" si="85"/>
        <v>0</v>
      </c>
      <c r="AD160" s="100">
        <f t="shared" si="86"/>
        <v>0</v>
      </c>
      <c r="AE160" s="100">
        <f t="shared" si="87"/>
        <v>0</v>
      </c>
      <c r="AF160" s="194">
        <f t="shared" si="101"/>
        <v>0</v>
      </c>
      <c r="AG160" s="194">
        <f t="shared" si="102"/>
        <v>0</v>
      </c>
      <c r="AH160" s="194">
        <f t="shared" si="103"/>
        <v>0</v>
      </c>
      <c r="AI160" s="199">
        <f t="shared" si="104"/>
        <v>0</v>
      </c>
      <c r="AK160" s="71">
        <v>155</v>
      </c>
      <c r="AL160" s="33">
        <f t="shared" si="88"/>
        <v>0</v>
      </c>
      <c r="AM160" s="33">
        <f t="shared" si="89"/>
        <v>0</v>
      </c>
      <c r="AN160" s="33">
        <f t="shared" si="90"/>
        <v>0</v>
      </c>
      <c r="AO160" s="33">
        <f t="shared" si="91"/>
        <v>0</v>
      </c>
      <c r="AP160" s="33">
        <f t="shared" si="92"/>
        <v>0</v>
      </c>
      <c r="AQ160" s="194">
        <f t="shared" si="74"/>
        <v>0</v>
      </c>
      <c r="AR160" s="194">
        <f t="shared" si="75"/>
        <v>0</v>
      </c>
      <c r="AS160" s="194">
        <f t="shared" si="76"/>
        <v>0</v>
      </c>
      <c r="AT160" s="194">
        <f t="shared" si="77"/>
        <v>0</v>
      </c>
      <c r="AU160" s="33"/>
      <c r="AV160" s="33"/>
      <c r="AW160" s="33"/>
      <c r="AX160" s="33"/>
      <c r="AY160" s="76"/>
    </row>
    <row r="161" spans="3:51">
      <c r="C161" s="166" t="s">
        <v>36</v>
      </c>
      <c r="D161" s="4">
        <v>0.57999999999999996</v>
      </c>
      <c r="E161" s="188" t="s">
        <v>227</v>
      </c>
      <c r="F161" s="343">
        <f>IF(OR(Tableau145[[#This Row],[Type]]="Feuillus",Tableau145[[#This Row],[Type]]="Peupliers"),1.56,1.3)</f>
        <v>1.56</v>
      </c>
      <c r="I161" s="55">
        <v>156</v>
      </c>
      <c r="J161" s="33">
        <f t="shared" si="95"/>
        <v>0</v>
      </c>
      <c r="K161" s="33">
        <f t="shared" si="96"/>
        <v>0</v>
      </c>
      <c r="L161" s="33">
        <f t="shared" si="97"/>
        <v>0</v>
      </c>
      <c r="M161" s="33">
        <f t="shared" si="98"/>
        <v>0</v>
      </c>
      <c r="N161" s="33">
        <f t="shared" si="78"/>
        <v>0</v>
      </c>
      <c r="O161" s="34">
        <f t="shared" si="79"/>
        <v>0</v>
      </c>
      <c r="P161" s="55">
        <v>156</v>
      </c>
      <c r="Q161" s="33">
        <f t="shared" si="93"/>
        <v>0</v>
      </c>
      <c r="R161" s="33">
        <f t="shared" si="99"/>
        <v>0</v>
      </c>
      <c r="S161" s="33">
        <f t="shared" si="100"/>
        <v>0</v>
      </c>
      <c r="T161" s="33">
        <f t="shared" si="80"/>
        <v>0</v>
      </c>
      <c r="U161" s="33">
        <f t="shared" si="94"/>
        <v>0</v>
      </c>
      <c r="V161" s="33">
        <f t="shared" si="81"/>
        <v>0</v>
      </c>
      <c r="W161" s="33">
        <v>0</v>
      </c>
      <c r="X161" s="33">
        <f t="shared" si="82"/>
        <v>0</v>
      </c>
      <c r="Y161" s="38">
        <f t="shared" si="83"/>
        <v>0</v>
      </c>
      <c r="AA161" s="71">
        <v>156</v>
      </c>
      <c r="AB161" s="33">
        <f t="shared" si="84"/>
        <v>0</v>
      </c>
      <c r="AC161" s="305">
        <f t="shared" si="85"/>
        <v>0</v>
      </c>
      <c r="AD161" s="100">
        <f t="shared" si="86"/>
        <v>0</v>
      </c>
      <c r="AE161" s="100">
        <f t="shared" si="87"/>
        <v>0</v>
      </c>
      <c r="AF161" s="194">
        <f t="shared" si="101"/>
        <v>0</v>
      </c>
      <c r="AG161" s="194">
        <f t="shared" si="102"/>
        <v>0</v>
      </c>
      <c r="AH161" s="194">
        <f t="shared" si="103"/>
        <v>0</v>
      </c>
      <c r="AI161" s="199">
        <f t="shared" si="104"/>
        <v>0</v>
      </c>
      <c r="AK161" s="71">
        <v>156</v>
      </c>
      <c r="AL161" s="33">
        <f t="shared" si="88"/>
        <v>0</v>
      </c>
      <c r="AM161" s="33">
        <f t="shared" si="89"/>
        <v>0</v>
      </c>
      <c r="AN161" s="33">
        <f t="shared" si="90"/>
        <v>0</v>
      </c>
      <c r="AO161" s="33">
        <f t="shared" si="91"/>
        <v>0</v>
      </c>
      <c r="AP161" s="33">
        <f t="shared" si="92"/>
        <v>0</v>
      </c>
      <c r="AQ161" s="194">
        <f t="shared" si="74"/>
        <v>0</v>
      </c>
      <c r="AR161" s="194">
        <f t="shared" si="75"/>
        <v>0</v>
      </c>
      <c r="AS161" s="194">
        <f t="shared" si="76"/>
        <v>0</v>
      </c>
      <c r="AT161" s="194">
        <f t="shared" si="77"/>
        <v>0</v>
      </c>
      <c r="AU161" s="33"/>
      <c r="AV161" s="33"/>
      <c r="AW161" s="33"/>
      <c r="AX161" s="33"/>
      <c r="AY161" s="76"/>
    </row>
    <row r="162" spans="3:51">
      <c r="C162" s="166" t="s">
        <v>37</v>
      </c>
      <c r="D162" s="4">
        <v>0.57999999999999996</v>
      </c>
      <c r="E162" s="188" t="s">
        <v>228</v>
      </c>
      <c r="F162" s="343">
        <f>IF(OR(Tableau145[[#This Row],[Type]]="Feuillus",Tableau145[[#This Row],[Type]]="Peupliers"),1.56,1.3)</f>
        <v>1.3</v>
      </c>
      <c r="I162" s="55">
        <v>157</v>
      </c>
      <c r="J162" s="33">
        <f t="shared" si="95"/>
        <v>0</v>
      </c>
      <c r="K162" s="33">
        <f t="shared" si="96"/>
        <v>0</v>
      </c>
      <c r="L162" s="33">
        <f t="shared" si="97"/>
        <v>0</v>
      </c>
      <c r="M162" s="33">
        <f t="shared" si="98"/>
        <v>0</v>
      </c>
      <c r="N162" s="33">
        <f t="shared" si="78"/>
        <v>0</v>
      </c>
      <c r="O162" s="34">
        <f t="shared" si="79"/>
        <v>0</v>
      </c>
      <c r="P162" s="55">
        <v>157</v>
      </c>
      <c r="Q162" s="33">
        <f t="shared" si="93"/>
        <v>0</v>
      </c>
      <c r="R162" s="33">
        <f t="shared" si="99"/>
        <v>0</v>
      </c>
      <c r="S162" s="33">
        <f t="shared" si="100"/>
        <v>0</v>
      </c>
      <c r="T162" s="33">
        <f t="shared" si="80"/>
        <v>0</v>
      </c>
      <c r="U162" s="33">
        <f t="shared" si="94"/>
        <v>0</v>
      </c>
      <c r="V162" s="33">
        <f t="shared" si="81"/>
        <v>0</v>
      </c>
      <c r="W162" s="33">
        <v>0</v>
      </c>
      <c r="X162" s="33">
        <f t="shared" si="82"/>
        <v>0</v>
      </c>
      <c r="Y162" s="38">
        <f t="shared" si="83"/>
        <v>0</v>
      </c>
      <c r="AA162" s="71">
        <v>157</v>
      </c>
      <c r="AB162" s="33">
        <f t="shared" si="84"/>
        <v>0</v>
      </c>
      <c r="AC162" s="305">
        <f t="shared" si="85"/>
        <v>0</v>
      </c>
      <c r="AD162" s="100">
        <f t="shared" si="86"/>
        <v>0</v>
      </c>
      <c r="AE162" s="100">
        <f t="shared" si="87"/>
        <v>0</v>
      </c>
      <c r="AF162" s="194">
        <f t="shared" si="101"/>
        <v>0</v>
      </c>
      <c r="AG162" s="194">
        <f t="shared" si="102"/>
        <v>0</v>
      </c>
      <c r="AH162" s="194">
        <f t="shared" si="103"/>
        <v>0</v>
      </c>
      <c r="AI162" s="199">
        <f t="shared" si="104"/>
        <v>0</v>
      </c>
      <c r="AK162" s="71">
        <v>157</v>
      </c>
      <c r="AL162" s="33">
        <f t="shared" si="88"/>
        <v>0</v>
      </c>
      <c r="AM162" s="33">
        <f t="shared" si="89"/>
        <v>0</v>
      </c>
      <c r="AN162" s="33">
        <f t="shared" si="90"/>
        <v>0</v>
      </c>
      <c r="AO162" s="33">
        <f t="shared" si="91"/>
        <v>0</v>
      </c>
      <c r="AP162" s="33">
        <f t="shared" si="92"/>
        <v>0</v>
      </c>
      <c r="AQ162" s="194">
        <f t="shared" si="74"/>
        <v>0</v>
      </c>
      <c r="AR162" s="194">
        <f t="shared" si="75"/>
        <v>0</v>
      </c>
      <c r="AS162" s="194">
        <f t="shared" si="76"/>
        <v>0</v>
      </c>
      <c r="AT162" s="194">
        <f t="shared" si="77"/>
        <v>0</v>
      </c>
      <c r="AU162" s="33"/>
      <c r="AV162" s="33"/>
      <c r="AW162" s="33"/>
      <c r="AX162" s="33"/>
      <c r="AY162" s="76"/>
    </row>
    <row r="163" spans="3:51">
      <c r="C163" s="166" t="s">
        <v>38</v>
      </c>
      <c r="D163" s="4">
        <v>0.48</v>
      </c>
      <c r="E163" s="188" t="s">
        <v>228</v>
      </c>
      <c r="F163" s="343">
        <f>IF(OR(Tableau145[[#This Row],[Type]]="Feuillus",Tableau145[[#This Row],[Type]]="Peupliers"),1.56,1.3)</f>
        <v>1.3</v>
      </c>
      <c r="I163" s="55">
        <v>158</v>
      </c>
      <c r="J163" s="33">
        <f t="shared" si="95"/>
        <v>0</v>
      </c>
      <c r="K163" s="33">
        <f t="shared" si="96"/>
        <v>0</v>
      </c>
      <c r="L163" s="33">
        <f t="shared" si="97"/>
        <v>0</v>
      </c>
      <c r="M163" s="33">
        <f t="shared" si="98"/>
        <v>0</v>
      </c>
      <c r="N163" s="33">
        <f t="shared" si="78"/>
        <v>0</v>
      </c>
      <c r="O163" s="34">
        <f t="shared" si="79"/>
        <v>0</v>
      </c>
      <c r="P163" s="55">
        <v>158</v>
      </c>
      <c r="Q163" s="33">
        <f t="shared" si="93"/>
        <v>0</v>
      </c>
      <c r="R163" s="33">
        <f t="shared" si="99"/>
        <v>0</v>
      </c>
      <c r="S163" s="33">
        <f t="shared" si="100"/>
        <v>0</v>
      </c>
      <c r="T163" s="33">
        <f t="shared" si="80"/>
        <v>0</v>
      </c>
      <c r="U163" s="33">
        <f t="shared" si="94"/>
        <v>0</v>
      </c>
      <c r="V163" s="33">
        <f t="shared" si="81"/>
        <v>0</v>
      </c>
      <c r="W163" s="33">
        <v>0</v>
      </c>
      <c r="X163" s="33">
        <f t="shared" si="82"/>
        <v>0</v>
      </c>
      <c r="Y163" s="38">
        <f t="shared" si="83"/>
        <v>0</v>
      </c>
      <c r="AA163" s="71">
        <v>158</v>
      </c>
      <c r="AB163" s="33">
        <f t="shared" si="84"/>
        <v>0</v>
      </c>
      <c r="AC163" s="305">
        <f t="shared" si="85"/>
        <v>0</v>
      </c>
      <c r="AD163" s="100">
        <f t="shared" si="86"/>
        <v>0</v>
      </c>
      <c r="AE163" s="100">
        <f t="shared" si="87"/>
        <v>0</v>
      </c>
      <c r="AF163" s="194">
        <f t="shared" si="101"/>
        <v>0</v>
      </c>
      <c r="AG163" s="194">
        <f t="shared" si="102"/>
        <v>0</v>
      </c>
      <c r="AH163" s="194">
        <f t="shared" si="103"/>
        <v>0</v>
      </c>
      <c r="AI163" s="199">
        <f t="shared" si="104"/>
        <v>0</v>
      </c>
      <c r="AK163" s="71">
        <v>158</v>
      </c>
      <c r="AL163" s="33">
        <f t="shared" si="88"/>
        <v>0</v>
      </c>
      <c r="AM163" s="33">
        <f t="shared" si="89"/>
        <v>0</v>
      </c>
      <c r="AN163" s="33">
        <f t="shared" si="90"/>
        <v>0</v>
      </c>
      <c r="AO163" s="33">
        <f t="shared" si="91"/>
        <v>0</v>
      </c>
      <c r="AP163" s="33">
        <f t="shared" si="92"/>
        <v>0</v>
      </c>
      <c r="AQ163" s="194">
        <f t="shared" si="74"/>
        <v>0</v>
      </c>
      <c r="AR163" s="194">
        <f t="shared" si="75"/>
        <v>0</v>
      </c>
      <c r="AS163" s="194">
        <f t="shared" si="76"/>
        <v>0</v>
      </c>
      <c r="AT163" s="194">
        <f t="shared" si="77"/>
        <v>0</v>
      </c>
      <c r="AU163" s="33"/>
      <c r="AV163" s="33"/>
      <c r="AW163" s="33"/>
      <c r="AX163" s="33"/>
      <c r="AY163" s="76"/>
    </row>
    <row r="164" spans="3:51">
      <c r="C164" s="166" t="s">
        <v>39</v>
      </c>
      <c r="D164" s="4">
        <v>0.42</v>
      </c>
      <c r="E164" s="188" t="s">
        <v>228</v>
      </c>
      <c r="F164" s="343">
        <f>IF(OR(Tableau145[[#This Row],[Type]]="Feuillus",Tableau145[[#This Row],[Type]]="Peupliers"),1.56,1.3)</f>
        <v>1.3</v>
      </c>
      <c r="I164" s="55">
        <v>159</v>
      </c>
      <c r="J164" s="33">
        <f t="shared" si="95"/>
        <v>0</v>
      </c>
      <c r="K164" s="33">
        <f t="shared" si="96"/>
        <v>0</v>
      </c>
      <c r="L164" s="33">
        <f t="shared" si="97"/>
        <v>0</v>
      </c>
      <c r="M164" s="33">
        <f t="shared" si="98"/>
        <v>0</v>
      </c>
      <c r="N164" s="33">
        <f t="shared" si="78"/>
        <v>0</v>
      </c>
      <c r="O164" s="34">
        <f t="shared" si="79"/>
        <v>0</v>
      </c>
      <c r="P164" s="55">
        <v>159</v>
      </c>
      <c r="Q164" s="33">
        <f t="shared" si="93"/>
        <v>0</v>
      </c>
      <c r="R164" s="33">
        <f t="shared" si="99"/>
        <v>0</v>
      </c>
      <c r="S164" s="33">
        <f t="shared" si="100"/>
        <v>0</v>
      </c>
      <c r="T164" s="33">
        <f t="shared" si="80"/>
        <v>0</v>
      </c>
      <c r="U164" s="33">
        <f t="shared" si="94"/>
        <v>0</v>
      </c>
      <c r="V164" s="33">
        <f t="shared" si="81"/>
        <v>0</v>
      </c>
      <c r="W164" s="33">
        <v>0</v>
      </c>
      <c r="X164" s="33">
        <f t="shared" si="82"/>
        <v>0</v>
      </c>
      <c r="Y164" s="38">
        <f t="shared" si="83"/>
        <v>0</v>
      </c>
      <c r="AA164" s="71">
        <v>159</v>
      </c>
      <c r="AB164" s="33">
        <f t="shared" si="84"/>
        <v>0</v>
      </c>
      <c r="AC164" s="305">
        <f t="shared" si="85"/>
        <v>0</v>
      </c>
      <c r="AD164" s="100">
        <f t="shared" si="86"/>
        <v>0</v>
      </c>
      <c r="AE164" s="100">
        <f t="shared" si="87"/>
        <v>0</v>
      </c>
      <c r="AF164" s="194">
        <f t="shared" si="101"/>
        <v>0</v>
      </c>
      <c r="AG164" s="194">
        <f t="shared" si="102"/>
        <v>0</v>
      </c>
      <c r="AH164" s="194">
        <f t="shared" si="103"/>
        <v>0</v>
      </c>
      <c r="AI164" s="199">
        <f t="shared" si="104"/>
        <v>0</v>
      </c>
      <c r="AK164" s="71">
        <v>159</v>
      </c>
      <c r="AL164" s="33">
        <f t="shared" si="88"/>
        <v>0</v>
      </c>
      <c r="AM164" s="33">
        <f t="shared" si="89"/>
        <v>0</v>
      </c>
      <c r="AN164" s="33">
        <f t="shared" si="90"/>
        <v>0</v>
      </c>
      <c r="AO164" s="33">
        <f t="shared" si="91"/>
        <v>0</v>
      </c>
      <c r="AP164" s="33">
        <f t="shared" si="92"/>
        <v>0</v>
      </c>
      <c r="AQ164" s="194">
        <f t="shared" ref="AQ164:AQ205" si="105">IF($AK164&lt;=$F$18,$AL164*AM164,)</f>
        <v>0</v>
      </c>
      <c r="AR164" s="194">
        <f t="shared" ref="AR164:AR205" si="106">IF($AK164&lt;=$F$18,$AL164*AN164,)</f>
        <v>0</v>
      </c>
      <c r="AS164" s="194">
        <f t="shared" ref="AS164:AS205" si="107">IF($AK164&lt;=$F$18,$AL164*AO164,)</f>
        <v>0</v>
      </c>
      <c r="AT164" s="194">
        <f t="shared" ref="AT164:AT205" si="108">IF($AK164&lt;=$F$18,$AL164*AP164,)</f>
        <v>0</v>
      </c>
      <c r="AU164" s="33"/>
      <c r="AV164" s="33"/>
      <c r="AW164" s="33"/>
      <c r="AX164" s="33"/>
      <c r="AY164" s="76"/>
    </row>
    <row r="165" spans="3:51">
      <c r="C165" s="166" t="s">
        <v>40</v>
      </c>
      <c r="D165" s="4">
        <v>0.5</v>
      </c>
      <c r="E165" s="188" t="s">
        <v>227</v>
      </c>
      <c r="F165" s="343">
        <f>IF(OR(Tableau145[[#This Row],[Type]]="Feuillus",Tableau145[[#This Row],[Type]]="Peupliers"),1.56,1.3)</f>
        <v>1.56</v>
      </c>
      <c r="I165" s="55">
        <v>160</v>
      </c>
      <c r="J165" s="33">
        <f t="shared" si="95"/>
        <v>0</v>
      </c>
      <c r="K165" s="33">
        <f t="shared" si="96"/>
        <v>0</v>
      </c>
      <c r="L165" s="33">
        <f t="shared" si="97"/>
        <v>0</v>
      </c>
      <c r="M165" s="33">
        <f t="shared" si="98"/>
        <v>0</v>
      </c>
      <c r="N165" s="33">
        <f t="shared" si="78"/>
        <v>0</v>
      </c>
      <c r="O165" s="34">
        <f t="shared" si="79"/>
        <v>0</v>
      </c>
      <c r="P165" s="55">
        <v>160</v>
      </c>
      <c r="Q165" s="33">
        <f t="shared" si="93"/>
        <v>0</v>
      </c>
      <c r="R165" s="33">
        <f t="shared" si="99"/>
        <v>0</v>
      </c>
      <c r="S165" s="33">
        <f t="shared" si="100"/>
        <v>0</v>
      </c>
      <c r="T165" s="33">
        <f t="shared" si="80"/>
        <v>0</v>
      </c>
      <c r="U165" s="33">
        <f t="shared" si="94"/>
        <v>0</v>
      </c>
      <c r="V165" s="33">
        <f t="shared" si="81"/>
        <v>0</v>
      </c>
      <c r="W165" s="33">
        <v>0</v>
      </c>
      <c r="X165" s="33">
        <f t="shared" si="82"/>
        <v>0</v>
      </c>
      <c r="Y165" s="38">
        <f t="shared" si="83"/>
        <v>0</v>
      </c>
      <c r="AA165" s="71">
        <v>160</v>
      </c>
      <c r="AB165" s="33">
        <f t="shared" si="84"/>
        <v>0</v>
      </c>
      <c r="AC165" s="305">
        <f t="shared" si="85"/>
        <v>0</v>
      </c>
      <c r="AD165" s="100">
        <f t="shared" si="86"/>
        <v>0</v>
      </c>
      <c r="AE165" s="100">
        <f t="shared" si="87"/>
        <v>0</v>
      </c>
      <c r="AF165" s="194">
        <f t="shared" si="101"/>
        <v>0</v>
      </c>
      <c r="AG165" s="194">
        <f t="shared" si="102"/>
        <v>0</v>
      </c>
      <c r="AH165" s="194">
        <f t="shared" si="103"/>
        <v>0</v>
      </c>
      <c r="AI165" s="199">
        <f t="shared" si="104"/>
        <v>0</v>
      </c>
      <c r="AK165" s="71">
        <v>160</v>
      </c>
      <c r="AL165" s="33">
        <f t="shared" si="88"/>
        <v>0</v>
      </c>
      <c r="AM165" s="33">
        <f t="shared" si="89"/>
        <v>0</v>
      </c>
      <c r="AN165" s="33">
        <f t="shared" si="90"/>
        <v>0</v>
      </c>
      <c r="AO165" s="33">
        <f t="shared" si="91"/>
        <v>0</v>
      </c>
      <c r="AP165" s="33">
        <f t="shared" si="92"/>
        <v>0</v>
      </c>
      <c r="AQ165" s="194">
        <f t="shared" si="105"/>
        <v>0</v>
      </c>
      <c r="AR165" s="194">
        <f t="shared" si="106"/>
        <v>0</v>
      </c>
      <c r="AS165" s="194">
        <f t="shared" si="107"/>
        <v>0</v>
      </c>
      <c r="AT165" s="194">
        <f t="shared" si="108"/>
        <v>0</v>
      </c>
      <c r="AU165" s="33"/>
      <c r="AV165" s="33"/>
      <c r="AW165" s="33"/>
      <c r="AX165" s="33"/>
      <c r="AY165" s="76"/>
    </row>
    <row r="166" spans="3:51">
      <c r="C166" s="166" t="s">
        <v>41</v>
      </c>
      <c r="D166" s="4">
        <v>0.55000000000000004</v>
      </c>
      <c r="E166" s="188" t="s">
        <v>227</v>
      </c>
      <c r="F166" s="343">
        <f>IF(OR(Tableau145[[#This Row],[Type]]="Feuillus",Tableau145[[#This Row],[Type]]="Peupliers"),1.56,1.3)</f>
        <v>1.56</v>
      </c>
      <c r="I166" s="55">
        <v>161</v>
      </c>
      <c r="J166" s="33">
        <f t="shared" si="95"/>
        <v>0</v>
      </c>
      <c r="K166" s="33">
        <f t="shared" si="96"/>
        <v>0</v>
      </c>
      <c r="L166" s="33">
        <f t="shared" si="97"/>
        <v>0</v>
      </c>
      <c r="M166" s="33">
        <f t="shared" si="98"/>
        <v>0</v>
      </c>
      <c r="N166" s="33">
        <f t="shared" si="78"/>
        <v>0</v>
      </c>
      <c r="O166" s="34">
        <f t="shared" si="79"/>
        <v>0</v>
      </c>
      <c r="P166" s="55">
        <v>161</v>
      </c>
      <c r="Q166" s="33">
        <f t="shared" si="93"/>
        <v>0</v>
      </c>
      <c r="R166" s="33">
        <f t="shared" si="99"/>
        <v>0</v>
      </c>
      <c r="S166" s="33">
        <f t="shared" si="100"/>
        <v>0</v>
      </c>
      <c r="T166" s="33">
        <f t="shared" si="80"/>
        <v>0</v>
      </c>
      <c r="U166" s="33">
        <f t="shared" si="94"/>
        <v>0</v>
      </c>
      <c r="V166" s="33">
        <f t="shared" si="81"/>
        <v>0</v>
      </c>
      <c r="W166" s="33">
        <v>0</v>
      </c>
      <c r="X166" s="33">
        <f t="shared" si="82"/>
        <v>0</v>
      </c>
      <c r="Y166" s="38">
        <f t="shared" si="83"/>
        <v>0</v>
      </c>
      <c r="AA166" s="71">
        <v>161</v>
      </c>
      <c r="AB166" s="33">
        <f t="shared" si="84"/>
        <v>0</v>
      </c>
      <c r="AC166" s="305">
        <f t="shared" si="85"/>
        <v>0</v>
      </c>
      <c r="AD166" s="100">
        <f t="shared" si="86"/>
        <v>0</v>
      </c>
      <c r="AE166" s="100">
        <f t="shared" si="87"/>
        <v>0</v>
      </c>
      <c r="AF166" s="194">
        <f t="shared" si="101"/>
        <v>0</v>
      </c>
      <c r="AG166" s="194">
        <f t="shared" si="102"/>
        <v>0</v>
      </c>
      <c r="AH166" s="194">
        <f t="shared" si="103"/>
        <v>0</v>
      </c>
      <c r="AI166" s="199">
        <f t="shared" si="104"/>
        <v>0</v>
      </c>
      <c r="AK166" s="71">
        <v>161</v>
      </c>
      <c r="AL166" s="33">
        <f t="shared" si="88"/>
        <v>0</v>
      </c>
      <c r="AM166" s="33">
        <f t="shared" si="89"/>
        <v>0</v>
      </c>
      <c r="AN166" s="33">
        <f t="shared" si="90"/>
        <v>0</v>
      </c>
      <c r="AO166" s="33">
        <f t="shared" si="91"/>
        <v>0</v>
      </c>
      <c r="AP166" s="33">
        <f t="shared" si="92"/>
        <v>0</v>
      </c>
      <c r="AQ166" s="194">
        <f t="shared" si="105"/>
        <v>0</v>
      </c>
      <c r="AR166" s="194">
        <f t="shared" si="106"/>
        <v>0</v>
      </c>
      <c r="AS166" s="194">
        <f t="shared" si="107"/>
        <v>0</v>
      </c>
      <c r="AT166" s="194">
        <f t="shared" si="108"/>
        <v>0</v>
      </c>
      <c r="AU166" s="33"/>
      <c r="AV166" s="33"/>
      <c r="AW166" s="33"/>
      <c r="AX166" s="33"/>
      <c r="AY166" s="76"/>
    </row>
    <row r="167" spans="3:51">
      <c r="C167" s="166" t="s">
        <v>42</v>
      </c>
      <c r="D167" s="4">
        <v>0.53</v>
      </c>
      <c r="E167" s="188" t="s">
        <v>227</v>
      </c>
      <c r="F167" s="343">
        <f>IF(OR(Tableau145[[#This Row],[Type]]="Feuillus",Tableau145[[#This Row],[Type]]="Peupliers"),1.56,1.3)</f>
        <v>1.56</v>
      </c>
      <c r="I167" s="55">
        <v>162</v>
      </c>
      <c r="J167" s="33">
        <f t="shared" si="95"/>
        <v>0</v>
      </c>
      <c r="K167" s="33">
        <f t="shared" si="96"/>
        <v>0</v>
      </c>
      <c r="L167" s="33">
        <f t="shared" si="97"/>
        <v>0</v>
      </c>
      <c r="M167" s="33">
        <f t="shared" si="98"/>
        <v>0</v>
      </c>
      <c r="N167" s="33">
        <f t="shared" si="78"/>
        <v>0</v>
      </c>
      <c r="O167" s="34">
        <f t="shared" si="79"/>
        <v>0</v>
      </c>
      <c r="P167" s="55">
        <v>162</v>
      </c>
      <c r="Q167" s="33">
        <f t="shared" si="93"/>
        <v>0</v>
      </c>
      <c r="R167" s="33">
        <f t="shared" si="99"/>
        <v>0</v>
      </c>
      <c r="S167" s="33">
        <f t="shared" si="100"/>
        <v>0</v>
      </c>
      <c r="T167" s="33">
        <f t="shared" si="80"/>
        <v>0</v>
      </c>
      <c r="U167" s="33">
        <f t="shared" si="94"/>
        <v>0</v>
      </c>
      <c r="V167" s="33">
        <f t="shared" si="81"/>
        <v>0</v>
      </c>
      <c r="W167" s="33">
        <v>0</v>
      </c>
      <c r="X167" s="33">
        <f t="shared" si="82"/>
        <v>0</v>
      </c>
      <c r="Y167" s="38">
        <f t="shared" si="83"/>
        <v>0</v>
      </c>
      <c r="AA167" s="71">
        <v>162</v>
      </c>
      <c r="AB167" s="33">
        <f t="shared" si="84"/>
        <v>0</v>
      </c>
      <c r="AC167" s="305">
        <f t="shared" si="85"/>
        <v>0</v>
      </c>
      <c r="AD167" s="100">
        <f t="shared" si="86"/>
        <v>0</v>
      </c>
      <c r="AE167" s="100">
        <f t="shared" si="87"/>
        <v>0</v>
      </c>
      <c r="AF167" s="194">
        <f t="shared" si="101"/>
        <v>0</v>
      </c>
      <c r="AG167" s="194">
        <f t="shared" si="102"/>
        <v>0</v>
      </c>
      <c r="AH167" s="194">
        <f t="shared" si="103"/>
        <v>0</v>
      </c>
      <c r="AI167" s="199">
        <f t="shared" si="104"/>
        <v>0</v>
      </c>
      <c r="AK167" s="71">
        <v>162</v>
      </c>
      <c r="AL167" s="33">
        <f t="shared" si="88"/>
        <v>0</v>
      </c>
      <c r="AM167" s="33">
        <f t="shared" si="89"/>
        <v>0</v>
      </c>
      <c r="AN167" s="33">
        <f t="shared" si="90"/>
        <v>0</v>
      </c>
      <c r="AO167" s="33">
        <f t="shared" si="91"/>
        <v>0</v>
      </c>
      <c r="AP167" s="33">
        <f t="shared" si="92"/>
        <v>0</v>
      </c>
      <c r="AQ167" s="194">
        <f t="shared" si="105"/>
        <v>0</v>
      </c>
      <c r="AR167" s="194">
        <f t="shared" si="106"/>
        <v>0</v>
      </c>
      <c r="AS167" s="194">
        <f t="shared" si="107"/>
        <v>0</v>
      </c>
      <c r="AT167" s="194">
        <f t="shared" si="108"/>
        <v>0</v>
      </c>
      <c r="AU167" s="33"/>
      <c r="AV167" s="33"/>
      <c r="AW167" s="33"/>
      <c r="AX167" s="33"/>
      <c r="AY167" s="76"/>
    </row>
    <row r="168" spans="3:51">
      <c r="C168" s="166" t="s">
        <v>43</v>
      </c>
      <c r="D168" s="4">
        <v>0.52</v>
      </c>
      <c r="E168" s="188" t="s">
        <v>227</v>
      </c>
      <c r="F168" s="343">
        <f>IF(OR(Tableau145[[#This Row],[Type]]="Feuillus",Tableau145[[#This Row],[Type]]="Peupliers"),1.56,1.3)</f>
        <v>1.56</v>
      </c>
      <c r="I168" s="55">
        <v>163</v>
      </c>
      <c r="J168" s="33">
        <f t="shared" si="95"/>
        <v>0</v>
      </c>
      <c r="K168" s="33">
        <f t="shared" si="96"/>
        <v>0</v>
      </c>
      <c r="L168" s="33">
        <f t="shared" si="97"/>
        <v>0</v>
      </c>
      <c r="M168" s="33">
        <f t="shared" si="98"/>
        <v>0</v>
      </c>
      <c r="N168" s="33">
        <f t="shared" si="78"/>
        <v>0</v>
      </c>
      <c r="O168" s="34">
        <f t="shared" si="79"/>
        <v>0</v>
      </c>
      <c r="P168" s="55">
        <v>163</v>
      </c>
      <c r="Q168" s="33">
        <f t="shared" si="93"/>
        <v>0</v>
      </c>
      <c r="R168" s="33">
        <f t="shared" si="99"/>
        <v>0</v>
      </c>
      <c r="S168" s="33">
        <f t="shared" si="100"/>
        <v>0</v>
      </c>
      <c r="T168" s="33">
        <f t="shared" si="80"/>
        <v>0</v>
      </c>
      <c r="U168" s="33">
        <f t="shared" si="94"/>
        <v>0</v>
      </c>
      <c r="V168" s="33">
        <f t="shared" si="81"/>
        <v>0</v>
      </c>
      <c r="W168" s="33">
        <v>0</v>
      </c>
      <c r="X168" s="33">
        <f t="shared" si="82"/>
        <v>0</v>
      </c>
      <c r="Y168" s="38">
        <f t="shared" si="83"/>
        <v>0</v>
      </c>
      <c r="AA168" s="71">
        <v>163</v>
      </c>
      <c r="AB168" s="33">
        <f t="shared" si="84"/>
        <v>0</v>
      </c>
      <c r="AC168" s="305">
        <f t="shared" si="85"/>
        <v>0</v>
      </c>
      <c r="AD168" s="100">
        <f t="shared" si="86"/>
        <v>0</v>
      </c>
      <c r="AE168" s="100">
        <f t="shared" si="87"/>
        <v>0</v>
      </c>
      <c r="AF168" s="194">
        <f t="shared" si="101"/>
        <v>0</v>
      </c>
      <c r="AG168" s="194">
        <f t="shared" si="102"/>
        <v>0</v>
      </c>
      <c r="AH168" s="194">
        <f t="shared" si="103"/>
        <v>0</v>
      </c>
      <c r="AI168" s="199">
        <f t="shared" si="104"/>
        <v>0</v>
      </c>
      <c r="AK168" s="71">
        <v>163</v>
      </c>
      <c r="AL168" s="33">
        <f t="shared" si="88"/>
        <v>0</v>
      </c>
      <c r="AM168" s="33">
        <f t="shared" si="89"/>
        <v>0</v>
      </c>
      <c r="AN168" s="33">
        <f t="shared" si="90"/>
        <v>0</v>
      </c>
      <c r="AO168" s="33">
        <f t="shared" si="91"/>
        <v>0</v>
      </c>
      <c r="AP168" s="33">
        <f t="shared" si="92"/>
        <v>0</v>
      </c>
      <c r="AQ168" s="194">
        <f t="shared" si="105"/>
        <v>0</v>
      </c>
      <c r="AR168" s="194">
        <f t="shared" si="106"/>
        <v>0</v>
      </c>
      <c r="AS168" s="194">
        <f t="shared" si="107"/>
        <v>0</v>
      </c>
      <c r="AT168" s="194">
        <f t="shared" si="108"/>
        <v>0</v>
      </c>
      <c r="AU168" s="33"/>
      <c r="AV168" s="33"/>
      <c r="AW168" s="33"/>
      <c r="AX168" s="33"/>
      <c r="AY168" s="76"/>
    </row>
    <row r="169" spans="3:51">
      <c r="C169" s="166" t="s">
        <v>44</v>
      </c>
      <c r="D169" s="4">
        <v>0.52</v>
      </c>
      <c r="E169" s="188" t="s">
        <v>227</v>
      </c>
      <c r="F169" s="343">
        <f>IF(OR(Tableau145[[#This Row],[Type]]="Feuillus",Tableau145[[#This Row],[Type]]="Peupliers"),1.56,1.3)</f>
        <v>1.56</v>
      </c>
      <c r="I169" s="55">
        <v>164</v>
      </c>
      <c r="J169" s="33">
        <f t="shared" si="95"/>
        <v>0</v>
      </c>
      <c r="K169" s="33">
        <f t="shared" si="96"/>
        <v>0</v>
      </c>
      <c r="L169" s="33">
        <f t="shared" si="97"/>
        <v>0</v>
      </c>
      <c r="M169" s="33">
        <f t="shared" si="98"/>
        <v>0</v>
      </c>
      <c r="N169" s="33">
        <f t="shared" si="78"/>
        <v>0</v>
      </c>
      <c r="O169" s="34">
        <f t="shared" si="79"/>
        <v>0</v>
      </c>
      <c r="P169" s="55">
        <v>164</v>
      </c>
      <c r="Q169" s="33">
        <f t="shared" si="93"/>
        <v>0</v>
      </c>
      <c r="R169" s="33">
        <f t="shared" si="99"/>
        <v>0</v>
      </c>
      <c r="S169" s="33">
        <f t="shared" si="100"/>
        <v>0</v>
      </c>
      <c r="T169" s="33">
        <f t="shared" si="80"/>
        <v>0</v>
      </c>
      <c r="U169" s="33">
        <f t="shared" si="94"/>
        <v>0</v>
      </c>
      <c r="V169" s="33">
        <f t="shared" si="81"/>
        <v>0</v>
      </c>
      <c r="W169" s="33">
        <v>0</v>
      </c>
      <c r="X169" s="33">
        <f t="shared" si="82"/>
        <v>0</v>
      </c>
      <c r="Y169" s="38">
        <f t="shared" si="83"/>
        <v>0</v>
      </c>
      <c r="AA169" s="71">
        <v>164</v>
      </c>
      <c r="AB169" s="33">
        <f t="shared" si="84"/>
        <v>0</v>
      </c>
      <c r="AC169" s="305">
        <f t="shared" si="85"/>
        <v>0</v>
      </c>
      <c r="AD169" s="100">
        <f t="shared" si="86"/>
        <v>0</v>
      </c>
      <c r="AE169" s="100">
        <f t="shared" si="87"/>
        <v>0</v>
      </c>
      <c r="AF169" s="194">
        <f t="shared" si="101"/>
        <v>0</v>
      </c>
      <c r="AG169" s="194">
        <f t="shared" si="102"/>
        <v>0</v>
      </c>
      <c r="AH169" s="194">
        <f t="shared" si="103"/>
        <v>0</v>
      </c>
      <c r="AI169" s="199">
        <f t="shared" si="104"/>
        <v>0</v>
      </c>
      <c r="AK169" s="71">
        <v>164</v>
      </c>
      <c r="AL169" s="33">
        <f t="shared" si="88"/>
        <v>0</v>
      </c>
      <c r="AM169" s="33">
        <f t="shared" si="89"/>
        <v>0</v>
      </c>
      <c r="AN169" s="33">
        <f t="shared" si="90"/>
        <v>0</v>
      </c>
      <c r="AO169" s="33">
        <f t="shared" si="91"/>
        <v>0</v>
      </c>
      <c r="AP169" s="33">
        <f t="shared" si="92"/>
        <v>0</v>
      </c>
      <c r="AQ169" s="194">
        <f t="shared" si="105"/>
        <v>0</v>
      </c>
      <c r="AR169" s="194">
        <f t="shared" si="106"/>
        <v>0</v>
      </c>
      <c r="AS169" s="194">
        <f t="shared" si="107"/>
        <v>0</v>
      </c>
      <c r="AT169" s="194">
        <f t="shared" si="108"/>
        <v>0</v>
      </c>
      <c r="AU169" s="33"/>
      <c r="AV169" s="33"/>
      <c r="AW169" s="33"/>
      <c r="AX169" s="33"/>
      <c r="AY169" s="76"/>
    </row>
    <row r="170" spans="3:51">
      <c r="C170" s="166" t="s">
        <v>45</v>
      </c>
      <c r="D170" s="4">
        <v>0.75</v>
      </c>
      <c r="E170" s="188" t="s">
        <v>227</v>
      </c>
      <c r="F170" s="343">
        <f>IF(OR(Tableau145[[#This Row],[Type]]="Feuillus",Tableau145[[#This Row],[Type]]="Peupliers"),1.56,1.3)</f>
        <v>1.56</v>
      </c>
      <c r="I170" s="55">
        <v>165</v>
      </c>
      <c r="J170" s="33">
        <f t="shared" si="95"/>
        <v>0</v>
      </c>
      <c r="K170" s="33">
        <f t="shared" si="96"/>
        <v>0</v>
      </c>
      <c r="L170" s="33">
        <f t="shared" si="97"/>
        <v>0</v>
      </c>
      <c r="M170" s="33">
        <f t="shared" si="98"/>
        <v>0</v>
      </c>
      <c r="N170" s="33">
        <f t="shared" si="78"/>
        <v>0</v>
      </c>
      <c r="O170" s="34">
        <f t="shared" si="79"/>
        <v>0</v>
      </c>
      <c r="P170" s="55">
        <v>165</v>
      </c>
      <c r="Q170" s="33">
        <f t="shared" si="93"/>
        <v>0</v>
      </c>
      <c r="R170" s="33">
        <f t="shared" si="99"/>
        <v>0</v>
      </c>
      <c r="S170" s="33">
        <f t="shared" si="100"/>
        <v>0</v>
      </c>
      <c r="T170" s="33">
        <f t="shared" si="80"/>
        <v>0</v>
      </c>
      <c r="U170" s="33">
        <f t="shared" si="94"/>
        <v>0</v>
      </c>
      <c r="V170" s="33">
        <f t="shared" si="81"/>
        <v>0</v>
      </c>
      <c r="W170" s="33">
        <v>0</v>
      </c>
      <c r="X170" s="33">
        <f t="shared" si="82"/>
        <v>0</v>
      </c>
      <c r="Y170" s="38">
        <f t="shared" si="83"/>
        <v>0</v>
      </c>
      <c r="AA170" s="71">
        <v>165</v>
      </c>
      <c r="AB170" s="33">
        <f t="shared" si="84"/>
        <v>0</v>
      </c>
      <c r="AC170" s="305">
        <f t="shared" si="85"/>
        <v>0</v>
      </c>
      <c r="AD170" s="100">
        <f t="shared" si="86"/>
        <v>0</v>
      </c>
      <c r="AE170" s="100">
        <f t="shared" si="87"/>
        <v>0</v>
      </c>
      <c r="AF170" s="194">
        <f t="shared" si="101"/>
        <v>0</v>
      </c>
      <c r="AG170" s="194">
        <f t="shared" si="102"/>
        <v>0</v>
      </c>
      <c r="AH170" s="194">
        <f t="shared" si="103"/>
        <v>0</v>
      </c>
      <c r="AI170" s="199">
        <f t="shared" si="104"/>
        <v>0</v>
      </c>
      <c r="AK170" s="71">
        <v>165</v>
      </c>
      <c r="AL170" s="33">
        <f t="shared" si="88"/>
        <v>0</v>
      </c>
      <c r="AM170" s="33">
        <f t="shared" si="89"/>
        <v>0</v>
      </c>
      <c r="AN170" s="33">
        <f t="shared" si="90"/>
        <v>0</v>
      </c>
      <c r="AO170" s="33">
        <f t="shared" si="91"/>
        <v>0</v>
      </c>
      <c r="AP170" s="33">
        <f t="shared" si="92"/>
        <v>0</v>
      </c>
      <c r="AQ170" s="194">
        <f t="shared" si="105"/>
        <v>0</v>
      </c>
      <c r="AR170" s="194">
        <f t="shared" si="106"/>
        <v>0</v>
      </c>
      <c r="AS170" s="194">
        <f t="shared" si="107"/>
        <v>0</v>
      </c>
      <c r="AT170" s="194">
        <f t="shared" si="108"/>
        <v>0</v>
      </c>
      <c r="AU170" s="33"/>
      <c r="AV170" s="33"/>
      <c r="AW170" s="33"/>
      <c r="AX170" s="33"/>
      <c r="AY170" s="76"/>
    </row>
    <row r="171" spans="3:51">
      <c r="C171" s="166" t="s">
        <v>46</v>
      </c>
      <c r="D171" s="4">
        <v>0.52</v>
      </c>
      <c r="E171" s="188" t="s">
        <v>227</v>
      </c>
      <c r="F171" s="343">
        <f>IF(OR(Tableau145[[#This Row],[Type]]="Feuillus",Tableau145[[#This Row],[Type]]="Peupliers"),1.56,1.3)</f>
        <v>1.56</v>
      </c>
      <c r="I171" s="55">
        <v>166</v>
      </c>
      <c r="J171" s="33">
        <f t="shared" si="95"/>
        <v>0</v>
      </c>
      <c r="K171" s="33">
        <f t="shared" si="96"/>
        <v>0</v>
      </c>
      <c r="L171" s="33">
        <f t="shared" si="97"/>
        <v>0</v>
      </c>
      <c r="M171" s="33">
        <f t="shared" si="98"/>
        <v>0</v>
      </c>
      <c r="N171" s="33">
        <f t="shared" si="78"/>
        <v>0</v>
      </c>
      <c r="O171" s="34">
        <f t="shared" si="79"/>
        <v>0</v>
      </c>
      <c r="P171" s="55">
        <v>166</v>
      </c>
      <c r="Q171" s="33">
        <f t="shared" si="93"/>
        <v>0</v>
      </c>
      <c r="R171" s="33">
        <f t="shared" si="99"/>
        <v>0</v>
      </c>
      <c r="S171" s="33">
        <f t="shared" si="100"/>
        <v>0</v>
      </c>
      <c r="T171" s="33">
        <f t="shared" si="80"/>
        <v>0</v>
      </c>
      <c r="U171" s="33">
        <f t="shared" si="94"/>
        <v>0</v>
      </c>
      <c r="V171" s="33">
        <f t="shared" si="81"/>
        <v>0</v>
      </c>
      <c r="W171" s="33">
        <v>0</v>
      </c>
      <c r="X171" s="33">
        <f t="shared" si="82"/>
        <v>0</v>
      </c>
      <c r="Y171" s="38">
        <f t="shared" si="83"/>
        <v>0</v>
      </c>
      <c r="AA171" s="71">
        <v>166</v>
      </c>
      <c r="AB171" s="33">
        <f t="shared" si="84"/>
        <v>0</v>
      </c>
      <c r="AC171" s="305">
        <f t="shared" si="85"/>
        <v>0</v>
      </c>
      <c r="AD171" s="100">
        <f t="shared" si="86"/>
        <v>0</v>
      </c>
      <c r="AE171" s="100">
        <f t="shared" si="87"/>
        <v>0</v>
      </c>
      <c r="AF171" s="194">
        <f t="shared" si="101"/>
        <v>0</v>
      </c>
      <c r="AG171" s="194">
        <f t="shared" si="102"/>
        <v>0</v>
      </c>
      <c r="AH171" s="194">
        <f t="shared" si="103"/>
        <v>0</v>
      </c>
      <c r="AI171" s="199">
        <f t="shared" si="104"/>
        <v>0</v>
      </c>
      <c r="AK171" s="71">
        <v>166</v>
      </c>
      <c r="AL171" s="33">
        <f t="shared" si="88"/>
        <v>0</v>
      </c>
      <c r="AM171" s="33">
        <f t="shared" si="89"/>
        <v>0</v>
      </c>
      <c r="AN171" s="33">
        <f t="shared" si="90"/>
        <v>0</v>
      </c>
      <c r="AO171" s="33">
        <f t="shared" si="91"/>
        <v>0</v>
      </c>
      <c r="AP171" s="33">
        <f t="shared" si="92"/>
        <v>0</v>
      </c>
      <c r="AQ171" s="194">
        <f t="shared" si="105"/>
        <v>0</v>
      </c>
      <c r="AR171" s="194">
        <f t="shared" si="106"/>
        <v>0</v>
      </c>
      <c r="AS171" s="194">
        <f t="shared" si="107"/>
        <v>0</v>
      </c>
      <c r="AT171" s="194">
        <f t="shared" si="108"/>
        <v>0</v>
      </c>
      <c r="AU171" s="33"/>
      <c r="AV171" s="33"/>
      <c r="AW171" s="33"/>
      <c r="AX171" s="33"/>
      <c r="AY171" s="76"/>
    </row>
    <row r="172" spans="3:51">
      <c r="C172" s="166" t="s">
        <v>47</v>
      </c>
      <c r="D172" s="4">
        <v>0.35</v>
      </c>
      <c r="E172" s="188" t="s">
        <v>229</v>
      </c>
      <c r="F172" s="343">
        <f>IF(OR(Tableau145[[#This Row],[Type]]="Feuillus",Tableau145[[#This Row],[Type]]="Peupliers"),1.56,1.3)</f>
        <v>1.56</v>
      </c>
      <c r="I172" s="55">
        <v>167</v>
      </c>
      <c r="J172" s="33">
        <f t="shared" si="95"/>
        <v>0</v>
      </c>
      <c r="K172" s="33">
        <f t="shared" si="96"/>
        <v>0</v>
      </c>
      <c r="L172" s="33">
        <f t="shared" si="97"/>
        <v>0</v>
      </c>
      <c r="M172" s="33">
        <f t="shared" si="98"/>
        <v>0</v>
      </c>
      <c r="N172" s="33">
        <f t="shared" si="78"/>
        <v>0</v>
      </c>
      <c r="O172" s="34">
        <f t="shared" si="79"/>
        <v>0</v>
      </c>
      <c r="P172" s="55">
        <v>167</v>
      </c>
      <c r="Q172" s="33">
        <f t="shared" si="93"/>
        <v>0</v>
      </c>
      <c r="R172" s="33">
        <f t="shared" si="99"/>
        <v>0</v>
      </c>
      <c r="S172" s="33">
        <f t="shared" si="100"/>
        <v>0</v>
      </c>
      <c r="T172" s="33">
        <f t="shared" si="80"/>
        <v>0</v>
      </c>
      <c r="U172" s="33">
        <f t="shared" si="94"/>
        <v>0</v>
      </c>
      <c r="V172" s="33">
        <f t="shared" si="81"/>
        <v>0</v>
      </c>
      <c r="W172" s="33">
        <v>0</v>
      </c>
      <c r="X172" s="33">
        <f t="shared" si="82"/>
        <v>0</v>
      </c>
      <c r="Y172" s="38">
        <f t="shared" si="83"/>
        <v>0</v>
      </c>
      <c r="AA172" s="71">
        <v>167</v>
      </c>
      <c r="AB172" s="33">
        <f t="shared" si="84"/>
        <v>0</v>
      </c>
      <c r="AC172" s="305">
        <f t="shared" si="85"/>
        <v>0</v>
      </c>
      <c r="AD172" s="100">
        <f t="shared" si="86"/>
        <v>0</v>
      </c>
      <c r="AE172" s="100">
        <f t="shared" si="87"/>
        <v>0</v>
      </c>
      <c r="AF172" s="194">
        <f t="shared" si="101"/>
        <v>0</v>
      </c>
      <c r="AG172" s="194">
        <f t="shared" si="102"/>
        <v>0</v>
      </c>
      <c r="AH172" s="194">
        <f t="shared" si="103"/>
        <v>0</v>
      </c>
      <c r="AI172" s="199">
        <f t="shared" si="104"/>
        <v>0</v>
      </c>
      <c r="AK172" s="71">
        <v>167</v>
      </c>
      <c r="AL172" s="33">
        <f t="shared" si="88"/>
        <v>0</v>
      </c>
      <c r="AM172" s="33">
        <f t="shared" si="89"/>
        <v>0</v>
      </c>
      <c r="AN172" s="33">
        <f t="shared" si="90"/>
        <v>0</v>
      </c>
      <c r="AO172" s="33">
        <f t="shared" si="91"/>
        <v>0</v>
      </c>
      <c r="AP172" s="33">
        <f t="shared" si="92"/>
        <v>0</v>
      </c>
      <c r="AQ172" s="194">
        <f t="shared" si="105"/>
        <v>0</v>
      </c>
      <c r="AR172" s="194">
        <f t="shared" si="106"/>
        <v>0</v>
      </c>
      <c r="AS172" s="194">
        <f t="shared" si="107"/>
        <v>0</v>
      </c>
      <c r="AT172" s="194">
        <f t="shared" si="108"/>
        <v>0</v>
      </c>
      <c r="AU172" s="33"/>
      <c r="AV172" s="33"/>
      <c r="AW172" s="33"/>
      <c r="AX172" s="33"/>
      <c r="AY172" s="76"/>
    </row>
    <row r="173" spans="3:51">
      <c r="C173" s="166" t="s">
        <v>48</v>
      </c>
      <c r="D173" s="4">
        <v>0.37</v>
      </c>
      <c r="E173" s="188" t="s">
        <v>227</v>
      </c>
      <c r="F173" s="343">
        <f>IF(OR(Tableau145[[#This Row],[Type]]="Feuillus",Tableau145[[#This Row],[Type]]="Peupliers"),1.56,1.3)</f>
        <v>1.56</v>
      </c>
      <c r="I173" s="55">
        <v>168</v>
      </c>
      <c r="J173" s="33">
        <f t="shared" si="95"/>
        <v>0</v>
      </c>
      <c r="K173" s="33">
        <f t="shared" si="96"/>
        <v>0</v>
      </c>
      <c r="L173" s="33">
        <f t="shared" si="97"/>
        <v>0</v>
      </c>
      <c r="M173" s="33">
        <f t="shared" si="98"/>
        <v>0</v>
      </c>
      <c r="N173" s="33">
        <f t="shared" si="78"/>
        <v>0</v>
      </c>
      <c r="O173" s="34">
        <f t="shared" si="79"/>
        <v>0</v>
      </c>
      <c r="P173" s="55">
        <v>168</v>
      </c>
      <c r="Q173" s="33">
        <f t="shared" si="93"/>
        <v>0</v>
      </c>
      <c r="R173" s="33">
        <f t="shared" si="99"/>
        <v>0</v>
      </c>
      <c r="S173" s="33">
        <f t="shared" si="100"/>
        <v>0</v>
      </c>
      <c r="T173" s="33">
        <f t="shared" si="80"/>
        <v>0</v>
      </c>
      <c r="U173" s="33">
        <f t="shared" si="94"/>
        <v>0</v>
      </c>
      <c r="V173" s="33">
        <f t="shared" si="81"/>
        <v>0</v>
      </c>
      <c r="W173" s="33">
        <v>0</v>
      </c>
      <c r="X173" s="33">
        <f t="shared" si="82"/>
        <v>0</v>
      </c>
      <c r="Y173" s="38">
        <f t="shared" si="83"/>
        <v>0</v>
      </c>
      <c r="AA173" s="71">
        <v>168</v>
      </c>
      <c r="AB173" s="33">
        <f t="shared" si="84"/>
        <v>0</v>
      </c>
      <c r="AC173" s="305">
        <f t="shared" si="85"/>
        <v>0</v>
      </c>
      <c r="AD173" s="100">
        <f t="shared" si="86"/>
        <v>0</v>
      </c>
      <c r="AE173" s="100">
        <f t="shared" si="87"/>
        <v>0</v>
      </c>
      <c r="AF173" s="194">
        <f t="shared" si="101"/>
        <v>0</v>
      </c>
      <c r="AG173" s="194">
        <f t="shared" si="102"/>
        <v>0</v>
      </c>
      <c r="AH173" s="194">
        <f t="shared" si="103"/>
        <v>0</v>
      </c>
      <c r="AI173" s="199">
        <f t="shared" si="104"/>
        <v>0</v>
      </c>
      <c r="AK173" s="71">
        <v>168</v>
      </c>
      <c r="AL173" s="33">
        <f t="shared" si="88"/>
        <v>0</v>
      </c>
      <c r="AM173" s="33">
        <f t="shared" si="89"/>
        <v>0</v>
      </c>
      <c r="AN173" s="33">
        <f t="shared" si="90"/>
        <v>0</v>
      </c>
      <c r="AO173" s="33">
        <f t="shared" si="91"/>
        <v>0</v>
      </c>
      <c r="AP173" s="33">
        <f t="shared" si="92"/>
        <v>0</v>
      </c>
      <c r="AQ173" s="194">
        <f t="shared" si="105"/>
        <v>0</v>
      </c>
      <c r="AR173" s="194">
        <f t="shared" si="106"/>
        <v>0</v>
      </c>
      <c r="AS173" s="194">
        <f t="shared" si="107"/>
        <v>0</v>
      </c>
      <c r="AT173" s="194">
        <f t="shared" si="108"/>
        <v>0</v>
      </c>
      <c r="AU173" s="33"/>
      <c r="AV173" s="33"/>
      <c r="AW173" s="33"/>
      <c r="AX173" s="33"/>
      <c r="AY173" s="76"/>
    </row>
    <row r="174" spans="3:51">
      <c r="C174" s="166" t="s">
        <v>49</v>
      </c>
      <c r="D174" s="4">
        <v>0.45</v>
      </c>
      <c r="E174" s="188" t="s">
        <v>228</v>
      </c>
      <c r="F174" s="343">
        <f>IF(OR(Tableau145[[#This Row],[Type]]="Feuillus",Tableau145[[#This Row],[Type]]="Peupliers"),1.56,1.3)</f>
        <v>1.3</v>
      </c>
      <c r="I174" s="55">
        <v>169</v>
      </c>
      <c r="J174" s="33">
        <f t="shared" si="95"/>
        <v>0</v>
      </c>
      <c r="K174" s="33">
        <f t="shared" si="96"/>
        <v>0</v>
      </c>
      <c r="L174" s="33">
        <f t="shared" si="97"/>
        <v>0</v>
      </c>
      <c r="M174" s="33">
        <f t="shared" si="98"/>
        <v>0</v>
      </c>
      <c r="N174" s="33">
        <f t="shared" si="78"/>
        <v>0</v>
      </c>
      <c r="O174" s="34">
        <f t="shared" si="79"/>
        <v>0</v>
      </c>
      <c r="P174" s="55">
        <v>169</v>
      </c>
      <c r="Q174" s="33">
        <f t="shared" si="93"/>
        <v>0</v>
      </c>
      <c r="R174" s="33">
        <f t="shared" si="99"/>
        <v>0</v>
      </c>
      <c r="S174" s="33">
        <f t="shared" si="100"/>
        <v>0</v>
      </c>
      <c r="T174" s="33">
        <f t="shared" si="80"/>
        <v>0</v>
      </c>
      <c r="U174" s="33">
        <f t="shared" si="94"/>
        <v>0</v>
      </c>
      <c r="V174" s="33">
        <f t="shared" si="81"/>
        <v>0</v>
      </c>
      <c r="W174" s="33">
        <v>0</v>
      </c>
      <c r="X174" s="33">
        <f t="shared" si="82"/>
        <v>0</v>
      </c>
      <c r="Y174" s="38">
        <f t="shared" si="83"/>
        <v>0</v>
      </c>
      <c r="AA174" s="71">
        <v>169</v>
      </c>
      <c r="AB174" s="33">
        <f t="shared" si="84"/>
        <v>0</v>
      </c>
      <c r="AC174" s="305">
        <f t="shared" si="85"/>
        <v>0</v>
      </c>
      <c r="AD174" s="100">
        <f t="shared" si="86"/>
        <v>0</v>
      </c>
      <c r="AE174" s="100">
        <f t="shared" si="87"/>
        <v>0</v>
      </c>
      <c r="AF174" s="194">
        <f t="shared" si="101"/>
        <v>0</v>
      </c>
      <c r="AG174" s="194">
        <f t="shared" si="102"/>
        <v>0</v>
      </c>
      <c r="AH174" s="194">
        <f t="shared" si="103"/>
        <v>0</v>
      </c>
      <c r="AI174" s="199">
        <f t="shared" si="104"/>
        <v>0</v>
      </c>
      <c r="AK174" s="71">
        <v>169</v>
      </c>
      <c r="AL174" s="33">
        <f t="shared" si="88"/>
        <v>0</v>
      </c>
      <c r="AM174" s="33">
        <f t="shared" si="89"/>
        <v>0</v>
      </c>
      <c r="AN174" s="33">
        <f t="shared" si="90"/>
        <v>0</v>
      </c>
      <c r="AO174" s="33">
        <f t="shared" si="91"/>
        <v>0</v>
      </c>
      <c r="AP174" s="33">
        <f t="shared" si="92"/>
        <v>0</v>
      </c>
      <c r="AQ174" s="194">
        <f t="shared" si="105"/>
        <v>0</v>
      </c>
      <c r="AR174" s="194">
        <f t="shared" si="106"/>
        <v>0</v>
      </c>
      <c r="AS174" s="194">
        <f t="shared" si="107"/>
        <v>0</v>
      </c>
      <c r="AT174" s="194">
        <f t="shared" si="108"/>
        <v>0</v>
      </c>
      <c r="AU174" s="33"/>
      <c r="AV174" s="33"/>
      <c r="AW174" s="33"/>
      <c r="AX174" s="33"/>
      <c r="AY174" s="76"/>
    </row>
    <row r="175" spans="3:51">
      <c r="C175" s="166" t="s">
        <v>50</v>
      </c>
      <c r="D175" s="4">
        <v>0.39</v>
      </c>
      <c r="E175" s="188" t="s">
        <v>228</v>
      </c>
      <c r="F175" s="343">
        <f>IF(OR(Tableau145[[#This Row],[Type]]="Feuillus",Tableau145[[#This Row],[Type]]="Peupliers"),1.56,1.3)</f>
        <v>1.3</v>
      </c>
      <c r="I175" s="55">
        <v>170</v>
      </c>
      <c r="J175" s="33">
        <f t="shared" si="95"/>
        <v>0</v>
      </c>
      <c r="K175" s="33">
        <f t="shared" si="96"/>
        <v>0</v>
      </c>
      <c r="L175" s="33">
        <f t="shared" si="97"/>
        <v>0</v>
      </c>
      <c r="M175" s="33">
        <f t="shared" si="98"/>
        <v>0</v>
      </c>
      <c r="N175" s="33">
        <f t="shared" si="78"/>
        <v>0</v>
      </c>
      <c r="O175" s="34">
        <f t="shared" si="79"/>
        <v>0</v>
      </c>
      <c r="P175" s="55">
        <v>170</v>
      </c>
      <c r="Q175" s="33">
        <f t="shared" si="93"/>
        <v>0</v>
      </c>
      <c r="R175" s="33">
        <f t="shared" si="99"/>
        <v>0</v>
      </c>
      <c r="S175" s="33">
        <f t="shared" si="100"/>
        <v>0</v>
      </c>
      <c r="T175" s="33">
        <f t="shared" si="80"/>
        <v>0</v>
      </c>
      <c r="U175" s="33">
        <f t="shared" si="94"/>
        <v>0</v>
      </c>
      <c r="V175" s="33">
        <f t="shared" si="81"/>
        <v>0</v>
      </c>
      <c r="W175" s="33">
        <v>0</v>
      </c>
      <c r="X175" s="33">
        <f t="shared" si="82"/>
        <v>0</v>
      </c>
      <c r="Y175" s="38">
        <f t="shared" si="83"/>
        <v>0</v>
      </c>
      <c r="AA175" s="71">
        <v>170</v>
      </c>
      <c r="AB175" s="33">
        <f t="shared" si="84"/>
        <v>0</v>
      </c>
      <c r="AC175" s="305">
        <f t="shared" si="85"/>
        <v>0</v>
      </c>
      <c r="AD175" s="100">
        <f t="shared" si="86"/>
        <v>0</v>
      </c>
      <c r="AE175" s="100">
        <f t="shared" si="87"/>
        <v>0</v>
      </c>
      <c r="AF175" s="194">
        <f t="shared" si="101"/>
        <v>0</v>
      </c>
      <c r="AG175" s="194">
        <f t="shared" si="102"/>
        <v>0</v>
      </c>
      <c r="AH175" s="194">
        <f t="shared" si="103"/>
        <v>0</v>
      </c>
      <c r="AI175" s="199">
        <f t="shared" si="104"/>
        <v>0</v>
      </c>
      <c r="AK175" s="71">
        <v>170</v>
      </c>
      <c r="AL175" s="33">
        <f t="shared" si="88"/>
        <v>0</v>
      </c>
      <c r="AM175" s="33">
        <f t="shared" si="89"/>
        <v>0</v>
      </c>
      <c r="AN175" s="33">
        <f t="shared" si="90"/>
        <v>0</v>
      </c>
      <c r="AO175" s="33">
        <f t="shared" si="91"/>
        <v>0</v>
      </c>
      <c r="AP175" s="33">
        <f t="shared" si="92"/>
        <v>0</v>
      </c>
      <c r="AQ175" s="194">
        <f t="shared" si="105"/>
        <v>0</v>
      </c>
      <c r="AR175" s="194">
        <f t="shared" si="106"/>
        <v>0</v>
      </c>
      <c r="AS175" s="194">
        <f t="shared" si="107"/>
        <v>0</v>
      </c>
      <c r="AT175" s="194">
        <f t="shared" si="108"/>
        <v>0</v>
      </c>
      <c r="AU175" s="33"/>
      <c r="AV175" s="33"/>
      <c r="AW175" s="33"/>
      <c r="AX175" s="33"/>
      <c r="AY175" s="76"/>
    </row>
    <row r="176" spans="3:51">
      <c r="C176" s="166" t="s">
        <v>51</v>
      </c>
      <c r="D176" s="4">
        <v>0.44</v>
      </c>
      <c r="E176" s="188" t="s">
        <v>228</v>
      </c>
      <c r="F176" s="343">
        <f>IF(OR(Tableau145[[#This Row],[Type]]="Feuillus",Tableau145[[#This Row],[Type]]="Peupliers"),1.56,1.3)</f>
        <v>1.3</v>
      </c>
      <c r="I176" s="55">
        <v>171</v>
      </c>
      <c r="J176" s="33">
        <f t="shared" si="95"/>
        <v>0</v>
      </c>
      <c r="K176" s="33">
        <f t="shared" si="96"/>
        <v>0</v>
      </c>
      <c r="L176" s="33">
        <f t="shared" si="97"/>
        <v>0</v>
      </c>
      <c r="M176" s="33">
        <f t="shared" si="98"/>
        <v>0</v>
      </c>
      <c r="N176" s="33">
        <f t="shared" si="78"/>
        <v>0</v>
      </c>
      <c r="O176" s="34">
        <f t="shared" si="79"/>
        <v>0</v>
      </c>
      <c r="P176" s="55">
        <v>171</v>
      </c>
      <c r="Q176" s="33">
        <f t="shared" si="93"/>
        <v>0</v>
      </c>
      <c r="R176" s="33">
        <f t="shared" si="99"/>
        <v>0</v>
      </c>
      <c r="S176" s="33">
        <f t="shared" si="100"/>
        <v>0</v>
      </c>
      <c r="T176" s="33">
        <f t="shared" si="80"/>
        <v>0</v>
      </c>
      <c r="U176" s="33">
        <f t="shared" si="94"/>
        <v>0</v>
      </c>
      <c r="V176" s="33">
        <f t="shared" si="81"/>
        <v>0</v>
      </c>
      <c r="W176" s="33">
        <v>0</v>
      </c>
      <c r="X176" s="33">
        <f t="shared" si="82"/>
        <v>0</v>
      </c>
      <c r="Y176" s="38">
        <f t="shared" si="83"/>
        <v>0</v>
      </c>
      <c r="AA176" s="71">
        <v>171</v>
      </c>
      <c r="AB176" s="33">
        <f t="shared" si="84"/>
        <v>0</v>
      </c>
      <c r="AC176" s="305">
        <f t="shared" si="85"/>
        <v>0</v>
      </c>
      <c r="AD176" s="100">
        <f t="shared" si="86"/>
        <v>0</v>
      </c>
      <c r="AE176" s="100">
        <f t="shared" si="87"/>
        <v>0</v>
      </c>
      <c r="AF176" s="194">
        <f t="shared" si="101"/>
        <v>0</v>
      </c>
      <c r="AG176" s="194">
        <f t="shared" si="102"/>
        <v>0</v>
      </c>
      <c r="AH176" s="194">
        <f t="shared" si="103"/>
        <v>0</v>
      </c>
      <c r="AI176" s="199">
        <f t="shared" si="104"/>
        <v>0</v>
      </c>
      <c r="AK176" s="71">
        <v>171</v>
      </c>
      <c r="AL176" s="33">
        <f t="shared" si="88"/>
        <v>0</v>
      </c>
      <c r="AM176" s="33">
        <f t="shared" si="89"/>
        <v>0</v>
      </c>
      <c r="AN176" s="33">
        <f t="shared" si="90"/>
        <v>0</v>
      </c>
      <c r="AO176" s="33">
        <f t="shared" si="91"/>
        <v>0</v>
      </c>
      <c r="AP176" s="33">
        <f t="shared" si="92"/>
        <v>0</v>
      </c>
      <c r="AQ176" s="194">
        <f t="shared" si="105"/>
        <v>0</v>
      </c>
      <c r="AR176" s="194">
        <f t="shared" si="106"/>
        <v>0</v>
      </c>
      <c r="AS176" s="194">
        <f t="shared" si="107"/>
        <v>0</v>
      </c>
      <c r="AT176" s="194">
        <f t="shared" si="108"/>
        <v>0</v>
      </c>
      <c r="AU176" s="33"/>
      <c r="AV176" s="33"/>
      <c r="AW176" s="33"/>
      <c r="AX176" s="33"/>
      <c r="AY176" s="76"/>
    </row>
    <row r="177" spans="3:51">
      <c r="C177" s="166" t="s">
        <v>52</v>
      </c>
      <c r="D177" s="4">
        <v>0.46</v>
      </c>
      <c r="E177" s="188" t="s">
        <v>228</v>
      </c>
      <c r="F177" s="343">
        <f>IF(OR(Tableau145[[#This Row],[Type]]="Feuillus",Tableau145[[#This Row],[Type]]="Peupliers"),1.56,1.3)</f>
        <v>1.3</v>
      </c>
      <c r="I177" s="55">
        <v>172</v>
      </c>
      <c r="J177" s="33">
        <f t="shared" si="95"/>
        <v>0</v>
      </c>
      <c r="K177" s="33">
        <f t="shared" si="96"/>
        <v>0</v>
      </c>
      <c r="L177" s="33">
        <f t="shared" si="97"/>
        <v>0</v>
      </c>
      <c r="M177" s="33">
        <f t="shared" si="98"/>
        <v>0</v>
      </c>
      <c r="N177" s="33">
        <f t="shared" si="78"/>
        <v>0</v>
      </c>
      <c r="O177" s="34">
        <f t="shared" si="79"/>
        <v>0</v>
      </c>
      <c r="P177" s="55">
        <v>172</v>
      </c>
      <c r="Q177" s="33">
        <f t="shared" si="93"/>
        <v>0</v>
      </c>
      <c r="R177" s="33">
        <f t="shared" si="99"/>
        <v>0</v>
      </c>
      <c r="S177" s="33">
        <f t="shared" si="100"/>
        <v>0</v>
      </c>
      <c r="T177" s="33">
        <f t="shared" si="80"/>
        <v>0</v>
      </c>
      <c r="U177" s="33">
        <f t="shared" si="94"/>
        <v>0</v>
      </c>
      <c r="V177" s="33">
        <f t="shared" si="81"/>
        <v>0</v>
      </c>
      <c r="W177" s="33">
        <v>0</v>
      </c>
      <c r="X177" s="33">
        <f t="shared" si="82"/>
        <v>0</v>
      </c>
      <c r="Y177" s="38">
        <f t="shared" si="83"/>
        <v>0</v>
      </c>
      <c r="AA177" s="71">
        <v>172</v>
      </c>
      <c r="AB177" s="33">
        <f t="shared" si="84"/>
        <v>0</v>
      </c>
      <c r="AC177" s="305">
        <f t="shared" si="85"/>
        <v>0</v>
      </c>
      <c r="AD177" s="100">
        <f t="shared" si="86"/>
        <v>0</v>
      </c>
      <c r="AE177" s="100">
        <f t="shared" si="87"/>
        <v>0</v>
      </c>
      <c r="AF177" s="194">
        <f t="shared" si="101"/>
        <v>0</v>
      </c>
      <c r="AG177" s="194">
        <f t="shared" si="102"/>
        <v>0</v>
      </c>
      <c r="AH177" s="194">
        <f t="shared" si="103"/>
        <v>0</v>
      </c>
      <c r="AI177" s="199">
        <f t="shared" si="104"/>
        <v>0</v>
      </c>
      <c r="AK177" s="71">
        <v>172</v>
      </c>
      <c r="AL177" s="33">
        <f t="shared" si="88"/>
        <v>0</v>
      </c>
      <c r="AM177" s="33">
        <f t="shared" si="89"/>
        <v>0</v>
      </c>
      <c r="AN177" s="33">
        <f t="shared" si="90"/>
        <v>0</v>
      </c>
      <c r="AO177" s="33">
        <f t="shared" si="91"/>
        <v>0</v>
      </c>
      <c r="AP177" s="33">
        <f t="shared" si="92"/>
        <v>0</v>
      </c>
      <c r="AQ177" s="194">
        <f t="shared" si="105"/>
        <v>0</v>
      </c>
      <c r="AR177" s="194">
        <f t="shared" si="106"/>
        <v>0</v>
      </c>
      <c r="AS177" s="194">
        <f t="shared" si="107"/>
        <v>0</v>
      </c>
      <c r="AT177" s="194">
        <f t="shared" si="108"/>
        <v>0</v>
      </c>
      <c r="AU177" s="33"/>
      <c r="AV177" s="33"/>
      <c r="AW177" s="33"/>
      <c r="AX177" s="33"/>
      <c r="AY177" s="76"/>
    </row>
    <row r="178" spans="3:51" ht="30">
      <c r="C178" s="166" t="s">
        <v>53</v>
      </c>
      <c r="D178" s="4">
        <v>0.46</v>
      </c>
      <c r="E178" s="188" t="s">
        <v>230</v>
      </c>
      <c r="F178" s="343">
        <f>IF(OR(Tableau145[[#This Row],[Type]]="Feuillus",Tableau145[[#This Row],[Type]]="Peupliers"),1.56,1.3)</f>
        <v>1.3</v>
      </c>
      <c r="I178" s="55">
        <v>173</v>
      </c>
      <c r="J178" s="33">
        <f t="shared" si="95"/>
        <v>0</v>
      </c>
      <c r="K178" s="33">
        <f t="shared" si="96"/>
        <v>0</v>
      </c>
      <c r="L178" s="33">
        <f t="shared" si="97"/>
        <v>0</v>
      </c>
      <c r="M178" s="33">
        <f t="shared" si="98"/>
        <v>0</v>
      </c>
      <c r="N178" s="33">
        <f t="shared" si="78"/>
        <v>0</v>
      </c>
      <c r="O178" s="34">
        <f t="shared" si="79"/>
        <v>0</v>
      </c>
      <c r="P178" s="55">
        <v>173</v>
      </c>
      <c r="Q178" s="33">
        <f t="shared" si="93"/>
        <v>0</v>
      </c>
      <c r="R178" s="33">
        <f t="shared" si="99"/>
        <v>0</v>
      </c>
      <c r="S178" s="33">
        <f t="shared" si="100"/>
        <v>0</v>
      </c>
      <c r="T178" s="33">
        <f t="shared" si="80"/>
        <v>0</v>
      </c>
      <c r="U178" s="33">
        <f t="shared" si="94"/>
        <v>0</v>
      </c>
      <c r="V178" s="33">
        <f t="shared" si="81"/>
        <v>0</v>
      </c>
      <c r="W178" s="33">
        <v>0</v>
      </c>
      <c r="X178" s="33">
        <f t="shared" si="82"/>
        <v>0</v>
      </c>
      <c r="Y178" s="38">
        <f t="shared" si="83"/>
        <v>0</v>
      </c>
      <c r="AA178" s="71">
        <v>173</v>
      </c>
      <c r="AB178" s="33">
        <f t="shared" si="84"/>
        <v>0</v>
      </c>
      <c r="AC178" s="305">
        <f t="shared" si="85"/>
        <v>0</v>
      </c>
      <c r="AD178" s="100">
        <f t="shared" si="86"/>
        <v>0</v>
      </c>
      <c r="AE178" s="100">
        <f t="shared" si="87"/>
        <v>0</v>
      </c>
      <c r="AF178" s="194">
        <f t="shared" si="101"/>
        <v>0</v>
      </c>
      <c r="AG178" s="194">
        <f t="shared" si="102"/>
        <v>0</v>
      </c>
      <c r="AH178" s="194">
        <f t="shared" si="103"/>
        <v>0</v>
      </c>
      <c r="AI178" s="199">
        <f t="shared" si="104"/>
        <v>0</v>
      </c>
      <c r="AK178" s="71">
        <v>173</v>
      </c>
      <c r="AL178" s="33">
        <f t="shared" si="88"/>
        <v>0</v>
      </c>
      <c r="AM178" s="33">
        <f t="shared" si="89"/>
        <v>0</v>
      </c>
      <c r="AN178" s="33">
        <f t="shared" si="90"/>
        <v>0</v>
      </c>
      <c r="AO178" s="33">
        <f t="shared" si="91"/>
        <v>0</v>
      </c>
      <c r="AP178" s="33">
        <f t="shared" si="92"/>
        <v>0</v>
      </c>
      <c r="AQ178" s="194">
        <f t="shared" si="105"/>
        <v>0</v>
      </c>
      <c r="AR178" s="194">
        <f t="shared" si="106"/>
        <v>0</v>
      </c>
      <c r="AS178" s="194">
        <f t="shared" si="107"/>
        <v>0</v>
      </c>
      <c r="AT178" s="194">
        <f t="shared" si="108"/>
        <v>0</v>
      </c>
      <c r="AU178" s="33"/>
      <c r="AV178" s="33"/>
      <c r="AW178" s="33"/>
      <c r="AX178" s="33"/>
      <c r="AY178" s="76"/>
    </row>
    <row r="179" spans="3:51">
      <c r="C179" s="166" t="s">
        <v>54</v>
      </c>
      <c r="D179" s="4">
        <v>0.44</v>
      </c>
      <c r="E179" s="188" t="s">
        <v>228</v>
      </c>
      <c r="F179" s="343">
        <f>IF(OR(Tableau145[[#This Row],[Type]]="Feuillus",Tableau145[[#This Row],[Type]]="Peupliers"),1.56,1.3)</f>
        <v>1.3</v>
      </c>
      <c r="I179" s="55">
        <v>174</v>
      </c>
      <c r="J179" s="33">
        <f t="shared" si="95"/>
        <v>0</v>
      </c>
      <c r="K179" s="33">
        <f t="shared" si="96"/>
        <v>0</v>
      </c>
      <c r="L179" s="33">
        <f t="shared" si="97"/>
        <v>0</v>
      </c>
      <c r="M179" s="33">
        <f t="shared" si="98"/>
        <v>0</v>
      </c>
      <c r="N179" s="33">
        <f t="shared" si="78"/>
        <v>0</v>
      </c>
      <c r="O179" s="34">
        <f t="shared" si="79"/>
        <v>0</v>
      </c>
      <c r="P179" s="55">
        <v>174</v>
      </c>
      <c r="Q179" s="33">
        <f t="shared" si="93"/>
        <v>0</v>
      </c>
      <c r="R179" s="33">
        <f t="shared" si="99"/>
        <v>0</v>
      </c>
      <c r="S179" s="33">
        <f t="shared" si="100"/>
        <v>0</v>
      </c>
      <c r="T179" s="33">
        <f t="shared" si="80"/>
        <v>0</v>
      </c>
      <c r="U179" s="33">
        <f t="shared" si="94"/>
        <v>0</v>
      </c>
      <c r="V179" s="33">
        <f t="shared" si="81"/>
        <v>0</v>
      </c>
      <c r="W179" s="33">
        <v>0</v>
      </c>
      <c r="X179" s="33">
        <f t="shared" si="82"/>
        <v>0</v>
      </c>
      <c r="Y179" s="38">
        <f t="shared" si="83"/>
        <v>0</v>
      </c>
      <c r="AA179" s="71">
        <v>174</v>
      </c>
      <c r="AB179" s="33">
        <f t="shared" si="84"/>
        <v>0</v>
      </c>
      <c r="AC179" s="305">
        <f t="shared" si="85"/>
        <v>0</v>
      </c>
      <c r="AD179" s="100">
        <f t="shared" si="86"/>
        <v>0</v>
      </c>
      <c r="AE179" s="100">
        <f t="shared" si="87"/>
        <v>0</v>
      </c>
      <c r="AF179" s="194">
        <f t="shared" si="101"/>
        <v>0</v>
      </c>
      <c r="AG179" s="194">
        <f t="shared" si="102"/>
        <v>0</v>
      </c>
      <c r="AH179" s="194">
        <f t="shared" si="103"/>
        <v>0</v>
      </c>
      <c r="AI179" s="199">
        <f t="shared" si="104"/>
        <v>0</v>
      </c>
      <c r="AK179" s="71">
        <v>174</v>
      </c>
      <c r="AL179" s="33">
        <f t="shared" si="88"/>
        <v>0</v>
      </c>
      <c r="AM179" s="33">
        <f t="shared" si="89"/>
        <v>0</v>
      </c>
      <c r="AN179" s="33">
        <f t="shared" si="90"/>
        <v>0</v>
      </c>
      <c r="AO179" s="33">
        <f t="shared" si="91"/>
        <v>0</v>
      </c>
      <c r="AP179" s="33">
        <f t="shared" si="92"/>
        <v>0</v>
      </c>
      <c r="AQ179" s="194">
        <f t="shared" si="105"/>
        <v>0</v>
      </c>
      <c r="AR179" s="194">
        <f t="shared" si="106"/>
        <v>0</v>
      </c>
      <c r="AS179" s="194">
        <f t="shared" si="107"/>
        <v>0</v>
      </c>
      <c r="AT179" s="194">
        <f t="shared" si="108"/>
        <v>0</v>
      </c>
      <c r="AU179" s="33"/>
      <c r="AV179" s="33"/>
      <c r="AW179" s="33"/>
      <c r="AX179" s="33"/>
      <c r="AY179" s="76"/>
    </row>
    <row r="180" spans="3:51">
      <c r="C180" s="166" t="s">
        <v>55</v>
      </c>
      <c r="D180" s="4">
        <v>0.46</v>
      </c>
      <c r="E180" s="188" t="s">
        <v>228</v>
      </c>
      <c r="F180" s="343">
        <f>IF(OR(Tableau145[[#This Row],[Type]]="Feuillus",Tableau145[[#This Row],[Type]]="Peupliers"),1.56,1.3)</f>
        <v>1.3</v>
      </c>
      <c r="I180" s="55">
        <v>175</v>
      </c>
      <c r="J180" s="33">
        <f t="shared" si="95"/>
        <v>0</v>
      </c>
      <c r="K180" s="33">
        <f t="shared" si="96"/>
        <v>0</v>
      </c>
      <c r="L180" s="33">
        <f t="shared" si="97"/>
        <v>0</v>
      </c>
      <c r="M180" s="33">
        <f t="shared" si="98"/>
        <v>0</v>
      </c>
      <c r="N180" s="33">
        <f t="shared" si="78"/>
        <v>0</v>
      </c>
      <c r="O180" s="34">
        <f t="shared" si="79"/>
        <v>0</v>
      </c>
      <c r="P180" s="55">
        <v>175</v>
      </c>
      <c r="Q180" s="33">
        <f t="shared" si="93"/>
        <v>0</v>
      </c>
      <c r="R180" s="33">
        <f t="shared" si="99"/>
        <v>0</v>
      </c>
      <c r="S180" s="33">
        <f t="shared" si="100"/>
        <v>0</v>
      </c>
      <c r="T180" s="33">
        <f t="shared" si="80"/>
        <v>0</v>
      </c>
      <c r="U180" s="33">
        <f t="shared" si="94"/>
        <v>0</v>
      </c>
      <c r="V180" s="33">
        <f t="shared" si="81"/>
        <v>0</v>
      </c>
      <c r="W180" s="33">
        <v>0</v>
      </c>
      <c r="X180" s="33">
        <f t="shared" si="82"/>
        <v>0</v>
      </c>
      <c r="Y180" s="38">
        <f t="shared" si="83"/>
        <v>0</v>
      </c>
      <c r="AA180" s="71">
        <v>175</v>
      </c>
      <c r="AB180" s="33">
        <f t="shared" si="84"/>
        <v>0</v>
      </c>
      <c r="AC180" s="305">
        <f t="shared" si="85"/>
        <v>0</v>
      </c>
      <c r="AD180" s="100">
        <f t="shared" si="86"/>
        <v>0</v>
      </c>
      <c r="AE180" s="100">
        <f t="shared" si="87"/>
        <v>0</v>
      </c>
      <c r="AF180" s="194">
        <f t="shared" si="101"/>
        <v>0</v>
      </c>
      <c r="AG180" s="194">
        <f t="shared" si="102"/>
        <v>0</v>
      </c>
      <c r="AH180" s="194">
        <f t="shared" si="103"/>
        <v>0</v>
      </c>
      <c r="AI180" s="199">
        <f t="shared" si="104"/>
        <v>0</v>
      </c>
      <c r="AK180" s="71">
        <v>175</v>
      </c>
      <c r="AL180" s="33">
        <f t="shared" si="88"/>
        <v>0</v>
      </c>
      <c r="AM180" s="33">
        <f t="shared" si="89"/>
        <v>0</v>
      </c>
      <c r="AN180" s="33">
        <f t="shared" si="90"/>
        <v>0</v>
      </c>
      <c r="AO180" s="33">
        <f t="shared" si="91"/>
        <v>0</v>
      </c>
      <c r="AP180" s="33">
        <f t="shared" si="92"/>
        <v>0</v>
      </c>
      <c r="AQ180" s="194">
        <f t="shared" si="105"/>
        <v>0</v>
      </c>
      <c r="AR180" s="194">
        <f t="shared" si="106"/>
        <v>0</v>
      </c>
      <c r="AS180" s="194">
        <f t="shared" si="107"/>
        <v>0</v>
      </c>
      <c r="AT180" s="194">
        <f t="shared" si="108"/>
        <v>0</v>
      </c>
      <c r="AU180" s="33"/>
      <c r="AV180" s="33"/>
      <c r="AW180" s="33"/>
      <c r="AX180" s="33"/>
      <c r="AY180" s="76"/>
    </row>
    <row r="181" spans="3:51">
      <c r="C181" s="166" t="s">
        <v>56</v>
      </c>
      <c r="D181" s="4">
        <v>0.48</v>
      </c>
      <c r="E181" s="188" t="s">
        <v>228</v>
      </c>
      <c r="F181" s="343">
        <f>IF(OR(Tableau145[[#This Row],[Type]]="Feuillus",Tableau145[[#This Row],[Type]]="Peupliers"),1.56,1.3)</f>
        <v>1.3</v>
      </c>
      <c r="I181" s="55">
        <v>176</v>
      </c>
      <c r="J181" s="33">
        <f t="shared" si="95"/>
        <v>0</v>
      </c>
      <c r="K181" s="33">
        <f t="shared" si="96"/>
        <v>0</v>
      </c>
      <c r="L181" s="33">
        <f t="shared" si="97"/>
        <v>0</v>
      </c>
      <c r="M181" s="33">
        <f t="shared" si="98"/>
        <v>0</v>
      </c>
      <c r="N181" s="33">
        <f t="shared" si="78"/>
        <v>0</v>
      </c>
      <c r="O181" s="34">
        <f t="shared" si="79"/>
        <v>0</v>
      </c>
      <c r="P181" s="55">
        <v>176</v>
      </c>
      <c r="Q181" s="33">
        <f t="shared" si="93"/>
        <v>0</v>
      </c>
      <c r="R181" s="33">
        <f t="shared" si="99"/>
        <v>0</v>
      </c>
      <c r="S181" s="33">
        <f t="shared" si="100"/>
        <v>0</v>
      </c>
      <c r="T181" s="33">
        <f t="shared" si="80"/>
        <v>0</v>
      </c>
      <c r="U181" s="33">
        <f t="shared" si="94"/>
        <v>0</v>
      </c>
      <c r="V181" s="33">
        <f t="shared" si="81"/>
        <v>0</v>
      </c>
      <c r="W181" s="33">
        <v>0</v>
      </c>
      <c r="X181" s="33">
        <f t="shared" si="82"/>
        <v>0</v>
      </c>
      <c r="Y181" s="38">
        <f t="shared" si="83"/>
        <v>0</v>
      </c>
      <c r="AA181" s="71">
        <v>176</v>
      </c>
      <c r="AB181" s="33">
        <f t="shared" si="84"/>
        <v>0</v>
      </c>
      <c r="AC181" s="305">
        <f t="shared" si="85"/>
        <v>0</v>
      </c>
      <c r="AD181" s="100">
        <f t="shared" si="86"/>
        <v>0</v>
      </c>
      <c r="AE181" s="100">
        <f t="shared" si="87"/>
        <v>0</v>
      </c>
      <c r="AF181" s="194">
        <f t="shared" si="101"/>
        <v>0</v>
      </c>
      <c r="AG181" s="194">
        <f t="shared" si="102"/>
        <v>0</v>
      </c>
      <c r="AH181" s="194">
        <f t="shared" si="103"/>
        <v>0</v>
      </c>
      <c r="AI181" s="199">
        <f t="shared" si="104"/>
        <v>0</v>
      </c>
      <c r="AK181" s="71">
        <v>176</v>
      </c>
      <c r="AL181" s="33">
        <f t="shared" si="88"/>
        <v>0</v>
      </c>
      <c r="AM181" s="33">
        <f t="shared" si="89"/>
        <v>0</v>
      </c>
      <c r="AN181" s="33">
        <f t="shared" si="90"/>
        <v>0</v>
      </c>
      <c r="AO181" s="33">
        <f t="shared" si="91"/>
        <v>0</v>
      </c>
      <c r="AP181" s="33">
        <f t="shared" si="92"/>
        <v>0</v>
      </c>
      <c r="AQ181" s="194">
        <f t="shared" si="105"/>
        <v>0</v>
      </c>
      <c r="AR181" s="194">
        <f t="shared" si="106"/>
        <v>0</v>
      </c>
      <c r="AS181" s="194">
        <f t="shared" si="107"/>
        <v>0</v>
      </c>
      <c r="AT181" s="194">
        <f t="shared" si="108"/>
        <v>0</v>
      </c>
      <c r="AU181" s="33"/>
      <c r="AV181" s="33"/>
      <c r="AW181" s="33"/>
      <c r="AX181" s="33"/>
      <c r="AY181" s="76"/>
    </row>
    <row r="182" spans="3:51">
      <c r="C182" s="166" t="s">
        <v>57</v>
      </c>
      <c r="D182" s="4">
        <v>0.44</v>
      </c>
      <c r="E182" s="188" t="s">
        <v>228</v>
      </c>
      <c r="F182" s="343">
        <f>IF(OR(Tableau145[[#This Row],[Type]]="Feuillus",Tableau145[[#This Row],[Type]]="Peupliers"),1.56,1.3)</f>
        <v>1.3</v>
      </c>
      <c r="I182" s="55">
        <v>177</v>
      </c>
      <c r="J182" s="33">
        <f t="shared" si="95"/>
        <v>0</v>
      </c>
      <c r="K182" s="33">
        <f t="shared" si="96"/>
        <v>0</v>
      </c>
      <c r="L182" s="33">
        <f t="shared" si="97"/>
        <v>0</v>
      </c>
      <c r="M182" s="33">
        <f t="shared" si="98"/>
        <v>0</v>
      </c>
      <c r="N182" s="33">
        <f t="shared" si="78"/>
        <v>0</v>
      </c>
      <c r="O182" s="34">
        <f t="shared" si="79"/>
        <v>0</v>
      </c>
      <c r="P182" s="55">
        <v>177</v>
      </c>
      <c r="Q182" s="33">
        <f t="shared" si="93"/>
        <v>0</v>
      </c>
      <c r="R182" s="33">
        <f t="shared" si="99"/>
        <v>0</v>
      </c>
      <c r="S182" s="33">
        <f t="shared" si="100"/>
        <v>0</v>
      </c>
      <c r="T182" s="33">
        <f t="shared" si="80"/>
        <v>0</v>
      </c>
      <c r="U182" s="33">
        <f t="shared" si="94"/>
        <v>0</v>
      </c>
      <c r="V182" s="33">
        <f t="shared" si="81"/>
        <v>0</v>
      </c>
      <c r="W182" s="33">
        <v>0</v>
      </c>
      <c r="X182" s="33">
        <f t="shared" si="82"/>
        <v>0</v>
      </c>
      <c r="Y182" s="38">
        <f t="shared" si="83"/>
        <v>0</v>
      </c>
      <c r="AA182" s="71">
        <v>177</v>
      </c>
      <c r="AB182" s="33">
        <f t="shared" si="84"/>
        <v>0</v>
      </c>
      <c r="AC182" s="305">
        <f t="shared" si="85"/>
        <v>0</v>
      </c>
      <c r="AD182" s="100">
        <f t="shared" si="86"/>
        <v>0</v>
      </c>
      <c r="AE182" s="100">
        <f t="shared" si="87"/>
        <v>0</v>
      </c>
      <c r="AF182" s="194">
        <f t="shared" si="101"/>
        <v>0</v>
      </c>
      <c r="AG182" s="194">
        <f t="shared" si="102"/>
        <v>0</v>
      </c>
      <c r="AH182" s="194">
        <f t="shared" si="103"/>
        <v>0</v>
      </c>
      <c r="AI182" s="199">
        <f t="shared" si="104"/>
        <v>0</v>
      </c>
      <c r="AK182" s="71">
        <v>177</v>
      </c>
      <c r="AL182" s="33">
        <f t="shared" si="88"/>
        <v>0</v>
      </c>
      <c r="AM182" s="33">
        <f t="shared" si="89"/>
        <v>0</v>
      </c>
      <c r="AN182" s="33">
        <f t="shared" si="90"/>
        <v>0</v>
      </c>
      <c r="AO182" s="33">
        <f t="shared" si="91"/>
        <v>0</v>
      </c>
      <c r="AP182" s="33">
        <f t="shared" si="92"/>
        <v>0</v>
      </c>
      <c r="AQ182" s="194">
        <f t="shared" si="105"/>
        <v>0</v>
      </c>
      <c r="AR182" s="194">
        <f t="shared" si="106"/>
        <v>0</v>
      </c>
      <c r="AS182" s="194">
        <f t="shared" si="107"/>
        <v>0</v>
      </c>
      <c r="AT182" s="194">
        <f t="shared" si="108"/>
        <v>0</v>
      </c>
      <c r="AU182" s="33"/>
      <c r="AV182" s="33"/>
      <c r="AW182" s="33"/>
      <c r="AX182" s="33"/>
      <c r="AY182" s="76"/>
    </row>
    <row r="183" spans="3:51">
      <c r="C183" s="166" t="s">
        <v>58</v>
      </c>
      <c r="D183" s="4">
        <v>0.34</v>
      </c>
      <c r="E183" s="188" t="s">
        <v>228</v>
      </c>
      <c r="F183" s="343">
        <f>IF(OR(Tableau145[[#This Row],[Type]]="Feuillus",Tableau145[[#This Row],[Type]]="Peupliers"),1.56,1.3)</f>
        <v>1.3</v>
      </c>
      <c r="I183" s="55">
        <v>178</v>
      </c>
      <c r="J183" s="33">
        <f t="shared" si="95"/>
        <v>0</v>
      </c>
      <c r="K183" s="33">
        <f t="shared" si="96"/>
        <v>0</v>
      </c>
      <c r="L183" s="33">
        <f t="shared" si="97"/>
        <v>0</v>
      </c>
      <c r="M183" s="33">
        <f t="shared" si="98"/>
        <v>0</v>
      </c>
      <c r="N183" s="33">
        <f t="shared" si="78"/>
        <v>0</v>
      </c>
      <c r="O183" s="34">
        <f t="shared" si="79"/>
        <v>0</v>
      </c>
      <c r="P183" s="55">
        <v>178</v>
      </c>
      <c r="Q183" s="33">
        <f t="shared" si="93"/>
        <v>0</v>
      </c>
      <c r="R183" s="33">
        <f t="shared" si="99"/>
        <v>0</v>
      </c>
      <c r="S183" s="33">
        <f t="shared" si="100"/>
        <v>0</v>
      </c>
      <c r="T183" s="33">
        <f t="shared" si="80"/>
        <v>0</v>
      </c>
      <c r="U183" s="33">
        <f t="shared" si="94"/>
        <v>0</v>
      </c>
      <c r="V183" s="33">
        <f t="shared" si="81"/>
        <v>0</v>
      </c>
      <c r="W183" s="33">
        <v>0</v>
      </c>
      <c r="X183" s="33">
        <f t="shared" si="82"/>
        <v>0</v>
      </c>
      <c r="Y183" s="38">
        <f t="shared" si="83"/>
        <v>0</v>
      </c>
      <c r="AA183" s="71">
        <v>178</v>
      </c>
      <c r="AB183" s="33">
        <f t="shared" si="84"/>
        <v>0</v>
      </c>
      <c r="AC183" s="305">
        <f t="shared" si="85"/>
        <v>0</v>
      </c>
      <c r="AD183" s="100">
        <f t="shared" si="86"/>
        <v>0</v>
      </c>
      <c r="AE183" s="100">
        <f t="shared" si="87"/>
        <v>0</v>
      </c>
      <c r="AF183" s="194">
        <f t="shared" si="101"/>
        <v>0</v>
      </c>
      <c r="AG183" s="194">
        <f t="shared" si="102"/>
        <v>0</v>
      </c>
      <c r="AH183" s="194">
        <f t="shared" si="103"/>
        <v>0</v>
      </c>
      <c r="AI183" s="199">
        <f t="shared" si="104"/>
        <v>0</v>
      </c>
      <c r="AK183" s="71">
        <v>178</v>
      </c>
      <c r="AL183" s="33">
        <f t="shared" si="88"/>
        <v>0</v>
      </c>
      <c r="AM183" s="33">
        <f t="shared" si="89"/>
        <v>0</v>
      </c>
      <c r="AN183" s="33">
        <f t="shared" si="90"/>
        <v>0</v>
      </c>
      <c r="AO183" s="33">
        <f t="shared" si="91"/>
        <v>0</v>
      </c>
      <c r="AP183" s="33">
        <f t="shared" si="92"/>
        <v>0</v>
      </c>
      <c r="AQ183" s="194">
        <f t="shared" si="105"/>
        <v>0</v>
      </c>
      <c r="AR183" s="194">
        <f t="shared" si="106"/>
        <v>0</v>
      </c>
      <c r="AS183" s="194">
        <f t="shared" si="107"/>
        <v>0</v>
      </c>
      <c r="AT183" s="194">
        <f t="shared" si="108"/>
        <v>0</v>
      </c>
      <c r="AU183" s="33"/>
      <c r="AV183" s="33"/>
      <c r="AW183" s="33"/>
      <c r="AX183" s="33"/>
      <c r="AY183" s="76"/>
    </row>
    <row r="184" spans="3:51">
      <c r="C184" s="166" t="s">
        <v>59</v>
      </c>
      <c r="D184" s="4">
        <v>0.5</v>
      </c>
      <c r="E184" s="188" t="s">
        <v>227</v>
      </c>
      <c r="F184" s="343">
        <f>IF(OR(Tableau145[[#This Row],[Type]]="Feuillus",Tableau145[[#This Row],[Type]]="Peupliers"),1.56,1.3)</f>
        <v>1.56</v>
      </c>
      <c r="I184" s="55">
        <v>179</v>
      </c>
      <c r="J184" s="33">
        <f t="shared" si="95"/>
        <v>0</v>
      </c>
      <c r="K184" s="33">
        <f t="shared" si="96"/>
        <v>0</v>
      </c>
      <c r="L184" s="33">
        <f t="shared" si="97"/>
        <v>0</v>
      </c>
      <c r="M184" s="33">
        <f t="shared" si="98"/>
        <v>0</v>
      </c>
      <c r="N184" s="33">
        <f t="shared" si="78"/>
        <v>0</v>
      </c>
      <c r="O184" s="34">
        <f t="shared" si="79"/>
        <v>0</v>
      </c>
      <c r="P184" s="55">
        <v>179</v>
      </c>
      <c r="Q184" s="33">
        <f t="shared" si="93"/>
        <v>0</v>
      </c>
      <c r="R184" s="33">
        <f t="shared" si="99"/>
        <v>0</v>
      </c>
      <c r="S184" s="33">
        <f t="shared" si="100"/>
        <v>0</v>
      </c>
      <c r="T184" s="33">
        <f t="shared" si="80"/>
        <v>0</v>
      </c>
      <c r="U184" s="33">
        <f t="shared" si="94"/>
        <v>0</v>
      </c>
      <c r="V184" s="33">
        <f t="shared" si="81"/>
        <v>0</v>
      </c>
      <c r="W184" s="33">
        <v>0</v>
      </c>
      <c r="X184" s="33">
        <f t="shared" si="82"/>
        <v>0</v>
      </c>
      <c r="Y184" s="38">
        <f t="shared" si="83"/>
        <v>0</v>
      </c>
      <c r="AA184" s="71">
        <v>179</v>
      </c>
      <c r="AB184" s="33">
        <f t="shared" si="84"/>
        <v>0</v>
      </c>
      <c r="AC184" s="305">
        <f t="shared" si="85"/>
        <v>0</v>
      </c>
      <c r="AD184" s="100">
        <f t="shared" si="86"/>
        <v>0</v>
      </c>
      <c r="AE184" s="100">
        <f t="shared" si="87"/>
        <v>0</v>
      </c>
      <c r="AF184" s="194">
        <f t="shared" si="101"/>
        <v>0</v>
      </c>
      <c r="AG184" s="194">
        <f t="shared" si="102"/>
        <v>0</v>
      </c>
      <c r="AH184" s="194">
        <f t="shared" si="103"/>
        <v>0</v>
      </c>
      <c r="AI184" s="199">
        <f t="shared" si="104"/>
        <v>0</v>
      </c>
      <c r="AK184" s="71">
        <v>179</v>
      </c>
      <c r="AL184" s="33">
        <f t="shared" si="88"/>
        <v>0</v>
      </c>
      <c r="AM184" s="33">
        <f t="shared" si="89"/>
        <v>0</v>
      </c>
      <c r="AN184" s="33">
        <f t="shared" si="90"/>
        <v>0</v>
      </c>
      <c r="AO184" s="33">
        <f t="shared" si="91"/>
        <v>0</v>
      </c>
      <c r="AP184" s="33">
        <f t="shared" si="92"/>
        <v>0</v>
      </c>
      <c r="AQ184" s="194">
        <f t="shared" si="105"/>
        <v>0</v>
      </c>
      <c r="AR184" s="194">
        <f t="shared" si="106"/>
        <v>0</v>
      </c>
      <c r="AS184" s="194">
        <f t="shared" si="107"/>
        <v>0</v>
      </c>
      <c r="AT184" s="194">
        <f t="shared" si="108"/>
        <v>0</v>
      </c>
      <c r="AU184" s="33"/>
      <c r="AV184" s="33"/>
      <c r="AW184" s="33"/>
      <c r="AX184" s="33"/>
      <c r="AY184" s="76"/>
    </row>
    <row r="185" spans="3:51">
      <c r="C185" s="166" t="s">
        <v>60</v>
      </c>
      <c r="D185" s="4">
        <v>0.57999999999999996</v>
      </c>
      <c r="E185" s="188" t="s">
        <v>227</v>
      </c>
      <c r="F185" s="343">
        <f>IF(OR(Tableau145[[#This Row],[Type]]="Feuillus",Tableau145[[#This Row],[Type]]="Peupliers"),1.56,1.3)</f>
        <v>1.56</v>
      </c>
      <c r="I185" s="55">
        <v>180</v>
      </c>
      <c r="J185" s="33">
        <f t="shared" si="95"/>
        <v>0</v>
      </c>
      <c r="K185" s="33">
        <f t="shared" si="96"/>
        <v>0</v>
      </c>
      <c r="L185" s="33">
        <f t="shared" si="97"/>
        <v>0</v>
      </c>
      <c r="M185" s="33">
        <f t="shared" si="98"/>
        <v>0</v>
      </c>
      <c r="N185" s="33">
        <f t="shared" si="78"/>
        <v>0</v>
      </c>
      <c r="O185" s="34">
        <f t="shared" si="79"/>
        <v>0</v>
      </c>
      <c r="P185" s="55">
        <v>180</v>
      </c>
      <c r="Q185" s="33">
        <f t="shared" si="93"/>
        <v>0</v>
      </c>
      <c r="R185" s="33">
        <f t="shared" si="99"/>
        <v>0</v>
      </c>
      <c r="S185" s="33">
        <f t="shared" si="100"/>
        <v>0</v>
      </c>
      <c r="T185" s="33">
        <f t="shared" si="80"/>
        <v>0</v>
      </c>
      <c r="U185" s="33">
        <f t="shared" si="94"/>
        <v>0</v>
      </c>
      <c r="V185" s="33">
        <f t="shared" si="81"/>
        <v>0</v>
      </c>
      <c r="W185" s="33">
        <v>0</v>
      </c>
      <c r="X185" s="33">
        <f t="shared" si="82"/>
        <v>0</v>
      </c>
      <c r="Y185" s="38">
        <f t="shared" si="83"/>
        <v>0</v>
      </c>
      <c r="AA185" s="71">
        <v>180</v>
      </c>
      <c r="AB185" s="33">
        <f t="shared" si="84"/>
        <v>0</v>
      </c>
      <c r="AC185" s="305">
        <f t="shared" si="85"/>
        <v>0</v>
      </c>
      <c r="AD185" s="100">
        <f t="shared" si="86"/>
        <v>0</v>
      </c>
      <c r="AE185" s="100">
        <f t="shared" si="87"/>
        <v>0</v>
      </c>
      <c r="AF185" s="194">
        <f t="shared" si="101"/>
        <v>0</v>
      </c>
      <c r="AG185" s="194">
        <f t="shared" si="102"/>
        <v>0</v>
      </c>
      <c r="AH185" s="194">
        <f t="shared" si="103"/>
        <v>0</v>
      </c>
      <c r="AI185" s="199">
        <f t="shared" si="104"/>
        <v>0</v>
      </c>
      <c r="AK185" s="71">
        <v>180</v>
      </c>
      <c r="AL185" s="33">
        <f t="shared" si="88"/>
        <v>0</v>
      </c>
      <c r="AM185" s="33">
        <f t="shared" si="89"/>
        <v>0</v>
      </c>
      <c r="AN185" s="33">
        <f t="shared" si="90"/>
        <v>0</v>
      </c>
      <c r="AO185" s="33">
        <f t="shared" si="91"/>
        <v>0</v>
      </c>
      <c r="AP185" s="33">
        <f t="shared" si="92"/>
        <v>0</v>
      </c>
      <c r="AQ185" s="194">
        <f t="shared" si="105"/>
        <v>0</v>
      </c>
      <c r="AR185" s="194">
        <f t="shared" si="106"/>
        <v>0</v>
      </c>
      <c r="AS185" s="194">
        <f t="shared" si="107"/>
        <v>0</v>
      </c>
      <c r="AT185" s="194">
        <f t="shared" si="108"/>
        <v>0</v>
      </c>
      <c r="AU185" s="33"/>
      <c r="AV185" s="33"/>
      <c r="AW185" s="33"/>
      <c r="AX185" s="33"/>
      <c r="AY185" s="76"/>
    </row>
    <row r="186" spans="3:51">
      <c r="C186" s="166" t="s">
        <v>61</v>
      </c>
      <c r="D186" s="4">
        <v>0.37</v>
      </c>
      <c r="E186" s="188" t="s">
        <v>228</v>
      </c>
      <c r="F186" s="343">
        <f>IF(OR(Tableau145[[#This Row],[Type]]="Feuillus",Tableau145[[#This Row],[Type]]="Peupliers"),1.56,1.3)</f>
        <v>1.3</v>
      </c>
      <c r="I186" s="55">
        <v>181</v>
      </c>
      <c r="J186" s="33">
        <f t="shared" si="95"/>
        <v>0</v>
      </c>
      <c r="K186" s="33">
        <f t="shared" si="96"/>
        <v>0</v>
      </c>
      <c r="L186" s="33">
        <f t="shared" si="97"/>
        <v>0</v>
      </c>
      <c r="M186" s="33">
        <f t="shared" si="98"/>
        <v>0</v>
      </c>
      <c r="N186" s="33">
        <f t="shared" si="78"/>
        <v>0</v>
      </c>
      <c r="O186" s="34">
        <f t="shared" si="79"/>
        <v>0</v>
      </c>
      <c r="P186" s="55">
        <v>181</v>
      </c>
      <c r="Q186" s="33">
        <f t="shared" si="93"/>
        <v>0</v>
      </c>
      <c r="R186" s="33">
        <f t="shared" si="99"/>
        <v>0</v>
      </c>
      <c r="S186" s="33">
        <f t="shared" si="100"/>
        <v>0</v>
      </c>
      <c r="T186" s="33">
        <f t="shared" si="80"/>
        <v>0</v>
      </c>
      <c r="U186" s="33">
        <f t="shared" si="94"/>
        <v>0</v>
      </c>
      <c r="V186" s="33">
        <f t="shared" si="81"/>
        <v>0</v>
      </c>
      <c r="W186" s="33">
        <v>0</v>
      </c>
      <c r="X186" s="33">
        <f t="shared" si="82"/>
        <v>0</v>
      </c>
      <c r="Y186" s="38">
        <f t="shared" si="83"/>
        <v>0</v>
      </c>
      <c r="AA186" s="71">
        <v>181</v>
      </c>
      <c r="AB186" s="33">
        <f t="shared" si="84"/>
        <v>0</v>
      </c>
      <c r="AC186" s="305">
        <f t="shared" si="85"/>
        <v>0</v>
      </c>
      <c r="AD186" s="100">
        <f t="shared" si="86"/>
        <v>0</v>
      </c>
      <c r="AE186" s="100">
        <f t="shared" si="87"/>
        <v>0</v>
      </c>
      <c r="AF186" s="194">
        <f t="shared" si="101"/>
        <v>0</v>
      </c>
      <c r="AG186" s="194">
        <f t="shared" si="102"/>
        <v>0</v>
      </c>
      <c r="AH186" s="194">
        <f t="shared" si="103"/>
        <v>0</v>
      </c>
      <c r="AI186" s="199">
        <f t="shared" si="104"/>
        <v>0</v>
      </c>
      <c r="AK186" s="71">
        <v>181</v>
      </c>
      <c r="AL186" s="33">
        <f t="shared" si="88"/>
        <v>0</v>
      </c>
      <c r="AM186" s="33">
        <f t="shared" si="89"/>
        <v>0</v>
      </c>
      <c r="AN186" s="33">
        <f t="shared" si="90"/>
        <v>0</v>
      </c>
      <c r="AO186" s="33">
        <f t="shared" si="91"/>
        <v>0</v>
      </c>
      <c r="AP186" s="33">
        <f t="shared" si="92"/>
        <v>0</v>
      </c>
      <c r="AQ186" s="194">
        <f t="shared" si="105"/>
        <v>0</v>
      </c>
      <c r="AR186" s="194">
        <f t="shared" si="106"/>
        <v>0</v>
      </c>
      <c r="AS186" s="194">
        <f t="shared" si="107"/>
        <v>0</v>
      </c>
      <c r="AT186" s="194">
        <f t="shared" si="108"/>
        <v>0</v>
      </c>
      <c r="AU186" s="33"/>
      <c r="AV186" s="33"/>
      <c r="AW186" s="33"/>
      <c r="AX186" s="33"/>
      <c r="AY186" s="76"/>
    </row>
    <row r="187" spans="3:51">
      <c r="C187" s="166" t="s">
        <v>62</v>
      </c>
      <c r="D187" s="4">
        <v>0.37</v>
      </c>
      <c r="E187" s="188" t="s">
        <v>228</v>
      </c>
      <c r="F187" s="343">
        <f>IF(OR(Tableau145[[#This Row],[Type]]="Feuillus",Tableau145[[#This Row],[Type]]="Peupliers"),1.56,1.3)</f>
        <v>1.3</v>
      </c>
      <c r="I187" s="55">
        <v>182</v>
      </c>
      <c r="J187" s="33">
        <f t="shared" si="95"/>
        <v>0</v>
      </c>
      <c r="K187" s="33">
        <f t="shared" si="96"/>
        <v>0</v>
      </c>
      <c r="L187" s="33">
        <f t="shared" si="97"/>
        <v>0</v>
      </c>
      <c r="M187" s="33">
        <f t="shared" si="98"/>
        <v>0</v>
      </c>
      <c r="N187" s="33">
        <f t="shared" si="78"/>
        <v>0</v>
      </c>
      <c r="O187" s="34">
        <f t="shared" si="79"/>
        <v>0</v>
      </c>
      <c r="P187" s="55">
        <v>182</v>
      </c>
      <c r="Q187" s="33">
        <f t="shared" si="93"/>
        <v>0</v>
      </c>
      <c r="R187" s="33">
        <f t="shared" si="99"/>
        <v>0</v>
      </c>
      <c r="S187" s="33">
        <f t="shared" si="100"/>
        <v>0</v>
      </c>
      <c r="T187" s="33">
        <f t="shared" si="80"/>
        <v>0</v>
      </c>
      <c r="U187" s="33">
        <f t="shared" si="94"/>
        <v>0</v>
      </c>
      <c r="V187" s="33">
        <f t="shared" si="81"/>
        <v>0</v>
      </c>
      <c r="W187" s="33">
        <v>0</v>
      </c>
      <c r="X187" s="33">
        <f t="shared" si="82"/>
        <v>0</v>
      </c>
      <c r="Y187" s="38">
        <f t="shared" si="83"/>
        <v>0</v>
      </c>
      <c r="AA187" s="71">
        <v>182</v>
      </c>
      <c r="AB187" s="33">
        <f t="shared" si="84"/>
        <v>0</v>
      </c>
      <c r="AC187" s="305">
        <f t="shared" si="85"/>
        <v>0</v>
      </c>
      <c r="AD187" s="100">
        <f t="shared" si="86"/>
        <v>0</v>
      </c>
      <c r="AE187" s="100">
        <f t="shared" si="87"/>
        <v>0</v>
      </c>
      <c r="AF187" s="194">
        <f t="shared" si="101"/>
        <v>0</v>
      </c>
      <c r="AG187" s="194">
        <f t="shared" si="102"/>
        <v>0</v>
      </c>
      <c r="AH187" s="194">
        <f t="shared" si="103"/>
        <v>0</v>
      </c>
      <c r="AI187" s="199">
        <f t="shared" si="104"/>
        <v>0</v>
      </c>
      <c r="AK187" s="71">
        <v>182</v>
      </c>
      <c r="AL187" s="33">
        <f t="shared" si="88"/>
        <v>0</v>
      </c>
      <c r="AM187" s="33">
        <f t="shared" si="89"/>
        <v>0</v>
      </c>
      <c r="AN187" s="33">
        <f t="shared" si="90"/>
        <v>0</v>
      </c>
      <c r="AO187" s="33">
        <f t="shared" si="91"/>
        <v>0</v>
      </c>
      <c r="AP187" s="33">
        <f t="shared" si="92"/>
        <v>0</v>
      </c>
      <c r="AQ187" s="194">
        <f t="shared" si="105"/>
        <v>0</v>
      </c>
      <c r="AR187" s="194">
        <f t="shared" si="106"/>
        <v>0</v>
      </c>
      <c r="AS187" s="194">
        <f t="shared" si="107"/>
        <v>0</v>
      </c>
      <c r="AT187" s="194">
        <f t="shared" si="108"/>
        <v>0</v>
      </c>
      <c r="AU187" s="33"/>
      <c r="AV187" s="33"/>
      <c r="AW187" s="33"/>
      <c r="AX187" s="33"/>
      <c r="AY187" s="76"/>
    </row>
    <row r="188" spans="3:51">
      <c r="C188" s="166" t="s">
        <v>63</v>
      </c>
      <c r="D188" s="4">
        <v>0.38</v>
      </c>
      <c r="E188" s="188" t="s">
        <v>228</v>
      </c>
      <c r="F188" s="343">
        <f>IF(OR(Tableau145[[#This Row],[Type]]="Feuillus",Tableau145[[#This Row],[Type]]="Peupliers"),1.56,1.3)</f>
        <v>1.3</v>
      </c>
      <c r="I188" s="55">
        <v>183</v>
      </c>
      <c r="J188" s="33">
        <f t="shared" si="95"/>
        <v>0</v>
      </c>
      <c r="K188" s="33">
        <f t="shared" si="96"/>
        <v>0</v>
      </c>
      <c r="L188" s="33">
        <f t="shared" si="97"/>
        <v>0</v>
      </c>
      <c r="M188" s="33">
        <f t="shared" si="98"/>
        <v>0</v>
      </c>
      <c r="N188" s="33">
        <f t="shared" si="78"/>
        <v>0</v>
      </c>
      <c r="O188" s="34">
        <f t="shared" si="79"/>
        <v>0</v>
      </c>
      <c r="P188" s="55">
        <v>183</v>
      </c>
      <c r="Q188" s="33">
        <f t="shared" si="93"/>
        <v>0</v>
      </c>
      <c r="R188" s="33">
        <f t="shared" si="99"/>
        <v>0</v>
      </c>
      <c r="S188" s="33">
        <f t="shared" si="100"/>
        <v>0</v>
      </c>
      <c r="T188" s="33">
        <f t="shared" si="80"/>
        <v>0</v>
      </c>
      <c r="U188" s="33">
        <f t="shared" si="94"/>
        <v>0</v>
      </c>
      <c r="V188" s="33">
        <f t="shared" si="81"/>
        <v>0</v>
      </c>
      <c r="W188" s="33">
        <v>0</v>
      </c>
      <c r="X188" s="33">
        <f t="shared" si="82"/>
        <v>0</v>
      </c>
      <c r="Y188" s="38">
        <f t="shared" si="83"/>
        <v>0</v>
      </c>
      <c r="AA188" s="71">
        <v>183</v>
      </c>
      <c r="AB188" s="33">
        <f t="shared" si="84"/>
        <v>0</v>
      </c>
      <c r="AC188" s="305">
        <f t="shared" si="85"/>
        <v>0</v>
      </c>
      <c r="AD188" s="100">
        <f t="shared" si="86"/>
        <v>0</v>
      </c>
      <c r="AE188" s="100">
        <f t="shared" si="87"/>
        <v>0</v>
      </c>
      <c r="AF188" s="194">
        <f t="shared" si="101"/>
        <v>0</v>
      </c>
      <c r="AG188" s="194">
        <f t="shared" si="102"/>
        <v>0</v>
      </c>
      <c r="AH188" s="194">
        <f t="shared" si="103"/>
        <v>0</v>
      </c>
      <c r="AI188" s="199">
        <f t="shared" si="104"/>
        <v>0</v>
      </c>
      <c r="AK188" s="71">
        <v>183</v>
      </c>
      <c r="AL188" s="33">
        <f t="shared" si="88"/>
        <v>0</v>
      </c>
      <c r="AM188" s="33">
        <f t="shared" si="89"/>
        <v>0</v>
      </c>
      <c r="AN188" s="33">
        <f t="shared" si="90"/>
        <v>0</v>
      </c>
      <c r="AO188" s="33">
        <f t="shared" si="91"/>
        <v>0</v>
      </c>
      <c r="AP188" s="33">
        <f t="shared" si="92"/>
        <v>0</v>
      </c>
      <c r="AQ188" s="194">
        <f t="shared" si="105"/>
        <v>0</v>
      </c>
      <c r="AR188" s="194">
        <f t="shared" si="106"/>
        <v>0</v>
      </c>
      <c r="AS188" s="194">
        <f t="shared" si="107"/>
        <v>0</v>
      </c>
      <c r="AT188" s="194">
        <f t="shared" si="108"/>
        <v>0</v>
      </c>
      <c r="AU188" s="33"/>
      <c r="AV188" s="33"/>
      <c r="AW188" s="33"/>
      <c r="AX188" s="33"/>
      <c r="AY188" s="76"/>
    </row>
    <row r="189" spans="3:51">
      <c r="C189" s="166" t="s">
        <v>64</v>
      </c>
      <c r="D189" s="4">
        <v>0.36</v>
      </c>
      <c r="E189" s="188" t="s">
        <v>228</v>
      </c>
      <c r="F189" s="343">
        <f>IF(OR(Tableau145[[#This Row],[Type]]="Feuillus",Tableau145[[#This Row],[Type]]="Peupliers"),1.56,1.3)</f>
        <v>1.3</v>
      </c>
      <c r="I189" s="55">
        <v>184</v>
      </c>
      <c r="J189" s="33">
        <f t="shared" si="95"/>
        <v>0</v>
      </c>
      <c r="K189" s="33">
        <f t="shared" si="96"/>
        <v>0</v>
      </c>
      <c r="L189" s="33">
        <f t="shared" si="97"/>
        <v>0</v>
      </c>
      <c r="M189" s="33">
        <f t="shared" si="98"/>
        <v>0</v>
      </c>
      <c r="N189" s="33">
        <f t="shared" si="78"/>
        <v>0</v>
      </c>
      <c r="O189" s="34">
        <f t="shared" si="79"/>
        <v>0</v>
      </c>
      <c r="P189" s="55">
        <v>184</v>
      </c>
      <c r="Q189" s="33">
        <f t="shared" si="93"/>
        <v>0</v>
      </c>
      <c r="R189" s="33">
        <f t="shared" si="99"/>
        <v>0</v>
      </c>
      <c r="S189" s="33">
        <f t="shared" si="100"/>
        <v>0</v>
      </c>
      <c r="T189" s="33">
        <f t="shared" si="80"/>
        <v>0</v>
      </c>
      <c r="U189" s="33">
        <f t="shared" si="94"/>
        <v>0</v>
      </c>
      <c r="V189" s="33">
        <f t="shared" si="81"/>
        <v>0</v>
      </c>
      <c r="W189" s="33">
        <v>0</v>
      </c>
      <c r="X189" s="33">
        <f t="shared" si="82"/>
        <v>0</v>
      </c>
      <c r="Y189" s="38">
        <f t="shared" si="83"/>
        <v>0</v>
      </c>
      <c r="AA189" s="71">
        <v>184</v>
      </c>
      <c r="AB189" s="33">
        <f t="shared" si="84"/>
        <v>0</v>
      </c>
      <c r="AC189" s="305">
        <f t="shared" si="85"/>
        <v>0</v>
      </c>
      <c r="AD189" s="100">
        <f t="shared" si="86"/>
        <v>0</v>
      </c>
      <c r="AE189" s="100">
        <f t="shared" si="87"/>
        <v>0</v>
      </c>
      <c r="AF189" s="194">
        <f t="shared" si="101"/>
        <v>0</v>
      </c>
      <c r="AG189" s="194">
        <f t="shared" si="102"/>
        <v>0</v>
      </c>
      <c r="AH189" s="194">
        <f t="shared" si="103"/>
        <v>0</v>
      </c>
      <c r="AI189" s="199">
        <f t="shared" si="104"/>
        <v>0</v>
      </c>
      <c r="AK189" s="71">
        <v>184</v>
      </c>
      <c r="AL189" s="33">
        <f t="shared" si="88"/>
        <v>0</v>
      </c>
      <c r="AM189" s="33">
        <f t="shared" si="89"/>
        <v>0</v>
      </c>
      <c r="AN189" s="33">
        <f t="shared" si="90"/>
        <v>0</v>
      </c>
      <c r="AO189" s="33">
        <f t="shared" si="91"/>
        <v>0</v>
      </c>
      <c r="AP189" s="33">
        <f t="shared" si="92"/>
        <v>0</v>
      </c>
      <c r="AQ189" s="194">
        <f t="shared" si="105"/>
        <v>0</v>
      </c>
      <c r="AR189" s="194">
        <f t="shared" si="106"/>
        <v>0</v>
      </c>
      <c r="AS189" s="194">
        <f t="shared" si="107"/>
        <v>0</v>
      </c>
      <c r="AT189" s="194">
        <f t="shared" si="108"/>
        <v>0</v>
      </c>
      <c r="AU189" s="33"/>
      <c r="AV189" s="33"/>
      <c r="AW189" s="33"/>
      <c r="AX189" s="33"/>
      <c r="AY189" s="76"/>
    </row>
    <row r="190" spans="3:51">
      <c r="C190" s="166" t="s">
        <v>65</v>
      </c>
      <c r="D190" s="4">
        <v>0.37</v>
      </c>
      <c r="E190" s="188" t="s">
        <v>227</v>
      </c>
      <c r="F190" s="343">
        <f>IF(OR(Tableau145[[#This Row],[Type]]="Feuillus",Tableau145[[#This Row],[Type]]="Peupliers"),1.56,1.3)</f>
        <v>1.56</v>
      </c>
      <c r="I190" s="55">
        <v>185</v>
      </c>
      <c r="J190" s="33">
        <f t="shared" si="95"/>
        <v>0</v>
      </c>
      <c r="K190" s="33">
        <f t="shared" si="96"/>
        <v>0</v>
      </c>
      <c r="L190" s="33">
        <f t="shared" si="97"/>
        <v>0</v>
      </c>
      <c r="M190" s="33">
        <f t="shared" si="98"/>
        <v>0</v>
      </c>
      <c r="N190" s="33">
        <f t="shared" si="78"/>
        <v>0</v>
      </c>
      <c r="O190" s="34">
        <f t="shared" si="79"/>
        <v>0</v>
      </c>
      <c r="P190" s="55">
        <v>185</v>
      </c>
      <c r="Q190" s="33">
        <f t="shared" si="93"/>
        <v>0</v>
      </c>
      <c r="R190" s="33">
        <f t="shared" si="99"/>
        <v>0</v>
      </c>
      <c r="S190" s="33">
        <f t="shared" si="100"/>
        <v>0</v>
      </c>
      <c r="T190" s="33">
        <f t="shared" si="80"/>
        <v>0</v>
      </c>
      <c r="U190" s="33">
        <f t="shared" si="94"/>
        <v>0</v>
      </c>
      <c r="V190" s="33">
        <f t="shared" si="81"/>
        <v>0</v>
      </c>
      <c r="W190" s="33">
        <v>0</v>
      </c>
      <c r="X190" s="33">
        <f t="shared" si="82"/>
        <v>0</v>
      </c>
      <c r="Y190" s="38">
        <f t="shared" si="83"/>
        <v>0</v>
      </c>
      <c r="AA190" s="71">
        <v>185</v>
      </c>
      <c r="AB190" s="33">
        <f t="shared" si="84"/>
        <v>0</v>
      </c>
      <c r="AC190" s="305">
        <f t="shared" si="85"/>
        <v>0</v>
      </c>
      <c r="AD190" s="100">
        <f t="shared" si="86"/>
        <v>0</v>
      </c>
      <c r="AE190" s="100">
        <f t="shared" si="87"/>
        <v>0</v>
      </c>
      <c r="AF190" s="194">
        <f t="shared" si="101"/>
        <v>0</v>
      </c>
      <c r="AG190" s="194">
        <f t="shared" si="102"/>
        <v>0</v>
      </c>
      <c r="AH190" s="194">
        <f t="shared" si="103"/>
        <v>0</v>
      </c>
      <c r="AI190" s="199">
        <f t="shared" si="104"/>
        <v>0</v>
      </c>
      <c r="AK190" s="71">
        <v>185</v>
      </c>
      <c r="AL190" s="33">
        <f t="shared" si="88"/>
        <v>0</v>
      </c>
      <c r="AM190" s="33">
        <f t="shared" si="89"/>
        <v>0</v>
      </c>
      <c r="AN190" s="33">
        <f t="shared" si="90"/>
        <v>0</v>
      </c>
      <c r="AO190" s="33">
        <f t="shared" si="91"/>
        <v>0</v>
      </c>
      <c r="AP190" s="33">
        <f t="shared" si="92"/>
        <v>0</v>
      </c>
      <c r="AQ190" s="194">
        <f t="shared" si="105"/>
        <v>0</v>
      </c>
      <c r="AR190" s="194">
        <f t="shared" si="106"/>
        <v>0</v>
      </c>
      <c r="AS190" s="194">
        <f t="shared" si="107"/>
        <v>0</v>
      </c>
      <c r="AT190" s="194">
        <f t="shared" si="108"/>
        <v>0</v>
      </c>
      <c r="AU190" s="33"/>
      <c r="AV190" s="33"/>
      <c r="AW190" s="33"/>
      <c r="AX190" s="33"/>
      <c r="AY190" s="76"/>
    </row>
    <row r="191" spans="3:51">
      <c r="C191" s="166" t="s">
        <v>66</v>
      </c>
      <c r="D191" s="4">
        <v>0.53</v>
      </c>
      <c r="E191" s="188" t="s">
        <v>227</v>
      </c>
      <c r="F191" s="343">
        <f>IF(OR(Tableau145[[#This Row],[Type]]="Feuillus",Tableau145[[#This Row],[Type]]="Peupliers"),1.56,1.3)</f>
        <v>1.56</v>
      </c>
      <c r="I191" s="55">
        <v>186</v>
      </c>
      <c r="J191" s="33">
        <f t="shared" si="95"/>
        <v>0</v>
      </c>
      <c r="K191" s="33">
        <f t="shared" si="96"/>
        <v>0</v>
      </c>
      <c r="L191" s="33">
        <f t="shared" si="97"/>
        <v>0</v>
      </c>
      <c r="M191" s="33">
        <f t="shared" si="98"/>
        <v>0</v>
      </c>
      <c r="N191" s="33">
        <f t="shared" si="78"/>
        <v>0</v>
      </c>
      <c r="O191" s="34">
        <f t="shared" si="79"/>
        <v>0</v>
      </c>
      <c r="P191" s="55">
        <v>186</v>
      </c>
      <c r="Q191" s="33">
        <f t="shared" si="93"/>
        <v>0</v>
      </c>
      <c r="R191" s="33">
        <f t="shared" si="99"/>
        <v>0</v>
      </c>
      <c r="S191" s="33">
        <f t="shared" si="100"/>
        <v>0</v>
      </c>
      <c r="T191" s="33">
        <f t="shared" si="80"/>
        <v>0</v>
      </c>
      <c r="U191" s="33">
        <f t="shared" si="94"/>
        <v>0</v>
      </c>
      <c r="V191" s="33">
        <f t="shared" si="81"/>
        <v>0</v>
      </c>
      <c r="W191" s="33">
        <v>0</v>
      </c>
      <c r="X191" s="33">
        <f t="shared" si="82"/>
        <v>0</v>
      </c>
      <c r="Y191" s="38">
        <f t="shared" si="83"/>
        <v>0</v>
      </c>
      <c r="AA191" s="71">
        <v>186</v>
      </c>
      <c r="AB191" s="33">
        <f t="shared" si="84"/>
        <v>0</v>
      </c>
      <c r="AC191" s="305">
        <f t="shared" si="85"/>
        <v>0</v>
      </c>
      <c r="AD191" s="100">
        <f t="shared" si="86"/>
        <v>0</v>
      </c>
      <c r="AE191" s="100">
        <f t="shared" si="87"/>
        <v>0</v>
      </c>
      <c r="AF191" s="194">
        <f t="shared" si="101"/>
        <v>0</v>
      </c>
      <c r="AG191" s="194">
        <f t="shared" si="102"/>
        <v>0</v>
      </c>
      <c r="AH191" s="194">
        <f t="shared" si="103"/>
        <v>0</v>
      </c>
      <c r="AI191" s="199">
        <f t="shared" si="104"/>
        <v>0</v>
      </c>
      <c r="AK191" s="71">
        <v>186</v>
      </c>
      <c r="AL191" s="33">
        <f t="shared" si="88"/>
        <v>0</v>
      </c>
      <c r="AM191" s="33">
        <f t="shared" si="89"/>
        <v>0</v>
      </c>
      <c r="AN191" s="33">
        <f t="shared" si="90"/>
        <v>0</v>
      </c>
      <c r="AO191" s="33">
        <f t="shared" si="91"/>
        <v>0</v>
      </c>
      <c r="AP191" s="33">
        <f t="shared" si="92"/>
        <v>0</v>
      </c>
      <c r="AQ191" s="194">
        <f t="shared" si="105"/>
        <v>0</v>
      </c>
      <c r="AR191" s="194">
        <f t="shared" si="106"/>
        <v>0</v>
      </c>
      <c r="AS191" s="194">
        <f t="shared" si="107"/>
        <v>0</v>
      </c>
      <c r="AT191" s="194">
        <f t="shared" si="108"/>
        <v>0</v>
      </c>
      <c r="AU191" s="33"/>
      <c r="AV191" s="33"/>
      <c r="AW191" s="33"/>
      <c r="AX191" s="33"/>
      <c r="AY191" s="76"/>
    </row>
    <row r="192" spans="3:51">
      <c r="C192" s="166" t="s">
        <v>67</v>
      </c>
      <c r="D192" s="4">
        <v>0.43</v>
      </c>
      <c r="E192" s="188" t="s">
        <v>227</v>
      </c>
      <c r="F192" s="343">
        <f>IF(OR(Tableau145[[#This Row],[Type]]="Feuillus",Tableau145[[#This Row],[Type]]="Peupliers"),1.56,1.3)</f>
        <v>1.56</v>
      </c>
      <c r="I192" s="55">
        <v>187</v>
      </c>
      <c r="J192" s="33">
        <f t="shared" si="95"/>
        <v>0</v>
      </c>
      <c r="K192" s="33">
        <f t="shared" si="96"/>
        <v>0</v>
      </c>
      <c r="L192" s="33">
        <f t="shared" si="97"/>
        <v>0</v>
      </c>
      <c r="M192" s="33">
        <f t="shared" si="98"/>
        <v>0</v>
      </c>
      <c r="N192" s="33">
        <f t="shared" si="78"/>
        <v>0</v>
      </c>
      <c r="O192" s="34">
        <f t="shared" si="79"/>
        <v>0</v>
      </c>
      <c r="P192" s="55">
        <v>187</v>
      </c>
      <c r="Q192" s="33">
        <f t="shared" si="93"/>
        <v>0</v>
      </c>
      <c r="R192" s="33">
        <f t="shared" si="99"/>
        <v>0</v>
      </c>
      <c r="S192" s="33">
        <f t="shared" si="100"/>
        <v>0</v>
      </c>
      <c r="T192" s="33">
        <f t="shared" si="80"/>
        <v>0</v>
      </c>
      <c r="U192" s="33">
        <f t="shared" si="94"/>
        <v>0</v>
      </c>
      <c r="V192" s="33">
        <f t="shared" si="81"/>
        <v>0</v>
      </c>
      <c r="W192" s="33">
        <v>0</v>
      </c>
      <c r="X192" s="33">
        <f t="shared" si="82"/>
        <v>0</v>
      </c>
      <c r="Y192" s="38">
        <f t="shared" si="83"/>
        <v>0</v>
      </c>
      <c r="AA192" s="71">
        <v>187</v>
      </c>
      <c r="AB192" s="33">
        <f t="shared" si="84"/>
        <v>0</v>
      </c>
      <c r="AC192" s="305">
        <f t="shared" si="85"/>
        <v>0</v>
      </c>
      <c r="AD192" s="100">
        <f t="shared" si="86"/>
        <v>0</v>
      </c>
      <c r="AE192" s="100">
        <f t="shared" si="87"/>
        <v>0</v>
      </c>
      <c r="AF192" s="194">
        <f t="shared" si="101"/>
        <v>0</v>
      </c>
      <c r="AG192" s="194">
        <f t="shared" si="102"/>
        <v>0</v>
      </c>
      <c r="AH192" s="194">
        <f t="shared" si="103"/>
        <v>0</v>
      </c>
      <c r="AI192" s="199">
        <f t="shared" si="104"/>
        <v>0</v>
      </c>
      <c r="AK192" s="71">
        <v>187</v>
      </c>
      <c r="AL192" s="33">
        <f t="shared" si="88"/>
        <v>0</v>
      </c>
      <c r="AM192" s="33">
        <f t="shared" si="89"/>
        <v>0</v>
      </c>
      <c r="AN192" s="33">
        <f t="shared" si="90"/>
        <v>0</v>
      </c>
      <c r="AO192" s="33">
        <f t="shared" si="91"/>
        <v>0</v>
      </c>
      <c r="AP192" s="33">
        <f t="shared" si="92"/>
        <v>0</v>
      </c>
      <c r="AQ192" s="194">
        <f t="shared" si="105"/>
        <v>0</v>
      </c>
      <c r="AR192" s="194">
        <f t="shared" si="106"/>
        <v>0</v>
      </c>
      <c r="AS192" s="194">
        <f t="shared" si="107"/>
        <v>0</v>
      </c>
      <c r="AT192" s="194">
        <f t="shared" si="108"/>
        <v>0</v>
      </c>
      <c r="AU192" s="33"/>
      <c r="AV192" s="33"/>
      <c r="AW192" s="33"/>
      <c r="AX192" s="33"/>
      <c r="AY192" s="76"/>
    </row>
    <row r="193" spans="3:51">
      <c r="C193" s="166" t="s">
        <v>68</v>
      </c>
      <c r="D193" s="4">
        <v>0.38</v>
      </c>
      <c r="E193" s="188" t="s">
        <v>227</v>
      </c>
      <c r="F193" s="343">
        <f>IF(OR(Tableau145[[#This Row],[Type]]="Feuillus",Tableau145[[#This Row],[Type]]="Peupliers"),1.56,1.3)</f>
        <v>1.56</v>
      </c>
      <c r="I193" s="55">
        <v>188</v>
      </c>
      <c r="J193" s="33">
        <f t="shared" si="95"/>
        <v>0</v>
      </c>
      <c r="K193" s="33">
        <f t="shared" si="96"/>
        <v>0</v>
      </c>
      <c r="L193" s="33">
        <f t="shared" si="97"/>
        <v>0</v>
      </c>
      <c r="M193" s="33">
        <f t="shared" si="98"/>
        <v>0</v>
      </c>
      <c r="N193" s="33">
        <f t="shared" si="78"/>
        <v>0</v>
      </c>
      <c r="O193" s="34">
        <f t="shared" si="79"/>
        <v>0</v>
      </c>
      <c r="P193" s="55">
        <v>188</v>
      </c>
      <c r="Q193" s="33">
        <f t="shared" si="93"/>
        <v>0</v>
      </c>
      <c r="R193" s="33">
        <f t="shared" si="99"/>
        <v>0</v>
      </c>
      <c r="S193" s="33">
        <f t="shared" si="100"/>
        <v>0</v>
      </c>
      <c r="T193" s="33">
        <f t="shared" si="80"/>
        <v>0</v>
      </c>
      <c r="U193" s="33">
        <f t="shared" si="94"/>
        <v>0</v>
      </c>
      <c r="V193" s="33">
        <f t="shared" si="81"/>
        <v>0</v>
      </c>
      <c r="W193" s="33">
        <v>0</v>
      </c>
      <c r="X193" s="33">
        <f t="shared" si="82"/>
        <v>0</v>
      </c>
      <c r="Y193" s="38">
        <f t="shared" si="83"/>
        <v>0</v>
      </c>
      <c r="AA193" s="71">
        <v>188</v>
      </c>
      <c r="AB193" s="33">
        <f t="shared" si="84"/>
        <v>0</v>
      </c>
      <c r="AC193" s="305">
        <f t="shared" si="85"/>
        <v>0</v>
      </c>
      <c r="AD193" s="100">
        <f t="shared" si="86"/>
        <v>0</v>
      </c>
      <c r="AE193" s="100">
        <f t="shared" si="87"/>
        <v>0</v>
      </c>
      <c r="AF193" s="194">
        <f t="shared" si="101"/>
        <v>0</v>
      </c>
      <c r="AG193" s="194">
        <f t="shared" si="102"/>
        <v>0</v>
      </c>
      <c r="AH193" s="194">
        <f t="shared" si="103"/>
        <v>0</v>
      </c>
      <c r="AI193" s="199">
        <f t="shared" si="104"/>
        <v>0</v>
      </c>
      <c r="AK193" s="71">
        <v>188</v>
      </c>
      <c r="AL193" s="33">
        <f t="shared" si="88"/>
        <v>0</v>
      </c>
      <c r="AM193" s="33">
        <f t="shared" si="89"/>
        <v>0</v>
      </c>
      <c r="AN193" s="33">
        <f t="shared" si="90"/>
        <v>0</v>
      </c>
      <c r="AO193" s="33">
        <f t="shared" si="91"/>
        <v>0</v>
      </c>
      <c r="AP193" s="33">
        <f t="shared" si="92"/>
        <v>0</v>
      </c>
      <c r="AQ193" s="194">
        <f t="shared" si="105"/>
        <v>0</v>
      </c>
      <c r="AR193" s="194">
        <f t="shared" si="106"/>
        <v>0</v>
      </c>
      <c r="AS193" s="194">
        <f t="shared" si="107"/>
        <v>0</v>
      </c>
      <c r="AT193" s="194">
        <f t="shared" si="108"/>
        <v>0</v>
      </c>
      <c r="AU193" s="33"/>
      <c r="AV193" s="33"/>
      <c r="AW193" s="33"/>
      <c r="AX193" s="33"/>
      <c r="AY193" s="76"/>
    </row>
    <row r="194" spans="3:51">
      <c r="C194" s="168" t="s">
        <v>69</v>
      </c>
      <c r="D194" s="3">
        <v>0.42</v>
      </c>
      <c r="E194" s="188" t="s">
        <v>228</v>
      </c>
      <c r="F194" s="343">
        <f>IF(OR(Tableau145[[#This Row],[Type]]="Feuillus",Tableau145[[#This Row],[Type]]="Peupliers"),1.56,1.3)</f>
        <v>1.3</v>
      </c>
      <c r="I194" s="55">
        <v>189</v>
      </c>
      <c r="J194" s="33">
        <f t="shared" si="95"/>
        <v>0</v>
      </c>
      <c r="K194" s="33">
        <f t="shared" si="96"/>
        <v>0</v>
      </c>
      <c r="L194" s="33">
        <f t="shared" si="97"/>
        <v>0</v>
      </c>
      <c r="M194" s="33">
        <f t="shared" si="98"/>
        <v>0</v>
      </c>
      <c r="N194" s="33">
        <f t="shared" si="78"/>
        <v>0</v>
      </c>
      <c r="O194" s="34">
        <f t="shared" si="79"/>
        <v>0</v>
      </c>
      <c r="P194" s="55">
        <v>189</v>
      </c>
      <c r="Q194" s="33">
        <f t="shared" si="93"/>
        <v>0</v>
      </c>
      <c r="R194" s="33">
        <f t="shared" si="99"/>
        <v>0</v>
      </c>
      <c r="S194" s="33">
        <f t="shared" si="100"/>
        <v>0</v>
      </c>
      <c r="T194" s="33">
        <f t="shared" si="80"/>
        <v>0</v>
      </c>
      <c r="U194" s="33">
        <f t="shared" si="94"/>
        <v>0</v>
      </c>
      <c r="V194" s="33">
        <f t="shared" si="81"/>
        <v>0</v>
      </c>
      <c r="W194" s="33">
        <v>0</v>
      </c>
      <c r="X194" s="33">
        <f t="shared" si="82"/>
        <v>0</v>
      </c>
      <c r="Y194" s="38">
        <f t="shared" si="83"/>
        <v>0</v>
      </c>
      <c r="AA194" s="71">
        <v>189</v>
      </c>
      <c r="AB194" s="33">
        <f t="shared" si="84"/>
        <v>0</v>
      </c>
      <c r="AC194" s="305">
        <f t="shared" si="85"/>
        <v>0</v>
      </c>
      <c r="AD194" s="100">
        <f t="shared" si="86"/>
        <v>0</v>
      </c>
      <c r="AE194" s="100">
        <f t="shared" si="87"/>
        <v>0</v>
      </c>
      <c r="AF194" s="194">
        <f t="shared" si="101"/>
        <v>0</v>
      </c>
      <c r="AG194" s="194">
        <f t="shared" si="102"/>
        <v>0</v>
      </c>
      <c r="AH194" s="194">
        <f t="shared" si="103"/>
        <v>0</v>
      </c>
      <c r="AI194" s="199">
        <f t="shared" si="104"/>
        <v>0</v>
      </c>
      <c r="AK194" s="71">
        <v>189</v>
      </c>
      <c r="AL194" s="33">
        <f t="shared" si="88"/>
        <v>0</v>
      </c>
      <c r="AM194" s="33">
        <f t="shared" si="89"/>
        <v>0</v>
      </c>
      <c r="AN194" s="33">
        <f t="shared" si="90"/>
        <v>0</v>
      </c>
      <c r="AO194" s="33">
        <f t="shared" si="91"/>
        <v>0</v>
      </c>
      <c r="AP194" s="33">
        <f t="shared" si="92"/>
        <v>0</v>
      </c>
      <c r="AQ194" s="194">
        <f t="shared" si="105"/>
        <v>0</v>
      </c>
      <c r="AR194" s="194">
        <f t="shared" si="106"/>
        <v>0</v>
      </c>
      <c r="AS194" s="194">
        <f t="shared" si="107"/>
        <v>0</v>
      </c>
      <c r="AT194" s="194">
        <f t="shared" si="108"/>
        <v>0</v>
      </c>
      <c r="AU194" s="33"/>
      <c r="AV194" s="33"/>
      <c r="AW194" s="33"/>
      <c r="AX194" s="33"/>
      <c r="AY194" s="76"/>
    </row>
    <row r="195" spans="3:51">
      <c r="C195" s="168" t="s">
        <v>70</v>
      </c>
      <c r="D195" s="3">
        <v>0.56999999999999995</v>
      </c>
      <c r="E195" s="188" t="s">
        <v>227</v>
      </c>
      <c r="F195" s="343">
        <f>IF(OR(Tableau145[[#This Row],[Type]]="Feuillus",Tableau145[[#This Row],[Type]]="Peupliers"),1.56,1.3)</f>
        <v>1.56</v>
      </c>
      <c r="I195" s="55">
        <v>190</v>
      </c>
      <c r="J195" s="33">
        <f t="shared" si="95"/>
        <v>0</v>
      </c>
      <c r="K195" s="33">
        <f t="shared" si="96"/>
        <v>0</v>
      </c>
      <c r="L195" s="33">
        <f t="shared" si="97"/>
        <v>0</v>
      </c>
      <c r="M195" s="33">
        <f t="shared" si="98"/>
        <v>0</v>
      </c>
      <c r="N195" s="33">
        <f t="shared" si="78"/>
        <v>0</v>
      </c>
      <c r="O195" s="34">
        <f t="shared" si="79"/>
        <v>0</v>
      </c>
      <c r="P195" s="55">
        <v>190</v>
      </c>
      <c r="Q195" s="33">
        <f t="shared" si="93"/>
        <v>0</v>
      </c>
      <c r="R195" s="33">
        <f t="shared" si="99"/>
        <v>0</v>
      </c>
      <c r="S195" s="33">
        <f t="shared" si="100"/>
        <v>0</v>
      </c>
      <c r="T195" s="33">
        <f t="shared" si="80"/>
        <v>0</v>
      </c>
      <c r="U195" s="33">
        <f t="shared" si="94"/>
        <v>0</v>
      </c>
      <c r="V195" s="33">
        <f t="shared" si="81"/>
        <v>0</v>
      </c>
      <c r="W195" s="33">
        <v>0</v>
      </c>
      <c r="X195" s="33">
        <f t="shared" si="82"/>
        <v>0</v>
      </c>
      <c r="Y195" s="38">
        <f t="shared" si="83"/>
        <v>0</v>
      </c>
      <c r="AA195" s="71">
        <v>190</v>
      </c>
      <c r="AB195" s="33">
        <f t="shared" si="84"/>
        <v>0</v>
      </c>
      <c r="AC195" s="305">
        <f t="shared" si="85"/>
        <v>0</v>
      </c>
      <c r="AD195" s="100">
        <f t="shared" si="86"/>
        <v>0</v>
      </c>
      <c r="AE195" s="100">
        <f t="shared" si="87"/>
        <v>0</v>
      </c>
      <c r="AF195" s="194">
        <f t="shared" si="101"/>
        <v>0</v>
      </c>
      <c r="AG195" s="194">
        <f t="shared" si="102"/>
        <v>0</v>
      </c>
      <c r="AH195" s="194">
        <f t="shared" si="103"/>
        <v>0</v>
      </c>
      <c r="AI195" s="199">
        <f t="shared" si="104"/>
        <v>0</v>
      </c>
      <c r="AK195" s="71">
        <v>190</v>
      </c>
      <c r="AL195" s="33">
        <f t="shared" si="88"/>
        <v>0</v>
      </c>
      <c r="AM195" s="33">
        <f t="shared" si="89"/>
        <v>0</v>
      </c>
      <c r="AN195" s="33">
        <f t="shared" si="90"/>
        <v>0</v>
      </c>
      <c r="AO195" s="33">
        <f t="shared" si="91"/>
        <v>0</v>
      </c>
      <c r="AP195" s="33">
        <f t="shared" si="92"/>
        <v>0</v>
      </c>
      <c r="AQ195" s="194">
        <f t="shared" si="105"/>
        <v>0</v>
      </c>
      <c r="AR195" s="194">
        <f t="shared" si="106"/>
        <v>0</v>
      </c>
      <c r="AS195" s="194">
        <f t="shared" si="107"/>
        <v>0</v>
      </c>
      <c r="AT195" s="194">
        <f t="shared" si="108"/>
        <v>0</v>
      </c>
      <c r="AU195" s="33"/>
      <c r="AV195" s="33"/>
      <c r="AW195" s="33"/>
      <c r="AX195" s="33"/>
      <c r="AY195" s="76"/>
    </row>
    <row r="196" spans="3:51">
      <c r="C196" s="168" t="s">
        <v>71</v>
      </c>
      <c r="D196" s="3">
        <v>0.54</v>
      </c>
      <c r="E196" s="188"/>
      <c r="F196" s="343">
        <f>IF(OR(Tableau145[[#This Row],[Type]]="Feuillus",Tableau145[[#This Row],[Type]]="Peupliers"),1.56,1.3)</f>
        <v>1.3</v>
      </c>
      <c r="I196" s="55">
        <v>191</v>
      </c>
      <c r="J196" s="33">
        <f t="shared" si="95"/>
        <v>0</v>
      </c>
      <c r="K196" s="33">
        <f t="shared" si="96"/>
        <v>0</v>
      </c>
      <c r="L196" s="33">
        <f t="shared" si="97"/>
        <v>0</v>
      </c>
      <c r="M196" s="33">
        <f t="shared" si="98"/>
        <v>0</v>
      </c>
      <c r="N196" s="33">
        <f t="shared" si="78"/>
        <v>0</v>
      </c>
      <c r="O196" s="34">
        <f t="shared" si="79"/>
        <v>0</v>
      </c>
      <c r="P196" s="55">
        <v>191</v>
      </c>
      <c r="Q196" s="33">
        <f t="shared" si="93"/>
        <v>0</v>
      </c>
      <c r="R196" s="33">
        <f t="shared" si="99"/>
        <v>0</v>
      </c>
      <c r="S196" s="33">
        <f t="shared" si="100"/>
        <v>0</v>
      </c>
      <c r="T196" s="33">
        <f t="shared" si="80"/>
        <v>0</v>
      </c>
      <c r="U196" s="33">
        <f t="shared" si="94"/>
        <v>0</v>
      </c>
      <c r="V196" s="33">
        <f t="shared" si="81"/>
        <v>0</v>
      </c>
      <c r="W196" s="33">
        <v>0</v>
      </c>
      <c r="X196" s="33">
        <f t="shared" si="82"/>
        <v>0</v>
      </c>
      <c r="Y196" s="38">
        <f t="shared" si="83"/>
        <v>0</v>
      </c>
      <c r="AA196" s="71">
        <v>191</v>
      </c>
      <c r="AB196" s="33">
        <f t="shared" si="84"/>
        <v>0</v>
      </c>
      <c r="AC196" s="305">
        <f t="shared" si="85"/>
        <v>0</v>
      </c>
      <c r="AD196" s="100">
        <f t="shared" si="86"/>
        <v>0</v>
      </c>
      <c r="AE196" s="100">
        <f t="shared" si="87"/>
        <v>0</v>
      </c>
      <c r="AF196" s="194">
        <f t="shared" si="101"/>
        <v>0</v>
      </c>
      <c r="AG196" s="194">
        <f t="shared" si="102"/>
        <v>0</v>
      </c>
      <c r="AH196" s="194">
        <f t="shared" si="103"/>
        <v>0</v>
      </c>
      <c r="AI196" s="199">
        <f t="shared" si="104"/>
        <v>0</v>
      </c>
      <c r="AK196" s="71">
        <v>191</v>
      </c>
      <c r="AL196" s="33">
        <f t="shared" si="88"/>
        <v>0</v>
      </c>
      <c r="AM196" s="33">
        <f t="shared" si="89"/>
        <v>0</v>
      </c>
      <c r="AN196" s="33">
        <f t="shared" si="90"/>
        <v>0</v>
      </c>
      <c r="AO196" s="33">
        <f t="shared" si="91"/>
        <v>0</v>
      </c>
      <c r="AP196" s="33">
        <f t="shared" si="92"/>
        <v>0</v>
      </c>
      <c r="AQ196" s="194">
        <f t="shared" si="105"/>
        <v>0</v>
      </c>
      <c r="AR196" s="194">
        <f t="shared" si="106"/>
        <v>0</v>
      </c>
      <c r="AS196" s="194">
        <f t="shared" si="107"/>
        <v>0</v>
      </c>
      <c r="AT196" s="194">
        <f t="shared" si="108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5"/>
        <v>0</v>
      </c>
      <c r="K197" s="33">
        <f t="shared" si="96"/>
        <v>0</v>
      </c>
      <c r="L197" s="33">
        <f t="shared" si="97"/>
        <v>0</v>
      </c>
      <c r="M197" s="33">
        <f t="shared" si="98"/>
        <v>0</v>
      </c>
      <c r="N197" s="33">
        <f t="shared" ref="N197:N204" si="109">IF(P198&lt;=$F$18,0,)</f>
        <v>0</v>
      </c>
      <c r="O197" s="34">
        <f t="shared" ref="O197:O205" si="110">((J197+K197)*0.475+L197+M197+N197)*44/12</f>
        <v>0</v>
      </c>
      <c r="P197" s="55">
        <v>192</v>
      </c>
      <c r="Q197" s="33">
        <f t="shared" si="93"/>
        <v>0</v>
      </c>
      <c r="R197" s="33">
        <f t="shared" si="99"/>
        <v>0</v>
      </c>
      <c r="S197" s="33">
        <f t="shared" si="100"/>
        <v>0</v>
      </c>
      <c r="T197" s="33">
        <f t="shared" ref="T197:T205" si="111">IF(S197=0,0,EXP(-1.0587+0.8836*LN(S197)+0.284))</f>
        <v>0</v>
      </c>
      <c r="U197" s="33">
        <f t="shared" si="94"/>
        <v>0</v>
      </c>
      <c r="V197" s="33">
        <f t="shared" ref="V197:V205" si="112">IF(P197&lt;=$F$18,IF(P197&lt;=30,P197*($F$16-$F$6)/30,$F$16-$F$6),)</f>
        <v>0</v>
      </c>
      <c r="W197" s="33">
        <v>0</v>
      </c>
      <c r="X197" s="33">
        <f t="shared" ref="X197:X205" si="113">((S197+T197)*0.475+U197+V197+W197)*44/12</f>
        <v>0</v>
      </c>
      <c r="Y197" s="38">
        <f t="shared" ref="Y197:Y205" si="114">IF(P197&lt;=$F$18,X197-O197,)</f>
        <v>0</v>
      </c>
      <c r="AA197" s="71">
        <v>192</v>
      </c>
      <c r="AB197" s="33">
        <f t="shared" ref="AB197:AB205" si="115">IF(AA197&lt;=$F$18,IFERROR(VLOOKUP($AA197,$B$82:$G$95,2,FALSE),0),)</f>
        <v>0</v>
      </c>
      <c r="AC197" s="305">
        <f t="shared" ref="AC197:AC205" si="116">IF(AA197&lt;=$F$18,IFERROR(VLOOKUP($AA197,$B$82:$G$95,3,FALSE),0),)*50%</f>
        <v>0</v>
      </c>
      <c r="AD197" s="100">
        <f t="shared" ref="AD197:AD205" si="117">IF(AA197&lt;=$F$18,IFERROR(VLOOKUP($AA197,$B$82:$G$95,4,FALSE),0),)</f>
        <v>0</v>
      </c>
      <c r="AE197" s="100">
        <f t="shared" ref="AE197:AE205" si="118">IF(AA197&lt;=$F$18,IFERROR(VLOOKUP($AA197,$B$82:$G$95,5,FALSE),0),)</f>
        <v>0</v>
      </c>
      <c r="AF197" s="194">
        <f t="shared" si="101"/>
        <v>0</v>
      </c>
      <c r="AG197" s="194">
        <f t="shared" si="102"/>
        <v>0</v>
      </c>
      <c r="AH197" s="194">
        <f t="shared" si="103"/>
        <v>0</v>
      </c>
      <c r="AI197" s="199">
        <f t="shared" si="104"/>
        <v>0</v>
      </c>
      <c r="AK197" s="71">
        <v>192</v>
      </c>
      <c r="AL197" s="33">
        <f t="shared" ref="AL197:AL205" si="119">IF(AK197&lt;=$F$18,IFERROR(VLOOKUP($AA197,$B$82:$G$95,2,FALSE),0),)</f>
        <v>0</v>
      </c>
      <c r="AM197" s="33">
        <f t="shared" ref="AM197:AM205" si="120">IF(AK197&lt;=$F$18,IFERROR(VLOOKUP($AA197,$B$82:$G$95,3,FALSE),0),)</f>
        <v>0</v>
      </c>
      <c r="AN197" s="33">
        <f t="shared" ref="AN197:AN205" si="121">IF(AK197&lt;=$F$18,IFERROR(VLOOKUP($AA197,$B$82:$G$95,4,FALSE),0),)</f>
        <v>0</v>
      </c>
      <c r="AO197" s="33">
        <f t="shared" ref="AO197:AO205" si="122">IF(AK197&lt;=$F$18,IFERROR(VLOOKUP($AA197,$B$82:$G$95,5,FALSE),0),)</f>
        <v>0</v>
      </c>
      <c r="AP197" s="33">
        <f t="shared" ref="AP197:AP205" si="123">IF(AK197&lt;=$F$18,IFERROR(VLOOKUP($AA197,$B$82:$G$95,6,FALSE),0),)</f>
        <v>0</v>
      </c>
      <c r="AQ197" s="194">
        <f t="shared" si="105"/>
        <v>0</v>
      </c>
      <c r="AR197" s="194">
        <f t="shared" si="106"/>
        <v>0</v>
      </c>
      <c r="AS197" s="194">
        <f t="shared" si="107"/>
        <v>0</v>
      </c>
      <c r="AT197" s="194">
        <f t="shared" si="108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5"/>
        <v>0</v>
      </c>
      <c r="K198" s="33">
        <f t="shared" si="96"/>
        <v>0</v>
      </c>
      <c r="L198" s="33">
        <f t="shared" si="97"/>
        <v>0</v>
      </c>
      <c r="M198" s="33">
        <f t="shared" si="98"/>
        <v>0</v>
      </c>
      <c r="N198" s="33">
        <f t="shared" si="109"/>
        <v>0</v>
      </c>
      <c r="O198" s="34">
        <f t="shared" si="110"/>
        <v>0</v>
      </c>
      <c r="P198" s="55">
        <v>193</v>
      </c>
      <c r="Q198" s="33">
        <f t="shared" ref="Q198:Q205" si="124">IF(P198&lt;=$F$18,LOOKUP(P198-1,$B$25:$B$78,$G$25:$G$78),)</f>
        <v>0</v>
      </c>
      <c r="R198" s="33">
        <f t="shared" si="99"/>
        <v>0</v>
      </c>
      <c r="S198" s="33">
        <f t="shared" si="100"/>
        <v>0</v>
      </c>
      <c r="T198" s="33">
        <f t="shared" si="111"/>
        <v>0</v>
      </c>
      <c r="U198" s="33">
        <f t="shared" ref="U198:U205" si="125">IF(P198&lt;=$F$18,$F$5+($F$15-$F$5)*(1-EXP(-0.0175*P198)),)</f>
        <v>0</v>
      </c>
      <c r="V198" s="33">
        <f t="shared" si="112"/>
        <v>0</v>
      </c>
      <c r="W198" s="33">
        <v>0</v>
      </c>
      <c r="X198" s="33">
        <f t="shared" si="113"/>
        <v>0</v>
      </c>
      <c r="Y198" s="38">
        <f t="shared" si="114"/>
        <v>0</v>
      </c>
      <c r="AA198" s="71">
        <v>193</v>
      </c>
      <c r="AB198" s="33">
        <f t="shared" si="115"/>
        <v>0</v>
      </c>
      <c r="AC198" s="305">
        <f t="shared" si="116"/>
        <v>0</v>
      </c>
      <c r="AD198" s="100">
        <f t="shared" si="117"/>
        <v>0</v>
      </c>
      <c r="AE198" s="100">
        <f t="shared" si="118"/>
        <v>0</v>
      </c>
      <c r="AF198" s="194">
        <f t="shared" si="101"/>
        <v>0</v>
      </c>
      <c r="AG198" s="194">
        <f t="shared" si="102"/>
        <v>0</v>
      </c>
      <c r="AH198" s="194">
        <f t="shared" si="103"/>
        <v>0</v>
      </c>
      <c r="AI198" s="199">
        <f t="shared" si="104"/>
        <v>0</v>
      </c>
      <c r="AK198" s="71">
        <v>193</v>
      </c>
      <c r="AL198" s="33">
        <f t="shared" si="119"/>
        <v>0</v>
      </c>
      <c r="AM198" s="33">
        <f t="shared" si="120"/>
        <v>0</v>
      </c>
      <c r="AN198" s="33">
        <f t="shared" si="121"/>
        <v>0</v>
      </c>
      <c r="AO198" s="33">
        <f t="shared" si="122"/>
        <v>0</v>
      </c>
      <c r="AP198" s="33">
        <f t="shared" si="123"/>
        <v>0</v>
      </c>
      <c r="AQ198" s="194">
        <f t="shared" si="105"/>
        <v>0</v>
      </c>
      <c r="AR198" s="194">
        <f t="shared" si="106"/>
        <v>0</v>
      </c>
      <c r="AS198" s="194">
        <f t="shared" si="107"/>
        <v>0</v>
      </c>
      <c r="AT198" s="194">
        <f t="shared" si="108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6">IF($I199&lt;=$F$10,$F$11*$F$13+J198,)</f>
        <v>0</v>
      </c>
      <c r="K199" s="33">
        <f t="shared" ref="K199:K205" si="127">IF(J199=0,0,EXP(-1.0587+0.8836*LN(J199)+0.284))</f>
        <v>0</v>
      </c>
      <c r="L199" s="33">
        <f t="shared" ref="L199:L205" si="128">IF(I199&lt;=$F$10,$F$5+($F$8-$F$5)*(1-EXP(-0.0175*I199)),)</f>
        <v>0</v>
      </c>
      <c r="M199" s="33">
        <f t="shared" ref="M199:M205" si="129">IF(I199&lt;=$F$10,IF(I199&lt;=30,I199*($F$9-$F$6)/30,$F$9-$F$6),)</f>
        <v>0</v>
      </c>
      <c r="N199" s="33">
        <f t="shared" si="109"/>
        <v>0</v>
      </c>
      <c r="O199" s="34">
        <f t="shared" si="110"/>
        <v>0</v>
      </c>
      <c r="P199" s="55">
        <v>194</v>
      </c>
      <c r="Q199" s="33">
        <f t="shared" si="124"/>
        <v>0</v>
      </c>
      <c r="R199" s="33">
        <f t="shared" ref="R199:R205" si="130">IF(P199&lt;=$F$18,Q199+R198,)</f>
        <v>0</v>
      </c>
      <c r="S199" s="33">
        <f t="shared" ref="S199:S205" si="131">$F$19*R199</f>
        <v>0</v>
      </c>
      <c r="T199" s="33">
        <f t="shared" si="111"/>
        <v>0</v>
      </c>
      <c r="U199" s="33">
        <f t="shared" si="125"/>
        <v>0</v>
      </c>
      <c r="V199" s="33">
        <f t="shared" si="112"/>
        <v>0</v>
      </c>
      <c r="W199" s="33">
        <v>0</v>
      </c>
      <c r="X199" s="33">
        <f t="shared" si="113"/>
        <v>0</v>
      </c>
      <c r="Y199" s="38">
        <f t="shared" si="114"/>
        <v>0</v>
      </c>
      <c r="AA199" s="71">
        <v>194</v>
      </c>
      <c r="AB199" s="33">
        <f t="shared" si="115"/>
        <v>0</v>
      </c>
      <c r="AC199" s="305">
        <f t="shared" si="116"/>
        <v>0</v>
      </c>
      <c r="AD199" s="100">
        <f t="shared" si="117"/>
        <v>0</v>
      </c>
      <c r="AE199" s="100">
        <f t="shared" si="118"/>
        <v>0</v>
      </c>
      <c r="AF199" s="194">
        <f t="shared" si="101"/>
        <v>0</v>
      </c>
      <c r="AG199" s="194">
        <f t="shared" si="102"/>
        <v>0</v>
      </c>
      <c r="AH199" s="194">
        <f t="shared" si="103"/>
        <v>0</v>
      </c>
      <c r="AI199" s="199">
        <f t="shared" si="104"/>
        <v>0</v>
      </c>
      <c r="AK199" s="71">
        <v>194</v>
      </c>
      <c r="AL199" s="33">
        <f t="shared" si="119"/>
        <v>0</v>
      </c>
      <c r="AM199" s="33">
        <f t="shared" si="120"/>
        <v>0</v>
      </c>
      <c r="AN199" s="33">
        <f t="shared" si="121"/>
        <v>0</v>
      </c>
      <c r="AO199" s="33">
        <f t="shared" si="122"/>
        <v>0</v>
      </c>
      <c r="AP199" s="33">
        <f t="shared" si="123"/>
        <v>0</v>
      </c>
      <c r="AQ199" s="194">
        <f t="shared" si="105"/>
        <v>0</v>
      </c>
      <c r="AR199" s="194">
        <f t="shared" si="106"/>
        <v>0</v>
      </c>
      <c r="AS199" s="194">
        <f t="shared" si="107"/>
        <v>0</v>
      </c>
      <c r="AT199" s="194">
        <f t="shared" si="108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6"/>
        <v>0</v>
      </c>
      <c r="K200" s="33">
        <f t="shared" si="127"/>
        <v>0</v>
      </c>
      <c r="L200" s="33">
        <f t="shared" si="128"/>
        <v>0</v>
      </c>
      <c r="M200" s="33">
        <f t="shared" si="129"/>
        <v>0</v>
      </c>
      <c r="N200" s="33">
        <f t="shared" si="109"/>
        <v>0</v>
      </c>
      <c r="O200" s="34">
        <f t="shared" si="110"/>
        <v>0</v>
      </c>
      <c r="P200" s="55">
        <v>195</v>
      </c>
      <c r="Q200" s="33">
        <f t="shared" si="124"/>
        <v>0</v>
      </c>
      <c r="R200" s="33">
        <f t="shared" si="130"/>
        <v>0</v>
      </c>
      <c r="S200" s="33">
        <f t="shared" si="131"/>
        <v>0</v>
      </c>
      <c r="T200" s="33">
        <f t="shared" si="111"/>
        <v>0</v>
      </c>
      <c r="U200" s="33">
        <f t="shared" si="125"/>
        <v>0</v>
      </c>
      <c r="V200" s="33">
        <f t="shared" si="112"/>
        <v>0</v>
      </c>
      <c r="W200" s="33">
        <v>0</v>
      </c>
      <c r="X200" s="33">
        <f t="shared" si="113"/>
        <v>0</v>
      </c>
      <c r="Y200" s="38">
        <f t="shared" si="114"/>
        <v>0</v>
      </c>
      <c r="AA200" s="71">
        <v>195</v>
      </c>
      <c r="AB200" s="33">
        <f t="shared" si="115"/>
        <v>0</v>
      </c>
      <c r="AC200" s="305">
        <f t="shared" si="116"/>
        <v>0</v>
      </c>
      <c r="AD200" s="100">
        <f t="shared" si="117"/>
        <v>0</v>
      </c>
      <c r="AE200" s="100">
        <f t="shared" si="118"/>
        <v>0</v>
      </c>
      <c r="AF200" s="194">
        <f t="shared" si="101"/>
        <v>0</v>
      </c>
      <c r="AG200" s="194">
        <f t="shared" si="102"/>
        <v>0</v>
      </c>
      <c r="AH200" s="194">
        <f t="shared" si="103"/>
        <v>0</v>
      </c>
      <c r="AI200" s="199">
        <f t="shared" si="104"/>
        <v>0</v>
      </c>
      <c r="AK200" s="71">
        <v>195</v>
      </c>
      <c r="AL200" s="33">
        <f t="shared" si="119"/>
        <v>0</v>
      </c>
      <c r="AM200" s="33">
        <f t="shared" si="120"/>
        <v>0</v>
      </c>
      <c r="AN200" s="33">
        <f t="shared" si="121"/>
        <v>0</v>
      </c>
      <c r="AO200" s="33">
        <f t="shared" si="122"/>
        <v>0</v>
      </c>
      <c r="AP200" s="33">
        <f t="shared" si="123"/>
        <v>0</v>
      </c>
      <c r="AQ200" s="194">
        <f t="shared" si="105"/>
        <v>0</v>
      </c>
      <c r="AR200" s="194">
        <f t="shared" si="106"/>
        <v>0</v>
      </c>
      <c r="AS200" s="194">
        <f t="shared" si="107"/>
        <v>0</v>
      </c>
      <c r="AT200" s="194">
        <f t="shared" si="108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6"/>
        <v>0</v>
      </c>
      <c r="K201" s="33">
        <f t="shared" si="127"/>
        <v>0</v>
      </c>
      <c r="L201" s="33">
        <f t="shared" si="128"/>
        <v>0</v>
      </c>
      <c r="M201" s="33">
        <f t="shared" si="129"/>
        <v>0</v>
      </c>
      <c r="N201" s="33">
        <f t="shared" si="109"/>
        <v>0</v>
      </c>
      <c r="O201" s="34">
        <f t="shared" si="110"/>
        <v>0</v>
      </c>
      <c r="P201" s="55">
        <v>196</v>
      </c>
      <c r="Q201" s="33">
        <f t="shared" si="124"/>
        <v>0</v>
      </c>
      <c r="R201" s="33">
        <f t="shared" si="130"/>
        <v>0</v>
      </c>
      <c r="S201" s="33">
        <f t="shared" si="131"/>
        <v>0</v>
      </c>
      <c r="T201" s="33">
        <f t="shared" si="111"/>
        <v>0</v>
      </c>
      <c r="U201" s="33">
        <f t="shared" si="125"/>
        <v>0</v>
      </c>
      <c r="V201" s="33">
        <f t="shared" si="112"/>
        <v>0</v>
      </c>
      <c r="W201" s="33">
        <v>0</v>
      </c>
      <c r="X201" s="33">
        <f t="shared" si="113"/>
        <v>0</v>
      </c>
      <c r="Y201" s="38">
        <f t="shared" si="114"/>
        <v>0</v>
      </c>
      <c r="AA201" s="71">
        <v>196</v>
      </c>
      <c r="AB201" s="33">
        <f t="shared" si="115"/>
        <v>0</v>
      </c>
      <c r="AC201" s="305">
        <f t="shared" si="116"/>
        <v>0</v>
      </c>
      <c r="AD201" s="100">
        <f t="shared" si="117"/>
        <v>0</v>
      </c>
      <c r="AE201" s="100">
        <f t="shared" si="118"/>
        <v>0</v>
      </c>
      <c r="AF201" s="194">
        <f t="shared" si="101"/>
        <v>0</v>
      </c>
      <c r="AG201" s="194">
        <f t="shared" si="102"/>
        <v>0</v>
      </c>
      <c r="AH201" s="194">
        <f t="shared" si="103"/>
        <v>0</v>
      </c>
      <c r="AI201" s="199">
        <f t="shared" si="104"/>
        <v>0</v>
      </c>
      <c r="AK201" s="71">
        <v>196</v>
      </c>
      <c r="AL201" s="33">
        <f t="shared" si="119"/>
        <v>0</v>
      </c>
      <c r="AM201" s="33">
        <f t="shared" si="120"/>
        <v>0</v>
      </c>
      <c r="AN201" s="33">
        <f t="shared" si="121"/>
        <v>0</v>
      </c>
      <c r="AO201" s="33">
        <f t="shared" si="122"/>
        <v>0</v>
      </c>
      <c r="AP201" s="33">
        <f t="shared" si="123"/>
        <v>0</v>
      </c>
      <c r="AQ201" s="194">
        <f t="shared" si="105"/>
        <v>0</v>
      </c>
      <c r="AR201" s="194">
        <f t="shared" si="106"/>
        <v>0</v>
      </c>
      <c r="AS201" s="194">
        <f t="shared" si="107"/>
        <v>0</v>
      </c>
      <c r="AT201" s="194">
        <f t="shared" si="108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6"/>
        <v>0</v>
      </c>
      <c r="K202" s="33">
        <f t="shared" si="127"/>
        <v>0</v>
      </c>
      <c r="L202" s="33">
        <f t="shared" si="128"/>
        <v>0</v>
      </c>
      <c r="M202" s="33">
        <f t="shared" si="129"/>
        <v>0</v>
      </c>
      <c r="N202" s="33">
        <f t="shared" si="109"/>
        <v>0</v>
      </c>
      <c r="O202" s="34">
        <f t="shared" si="110"/>
        <v>0</v>
      </c>
      <c r="P202" s="55">
        <v>197</v>
      </c>
      <c r="Q202" s="33">
        <f t="shared" si="124"/>
        <v>0</v>
      </c>
      <c r="R202" s="33">
        <f t="shared" si="130"/>
        <v>0</v>
      </c>
      <c r="S202" s="33">
        <f t="shared" si="131"/>
        <v>0</v>
      </c>
      <c r="T202" s="33">
        <f t="shared" si="111"/>
        <v>0</v>
      </c>
      <c r="U202" s="33">
        <f t="shared" si="125"/>
        <v>0</v>
      </c>
      <c r="V202" s="33">
        <f t="shared" si="112"/>
        <v>0</v>
      </c>
      <c r="W202" s="33">
        <v>0</v>
      </c>
      <c r="X202" s="33">
        <f t="shared" si="113"/>
        <v>0</v>
      </c>
      <c r="Y202" s="38">
        <f t="shared" si="114"/>
        <v>0</v>
      </c>
      <c r="AA202" s="71">
        <v>197</v>
      </c>
      <c r="AB202" s="33">
        <f t="shared" si="115"/>
        <v>0</v>
      </c>
      <c r="AC202" s="305">
        <f t="shared" si="116"/>
        <v>0</v>
      </c>
      <c r="AD202" s="100">
        <f t="shared" si="117"/>
        <v>0</v>
      </c>
      <c r="AE202" s="100">
        <f t="shared" si="118"/>
        <v>0</v>
      </c>
      <c r="AF202" s="194">
        <f t="shared" si="101"/>
        <v>0</v>
      </c>
      <c r="AG202" s="194">
        <f t="shared" si="102"/>
        <v>0</v>
      </c>
      <c r="AH202" s="194">
        <f t="shared" si="103"/>
        <v>0</v>
      </c>
      <c r="AI202" s="199">
        <f t="shared" si="104"/>
        <v>0</v>
      </c>
      <c r="AK202" s="71">
        <v>197</v>
      </c>
      <c r="AL202" s="33">
        <f t="shared" si="119"/>
        <v>0</v>
      </c>
      <c r="AM202" s="33">
        <f t="shared" si="120"/>
        <v>0</v>
      </c>
      <c r="AN202" s="33">
        <f t="shared" si="121"/>
        <v>0</v>
      </c>
      <c r="AO202" s="33">
        <f t="shared" si="122"/>
        <v>0</v>
      </c>
      <c r="AP202" s="33">
        <f t="shared" si="123"/>
        <v>0</v>
      </c>
      <c r="AQ202" s="194">
        <f t="shared" si="105"/>
        <v>0</v>
      </c>
      <c r="AR202" s="194">
        <f t="shared" si="106"/>
        <v>0</v>
      </c>
      <c r="AS202" s="194">
        <f t="shared" si="107"/>
        <v>0</v>
      </c>
      <c r="AT202" s="194">
        <f t="shared" si="108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6"/>
        <v>0</v>
      </c>
      <c r="K203" s="33">
        <f t="shared" si="127"/>
        <v>0</v>
      </c>
      <c r="L203" s="33">
        <f t="shared" si="128"/>
        <v>0</v>
      </c>
      <c r="M203" s="33">
        <f t="shared" si="129"/>
        <v>0</v>
      </c>
      <c r="N203" s="33">
        <f t="shared" si="109"/>
        <v>0</v>
      </c>
      <c r="O203" s="34">
        <f t="shared" si="110"/>
        <v>0</v>
      </c>
      <c r="P203" s="55">
        <v>198</v>
      </c>
      <c r="Q203" s="33">
        <f t="shared" si="124"/>
        <v>0</v>
      </c>
      <c r="R203" s="33">
        <f t="shared" si="130"/>
        <v>0</v>
      </c>
      <c r="S203" s="33">
        <f t="shared" si="131"/>
        <v>0</v>
      </c>
      <c r="T203" s="33">
        <f t="shared" si="111"/>
        <v>0</v>
      </c>
      <c r="U203" s="33">
        <f t="shared" si="125"/>
        <v>0</v>
      </c>
      <c r="V203" s="33">
        <f t="shared" si="112"/>
        <v>0</v>
      </c>
      <c r="W203" s="33">
        <v>0</v>
      </c>
      <c r="X203" s="33">
        <f t="shared" si="113"/>
        <v>0</v>
      </c>
      <c r="Y203" s="38">
        <f t="shared" si="114"/>
        <v>0</v>
      </c>
      <c r="AA203" s="71">
        <v>198</v>
      </c>
      <c r="AB203" s="33">
        <f t="shared" si="115"/>
        <v>0</v>
      </c>
      <c r="AC203" s="305">
        <f t="shared" si="116"/>
        <v>0</v>
      </c>
      <c r="AD203" s="100">
        <f t="shared" si="117"/>
        <v>0</v>
      </c>
      <c r="AE203" s="100">
        <f t="shared" si="118"/>
        <v>0</v>
      </c>
      <c r="AF203" s="194">
        <f t="shared" si="101"/>
        <v>0</v>
      </c>
      <c r="AG203" s="194">
        <f t="shared" si="102"/>
        <v>0</v>
      </c>
      <c r="AH203" s="194">
        <f t="shared" si="103"/>
        <v>0</v>
      </c>
      <c r="AI203" s="199">
        <f t="shared" si="104"/>
        <v>0</v>
      </c>
      <c r="AK203" s="71">
        <v>198</v>
      </c>
      <c r="AL203" s="33">
        <f t="shared" si="119"/>
        <v>0</v>
      </c>
      <c r="AM203" s="33">
        <f t="shared" si="120"/>
        <v>0</v>
      </c>
      <c r="AN203" s="33">
        <f t="shared" si="121"/>
        <v>0</v>
      </c>
      <c r="AO203" s="33">
        <f t="shared" si="122"/>
        <v>0</v>
      </c>
      <c r="AP203" s="33">
        <f t="shared" si="123"/>
        <v>0</v>
      </c>
      <c r="AQ203" s="194">
        <f t="shared" si="105"/>
        <v>0</v>
      </c>
      <c r="AR203" s="194">
        <f t="shared" si="106"/>
        <v>0</v>
      </c>
      <c r="AS203" s="194">
        <f t="shared" si="107"/>
        <v>0</v>
      </c>
      <c r="AT203" s="194">
        <f t="shared" si="108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6"/>
        <v>0</v>
      </c>
      <c r="K204" s="33">
        <f t="shared" si="127"/>
        <v>0</v>
      </c>
      <c r="L204" s="33">
        <f t="shared" si="128"/>
        <v>0</v>
      </c>
      <c r="M204" s="33">
        <f t="shared" si="129"/>
        <v>0</v>
      </c>
      <c r="N204" s="33">
        <f t="shared" si="109"/>
        <v>0</v>
      </c>
      <c r="O204" s="34">
        <f t="shared" si="110"/>
        <v>0</v>
      </c>
      <c r="P204" s="55">
        <v>199</v>
      </c>
      <c r="Q204" s="33">
        <f t="shared" si="124"/>
        <v>0</v>
      </c>
      <c r="R204" s="33">
        <f t="shared" si="130"/>
        <v>0</v>
      </c>
      <c r="S204" s="33">
        <f t="shared" si="131"/>
        <v>0</v>
      </c>
      <c r="T204" s="33">
        <f t="shared" si="111"/>
        <v>0</v>
      </c>
      <c r="U204" s="33">
        <f t="shared" si="125"/>
        <v>0</v>
      </c>
      <c r="V204" s="33">
        <f t="shared" si="112"/>
        <v>0</v>
      </c>
      <c r="W204" s="33">
        <v>0</v>
      </c>
      <c r="X204" s="33">
        <f t="shared" si="113"/>
        <v>0</v>
      </c>
      <c r="Y204" s="38">
        <f t="shared" si="114"/>
        <v>0</v>
      </c>
      <c r="AA204" s="71">
        <v>199</v>
      </c>
      <c r="AB204" s="33">
        <f t="shared" si="115"/>
        <v>0</v>
      </c>
      <c r="AC204" s="305">
        <f t="shared" si="116"/>
        <v>0</v>
      </c>
      <c r="AD204" s="100">
        <f t="shared" si="117"/>
        <v>0</v>
      </c>
      <c r="AE204" s="100">
        <f t="shared" si="118"/>
        <v>0</v>
      </c>
      <c r="AF204" s="194">
        <f t="shared" si="101"/>
        <v>0</v>
      </c>
      <c r="AG204" s="194">
        <f t="shared" si="102"/>
        <v>0</v>
      </c>
      <c r="AH204" s="194">
        <f t="shared" si="103"/>
        <v>0</v>
      </c>
      <c r="AI204" s="199">
        <f t="shared" si="104"/>
        <v>0</v>
      </c>
      <c r="AK204" s="71">
        <v>199</v>
      </c>
      <c r="AL204" s="33">
        <f t="shared" si="119"/>
        <v>0</v>
      </c>
      <c r="AM204" s="33">
        <f t="shared" si="120"/>
        <v>0</v>
      </c>
      <c r="AN204" s="33">
        <f t="shared" si="121"/>
        <v>0</v>
      </c>
      <c r="AO204" s="33">
        <f t="shared" si="122"/>
        <v>0</v>
      </c>
      <c r="AP204" s="33">
        <f t="shared" si="123"/>
        <v>0</v>
      </c>
      <c r="AQ204" s="194">
        <f t="shared" si="105"/>
        <v>0</v>
      </c>
      <c r="AR204" s="194">
        <f t="shared" si="106"/>
        <v>0</v>
      </c>
      <c r="AS204" s="194">
        <f t="shared" si="107"/>
        <v>0</v>
      </c>
      <c r="AT204" s="194">
        <f t="shared" si="108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6"/>
        <v>0</v>
      </c>
      <c r="K205" s="33">
        <f t="shared" si="127"/>
        <v>0</v>
      </c>
      <c r="L205" s="33">
        <f t="shared" si="128"/>
        <v>0</v>
      </c>
      <c r="M205" s="33">
        <f t="shared" si="129"/>
        <v>0</v>
      </c>
      <c r="N205" s="35">
        <f>IF(F208&lt;=$F$18,0,)</f>
        <v>0</v>
      </c>
      <c r="O205" s="34">
        <f t="shared" si="110"/>
        <v>0</v>
      </c>
      <c r="P205" s="56">
        <v>200</v>
      </c>
      <c r="Q205" s="35">
        <f t="shared" si="124"/>
        <v>0</v>
      </c>
      <c r="R205" s="35">
        <f t="shared" si="130"/>
        <v>0</v>
      </c>
      <c r="S205" s="35">
        <f t="shared" si="131"/>
        <v>0</v>
      </c>
      <c r="T205" s="35">
        <f t="shared" si="111"/>
        <v>0</v>
      </c>
      <c r="U205" s="35">
        <f t="shared" si="125"/>
        <v>0</v>
      </c>
      <c r="V205" s="35">
        <f t="shared" si="112"/>
        <v>0</v>
      </c>
      <c r="W205" s="35">
        <v>0</v>
      </c>
      <c r="X205" s="155">
        <f t="shared" si="113"/>
        <v>0</v>
      </c>
      <c r="Y205" s="39">
        <f t="shared" si="114"/>
        <v>0</v>
      </c>
      <c r="AA205" s="72">
        <v>200</v>
      </c>
      <c r="AB205" s="143">
        <f t="shared" si="115"/>
        <v>0</v>
      </c>
      <c r="AC205" s="305">
        <f t="shared" si="116"/>
        <v>0</v>
      </c>
      <c r="AD205" s="101">
        <f t="shared" si="117"/>
        <v>0</v>
      </c>
      <c r="AE205" s="101">
        <f t="shared" si="118"/>
        <v>0</v>
      </c>
      <c r="AF205" s="196">
        <f t="shared" si="101"/>
        <v>0</v>
      </c>
      <c r="AG205" s="196">
        <f t="shared" si="102"/>
        <v>0</v>
      </c>
      <c r="AH205" s="196">
        <f t="shared" si="103"/>
        <v>0</v>
      </c>
      <c r="AI205" s="203">
        <f t="shared" si="104"/>
        <v>0</v>
      </c>
      <c r="AK205" s="72">
        <v>200</v>
      </c>
      <c r="AL205" s="143">
        <f t="shared" si="119"/>
        <v>0</v>
      </c>
      <c r="AM205" s="35">
        <f t="shared" si="120"/>
        <v>0</v>
      </c>
      <c r="AN205" s="35">
        <f t="shared" si="121"/>
        <v>0</v>
      </c>
      <c r="AO205" s="35">
        <f t="shared" si="122"/>
        <v>0</v>
      </c>
      <c r="AP205" s="35">
        <f t="shared" si="123"/>
        <v>0</v>
      </c>
      <c r="AQ205" s="196">
        <f t="shared" si="105"/>
        <v>0</v>
      </c>
      <c r="AR205" s="196">
        <f t="shared" si="106"/>
        <v>0</v>
      </c>
      <c r="AS205" s="196">
        <f t="shared" si="107"/>
        <v>0</v>
      </c>
      <c r="AT205" s="196">
        <f t="shared" si="108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4">
    <dataValidation type="list" allowBlank="1" showInputMessage="1" showErrorMessage="1" sqref="D81:G81" xr:uid="{00000000-0002-0000-0200-000000000000}">
      <formula1>$B$104:$B$108</formula1>
    </dataValidation>
    <dataValidation type="list" allowBlank="1" showInputMessage="1" showErrorMessage="1" sqref="F12" xr:uid="{00000000-0002-0000-0200-000001000000}">
      <formula1>$C$194:$C$195</formula1>
    </dataValidation>
    <dataValidation type="list" allowBlank="1" showInputMessage="1" showErrorMessage="1" sqref="F17" xr:uid="{00000000-0002-0000-0200-000002000000}">
      <formula1>$C$130:$C$195</formula1>
    </dataValidation>
    <dataValidation type="list" allowBlank="1" showInputMessage="1" showErrorMessage="1" sqref="D8:E8 D15 D5:E5" xr:uid="{00000000-0002-0000-0200-000003000000}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topLeftCell="A100" zoomScale="85" zoomScaleNormal="85" workbookViewId="0">
      <selection activeCell="E46" sqref="E46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401" t="s">
        <v>171</v>
      </c>
      <c r="J3" s="402"/>
      <c r="K3" s="402"/>
      <c r="L3" s="402"/>
      <c r="M3" s="402"/>
      <c r="N3" s="402"/>
      <c r="O3" s="403"/>
      <c r="P3" s="404" t="s">
        <v>143</v>
      </c>
      <c r="Q3" s="405"/>
      <c r="R3" s="405"/>
      <c r="S3" s="405"/>
      <c r="T3" s="405"/>
      <c r="U3" s="405"/>
      <c r="V3" s="405"/>
      <c r="W3" s="405"/>
      <c r="X3" s="406"/>
      <c r="Y3" s="90"/>
      <c r="Z3" s="90"/>
      <c r="AA3" s="392" t="s">
        <v>158</v>
      </c>
      <c r="AB3" s="393"/>
      <c r="AC3" s="393"/>
      <c r="AD3" s="393"/>
      <c r="AE3" s="393"/>
      <c r="AF3" s="393"/>
      <c r="AG3" s="393"/>
      <c r="AH3" s="393"/>
      <c r="AI3" s="394"/>
      <c r="AJ3" s="90"/>
      <c r="AK3" s="392" t="s">
        <v>170</v>
      </c>
      <c r="AL3" s="393"/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4"/>
    </row>
    <row r="4" spans="2:51" ht="45" customHeight="1">
      <c r="B4" s="396" t="s">
        <v>172</v>
      </c>
      <c r="C4" s="396"/>
      <c r="D4" s="396"/>
      <c r="E4" s="396"/>
      <c r="F4" s="396"/>
      <c r="I4" s="59" t="s">
        <v>76</v>
      </c>
      <c r="J4" s="60" t="s">
        <v>107</v>
      </c>
      <c r="K4" s="60" t="s">
        <v>108</v>
      </c>
      <c r="L4" s="60" t="s">
        <v>72</v>
      </c>
      <c r="M4" s="60" t="s">
        <v>109</v>
      </c>
      <c r="N4" s="60" t="s">
        <v>110</v>
      </c>
      <c r="O4" s="88" t="s">
        <v>112</v>
      </c>
      <c r="P4" s="59" t="s">
        <v>76</v>
      </c>
      <c r="Q4" s="61" t="s">
        <v>117</v>
      </c>
      <c r="R4" s="61" t="s">
        <v>118</v>
      </c>
      <c r="S4" s="62" t="s">
        <v>104</v>
      </c>
      <c r="T4" s="63" t="s">
        <v>103</v>
      </c>
      <c r="U4" s="60" t="s">
        <v>3</v>
      </c>
      <c r="V4" s="60" t="s">
        <v>105</v>
      </c>
      <c r="W4" s="60" t="s">
        <v>106</v>
      </c>
      <c r="X4" s="89" t="s">
        <v>111</v>
      </c>
      <c r="Y4" s="66" t="s">
        <v>119</v>
      </c>
      <c r="AA4" s="70" t="s">
        <v>76</v>
      </c>
      <c r="AB4" s="61" t="s">
        <v>145</v>
      </c>
      <c r="AC4" s="62" t="s">
        <v>146</v>
      </c>
      <c r="AD4" s="68" t="s">
        <v>147</v>
      </c>
      <c r="AE4" s="64" t="s">
        <v>148</v>
      </c>
      <c r="AF4" s="64" t="s">
        <v>149</v>
      </c>
      <c r="AG4" s="64" t="s">
        <v>150</v>
      </c>
      <c r="AH4" s="64" t="s">
        <v>151</v>
      </c>
      <c r="AI4" s="75" t="s">
        <v>152</v>
      </c>
      <c r="AK4" s="70" t="s">
        <v>76</v>
      </c>
      <c r="AL4" s="61" t="s">
        <v>145</v>
      </c>
      <c r="AM4" s="62" t="s">
        <v>146</v>
      </c>
      <c r="AN4" s="68" t="s">
        <v>147</v>
      </c>
      <c r="AO4" s="64" t="s">
        <v>148</v>
      </c>
      <c r="AP4" s="64" t="s">
        <v>160</v>
      </c>
      <c r="AQ4" s="193" t="s">
        <v>186</v>
      </c>
      <c r="AR4" s="193" t="s">
        <v>187</v>
      </c>
      <c r="AS4" s="193" t="s">
        <v>188</v>
      </c>
      <c r="AT4" s="193" t="s">
        <v>189</v>
      </c>
      <c r="AU4" s="64" t="s">
        <v>161</v>
      </c>
      <c r="AV4" s="64" t="s">
        <v>162</v>
      </c>
      <c r="AW4" s="64" t="s">
        <v>163</v>
      </c>
      <c r="AX4" s="64" t="s">
        <v>164</v>
      </c>
      <c r="AY4" s="75" t="s">
        <v>152</v>
      </c>
    </row>
    <row r="5" spans="2:51">
      <c r="B5" s="385" t="s">
        <v>132</v>
      </c>
      <c r="C5" s="91" t="s">
        <v>73</v>
      </c>
      <c r="D5" s="397" t="s">
        <v>1</v>
      </c>
      <c r="E5" s="39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5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4">
        <f t="shared" ref="AQ5:AQ68" si="15">IF($AK5&lt;=$F$18,$AL5*AM5,)</f>
        <v>0</v>
      </c>
      <c r="AR5" s="194">
        <f t="shared" ref="AR5:AR68" si="16">IF($AK5&lt;=$F$18,$AL5*AN5,)</f>
        <v>0</v>
      </c>
      <c r="AS5" s="194">
        <f t="shared" ref="AS5:AS68" si="17">IF($AK5&lt;=$F$18,$AL5*AO5,)</f>
        <v>0</v>
      </c>
      <c r="AT5" s="194">
        <f t="shared" ref="AT5:AT68" si="18">IF($AK5&lt;=$F$18,$AL5*AP5,)</f>
        <v>0</v>
      </c>
      <c r="AU5" s="33"/>
      <c r="AV5" s="33"/>
      <c r="AW5" s="33"/>
      <c r="AX5" s="33"/>
      <c r="AY5" s="164">
        <v>0</v>
      </c>
    </row>
    <row r="6" spans="2:51">
      <c r="B6" s="386"/>
      <c r="C6" s="98" t="s">
        <v>74</v>
      </c>
      <c r="D6" s="388" t="s">
        <v>259</v>
      </c>
      <c r="E6" s="388"/>
      <c r="F6" s="99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9">IF(P6&lt;=$F$18,LOOKUP(P6-1,$B$25:$B$78,$G$25:$G$78),)</f>
        <v>11.08421052631579</v>
      </c>
      <c r="R6" s="33">
        <f>IF(P6&lt;=$F$18,Q6+R5,)</f>
        <v>11.08421052631579</v>
      </c>
      <c r="S6" s="33">
        <f>$F$19*R6</f>
        <v>4.7662105263157892</v>
      </c>
      <c r="T6" s="33">
        <f t="shared" si="2"/>
        <v>1.8314114428053596</v>
      </c>
      <c r="U6" s="33">
        <f t="shared" ref="U6:U69" si="20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179.30329221580985</v>
      </c>
      <c r="Y6" s="38">
        <f t="shared" si="5"/>
        <v>2.2673904107317355</v>
      </c>
      <c r="AA6" s="71">
        <v>1</v>
      </c>
      <c r="AB6" s="33">
        <f t="shared" si="6"/>
        <v>0</v>
      </c>
      <c r="AC6" s="305">
        <f t="shared" si="7"/>
        <v>0.45</v>
      </c>
      <c r="AD6" s="100">
        <f t="shared" si="8"/>
        <v>5.5999999999999994E-2</v>
      </c>
      <c r="AE6" s="100">
        <f t="shared" si="9"/>
        <v>4.3999999999999991E-2</v>
      </c>
      <c r="AF6" s="194">
        <f>IF(OR(AA6&lt;=$F$18,AA6&lt;=30),EXP(-LN(2)/$D$104)*AF5+((1-EXP(-LN(2)/$D$104))/(LN(2)/$D$104))*$AB6*AC6*0.475*$F$19*44/12,)</f>
        <v>0</v>
      </c>
      <c r="AG6" s="194">
        <f>IF(OR(AA6&lt;=$F$18,AA6&lt;=30),EXP(-LN(2)/$D$106)*AG5+((1-EXP(-LN(2)/$D$106))/(LN(2)/$D$106))*$AB6*AD6*0.475*$F$19*44/12,)</f>
        <v>0</v>
      </c>
      <c r="AH6" s="194">
        <f>IF(OR(AA6&lt;=$F$18,AA6&lt;=30),EXP(-LN(2)/$D$105)*AH5+((1-EXP(-LN(2)/$D$105))/(LN(2)/$D$105))*$AB6*AE6*0.475*$F$19*44/12,)</f>
        <v>0</v>
      </c>
      <c r="AI6" s="199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0.9</v>
      </c>
      <c r="AN6" s="33">
        <f t="shared" si="12"/>
        <v>5.5999999999999994E-2</v>
      </c>
      <c r="AO6" s="33">
        <f t="shared" si="13"/>
        <v>4.3999999999999991E-2</v>
      </c>
      <c r="AP6" s="33">
        <f t="shared" si="14"/>
        <v>0</v>
      </c>
      <c r="AQ6" s="194">
        <f t="shared" si="15"/>
        <v>0</v>
      </c>
      <c r="AR6" s="194">
        <f t="shared" si="16"/>
        <v>0</v>
      </c>
      <c r="AS6" s="194">
        <f t="shared" si="17"/>
        <v>0</v>
      </c>
      <c r="AT6" s="194">
        <f t="shared" si="18"/>
        <v>0</v>
      </c>
      <c r="AU6" s="33"/>
      <c r="AV6" s="33"/>
      <c r="AW6" s="33"/>
      <c r="AX6" s="33"/>
      <c r="AY6" s="164">
        <f>IF(AK6&lt;=$F$18,AL6*$G$108+AY5,)</f>
        <v>0</v>
      </c>
    </row>
    <row r="7" spans="2:51">
      <c r="B7" s="385" t="s">
        <v>133</v>
      </c>
      <c r="C7" s="398"/>
      <c r="D7" s="399"/>
      <c r="E7" s="399"/>
      <c r="F7" s="400"/>
      <c r="I7" s="55">
        <v>2</v>
      </c>
      <c r="J7" s="33">
        <f t="shared" ref="J7:J70" si="21">IF($I7&lt;=$F$10,$F$11*$F$13+J6,)</f>
        <v>5</v>
      </c>
      <c r="K7" s="33">
        <f t="shared" ref="K7:K70" si="22">IF(J7=0,0,EXP(-1.0587+0.8836*LN(J7)+0.284))</f>
        <v>1.910565629709926</v>
      </c>
      <c r="L7" s="33">
        <f t="shared" ref="L7:L70" si="23">IF(I7&lt;=$F$10,$F$5+($F$8-$F$5)*(1-EXP(-0.0175*I7)),)</f>
        <v>45</v>
      </c>
      <c r="M7" s="33">
        <f t="shared" ref="M7:M70" si="24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9"/>
        <v>11.08421052631579</v>
      </c>
      <c r="R7" s="33">
        <f t="shared" ref="R7:R70" si="25">IF(P7&lt;=$F$18,Q7+R6,)</f>
        <v>22.168421052631579</v>
      </c>
      <c r="S7" s="33">
        <f t="shared" ref="S7:S70" si="26">$F$19*R7</f>
        <v>9.5324210526315785</v>
      </c>
      <c r="T7" s="33">
        <f t="shared" si="2"/>
        <v>3.3789053582444115</v>
      </c>
      <c r="U7" s="33">
        <f t="shared" si="20"/>
        <v>45.859864593560836</v>
      </c>
      <c r="V7" s="33">
        <f t="shared" si="3"/>
        <v>0.66666666666666663</v>
      </c>
      <c r="W7" s="33">
        <v>0</v>
      </c>
      <c r="X7" s="33">
        <f t="shared" si="4"/>
        <v>193.08450811977653</v>
      </c>
      <c r="Y7" s="38">
        <f t="shared" si="5"/>
        <v>16.048606314698418</v>
      </c>
      <c r="AA7" s="71">
        <v>2</v>
      </c>
      <c r="AB7" s="33">
        <f t="shared" si="6"/>
        <v>0</v>
      </c>
      <c r="AC7" s="305">
        <f t="shared" si="7"/>
        <v>0</v>
      </c>
      <c r="AD7" s="100">
        <f t="shared" si="8"/>
        <v>0</v>
      </c>
      <c r="AE7" s="100">
        <f t="shared" si="9"/>
        <v>0</v>
      </c>
      <c r="AF7" s="194">
        <f>IF(OR(AA7&lt;=$F$18,AA7&lt;=30),EXP(-LN(2)/$D$104)*AF6+((1-EXP(-LN(2)/$D$104))/(LN(2)/$D$104))*$AB7*AC7*0.475*$F$19*44/12,)</f>
        <v>0</v>
      </c>
      <c r="AG7" s="194">
        <f>IF(OR(AA7&lt;=$F$18,AA7&lt;=30),EXP(-LN(2)/$D$106)*AG6+((1-EXP(-LN(2)/$D$106))/(LN(2)/$D$106))*$AB7*AD7*0.475*$F$19*44/12,)</f>
        <v>0</v>
      </c>
      <c r="AH7" s="194">
        <f>IF(OR(AA7&lt;=$F$18,AA7&lt;=30),EXP(-LN(2)/$D$105)*AH6+((1-EXP(-LN(2)/$D$105))/(LN(2)/$D$105))*$AB7*AE7*0.475*$F$19*44/12,)</f>
        <v>0</v>
      </c>
      <c r="AI7" s="199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4">
        <f t="shared" si="15"/>
        <v>0</v>
      </c>
      <c r="AR7" s="194">
        <f t="shared" si="16"/>
        <v>0</v>
      </c>
      <c r="AS7" s="194">
        <f t="shared" si="17"/>
        <v>0</v>
      </c>
      <c r="AT7" s="194">
        <f t="shared" si="18"/>
        <v>0</v>
      </c>
      <c r="AU7" s="33"/>
      <c r="AV7" s="33"/>
      <c r="AW7" s="33"/>
      <c r="AX7" s="33"/>
      <c r="AY7" s="164">
        <f t="shared" ref="AY7:AY35" si="27">IF(AK7&lt;=$F$18,AL7*$G$108+AY6,)</f>
        <v>0</v>
      </c>
    </row>
    <row r="8" spans="2:51">
      <c r="B8" s="395"/>
      <c r="C8" s="93" t="s">
        <v>73</v>
      </c>
      <c r="D8" s="391" t="s">
        <v>1</v>
      </c>
      <c r="E8" s="391"/>
      <c r="F8" s="94">
        <f>IF(D8="","",VLOOKUP(D8,$B$97:$C$100,2,0))</f>
        <v>45</v>
      </c>
      <c r="I8" s="55">
        <v>3</v>
      </c>
      <c r="J8" s="33">
        <f t="shared" si="21"/>
        <v>5</v>
      </c>
      <c r="K8" s="33">
        <f t="shared" si="22"/>
        <v>1.910565629709926</v>
      </c>
      <c r="L8" s="33">
        <f t="shared" si="23"/>
        <v>45</v>
      </c>
      <c r="M8" s="33">
        <f t="shared" si="24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9"/>
        <v>11.08421052631579</v>
      </c>
      <c r="R8" s="33">
        <f t="shared" si="25"/>
        <v>33.252631578947373</v>
      </c>
      <c r="S8" s="33">
        <f t="shared" si="26"/>
        <v>14.29863157894737</v>
      </c>
      <c r="T8" s="33">
        <f t="shared" si="2"/>
        <v>4.8347081641124854</v>
      </c>
      <c r="U8" s="33">
        <f t="shared" si="20"/>
        <v>46.278641973604969</v>
      </c>
      <c r="V8" s="33">
        <f t="shared" si="3"/>
        <v>1</v>
      </c>
      <c r="W8" s="33">
        <v>0</v>
      </c>
      <c r="X8" s="33">
        <f t="shared" si="4"/>
        <v>206.67892062238082</v>
      </c>
      <c r="Y8" s="38">
        <f t="shared" si="5"/>
        <v>29.643018817302703</v>
      </c>
      <c r="AA8" s="71">
        <v>3</v>
      </c>
      <c r="AB8" s="33">
        <f t="shared" si="6"/>
        <v>0</v>
      </c>
      <c r="AC8" s="305">
        <f t="shared" si="7"/>
        <v>0</v>
      </c>
      <c r="AD8" s="100">
        <f t="shared" si="8"/>
        <v>0</v>
      </c>
      <c r="AE8" s="100">
        <f t="shared" si="9"/>
        <v>0</v>
      </c>
      <c r="AF8" s="194">
        <f>IF(OR(AA8&lt;=$F$18,AA8&lt;=30),EXP(-LN(2)/$D$104)*AF7+((1-EXP(-LN(2)/$D$104))/(LN(2)/$D$104))*$AB8*AC8*0.475*$F$19*44/12,)</f>
        <v>0</v>
      </c>
      <c r="AG8" s="194">
        <f>IF(OR(AA8&lt;=$F$18,AA8&lt;=30),EXP(-LN(2)/$D$106)*AG7+((1-EXP(-LN(2)/$D$106))/(LN(2)/$D$106))*$AB8*AD8*0.475*$F$19*44/12,)</f>
        <v>0</v>
      </c>
      <c r="AH8" s="194">
        <f>IF(OR(AA8&lt;=$F$18,AA8&lt;=30),EXP(-LN(2)/$D$105)*AH7+((1-EXP(-LN(2)/$D$105))/(LN(2)/$D$105))*$AB8*AE8*0.475*$F$19*44/12,)</f>
        <v>0</v>
      </c>
      <c r="AI8" s="199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4">
        <f t="shared" si="15"/>
        <v>0</v>
      </c>
      <c r="AR8" s="194">
        <f t="shared" si="16"/>
        <v>0</v>
      </c>
      <c r="AS8" s="194">
        <f t="shared" si="17"/>
        <v>0</v>
      </c>
      <c r="AT8" s="194">
        <f t="shared" si="18"/>
        <v>0</v>
      </c>
      <c r="AU8" s="33"/>
      <c r="AV8" s="33"/>
      <c r="AW8" s="33"/>
      <c r="AX8" s="33"/>
      <c r="AY8" s="164">
        <f t="shared" si="27"/>
        <v>0</v>
      </c>
    </row>
    <row r="9" spans="2:51">
      <c r="B9" s="395"/>
      <c r="C9" s="93" t="s">
        <v>74</v>
      </c>
      <c r="D9" s="387" t="str">
        <f>IF(D8=$B$100,"totale","néant")</f>
        <v>néant</v>
      </c>
      <c r="E9" s="387"/>
      <c r="F9" s="94">
        <f>IF(D8=B100,10,VLOOKUP(D8,$B$97:$D$100,3,FALSE))</f>
        <v>0</v>
      </c>
      <c r="I9" s="55">
        <v>4</v>
      </c>
      <c r="J9" s="33">
        <f t="shared" si="21"/>
        <v>5</v>
      </c>
      <c r="K9" s="33">
        <f t="shared" si="22"/>
        <v>1.910565629709926</v>
      </c>
      <c r="L9" s="33">
        <f t="shared" si="23"/>
        <v>45</v>
      </c>
      <c r="M9" s="33">
        <f t="shared" si="24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9"/>
        <v>11.08421052631579</v>
      </c>
      <c r="R9" s="33">
        <f t="shared" si="25"/>
        <v>44.336842105263159</v>
      </c>
      <c r="S9" s="33">
        <f t="shared" si="26"/>
        <v>19.064842105263157</v>
      </c>
      <c r="T9" s="33">
        <f t="shared" si="2"/>
        <v>6.2339904366242269</v>
      </c>
      <c r="U9" s="33">
        <f t="shared" si="20"/>
        <v>46.690154502351291</v>
      </c>
      <c r="V9" s="33">
        <f t="shared" si="3"/>
        <v>1.3333333333333333</v>
      </c>
      <c r="W9" s="33">
        <v>0</v>
      </c>
      <c r="X9" s="33">
        <f t="shared" si="4"/>
        <v>220.14825540796417</v>
      </c>
      <c r="Y9" s="38">
        <f t="shared" si="5"/>
        <v>43.11235360288606</v>
      </c>
      <c r="AA9" s="71">
        <v>4</v>
      </c>
      <c r="AB9" s="33">
        <f t="shared" si="6"/>
        <v>0</v>
      </c>
      <c r="AC9" s="305">
        <f t="shared" si="7"/>
        <v>0</v>
      </c>
      <c r="AD9" s="100">
        <f t="shared" si="8"/>
        <v>0</v>
      </c>
      <c r="AE9" s="100">
        <f t="shared" si="9"/>
        <v>0</v>
      </c>
      <c r="AF9" s="194">
        <f>IF(OR(AA9&lt;=$F$18,AA9&lt;=30),EXP(-LN(2)/$D$104)*AF8+((1-EXP(-LN(2)/$D$104))/(LN(2)/$D$104))*$AB9*AC9*0.475*$F$19*44/12,)</f>
        <v>0</v>
      </c>
      <c r="AG9" s="194">
        <f>IF(OR(AA9&lt;=$F$18,AA9&lt;=30),EXP(-LN(2)/$D$106)*AG8+((1-EXP(-LN(2)/$D$106))/(LN(2)/$D$106))*$AB9*AD9*0.475*$F$19*44/12,)</f>
        <v>0</v>
      </c>
      <c r="AH9" s="194">
        <f>IF(OR(AA9&lt;=$F$18,AA9&lt;=30),EXP(-LN(2)/$D$105)*AH8+((1-EXP(-LN(2)/$D$105))/(LN(2)/$D$105))*$AB9*AE9*0.475*$F$19*44/12,)</f>
        <v>0</v>
      </c>
      <c r="AI9" s="199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4">
        <f t="shared" si="15"/>
        <v>0</v>
      </c>
      <c r="AR9" s="194">
        <f t="shared" si="16"/>
        <v>0</v>
      </c>
      <c r="AS9" s="194">
        <f t="shared" si="17"/>
        <v>0</v>
      </c>
      <c r="AT9" s="194">
        <f t="shared" si="18"/>
        <v>0</v>
      </c>
      <c r="AU9" s="33"/>
      <c r="AV9" s="33"/>
      <c r="AW9" s="33"/>
      <c r="AX9" s="33"/>
      <c r="AY9" s="164">
        <f t="shared" si="27"/>
        <v>0</v>
      </c>
    </row>
    <row r="10" spans="2:51">
      <c r="B10" s="395"/>
      <c r="C10" s="389" t="s">
        <v>123</v>
      </c>
      <c r="D10" s="384" t="s">
        <v>135</v>
      </c>
      <c r="E10" s="384"/>
      <c r="F10" s="95">
        <f>F18</f>
        <v>65</v>
      </c>
      <c r="I10" s="55">
        <v>5</v>
      </c>
      <c r="J10" s="33">
        <f t="shared" si="21"/>
        <v>5</v>
      </c>
      <c r="K10" s="33">
        <f t="shared" si="22"/>
        <v>1.910565629709926</v>
      </c>
      <c r="L10" s="33">
        <f t="shared" si="23"/>
        <v>45</v>
      </c>
      <c r="M10" s="33">
        <f t="shared" si="24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9"/>
        <v>11.08421052631579</v>
      </c>
      <c r="R10" s="33">
        <f t="shared" si="25"/>
        <v>55.421052631578945</v>
      </c>
      <c r="S10" s="33">
        <f t="shared" si="26"/>
        <v>23.831052631578945</v>
      </c>
      <c r="T10" s="33">
        <f t="shared" si="2"/>
        <v>7.592692633887844</v>
      </c>
      <c r="U10" s="33">
        <f t="shared" si="20"/>
        <v>47.094528208728065</v>
      </c>
      <c r="V10" s="33">
        <f t="shared" si="3"/>
        <v>1.6666666666666667</v>
      </c>
      <c r="W10" s="33">
        <v>0</v>
      </c>
      <c r="X10" s="33">
        <f t="shared" si="4"/>
        <v>233.52073754713533</v>
      </c>
      <c r="Y10" s="38">
        <f t="shared" si="5"/>
        <v>56.484835742057214</v>
      </c>
      <c r="AA10" s="71">
        <v>5</v>
      </c>
      <c r="AB10" s="33">
        <f t="shared" si="6"/>
        <v>0</v>
      </c>
      <c r="AC10" s="305">
        <f t="shared" si="7"/>
        <v>0</v>
      </c>
      <c r="AD10" s="100">
        <f t="shared" si="8"/>
        <v>0</v>
      </c>
      <c r="AE10" s="100">
        <f t="shared" si="9"/>
        <v>0</v>
      </c>
      <c r="AF10" s="194">
        <f t="shared" ref="AF10:AF24" si="28">IF(OR(AA10&lt;=$F$18,AA10&lt;=30),EXP(-LN(2)/$D$104)*AF9+((1-EXP(-LN(2)/$D$104))/(LN(2)/$D$104))*$AB10*AC10*0.475*$F$19*44/12,)</f>
        <v>0</v>
      </c>
      <c r="AG10" s="194">
        <f t="shared" ref="AG10:AG24" si="29">IF(OR(AA10&lt;=$F$18,AA10&lt;=30),EXP(-LN(2)/$D$106)*AG9+((1-EXP(-LN(2)/$D$106))/(LN(2)/$D$106))*$AB10*AD10*0.475*$F$19*44/12,)</f>
        <v>0</v>
      </c>
      <c r="AH10" s="194">
        <f t="shared" ref="AH10:AH24" si="30">IF(OR(AA10&lt;=$F$18,AA10&lt;=30),EXP(-LN(2)/$D$105)*AH9+((1-EXP(-LN(2)/$D$105))/(LN(2)/$D$105))*$AB10*AE10*0.475*$F$19*44/12,)</f>
        <v>0</v>
      </c>
      <c r="AI10" s="199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4">
        <f t="shared" si="15"/>
        <v>0</v>
      </c>
      <c r="AR10" s="194">
        <f t="shared" si="16"/>
        <v>0</v>
      </c>
      <c r="AS10" s="194">
        <f t="shared" si="17"/>
        <v>0</v>
      </c>
      <c r="AT10" s="194">
        <f t="shared" si="18"/>
        <v>0</v>
      </c>
      <c r="AU10" s="33"/>
      <c r="AV10" s="33"/>
      <c r="AW10" s="33"/>
      <c r="AX10" s="33"/>
      <c r="AY10" s="164">
        <f t="shared" si="27"/>
        <v>0</v>
      </c>
    </row>
    <row r="11" spans="2:51">
      <c r="B11" s="395"/>
      <c r="C11" s="389"/>
      <c r="D11" s="387" t="s">
        <v>138</v>
      </c>
      <c r="E11" s="387"/>
      <c r="F11" s="36">
        <f>IF(D8=$B$100,1,0)</f>
        <v>0</v>
      </c>
      <c r="I11" s="55">
        <v>6</v>
      </c>
      <c r="J11" s="33">
        <f t="shared" si="21"/>
        <v>5</v>
      </c>
      <c r="K11" s="33">
        <f t="shared" si="22"/>
        <v>1.910565629709926</v>
      </c>
      <c r="L11" s="33">
        <f t="shared" si="23"/>
        <v>45</v>
      </c>
      <c r="M11" s="33">
        <f t="shared" si="24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9"/>
        <v>11.08421052631579</v>
      </c>
      <c r="R11" s="33">
        <f t="shared" si="25"/>
        <v>66.505263157894731</v>
      </c>
      <c r="S11" s="33">
        <f t="shared" si="26"/>
        <v>28.597263157894734</v>
      </c>
      <c r="T11" s="33">
        <f t="shared" si="2"/>
        <v>8.9199078587409684</v>
      </c>
      <c r="U11" s="33">
        <f t="shared" si="20"/>
        <v>47.491886935343359</v>
      </c>
      <c r="V11" s="33">
        <f t="shared" si="3"/>
        <v>2</v>
      </c>
      <c r="W11" s="33">
        <v>0</v>
      </c>
      <c r="X11" s="33">
        <f t="shared" si="4"/>
        <v>246.81265828356615</v>
      </c>
      <c r="Y11" s="38">
        <f t="shared" si="5"/>
        <v>69.776756478488039</v>
      </c>
      <c r="AA11" s="71">
        <v>6</v>
      </c>
      <c r="AB11" s="33">
        <f t="shared" si="6"/>
        <v>0</v>
      </c>
      <c r="AC11" s="305">
        <f t="shared" si="7"/>
        <v>0</v>
      </c>
      <c r="AD11" s="100">
        <f t="shared" si="8"/>
        <v>0</v>
      </c>
      <c r="AE11" s="100">
        <f t="shared" si="9"/>
        <v>0</v>
      </c>
      <c r="AF11" s="194">
        <f t="shared" si="28"/>
        <v>0</v>
      </c>
      <c r="AG11" s="194">
        <f t="shared" si="29"/>
        <v>0</v>
      </c>
      <c r="AH11" s="194">
        <f t="shared" si="30"/>
        <v>0</v>
      </c>
      <c r="AI11" s="199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4">
        <f t="shared" si="15"/>
        <v>0</v>
      </c>
      <c r="AR11" s="194">
        <f t="shared" si="16"/>
        <v>0</v>
      </c>
      <c r="AS11" s="194">
        <f t="shared" si="17"/>
        <v>0</v>
      </c>
      <c r="AT11" s="194">
        <f t="shared" si="18"/>
        <v>0</v>
      </c>
      <c r="AU11" s="33"/>
      <c r="AV11" s="33"/>
      <c r="AW11" s="33"/>
      <c r="AX11" s="33"/>
      <c r="AY11" s="164">
        <f t="shared" si="27"/>
        <v>0</v>
      </c>
    </row>
    <row r="12" spans="2:51" ht="16">
      <c r="B12" s="395"/>
      <c r="C12" s="389"/>
      <c r="D12" s="384" t="s">
        <v>130</v>
      </c>
      <c r="E12" s="384"/>
      <c r="F12" s="96" t="s">
        <v>70</v>
      </c>
      <c r="I12" s="55">
        <v>7</v>
      </c>
      <c r="J12" s="33">
        <f t="shared" si="21"/>
        <v>5</v>
      </c>
      <c r="K12" s="33">
        <f t="shared" si="22"/>
        <v>1.910565629709926</v>
      </c>
      <c r="L12" s="33">
        <f t="shared" si="23"/>
        <v>45</v>
      </c>
      <c r="M12" s="33">
        <f t="shared" si="24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9"/>
        <v>11.08421052631579</v>
      </c>
      <c r="R12" s="33">
        <f t="shared" si="25"/>
        <v>77.589473684210517</v>
      </c>
      <c r="S12" s="33">
        <f t="shared" si="26"/>
        <v>33.363473684210526</v>
      </c>
      <c r="T12" s="33">
        <f t="shared" si="2"/>
        <v>10.221498082993081</v>
      </c>
      <c r="U12" s="33">
        <f t="shared" si="20"/>
        <v>47.882352376412911</v>
      </c>
      <c r="V12" s="33">
        <f t="shared" si="3"/>
        <v>2.3333333333333335</v>
      </c>
      <c r="W12" s="33">
        <v>0</v>
      </c>
      <c r="X12" s="33">
        <f t="shared" si="4"/>
        <v>260.03467343028251</v>
      </c>
      <c r="Y12" s="38">
        <f t="shared" si="5"/>
        <v>82.998771625204398</v>
      </c>
      <c r="AA12" s="71">
        <v>7</v>
      </c>
      <c r="AB12" s="33">
        <f t="shared" si="6"/>
        <v>0</v>
      </c>
      <c r="AC12" s="305">
        <f t="shared" si="7"/>
        <v>0</v>
      </c>
      <c r="AD12" s="100">
        <f t="shared" si="8"/>
        <v>0</v>
      </c>
      <c r="AE12" s="100">
        <f t="shared" si="9"/>
        <v>0</v>
      </c>
      <c r="AF12" s="194">
        <f t="shared" si="28"/>
        <v>0</v>
      </c>
      <c r="AG12" s="194">
        <f t="shared" si="29"/>
        <v>0</v>
      </c>
      <c r="AH12" s="194">
        <f t="shared" si="30"/>
        <v>0</v>
      </c>
      <c r="AI12" s="199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4">
        <f t="shared" si="15"/>
        <v>0</v>
      </c>
      <c r="AR12" s="194">
        <f t="shared" si="16"/>
        <v>0</v>
      </c>
      <c r="AS12" s="194">
        <f t="shared" si="17"/>
        <v>0</v>
      </c>
      <c r="AT12" s="194">
        <f t="shared" si="18"/>
        <v>0</v>
      </c>
      <c r="AU12" s="33"/>
      <c r="AV12" s="33"/>
      <c r="AW12" s="33"/>
      <c r="AX12" s="33"/>
      <c r="AY12" s="164">
        <f t="shared" si="27"/>
        <v>0</v>
      </c>
    </row>
    <row r="13" spans="2:51">
      <c r="B13" s="386"/>
      <c r="C13" s="390"/>
      <c r="D13" s="388" t="s">
        <v>154</v>
      </c>
      <c r="E13" s="388"/>
      <c r="F13" s="37">
        <f>IF(ISBLANK(F$12),,VLOOKUP(F$12,C131:D195,2,FALSE))</f>
        <v>0.56999999999999995</v>
      </c>
      <c r="I13" s="55">
        <v>8</v>
      </c>
      <c r="J13" s="33">
        <f t="shared" si="21"/>
        <v>5</v>
      </c>
      <c r="K13" s="33">
        <f t="shared" si="22"/>
        <v>1.910565629709926</v>
      </c>
      <c r="L13" s="33">
        <f t="shared" si="23"/>
        <v>45</v>
      </c>
      <c r="M13" s="33">
        <f t="shared" si="24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9"/>
        <v>11.08421052631579</v>
      </c>
      <c r="R13" s="33">
        <f t="shared" si="25"/>
        <v>88.673684210526304</v>
      </c>
      <c r="S13" s="33">
        <f t="shared" si="26"/>
        <v>38.129684210526307</v>
      </c>
      <c r="T13" s="33">
        <f t="shared" si="2"/>
        <v>11.501546401439994</v>
      </c>
      <c r="U13" s="33">
        <f t="shared" si="20"/>
        <v>48.266044115029857</v>
      </c>
      <c r="V13" s="33">
        <f t="shared" si="3"/>
        <v>2.6666666666666665</v>
      </c>
      <c r="W13" s="33">
        <v>0</v>
      </c>
      <c r="X13" s="33">
        <f t="shared" si="4"/>
        <v>273.19433284872861</v>
      </c>
      <c r="Y13" s="38">
        <f t="shared" si="5"/>
        <v>96.158431043650495</v>
      </c>
      <c r="AA13" s="71">
        <v>8</v>
      </c>
      <c r="AB13" s="33">
        <f t="shared" si="6"/>
        <v>0</v>
      </c>
      <c r="AC13" s="305">
        <f t="shared" si="7"/>
        <v>0</v>
      </c>
      <c r="AD13" s="100">
        <f t="shared" si="8"/>
        <v>0</v>
      </c>
      <c r="AE13" s="100">
        <f t="shared" si="9"/>
        <v>0</v>
      </c>
      <c r="AF13" s="194">
        <f t="shared" si="28"/>
        <v>0</v>
      </c>
      <c r="AG13" s="194">
        <f t="shared" si="29"/>
        <v>0</v>
      </c>
      <c r="AH13" s="194">
        <f t="shared" si="30"/>
        <v>0</v>
      </c>
      <c r="AI13" s="199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4">
        <f t="shared" si="15"/>
        <v>0</v>
      </c>
      <c r="AR13" s="194">
        <f t="shared" si="16"/>
        <v>0</v>
      </c>
      <c r="AS13" s="194">
        <f t="shared" si="17"/>
        <v>0</v>
      </c>
      <c r="AT13" s="194">
        <f t="shared" si="18"/>
        <v>0</v>
      </c>
      <c r="AU13" s="33"/>
      <c r="AV13" s="33"/>
      <c r="AW13" s="33"/>
      <c r="AX13" s="33"/>
      <c r="AY13" s="164">
        <f t="shared" si="27"/>
        <v>0</v>
      </c>
    </row>
    <row r="14" spans="2:51">
      <c r="B14" s="385" t="s">
        <v>131</v>
      </c>
      <c r="C14" s="381"/>
      <c r="D14" s="382"/>
      <c r="E14" s="382"/>
      <c r="F14" s="383"/>
      <c r="I14" s="55">
        <v>9</v>
      </c>
      <c r="J14" s="33">
        <f t="shared" si="21"/>
        <v>5</v>
      </c>
      <c r="K14" s="33">
        <f t="shared" si="22"/>
        <v>1.910565629709926</v>
      </c>
      <c r="L14" s="33">
        <f t="shared" si="23"/>
        <v>45</v>
      </c>
      <c r="M14" s="33">
        <f t="shared" si="24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9"/>
        <v>11.08421052631579</v>
      </c>
      <c r="R14" s="33">
        <f t="shared" si="25"/>
        <v>99.75789473684209</v>
      </c>
      <c r="S14" s="33">
        <f t="shared" si="26"/>
        <v>42.895894736842095</v>
      </c>
      <c r="T14" s="33">
        <f t="shared" si="2"/>
        <v>12.763053940697747</v>
      </c>
      <c r="U14" s="33">
        <f t="shared" si="20"/>
        <v>48.643079659788015</v>
      </c>
      <c r="V14" s="33">
        <f t="shared" si="3"/>
        <v>3</v>
      </c>
      <c r="W14" s="33">
        <v>0</v>
      </c>
      <c r="X14" s="33">
        <f t="shared" si="4"/>
        <v>286.29729436593794</v>
      </c>
      <c r="Y14" s="38">
        <f t="shared" si="5"/>
        <v>109.26139256085983</v>
      </c>
      <c r="AA14" s="71">
        <v>9</v>
      </c>
      <c r="AB14" s="33">
        <f t="shared" si="6"/>
        <v>0</v>
      </c>
      <c r="AC14" s="305">
        <f t="shared" si="7"/>
        <v>0</v>
      </c>
      <c r="AD14" s="100">
        <f t="shared" si="8"/>
        <v>0</v>
      </c>
      <c r="AE14" s="100">
        <f t="shared" si="9"/>
        <v>0</v>
      </c>
      <c r="AF14" s="194">
        <f t="shared" si="28"/>
        <v>0</v>
      </c>
      <c r="AG14" s="194">
        <f t="shared" si="29"/>
        <v>0</v>
      </c>
      <c r="AH14" s="194">
        <f t="shared" si="30"/>
        <v>0</v>
      </c>
      <c r="AI14" s="199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4">
        <f t="shared" si="15"/>
        <v>0</v>
      </c>
      <c r="AR14" s="194">
        <f t="shared" si="16"/>
        <v>0</v>
      </c>
      <c r="AS14" s="194">
        <f t="shared" si="17"/>
        <v>0</v>
      </c>
      <c r="AT14" s="194">
        <f t="shared" si="18"/>
        <v>0</v>
      </c>
      <c r="AU14" s="33"/>
      <c r="AV14" s="33"/>
      <c r="AW14" s="33"/>
      <c r="AX14" s="33"/>
      <c r="AY14" s="164">
        <f t="shared" si="27"/>
        <v>0</v>
      </c>
    </row>
    <row r="15" spans="2:51">
      <c r="B15" s="395"/>
      <c r="C15" s="93" t="s">
        <v>73</v>
      </c>
      <c r="D15" s="391" t="s">
        <v>134</v>
      </c>
      <c r="E15" s="391"/>
      <c r="F15" s="94">
        <f>IF(D15="","",VLOOKUP(D15,$B$97:$C$100,2,0))</f>
        <v>70</v>
      </c>
      <c r="I15" s="55">
        <v>10</v>
      </c>
      <c r="J15" s="33">
        <f t="shared" si="21"/>
        <v>5</v>
      </c>
      <c r="K15" s="33">
        <f t="shared" si="22"/>
        <v>1.910565629709926</v>
      </c>
      <c r="L15" s="33">
        <f t="shared" si="23"/>
        <v>45</v>
      </c>
      <c r="M15" s="33">
        <f t="shared" si="24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9"/>
        <v>11.08421052631579</v>
      </c>
      <c r="R15" s="33">
        <f t="shared" si="25"/>
        <v>110.84210526315788</v>
      </c>
      <c r="S15" s="33">
        <f t="shared" si="26"/>
        <v>47.662105263157883</v>
      </c>
      <c r="T15" s="33">
        <f t="shared" si="2"/>
        <v>14.008315785582365</v>
      </c>
      <c r="U15" s="33">
        <f t="shared" si="20"/>
        <v>49.013574480769819</v>
      </c>
      <c r="V15" s="33">
        <f t="shared" si="3"/>
        <v>3.3333333333333335</v>
      </c>
      <c r="W15" s="33">
        <v>0</v>
      </c>
      <c r="X15" s="33">
        <f t="shared" si="4"/>
        <v>299.34797864493413</v>
      </c>
      <c r="Y15" s="38">
        <f t="shared" si="5"/>
        <v>122.31207683985602</v>
      </c>
      <c r="AA15" s="71">
        <v>10</v>
      </c>
      <c r="AB15" s="33">
        <f t="shared" si="6"/>
        <v>0</v>
      </c>
      <c r="AC15" s="305">
        <f t="shared" si="7"/>
        <v>0</v>
      </c>
      <c r="AD15" s="100">
        <f t="shared" si="8"/>
        <v>0</v>
      </c>
      <c r="AE15" s="100">
        <f t="shared" si="9"/>
        <v>0</v>
      </c>
      <c r="AF15" s="194">
        <f t="shared" si="28"/>
        <v>0</v>
      </c>
      <c r="AG15" s="194">
        <f t="shared" si="29"/>
        <v>0</v>
      </c>
      <c r="AH15" s="194">
        <f t="shared" si="30"/>
        <v>0</v>
      </c>
      <c r="AI15" s="199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4">
        <f t="shared" si="15"/>
        <v>0</v>
      </c>
      <c r="AR15" s="194">
        <f t="shared" si="16"/>
        <v>0</v>
      </c>
      <c r="AS15" s="194">
        <f t="shared" si="17"/>
        <v>0</v>
      </c>
      <c r="AT15" s="194">
        <f t="shared" si="18"/>
        <v>0</v>
      </c>
      <c r="AU15" s="33"/>
      <c r="AV15" s="33"/>
      <c r="AW15" s="33"/>
      <c r="AX15" s="33"/>
      <c r="AY15" s="164">
        <f t="shared" si="27"/>
        <v>0</v>
      </c>
    </row>
    <row r="16" spans="2:51">
      <c r="B16" s="395"/>
      <c r="C16" s="93" t="s">
        <v>74</v>
      </c>
      <c r="D16" s="387" t="s">
        <v>137</v>
      </c>
      <c r="E16" s="387"/>
      <c r="F16" s="94">
        <v>10</v>
      </c>
      <c r="I16" s="55">
        <v>11</v>
      </c>
      <c r="J16" s="33">
        <f t="shared" si="21"/>
        <v>5</v>
      </c>
      <c r="K16" s="33">
        <f t="shared" si="22"/>
        <v>1.910565629709926</v>
      </c>
      <c r="L16" s="33">
        <f t="shared" si="23"/>
        <v>45</v>
      </c>
      <c r="M16" s="33">
        <f t="shared" si="24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9"/>
        <v>11.08421052631579</v>
      </c>
      <c r="R16" s="33">
        <f t="shared" si="25"/>
        <v>121.92631578947366</v>
      </c>
      <c r="S16" s="33">
        <f t="shared" si="26"/>
        <v>52.428315789473672</v>
      </c>
      <c r="T16" s="33">
        <f t="shared" si="2"/>
        <v>15.23914144186179</v>
      </c>
      <c r="U16" s="33">
        <f t="shared" si="20"/>
        <v>49.377642044909919</v>
      </c>
      <c r="V16" s="33">
        <f t="shared" si="3"/>
        <v>3.6666666666666665</v>
      </c>
      <c r="W16" s="33">
        <v>0</v>
      </c>
      <c r="X16" s="33">
        <f t="shared" si="4"/>
        <v>312.34995328702342</v>
      </c>
      <c r="Y16" s="38">
        <f t="shared" si="5"/>
        <v>135.31405148194531</v>
      </c>
      <c r="AA16" s="71">
        <v>11</v>
      </c>
      <c r="AB16" s="33">
        <f t="shared" si="6"/>
        <v>0</v>
      </c>
      <c r="AC16" s="305">
        <f t="shared" si="7"/>
        <v>0</v>
      </c>
      <c r="AD16" s="100">
        <f t="shared" si="8"/>
        <v>0</v>
      </c>
      <c r="AE16" s="100">
        <f t="shared" si="9"/>
        <v>0</v>
      </c>
      <c r="AF16" s="194">
        <f t="shared" si="28"/>
        <v>0</v>
      </c>
      <c r="AG16" s="194">
        <f t="shared" si="29"/>
        <v>0</v>
      </c>
      <c r="AH16" s="194">
        <f t="shared" si="30"/>
        <v>0</v>
      </c>
      <c r="AI16" s="199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4">
        <f t="shared" si="15"/>
        <v>0</v>
      </c>
      <c r="AR16" s="194">
        <f t="shared" si="16"/>
        <v>0</v>
      </c>
      <c r="AS16" s="194">
        <f t="shared" si="17"/>
        <v>0</v>
      </c>
      <c r="AT16" s="194">
        <f t="shared" si="18"/>
        <v>0</v>
      </c>
      <c r="AU16" s="33"/>
      <c r="AV16" s="33"/>
      <c r="AW16" s="33"/>
      <c r="AX16" s="33"/>
      <c r="AY16" s="164">
        <f t="shared" si="27"/>
        <v>0</v>
      </c>
    </row>
    <row r="17" spans="2:51" ht="16">
      <c r="B17" s="395"/>
      <c r="C17" s="389" t="s">
        <v>123</v>
      </c>
      <c r="D17" s="384" t="s">
        <v>130</v>
      </c>
      <c r="E17" s="384"/>
      <c r="F17" s="96" t="s">
        <v>27</v>
      </c>
      <c r="I17" s="55">
        <v>12</v>
      </c>
      <c r="J17" s="33">
        <f t="shared" si="21"/>
        <v>5</v>
      </c>
      <c r="K17" s="33">
        <f t="shared" si="22"/>
        <v>1.910565629709926</v>
      </c>
      <c r="L17" s="33">
        <f t="shared" si="23"/>
        <v>45</v>
      </c>
      <c r="M17" s="33">
        <f t="shared" si="24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9"/>
        <v>11.08421052631579</v>
      </c>
      <c r="R17" s="33">
        <f t="shared" si="25"/>
        <v>133.01052631578946</v>
      </c>
      <c r="S17" s="33">
        <f t="shared" si="26"/>
        <v>57.194526315789467</v>
      </c>
      <c r="T17" s="33">
        <f t="shared" si="2"/>
        <v>16.456992543837394</v>
      </c>
      <c r="U17" s="33">
        <f t="shared" si="20"/>
        <v>49.735393850745325</v>
      </c>
      <c r="V17" s="33">
        <f t="shared" si="3"/>
        <v>4</v>
      </c>
      <c r="W17" s="33">
        <v>0</v>
      </c>
      <c r="X17" s="33">
        <f t="shared" si="4"/>
        <v>325.30617279991628</v>
      </c>
      <c r="Y17" s="38">
        <f t="shared" si="5"/>
        <v>148.27027099483817</v>
      </c>
      <c r="AA17" s="71">
        <v>12</v>
      </c>
      <c r="AB17" s="33">
        <f t="shared" si="6"/>
        <v>0</v>
      </c>
      <c r="AC17" s="305">
        <f t="shared" si="7"/>
        <v>0</v>
      </c>
      <c r="AD17" s="100">
        <f t="shared" si="8"/>
        <v>0</v>
      </c>
      <c r="AE17" s="100">
        <f t="shared" si="9"/>
        <v>0</v>
      </c>
      <c r="AF17" s="194">
        <f t="shared" si="28"/>
        <v>0</v>
      </c>
      <c r="AG17" s="194">
        <f t="shared" si="29"/>
        <v>0</v>
      </c>
      <c r="AH17" s="194">
        <f t="shared" si="30"/>
        <v>0</v>
      </c>
      <c r="AI17" s="199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4">
        <f t="shared" si="15"/>
        <v>0</v>
      </c>
      <c r="AR17" s="194">
        <f t="shared" si="16"/>
        <v>0</v>
      </c>
      <c r="AS17" s="194">
        <f t="shared" si="17"/>
        <v>0</v>
      </c>
      <c r="AT17" s="194">
        <f t="shared" si="18"/>
        <v>0</v>
      </c>
      <c r="AU17" s="33"/>
      <c r="AV17" s="33"/>
      <c r="AW17" s="33"/>
      <c r="AX17" s="33"/>
      <c r="AY17" s="164">
        <f t="shared" si="27"/>
        <v>0</v>
      </c>
    </row>
    <row r="18" spans="2:51">
      <c r="B18" s="395"/>
      <c r="C18" s="389"/>
      <c r="D18" s="384" t="s">
        <v>135</v>
      </c>
      <c r="E18" s="384"/>
      <c r="F18" s="97">
        <v>65</v>
      </c>
      <c r="I18" s="55">
        <v>13</v>
      </c>
      <c r="J18" s="33">
        <f t="shared" si="21"/>
        <v>5</v>
      </c>
      <c r="K18" s="33">
        <f t="shared" si="22"/>
        <v>1.910565629709926</v>
      </c>
      <c r="L18" s="33">
        <f t="shared" si="23"/>
        <v>45</v>
      </c>
      <c r="M18" s="33">
        <f t="shared" si="24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9"/>
        <v>11.08421052631579</v>
      </c>
      <c r="R18" s="33">
        <f t="shared" si="25"/>
        <v>144.09473684210525</v>
      </c>
      <c r="S18" s="33">
        <f t="shared" si="26"/>
        <v>61.960736842105256</v>
      </c>
      <c r="T18" s="33">
        <f t="shared" si="2"/>
        <v>17.663073228667812</v>
      </c>
      <c r="U18" s="33">
        <f t="shared" si="20"/>
        <v>50.086939462562704</v>
      </c>
      <c r="V18" s="33">
        <f t="shared" si="3"/>
        <v>4.333333333333333</v>
      </c>
      <c r="W18" s="33">
        <v>0</v>
      </c>
      <c r="X18" s="33">
        <f t="shared" si="4"/>
        <v>338.21913612488186</v>
      </c>
      <c r="Y18" s="38">
        <f t="shared" si="5"/>
        <v>161.18323431980374</v>
      </c>
      <c r="AA18" s="71">
        <v>13</v>
      </c>
      <c r="AB18" s="33">
        <f t="shared" si="6"/>
        <v>0</v>
      </c>
      <c r="AC18" s="305">
        <f t="shared" si="7"/>
        <v>0</v>
      </c>
      <c r="AD18" s="100">
        <f t="shared" si="8"/>
        <v>0</v>
      </c>
      <c r="AE18" s="100">
        <f t="shared" si="9"/>
        <v>0</v>
      </c>
      <c r="AF18" s="194">
        <f t="shared" si="28"/>
        <v>0</v>
      </c>
      <c r="AG18" s="194">
        <f t="shared" si="29"/>
        <v>0</v>
      </c>
      <c r="AH18" s="194">
        <f t="shared" si="30"/>
        <v>0</v>
      </c>
      <c r="AI18" s="199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4">
        <f t="shared" si="15"/>
        <v>0</v>
      </c>
      <c r="AR18" s="194">
        <f t="shared" si="16"/>
        <v>0</v>
      </c>
      <c r="AS18" s="194">
        <f t="shared" si="17"/>
        <v>0</v>
      </c>
      <c r="AT18" s="194">
        <f t="shared" si="18"/>
        <v>0</v>
      </c>
      <c r="AU18" s="33"/>
      <c r="AV18" s="33"/>
      <c r="AW18" s="33"/>
      <c r="AX18" s="33"/>
      <c r="AY18" s="164">
        <f t="shared" si="27"/>
        <v>0</v>
      </c>
    </row>
    <row r="19" spans="2:51">
      <c r="B19" s="395"/>
      <c r="C19" s="389"/>
      <c r="D19" s="387" t="s">
        <v>154</v>
      </c>
      <c r="E19" s="387"/>
      <c r="F19" s="36">
        <f>IF(ISBLANK(F$17),,VLOOKUP(F$17,C131:D195,2,FALSE))</f>
        <v>0.43</v>
      </c>
      <c r="I19" s="55">
        <v>14</v>
      </c>
      <c r="J19" s="33">
        <f t="shared" si="21"/>
        <v>5</v>
      </c>
      <c r="K19" s="33">
        <f t="shared" si="22"/>
        <v>1.910565629709926</v>
      </c>
      <c r="L19" s="33">
        <f t="shared" si="23"/>
        <v>45</v>
      </c>
      <c r="M19" s="33">
        <f t="shared" si="24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9"/>
        <v>11.08421052631579</v>
      </c>
      <c r="R19" s="33">
        <f t="shared" si="25"/>
        <v>155.17894736842103</v>
      </c>
      <c r="S19" s="33">
        <f t="shared" si="26"/>
        <v>66.726947368421051</v>
      </c>
      <c r="T19" s="33">
        <f t="shared" si="2"/>
        <v>18.858391858142888</v>
      </c>
      <c r="U19" s="33">
        <f t="shared" si="20"/>
        <v>50.432386543953299</v>
      </c>
      <c r="V19" s="33">
        <f t="shared" si="3"/>
        <v>4.666666666666667</v>
      </c>
      <c r="W19" s="33">
        <v>0</v>
      </c>
      <c r="X19" s="33">
        <f t="shared" si="4"/>
        <v>351.09099425853879</v>
      </c>
      <c r="Y19" s="38">
        <f t="shared" si="5"/>
        <v>174.05509245346067</v>
      </c>
      <c r="AA19" s="71">
        <v>14</v>
      </c>
      <c r="AB19" s="33">
        <f t="shared" si="6"/>
        <v>0</v>
      </c>
      <c r="AC19" s="305">
        <f t="shared" si="7"/>
        <v>0</v>
      </c>
      <c r="AD19" s="100">
        <f t="shared" si="8"/>
        <v>0</v>
      </c>
      <c r="AE19" s="100">
        <f t="shared" si="9"/>
        <v>0</v>
      </c>
      <c r="AF19" s="194">
        <f t="shared" si="28"/>
        <v>0</v>
      </c>
      <c r="AG19" s="194">
        <f t="shared" si="29"/>
        <v>0</v>
      </c>
      <c r="AH19" s="194">
        <f t="shared" si="30"/>
        <v>0</v>
      </c>
      <c r="AI19" s="199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4">
        <f t="shared" si="15"/>
        <v>0</v>
      </c>
      <c r="AR19" s="194">
        <f t="shared" si="16"/>
        <v>0</v>
      </c>
      <c r="AS19" s="194">
        <f t="shared" si="17"/>
        <v>0</v>
      </c>
      <c r="AT19" s="194">
        <f t="shared" si="18"/>
        <v>0</v>
      </c>
      <c r="AU19" s="33"/>
      <c r="AV19" s="33"/>
      <c r="AW19" s="33"/>
      <c r="AX19" s="33"/>
      <c r="AY19" s="164">
        <f t="shared" si="27"/>
        <v>0</v>
      </c>
    </row>
    <row r="20" spans="2:51">
      <c r="B20" s="395"/>
      <c r="C20" s="389"/>
      <c r="D20" s="387" t="s">
        <v>139</v>
      </c>
      <c r="E20" s="387"/>
      <c r="F20" s="36">
        <f>IF(ISBLANK(F$17),,VLOOKUP(F17,Tableau1456[#All],4,FALSE))</f>
        <v>1.3</v>
      </c>
      <c r="I20" s="55">
        <v>15</v>
      </c>
      <c r="J20" s="33">
        <f t="shared" si="21"/>
        <v>5</v>
      </c>
      <c r="K20" s="33">
        <f t="shared" si="22"/>
        <v>1.910565629709926</v>
      </c>
      <c r="L20" s="33">
        <f t="shared" si="23"/>
        <v>45</v>
      </c>
      <c r="M20" s="33">
        <f t="shared" si="24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9"/>
        <v>11.08421052631579</v>
      </c>
      <c r="R20" s="33">
        <f t="shared" si="25"/>
        <v>166.26315789473682</v>
      </c>
      <c r="S20" s="33">
        <f t="shared" si="26"/>
        <v>71.493157894736825</v>
      </c>
      <c r="T20" s="33">
        <f t="shared" si="2"/>
        <v>20.043804579720316</v>
      </c>
      <c r="U20" s="33">
        <f t="shared" si="20"/>
        <v>50.771840890785739</v>
      </c>
      <c r="V20" s="33">
        <f t="shared" si="3"/>
        <v>5</v>
      </c>
      <c r="W20" s="33">
        <v>0</v>
      </c>
      <c r="X20" s="33">
        <f t="shared" si="4"/>
        <v>363.92362624256049</v>
      </c>
      <c r="Y20" s="38">
        <f t="shared" si="5"/>
        <v>186.88772443748238</v>
      </c>
      <c r="AA20" s="71">
        <v>15</v>
      </c>
      <c r="AB20" s="33">
        <f t="shared" si="6"/>
        <v>0</v>
      </c>
      <c r="AC20" s="305">
        <f t="shared" si="7"/>
        <v>0</v>
      </c>
      <c r="AD20" s="100">
        <f t="shared" si="8"/>
        <v>0</v>
      </c>
      <c r="AE20" s="100">
        <f t="shared" si="9"/>
        <v>0</v>
      </c>
      <c r="AF20" s="194">
        <f t="shared" si="28"/>
        <v>0</v>
      </c>
      <c r="AG20" s="194">
        <f t="shared" si="29"/>
        <v>0</v>
      </c>
      <c r="AH20" s="194">
        <f t="shared" si="30"/>
        <v>0</v>
      </c>
      <c r="AI20" s="199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4">
        <f t="shared" si="15"/>
        <v>0</v>
      </c>
      <c r="AR20" s="194">
        <f t="shared" si="16"/>
        <v>0</v>
      </c>
      <c r="AS20" s="194">
        <f t="shared" si="17"/>
        <v>0</v>
      </c>
      <c r="AT20" s="194">
        <f t="shared" si="18"/>
        <v>0</v>
      </c>
      <c r="AU20" s="33"/>
      <c r="AV20" s="33"/>
      <c r="AW20" s="33"/>
      <c r="AX20" s="33"/>
      <c r="AY20" s="164">
        <f t="shared" si="27"/>
        <v>0</v>
      </c>
    </row>
    <row r="21" spans="2:51">
      <c r="B21" s="386"/>
      <c r="C21" s="390"/>
      <c r="D21" s="388" t="s">
        <v>142</v>
      </c>
      <c r="E21" s="388"/>
      <c r="F21" s="102">
        <f>20.5*10%</f>
        <v>2.0500000000000003</v>
      </c>
      <c r="I21" s="55">
        <v>16</v>
      </c>
      <c r="J21" s="33">
        <f t="shared" si="21"/>
        <v>5</v>
      </c>
      <c r="K21" s="33">
        <f t="shared" si="22"/>
        <v>1.910565629709926</v>
      </c>
      <c r="L21" s="33">
        <f t="shared" si="23"/>
        <v>45</v>
      </c>
      <c r="M21" s="33">
        <f t="shared" si="24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9"/>
        <v>11.08421052631579</v>
      </c>
      <c r="R21" s="33">
        <f t="shared" si="25"/>
        <v>177.34736842105261</v>
      </c>
      <c r="S21" s="33">
        <f t="shared" si="26"/>
        <v>76.259368421052613</v>
      </c>
      <c r="T21" s="33">
        <f t="shared" si="2"/>
        <v>21.220046929701624</v>
      </c>
      <c r="U21" s="33">
        <f t="shared" si="20"/>
        <v>51.105406463606862</v>
      </c>
      <c r="V21" s="33">
        <f t="shared" si="3"/>
        <v>5.333333333333333</v>
      </c>
      <c r="W21" s="33">
        <v>0</v>
      </c>
      <c r="X21" s="33">
        <f t="shared" si="4"/>
        <v>376.7186943246777</v>
      </c>
      <c r="Y21" s="38">
        <f t="shared" si="5"/>
        <v>199.68279251959959</v>
      </c>
      <c r="AA21" s="71">
        <v>16</v>
      </c>
      <c r="AB21" s="33">
        <f t="shared" si="6"/>
        <v>0</v>
      </c>
      <c r="AC21" s="305">
        <f t="shared" si="7"/>
        <v>0</v>
      </c>
      <c r="AD21" s="100">
        <f t="shared" si="8"/>
        <v>0</v>
      </c>
      <c r="AE21" s="100">
        <f t="shared" si="9"/>
        <v>0</v>
      </c>
      <c r="AF21" s="194">
        <f t="shared" si="28"/>
        <v>0</v>
      </c>
      <c r="AG21" s="194">
        <f t="shared" si="29"/>
        <v>0</v>
      </c>
      <c r="AH21" s="194">
        <f t="shared" si="30"/>
        <v>0</v>
      </c>
      <c r="AI21" s="199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4">
        <f t="shared" si="15"/>
        <v>0</v>
      </c>
      <c r="AR21" s="194">
        <f t="shared" si="16"/>
        <v>0</v>
      </c>
      <c r="AS21" s="194">
        <f t="shared" si="17"/>
        <v>0</v>
      </c>
      <c r="AT21" s="194">
        <f t="shared" si="18"/>
        <v>0</v>
      </c>
      <c r="AU21" s="33"/>
      <c r="AV21" s="33"/>
      <c r="AW21" s="33"/>
      <c r="AX21" s="33"/>
      <c r="AY21" s="164">
        <f t="shared" si="27"/>
        <v>0</v>
      </c>
    </row>
    <row r="22" spans="2:51">
      <c r="E22" s="6"/>
      <c r="I22" s="55">
        <v>17</v>
      </c>
      <c r="J22" s="33">
        <f t="shared" si="21"/>
        <v>5</v>
      </c>
      <c r="K22" s="33">
        <f t="shared" si="22"/>
        <v>1.910565629709926</v>
      </c>
      <c r="L22" s="33">
        <f t="shared" si="23"/>
        <v>45</v>
      </c>
      <c r="M22" s="33">
        <f t="shared" si="24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9"/>
        <v>11.08421052631579</v>
      </c>
      <c r="R22" s="33">
        <f t="shared" si="25"/>
        <v>188.43157894736839</v>
      </c>
      <c r="S22" s="33">
        <f t="shared" si="26"/>
        <v>81.025578947368402</v>
      </c>
      <c r="T22" s="33">
        <f t="shared" si="2"/>
        <v>22.387757305769885</v>
      </c>
      <c r="U22" s="33">
        <f t="shared" si="20"/>
        <v>51.433185419480445</v>
      </c>
      <c r="V22" s="33">
        <f t="shared" si="3"/>
        <v>5.666666666666667</v>
      </c>
      <c r="W22" s="33">
        <v>0</v>
      </c>
      <c r="X22" s="33">
        <f t="shared" si="4"/>
        <v>389.47768495675524</v>
      </c>
      <c r="Y22" s="38">
        <f t="shared" si="5"/>
        <v>212.44178315167713</v>
      </c>
      <c r="AA22" s="71">
        <v>17</v>
      </c>
      <c r="AB22" s="33">
        <f t="shared" si="6"/>
        <v>0</v>
      </c>
      <c r="AC22" s="305">
        <f t="shared" si="7"/>
        <v>0</v>
      </c>
      <c r="AD22" s="100">
        <f t="shared" si="8"/>
        <v>0</v>
      </c>
      <c r="AE22" s="100">
        <f t="shared" si="9"/>
        <v>0</v>
      </c>
      <c r="AF22" s="194">
        <f t="shared" si="28"/>
        <v>0</v>
      </c>
      <c r="AG22" s="194">
        <f t="shared" si="29"/>
        <v>0</v>
      </c>
      <c r="AH22" s="194">
        <f t="shared" si="30"/>
        <v>0</v>
      </c>
      <c r="AI22" s="199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4">
        <f t="shared" si="15"/>
        <v>0</v>
      </c>
      <c r="AR22" s="194">
        <f t="shared" si="16"/>
        <v>0</v>
      </c>
      <c r="AS22" s="194">
        <f t="shared" si="17"/>
        <v>0</v>
      </c>
      <c r="AT22" s="194">
        <f t="shared" si="18"/>
        <v>0</v>
      </c>
      <c r="AU22" s="33"/>
      <c r="AV22" s="33"/>
      <c r="AW22" s="33"/>
      <c r="AX22" s="33"/>
      <c r="AY22" s="164">
        <f t="shared" si="27"/>
        <v>0</v>
      </c>
    </row>
    <row r="23" spans="2:51">
      <c r="B23" s="407" t="s">
        <v>141</v>
      </c>
      <c r="C23" s="408"/>
      <c r="D23" s="408"/>
      <c r="E23" s="408"/>
      <c r="F23" s="408"/>
      <c r="G23" s="409"/>
      <c r="I23" s="55">
        <v>18</v>
      </c>
      <c r="J23" s="33">
        <f t="shared" si="21"/>
        <v>5</v>
      </c>
      <c r="K23" s="33">
        <f t="shared" si="22"/>
        <v>1.910565629709926</v>
      </c>
      <c r="L23" s="33">
        <f t="shared" si="23"/>
        <v>45</v>
      </c>
      <c r="M23" s="33">
        <f t="shared" si="24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9"/>
        <v>11.08421052631579</v>
      </c>
      <c r="R23" s="33">
        <f t="shared" si="25"/>
        <v>199.51578947368418</v>
      </c>
      <c r="S23" s="33">
        <f t="shared" si="26"/>
        <v>85.79178947368419</v>
      </c>
      <c r="T23" s="33">
        <f t="shared" si="2"/>
        <v>23.547494757227717</v>
      </c>
      <c r="U23" s="33">
        <f t="shared" si="20"/>
        <v>51.755278143273578</v>
      </c>
      <c r="V23" s="33">
        <f t="shared" si="3"/>
        <v>6</v>
      </c>
      <c r="W23" s="33">
        <v>0</v>
      </c>
      <c r="X23" s="33">
        <f t="shared" si="4"/>
        <v>402.2019398941747</v>
      </c>
      <c r="Y23" s="38">
        <f t="shared" si="5"/>
        <v>225.16603808909659</v>
      </c>
      <c r="AA23" s="71">
        <v>18</v>
      </c>
      <c r="AB23" s="33">
        <f t="shared" si="6"/>
        <v>0</v>
      </c>
      <c r="AC23" s="305">
        <f t="shared" si="7"/>
        <v>0</v>
      </c>
      <c r="AD23" s="100">
        <f t="shared" si="8"/>
        <v>0</v>
      </c>
      <c r="AE23" s="100">
        <f t="shared" si="9"/>
        <v>0</v>
      </c>
      <c r="AF23" s="194">
        <f t="shared" si="28"/>
        <v>0</v>
      </c>
      <c r="AG23" s="194">
        <f t="shared" si="29"/>
        <v>0</v>
      </c>
      <c r="AH23" s="194">
        <f t="shared" si="30"/>
        <v>0</v>
      </c>
      <c r="AI23" s="199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4">
        <f t="shared" si="15"/>
        <v>0</v>
      </c>
      <c r="AR23" s="194">
        <f t="shared" si="16"/>
        <v>0</v>
      </c>
      <c r="AS23" s="194">
        <f t="shared" si="17"/>
        <v>0</v>
      </c>
      <c r="AT23" s="194">
        <f t="shared" si="18"/>
        <v>0</v>
      </c>
      <c r="AU23" s="33"/>
      <c r="AV23" s="33"/>
      <c r="AW23" s="33"/>
      <c r="AX23" s="33"/>
      <c r="AY23" s="164">
        <f t="shared" si="27"/>
        <v>0</v>
      </c>
    </row>
    <row r="24" spans="2:51">
      <c r="B24" s="47" t="s">
        <v>113</v>
      </c>
      <c r="C24" s="48" t="s">
        <v>114</v>
      </c>
      <c r="D24" s="48" t="s">
        <v>83</v>
      </c>
      <c r="E24" s="48" t="s">
        <v>116</v>
      </c>
      <c r="F24" s="48" t="s">
        <v>115</v>
      </c>
      <c r="G24" s="49" t="s">
        <v>140</v>
      </c>
      <c r="I24" s="55">
        <v>19</v>
      </c>
      <c r="J24" s="33">
        <f t="shared" si="21"/>
        <v>5</v>
      </c>
      <c r="K24" s="33">
        <f t="shared" si="22"/>
        <v>1.910565629709926</v>
      </c>
      <c r="L24" s="33">
        <f t="shared" si="23"/>
        <v>45</v>
      </c>
      <c r="M24" s="33">
        <f t="shared" si="24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9"/>
        <v>11.08421052631579</v>
      </c>
      <c r="R24" s="33">
        <f t="shared" si="25"/>
        <v>210.59999999999997</v>
      </c>
      <c r="S24" s="33">
        <f t="shared" si="26"/>
        <v>90.557999999999979</v>
      </c>
      <c r="T24" s="33">
        <f t="shared" si="2"/>
        <v>24.699752708509138</v>
      </c>
      <c r="U24" s="33">
        <f t="shared" si="20"/>
        <v>52.07178327840036</v>
      </c>
      <c r="V24" s="33">
        <f t="shared" si="3"/>
        <v>6.333333333333333</v>
      </c>
      <c r="W24" s="33">
        <v>0</v>
      </c>
      <c r="X24" s="33">
        <f t="shared" si="4"/>
        <v>414.8926802103436</v>
      </c>
      <c r="Y24" s="38">
        <f t="shared" si="5"/>
        <v>237.85677840526549</v>
      </c>
      <c r="AA24" s="71">
        <v>19</v>
      </c>
      <c r="AB24" s="33">
        <f t="shared" si="6"/>
        <v>0</v>
      </c>
      <c r="AC24" s="305">
        <f t="shared" si="7"/>
        <v>0</v>
      </c>
      <c r="AD24" s="100">
        <f t="shared" si="8"/>
        <v>0</v>
      </c>
      <c r="AE24" s="100">
        <f t="shared" si="9"/>
        <v>0</v>
      </c>
      <c r="AF24" s="194">
        <f t="shared" si="28"/>
        <v>0</v>
      </c>
      <c r="AG24" s="194">
        <f t="shared" si="29"/>
        <v>0</v>
      </c>
      <c r="AH24" s="194">
        <f t="shared" si="30"/>
        <v>0</v>
      </c>
      <c r="AI24" s="199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4">
        <f t="shared" si="15"/>
        <v>0</v>
      </c>
      <c r="AR24" s="194">
        <f t="shared" si="16"/>
        <v>0</v>
      </c>
      <c r="AS24" s="194">
        <f t="shared" si="17"/>
        <v>0</v>
      </c>
      <c r="AT24" s="194">
        <f t="shared" si="18"/>
        <v>0</v>
      </c>
      <c r="AU24" s="33"/>
      <c r="AV24" s="33"/>
      <c r="AW24" s="33"/>
      <c r="AX24" s="33"/>
      <c r="AY24" s="164">
        <f t="shared" si="27"/>
        <v>0</v>
      </c>
    </row>
    <row r="25" spans="2:51">
      <c r="B25" s="45">
        <v>0</v>
      </c>
      <c r="C25" s="334">
        <v>19</v>
      </c>
      <c r="D25" s="136">
        <v>162</v>
      </c>
      <c r="E25" s="140">
        <f t="shared" ref="E25:E42" si="32">$F$20</f>
        <v>1.3</v>
      </c>
      <c r="F25" s="46">
        <f t="shared" ref="F25:F42" si="33">D25*E25</f>
        <v>210.6</v>
      </c>
      <c r="G25" s="50">
        <f>F25/(C25-B25)</f>
        <v>11.08421052631579</v>
      </c>
      <c r="I25" s="55">
        <v>20</v>
      </c>
      <c r="J25" s="33">
        <f t="shared" si="21"/>
        <v>5</v>
      </c>
      <c r="K25" s="33">
        <f t="shared" si="22"/>
        <v>1.910565629709926</v>
      </c>
      <c r="L25" s="33">
        <f t="shared" si="23"/>
        <v>45</v>
      </c>
      <c r="M25" s="33">
        <f t="shared" si="24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9"/>
        <v>0</v>
      </c>
      <c r="R25" s="33">
        <f t="shared" si="25"/>
        <v>210.59999999999997</v>
      </c>
      <c r="S25" s="33">
        <f t="shared" si="26"/>
        <v>90.557999999999979</v>
      </c>
      <c r="T25" s="33">
        <f t="shared" si="2"/>
        <v>24.699752708509138</v>
      </c>
      <c r="U25" s="33">
        <f t="shared" si="20"/>
        <v>52.382797757032165</v>
      </c>
      <c r="V25" s="33">
        <f t="shared" si="3"/>
        <v>6.666666666666667</v>
      </c>
      <c r="W25" s="33">
        <v>0</v>
      </c>
      <c r="X25" s="33">
        <f t="shared" si="4"/>
        <v>417.25528885421573</v>
      </c>
      <c r="Y25" s="38">
        <f t="shared" si="5"/>
        <v>240.21938704913762</v>
      </c>
      <c r="AA25" s="71">
        <v>20</v>
      </c>
      <c r="AB25" s="33">
        <f t="shared" si="6"/>
        <v>0</v>
      </c>
      <c r="AC25" s="305">
        <f t="shared" si="7"/>
        <v>0</v>
      </c>
      <c r="AD25" s="100">
        <f t="shared" si="8"/>
        <v>0.56000000000000005</v>
      </c>
      <c r="AE25" s="100">
        <f t="shared" si="9"/>
        <v>0.44</v>
      </c>
      <c r="AF25" s="194">
        <f>IF(OR(AA25&lt;=$F$18,AA25&lt;=30),EXP(-LN(2)/$D$104)*AF24+((1-EXP(-LN(2)/$D$104))/(LN(2)/$D$104))*$AB25*AC25*0.475*$F$19*44/12,)</f>
        <v>0</v>
      </c>
      <c r="AG25" s="194">
        <f>IF(OR(AA25&lt;=$F$18,AA25&lt;=30),EXP(-LN(2)/$D$106)*AG24+((1-EXP(-LN(2)/$D$106))/(LN(2)/$D$106))*$AB25*AD25*0.475*$F$19*44/12,)</f>
        <v>0</v>
      </c>
      <c r="AH25" s="194">
        <f>IF(OR(AA25&lt;=$F$18,AA25&lt;=30),EXP(-LN(2)/$D$105)*AH24+((1-EXP(-LN(2)/$D$105))/(LN(2)/$D$105))*$AB25*AE25*0.475*$F$19*44/12,)</f>
        <v>0</v>
      </c>
      <c r="AI25" s="199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0.56000000000000005</v>
      </c>
      <c r="AO25" s="33">
        <f t="shared" si="13"/>
        <v>0.44</v>
      </c>
      <c r="AP25" s="33">
        <f t="shared" si="14"/>
        <v>0</v>
      </c>
      <c r="AQ25" s="194">
        <f t="shared" si="15"/>
        <v>0</v>
      </c>
      <c r="AR25" s="194">
        <f t="shared" si="16"/>
        <v>0</v>
      </c>
      <c r="AS25" s="194">
        <f t="shared" si="17"/>
        <v>0</v>
      </c>
      <c r="AT25" s="194">
        <f t="shared" si="18"/>
        <v>0</v>
      </c>
      <c r="AU25" s="33"/>
      <c r="AV25" s="33"/>
      <c r="AW25" s="33"/>
      <c r="AX25" s="33"/>
      <c r="AY25" s="164">
        <f t="shared" si="27"/>
        <v>0</v>
      </c>
    </row>
    <row r="26" spans="2:51">
      <c r="B26" s="40">
        <f t="shared" ref="B26:B42" si="34">C25</f>
        <v>19</v>
      </c>
      <c r="C26" s="41">
        <f>B26+1</f>
        <v>20</v>
      </c>
      <c r="D26" s="136">
        <v>162</v>
      </c>
      <c r="E26" s="141">
        <f t="shared" si="32"/>
        <v>1.3</v>
      </c>
      <c r="F26" s="42">
        <f t="shared" si="33"/>
        <v>210.6</v>
      </c>
      <c r="G26" s="142">
        <f>(F26-F25)/(C26-B26)</f>
        <v>0</v>
      </c>
      <c r="I26" s="55">
        <v>21</v>
      </c>
      <c r="J26" s="33">
        <f t="shared" si="21"/>
        <v>5</v>
      </c>
      <c r="K26" s="33">
        <f t="shared" si="22"/>
        <v>1.910565629709926</v>
      </c>
      <c r="L26" s="33">
        <f t="shared" si="23"/>
        <v>45</v>
      </c>
      <c r="M26" s="33">
        <f t="shared" si="24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9"/>
        <v>44.980000000000004</v>
      </c>
      <c r="R26" s="33">
        <f t="shared" si="25"/>
        <v>255.57999999999998</v>
      </c>
      <c r="S26" s="33">
        <f t="shared" si="26"/>
        <v>109.89939999999999</v>
      </c>
      <c r="T26" s="33">
        <f t="shared" si="2"/>
        <v>29.307281165895169</v>
      </c>
      <c r="U26" s="33">
        <f t="shared" si="20"/>
        <v>52.688416829783918</v>
      </c>
      <c r="V26" s="33">
        <f t="shared" si="3"/>
        <v>7</v>
      </c>
      <c r="W26" s="33">
        <v>0</v>
      </c>
      <c r="X26" s="33">
        <f t="shared" si="4"/>
        <v>461.30916473980847</v>
      </c>
      <c r="Y26" s="38">
        <f t="shared" si="5"/>
        <v>284.27326293473038</v>
      </c>
      <c r="AA26" s="71">
        <v>21</v>
      </c>
      <c r="AB26" s="33">
        <f t="shared" si="6"/>
        <v>0</v>
      </c>
      <c r="AC26" s="305">
        <f t="shared" si="7"/>
        <v>0</v>
      </c>
      <c r="AD26" s="100">
        <f t="shared" si="8"/>
        <v>0</v>
      </c>
      <c r="AE26" s="100">
        <f t="shared" si="9"/>
        <v>0</v>
      </c>
      <c r="AF26" s="194">
        <f>IF(OR(AA26&lt;=$F$18,AA26&lt;=30),EXP(-LN(2)/$D$104)*AF25+((1-EXP(-LN(2)/$D$104))/(LN(2)/$D$104))*$AB26*AC26*0.475*$F$19*44/12,)</f>
        <v>0</v>
      </c>
      <c r="AG26" s="194">
        <f>IF(OR(AA26&lt;=$F$18,AA26&lt;=30),EXP(-LN(2)/$D$106)*AG25+((1-EXP(-LN(2)/$D$106))/(LN(2)/$D$106))*$AB26*AD26*0.475*$F$19*44/12,)</f>
        <v>0</v>
      </c>
      <c r="AH26" s="194">
        <f>IF(OR(AA26&lt;=$F$18,AA26&lt;=30),EXP(-LN(2)/$D$105)*AH25+((1-EXP(-LN(2)/$D$105))/(LN(2)/$D$105))*$AB26*AE26*0.475*$F$19*44/12,)</f>
        <v>0</v>
      </c>
      <c r="AI26" s="199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0</v>
      </c>
      <c r="AQ26" s="194">
        <f t="shared" si="15"/>
        <v>0</v>
      </c>
      <c r="AR26" s="194">
        <f t="shared" si="16"/>
        <v>0</v>
      </c>
      <c r="AS26" s="194">
        <f t="shared" si="17"/>
        <v>0</v>
      </c>
      <c r="AT26" s="194">
        <f t="shared" si="18"/>
        <v>0</v>
      </c>
      <c r="AU26" s="33"/>
      <c r="AV26" s="33"/>
      <c r="AW26" s="33"/>
      <c r="AX26" s="33"/>
      <c r="AY26" s="164">
        <f t="shared" si="27"/>
        <v>0</v>
      </c>
    </row>
    <row r="27" spans="2:51">
      <c r="B27" s="40">
        <f t="shared" si="34"/>
        <v>20</v>
      </c>
      <c r="C27" s="152">
        <f>C25+6</f>
        <v>25</v>
      </c>
      <c r="D27" s="137">
        <f>D28+54</f>
        <v>335</v>
      </c>
      <c r="E27" s="141">
        <f t="shared" si="32"/>
        <v>1.3</v>
      </c>
      <c r="F27" s="42">
        <f t="shared" si="33"/>
        <v>435.5</v>
      </c>
      <c r="G27" s="51">
        <f t="shared" ref="G27:G42" si="35">(F27-F26)/(C27-B27)</f>
        <v>44.980000000000004</v>
      </c>
      <c r="I27" s="55">
        <v>22</v>
      </c>
      <c r="J27" s="33">
        <f t="shared" si="21"/>
        <v>5</v>
      </c>
      <c r="K27" s="33">
        <f t="shared" si="22"/>
        <v>1.910565629709926</v>
      </c>
      <c r="L27" s="33">
        <f t="shared" si="23"/>
        <v>45</v>
      </c>
      <c r="M27" s="33">
        <f t="shared" si="24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9"/>
        <v>44.980000000000004</v>
      </c>
      <c r="R27" s="33">
        <f t="shared" si="25"/>
        <v>300.56</v>
      </c>
      <c r="S27" s="33">
        <f t="shared" si="26"/>
        <v>129.24080000000001</v>
      </c>
      <c r="T27" s="33">
        <f t="shared" si="2"/>
        <v>33.820870746871478</v>
      </c>
      <c r="U27" s="33">
        <f t="shared" si="20"/>
        <v>52.988734094885309</v>
      </c>
      <c r="V27" s="33">
        <f t="shared" si="3"/>
        <v>7.333333333333333</v>
      </c>
      <c r="W27" s="33">
        <v>0</v>
      </c>
      <c r="X27" s="33">
        <f t="shared" si="4"/>
        <v>505.17999045426956</v>
      </c>
      <c r="Y27" s="38">
        <f t="shared" si="5"/>
        <v>328.14408864919142</v>
      </c>
      <c r="AA27" s="71">
        <v>22</v>
      </c>
      <c r="AB27" s="33">
        <f t="shared" si="6"/>
        <v>0</v>
      </c>
      <c r="AC27" s="305">
        <f t="shared" si="7"/>
        <v>0</v>
      </c>
      <c r="AD27" s="100">
        <f t="shared" si="8"/>
        <v>0</v>
      </c>
      <c r="AE27" s="100">
        <f t="shared" si="9"/>
        <v>0</v>
      </c>
      <c r="AF27" s="194">
        <f t="shared" ref="AF27:AF90" si="36">IF(OR(AA27&lt;=$F$18,AA27&lt;=30),EXP(-LN(2)/$D$104)*AF26+((1-EXP(-LN(2)/$D$104))/(LN(2)/$D$104))*$AB27*AC27*0.475*$F$19*44/12,)</f>
        <v>0</v>
      </c>
      <c r="AG27" s="194">
        <f t="shared" ref="AG27:AG90" si="37">IF(OR(AA27&lt;=$F$18,AA27&lt;=30),EXP(-LN(2)/$D$106)*AG26+((1-EXP(-LN(2)/$D$106))/(LN(2)/$D$106))*$AB27*AD27*0.475*$F$19*44/12,)</f>
        <v>0</v>
      </c>
      <c r="AH27" s="194">
        <f t="shared" ref="AH27:AH90" si="38">IF(OR(AA27&lt;=$F$18,AA27&lt;=30),EXP(-LN(2)/$D$105)*AH26+((1-EXP(-LN(2)/$D$105))/(LN(2)/$D$105))*$AB27*AE27*0.475*$F$19*44/12,)</f>
        <v>0</v>
      </c>
      <c r="AI27" s="199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4">
        <f t="shared" si="15"/>
        <v>0</v>
      </c>
      <c r="AR27" s="194">
        <f t="shared" si="16"/>
        <v>0</v>
      </c>
      <c r="AS27" s="194">
        <f t="shared" si="17"/>
        <v>0</v>
      </c>
      <c r="AT27" s="194">
        <f t="shared" si="18"/>
        <v>0</v>
      </c>
      <c r="AU27" s="33"/>
      <c r="AV27" s="33"/>
      <c r="AW27" s="33"/>
      <c r="AX27" s="33"/>
      <c r="AY27" s="164">
        <f t="shared" si="27"/>
        <v>0</v>
      </c>
    </row>
    <row r="28" spans="2:51">
      <c r="B28" s="40">
        <f t="shared" si="34"/>
        <v>25</v>
      </c>
      <c r="C28" s="152">
        <f>C26+6</f>
        <v>26</v>
      </c>
      <c r="D28" s="137">
        <v>281</v>
      </c>
      <c r="E28" s="141">
        <f t="shared" si="32"/>
        <v>1.3</v>
      </c>
      <c r="F28" s="42">
        <f t="shared" si="33"/>
        <v>365.3</v>
      </c>
      <c r="G28" s="51">
        <f t="shared" si="35"/>
        <v>-70.199999999999989</v>
      </c>
      <c r="I28" s="55">
        <v>23</v>
      </c>
      <c r="J28" s="33">
        <f t="shared" si="21"/>
        <v>5</v>
      </c>
      <c r="K28" s="33">
        <f t="shared" si="22"/>
        <v>1.910565629709926</v>
      </c>
      <c r="L28" s="33">
        <f t="shared" si="23"/>
        <v>45</v>
      </c>
      <c r="M28" s="33">
        <f t="shared" si="24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9"/>
        <v>44.980000000000004</v>
      </c>
      <c r="R28" s="33">
        <f t="shared" si="25"/>
        <v>345.54</v>
      </c>
      <c r="S28" s="33">
        <f t="shared" si="26"/>
        <v>148.5822</v>
      </c>
      <c r="T28" s="33">
        <f t="shared" si="2"/>
        <v>38.256207612337192</v>
      </c>
      <c r="U28" s="33">
        <f t="shared" si="20"/>
        <v>53.283841526846018</v>
      </c>
      <c r="V28" s="33">
        <f t="shared" si="3"/>
        <v>7.666666666666667</v>
      </c>
      <c r="W28" s="33">
        <v>0</v>
      </c>
      <c r="X28" s="33">
        <f t="shared" si="4"/>
        <v>548.89542330103382</v>
      </c>
      <c r="Y28" s="38">
        <f t="shared" si="5"/>
        <v>371.85952149595573</v>
      </c>
      <c r="AA28" s="71">
        <v>23</v>
      </c>
      <c r="AB28" s="33">
        <f t="shared" si="6"/>
        <v>0</v>
      </c>
      <c r="AC28" s="305">
        <f t="shared" si="7"/>
        <v>0</v>
      </c>
      <c r="AD28" s="100">
        <f t="shared" si="8"/>
        <v>0</v>
      </c>
      <c r="AE28" s="100">
        <f t="shared" si="9"/>
        <v>0</v>
      </c>
      <c r="AF28" s="194">
        <f t="shared" si="36"/>
        <v>0</v>
      </c>
      <c r="AG28" s="194">
        <f t="shared" si="37"/>
        <v>0</v>
      </c>
      <c r="AH28" s="194">
        <f t="shared" si="38"/>
        <v>0</v>
      </c>
      <c r="AI28" s="199">
        <f t="shared" si="39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4">
        <f t="shared" si="15"/>
        <v>0</v>
      </c>
      <c r="AR28" s="194">
        <f t="shared" si="16"/>
        <v>0</v>
      </c>
      <c r="AS28" s="194">
        <f t="shared" si="17"/>
        <v>0</v>
      </c>
      <c r="AT28" s="194">
        <f t="shared" si="18"/>
        <v>0</v>
      </c>
      <c r="AU28" s="33"/>
      <c r="AV28" s="33"/>
      <c r="AW28" s="33"/>
      <c r="AX28" s="33"/>
      <c r="AY28" s="164">
        <f t="shared" si="27"/>
        <v>0</v>
      </c>
    </row>
    <row r="29" spans="2:51">
      <c r="B29" s="40">
        <f t="shared" si="34"/>
        <v>26</v>
      </c>
      <c r="C29" s="152">
        <f t="shared" ref="C29:C42" si="40">C27+5</f>
        <v>30</v>
      </c>
      <c r="D29" s="137">
        <f>D30+54</f>
        <v>421</v>
      </c>
      <c r="E29" s="141">
        <f t="shared" si="32"/>
        <v>1.3</v>
      </c>
      <c r="F29" s="42">
        <f t="shared" si="33"/>
        <v>547.30000000000007</v>
      </c>
      <c r="G29" s="51">
        <f t="shared" si="35"/>
        <v>45.500000000000014</v>
      </c>
      <c r="I29" s="55">
        <v>24</v>
      </c>
      <c r="J29" s="33">
        <f t="shared" si="21"/>
        <v>5</v>
      </c>
      <c r="K29" s="33">
        <f t="shared" si="22"/>
        <v>1.910565629709926</v>
      </c>
      <c r="L29" s="33">
        <f t="shared" si="23"/>
        <v>45</v>
      </c>
      <c r="M29" s="33">
        <f t="shared" si="24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9"/>
        <v>44.980000000000004</v>
      </c>
      <c r="R29" s="33">
        <f t="shared" si="25"/>
        <v>390.52000000000004</v>
      </c>
      <c r="S29" s="33">
        <f t="shared" si="26"/>
        <v>167.92360000000002</v>
      </c>
      <c r="T29" s="33">
        <f t="shared" si="2"/>
        <v>42.624646963409006</v>
      </c>
      <c r="U29" s="33">
        <f t="shared" si="20"/>
        <v>53.573829504623582</v>
      </c>
      <c r="V29" s="33">
        <f t="shared" si="3"/>
        <v>8</v>
      </c>
      <c r="W29" s="33">
        <v>0</v>
      </c>
      <c r="X29" s="33">
        <f t="shared" si="4"/>
        <v>592.47557164489046</v>
      </c>
      <c r="Y29" s="38">
        <f t="shared" si="5"/>
        <v>415.43966983981238</v>
      </c>
      <c r="AA29" s="71">
        <v>24</v>
      </c>
      <c r="AB29" s="33">
        <f t="shared" si="6"/>
        <v>0</v>
      </c>
      <c r="AC29" s="305">
        <f t="shared" si="7"/>
        <v>0</v>
      </c>
      <c r="AD29" s="100">
        <f t="shared" si="8"/>
        <v>0</v>
      </c>
      <c r="AE29" s="100">
        <f t="shared" si="9"/>
        <v>0</v>
      </c>
      <c r="AF29" s="194">
        <f t="shared" si="36"/>
        <v>0</v>
      </c>
      <c r="AG29" s="194">
        <f t="shared" si="37"/>
        <v>0</v>
      </c>
      <c r="AH29" s="194">
        <f t="shared" si="38"/>
        <v>0</v>
      </c>
      <c r="AI29" s="199">
        <f t="shared" si="39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4">
        <f t="shared" si="15"/>
        <v>0</v>
      </c>
      <c r="AR29" s="194">
        <f t="shared" si="16"/>
        <v>0</v>
      </c>
      <c r="AS29" s="194">
        <f t="shared" si="17"/>
        <v>0</v>
      </c>
      <c r="AT29" s="194">
        <f t="shared" si="18"/>
        <v>0</v>
      </c>
      <c r="AU29" s="33"/>
      <c r="AV29" s="33"/>
      <c r="AW29" s="33"/>
      <c r="AX29" s="33"/>
      <c r="AY29" s="164">
        <f t="shared" si="27"/>
        <v>0</v>
      </c>
    </row>
    <row r="30" spans="2:51">
      <c r="B30" s="40">
        <f t="shared" si="34"/>
        <v>30</v>
      </c>
      <c r="C30" s="152">
        <f t="shared" si="40"/>
        <v>31</v>
      </c>
      <c r="D30" s="137">
        <v>367</v>
      </c>
      <c r="E30" s="141">
        <f t="shared" si="32"/>
        <v>1.3</v>
      </c>
      <c r="F30" s="42">
        <f t="shared" si="33"/>
        <v>477.1</v>
      </c>
      <c r="G30" s="51">
        <f t="shared" si="35"/>
        <v>-70.200000000000045</v>
      </c>
      <c r="I30" s="55">
        <v>25</v>
      </c>
      <c r="J30" s="33">
        <f t="shared" si="21"/>
        <v>5</v>
      </c>
      <c r="K30" s="33">
        <f t="shared" si="22"/>
        <v>1.910565629709926</v>
      </c>
      <c r="L30" s="33">
        <f t="shared" si="23"/>
        <v>45</v>
      </c>
      <c r="M30" s="33">
        <f t="shared" si="24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9"/>
        <v>44.980000000000004</v>
      </c>
      <c r="R30" s="33">
        <f t="shared" si="25"/>
        <v>435.50000000000006</v>
      </c>
      <c r="S30" s="33">
        <f t="shared" si="26"/>
        <v>187.26500000000001</v>
      </c>
      <c r="T30" s="33">
        <f t="shared" si="2"/>
        <v>46.934773872544483</v>
      </c>
      <c r="U30" s="33">
        <f t="shared" si="20"/>
        <v>53.858786839302695</v>
      </c>
      <c r="V30" s="33">
        <f t="shared" si="3"/>
        <v>8.3333333333333339</v>
      </c>
      <c r="W30" s="33">
        <v>0</v>
      </c>
      <c r="X30" s="33">
        <f t="shared" si="4"/>
        <v>635.93571346101373</v>
      </c>
      <c r="Y30" s="38">
        <f t="shared" si="5"/>
        <v>458.89981165593565</v>
      </c>
      <c r="AA30" s="71">
        <v>25</v>
      </c>
      <c r="AB30" s="33">
        <f t="shared" si="6"/>
        <v>0</v>
      </c>
      <c r="AC30" s="305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4">
        <f t="shared" si="36"/>
        <v>0</v>
      </c>
      <c r="AG30" s="194">
        <f t="shared" si="37"/>
        <v>0</v>
      </c>
      <c r="AH30" s="194">
        <f t="shared" si="38"/>
        <v>0</v>
      </c>
      <c r="AI30" s="199">
        <f t="shared" si="39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4">
        <f t="shared" si="15"/>
        <v>0</v>
      </c>
      <c r="AR30" s="194">
        <f t="shared" si="16"/>
        <v>0</v>
      </c>
      <c r="AS30" s="194">
        <f t="shared" si="17"/>
        <v>0</v>
      </c>
      <c r="AT30" s="194">
        <f t="shared" si="18"/>
        <v>0</v>
      </c>
      <c r="AU30" s="33"/>
      <c r="AV30" s="33"/>
      <c r="AW30" s="33"/>
      <c r="AX30" s="33"/>
      <c r="AY30" s="164">
        <f t="shared" si="27"/>
        <v>0</v>
      </c>
    </row>
    <row r="31" spans="2:51">
      <c r="B31" s="40">
        <f t="shared" si="34"/>
        <v>31</v>
      </c>
      <c r="C31" s="152">
        <f t="shared" si="40"/>
        <v>35</v>
      </c>
      <c r="D31" s="137">
        <f>D32+69</f>
        <v>505</v>
      </c>
      <c r="E31" s="141">
        <f t="shared" si="32"/>
        <v>1.3</v>
      </c>
      <c r="F31" s="42">
        <f t="shared" si="33"/>
        <v>656.5</v>
      </c>
      <c r="G31" s="51">
        <f t="shared" si="35"/>
        <v>44.849999999999994</v>
      </c>
      <c r="I31" s="55">
        <v>26</v>
      </c>
      <c r="J31" s="33">
        <f t="shared" si="21"/>
        <v>5</v>
      </c>
      <c r="K31" s="33">
        <f t="shared" si="22"/>
        <v>1.910565629709926</v>
      </c>
      <c r="L31" s="33">
        <f t="shared" si="23"/>
        <v>45</v>
      </c>
      <c r="M31" s="33">
        <f t="shared" si="24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9"/>
        <v>-70.199999999999989</v>
      </c>
      <c r="R31" s="33">
        <f t="shared" si="25"/>
        <v>365.30000000000007</v>
      </c>
      <c r="S31" s="33">
        <f t="shared" si="26"/>
        <v>157.07900000000004</v>
      </c>
      <c r="T31" s="33">
        <f t="shared" si="2"/>
        <v>40.182970874689481</v>
      </c>
      <c r="U31" s="33">
        <f t="shared" si="20"/>
        <v>54.138800801294295</v>
      </c>
      <c r="V31" s="33">
        <f t="shared" si="3"/>
        <v>8.6666666666666661</v>
      </c>
      <c r="W31" s="33">
        <v>0</v>
      </c>
      <c r="X31" s="33">
        <f t="shared" si="4"/>
        <v>573.85131332260778</v>
      </c>
      <c r="Y31" s="38">
        <f t="shared" si="5"/>
        <v>396.8154115175297</v>
      </c>
      <c r="AA31" s="71">
        <v>26</v>
      </c>
      <c r="AB31" s="33">
        <f t="shared" si="6"/>
        <v>54</v>
      </c>
      <c r="AC31" s="305">
        <f t="shared" ref="AC31:AC94" si="41">IF(AA31&lt;=$F$18,IFERROR(VLOOKUP($AA31,$B$82:$G$94,3,FALSE),0),)*50%</f>
        <v>0</v>
      </c>
      <c r="AD31" s="100">
        <f t="shared" si="8"/>
        <v>0.56000000000000005</v>
      </c>
      <c r="AE31" s="100">
        <f t="shared" si="9"/>
        <v>0.44</v>
      </c>
      <c r="AF31" s="194">
        <f t="shared" si="36"/>
        <v>0</v>
      </c>
      <c r="AG31" s="194">
        <f t="shared" si="37"/>
        <v>22.336164170296033</v>
      </c>
      <c r="AH31" s="194">
        <f t="shared" si="38"/>
        <v>15.038128218578917</v>
      </c>
      <c r="AI31" s="199">
        <f t="shared" si="39"/>
        <v>37.374292388874949</v>
      </c>
      <c r="AK31" s="71">
        <v>26</v>
      </c>
      <c r="AL31" s="33">
        <f t="shared" si="10"/>
        <v>54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4">
        <f t="shared" si="15"/>
        <v>0</v>
      </c>
      <c r="AR31" s="194">
        <f t="shared" si="16"/>
        <v>30.240000000000002</v>
      </c>
      <c r="AS31" s="194">
        <f t="shared" si="17"/>
        <v>23.76</v>
      </c>
      <c r="AT31" s="194">
        <f t="shared" si="18"/>
        <v>0</v>
      </c>
      <c r="AU31" s="33"/>
      <c r="AV31" s="33"/>
      <c r="AW31" s="33"/>
      <c r="AX31" s="33"/>
      <c r="AY31" s="164">
        <f t="shared" si="27"/>
        <v>23.22</v>
      </c>
    </row>
    <row r="32" spans="2:51">
      <c r="B32" s="40">
        <f t="shared" si="34"/>
        <v>35</v>
      </c>
      <c r="C32" s="152">
        <f t="shared" si="40"/>
        <v>36</v>
      </c>
      <c r="D32" s="137">
        <v>436</v>
      </c>
      <c r="E32" s="141">
        <f t="shared" si="32"/>
        <v>1.3</v>
      </c>
      <c r="F32" s="42">
        <f t="shared" si="33"/>
        <v>566.80000000000007</v>
      </c>
      <c r="G32" s="51">
        <f t="shared" si="35"/>
        <v>-89.699999999999932</v>
      </c>
      <c r="I32" s="55">
        <v>27</v>
      </c>
      <c r="J32" s="33">
        <f t="shared" si="21"/>
        <v>5</v>
      </c>
      <c r="K32" s="33">
        <f t="shared" si="22"/>
        <v>1.910565629709926</v>
      </c>
      <c r="L32" s="33">
        <f t="shared" si="23"/>
        <v>45</v>
      </c>
      <c r="M32" s="33">
        <f t="shared" si="24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9"/>
        <v>45.500000000000014</v>
      </c>
      <c r="R32" s="33">
        <f t="shared" si="25"/>
        <v>410.80000000000007</v>
      </c>
      <c r="S32" s="33">
        <f t="shared" si="26"/>
        <v>176.64400000000003</v>
      </c>
      <c r="T32" s="33">
        <f t="shared" si="2"/>
        <v>44.574722126887409</v>
      </c>
      <c r="U32" s="33">
        <f t="shared" si="20"/>
        <v>54.413957147062774</v>
      </c>
      <c r="V32" s="33">
        <f t="shared" si="3"/>
        <v>9</v>
      </c>
      <c r="W32" s="33">
        <v>0</v>
      </c>
      <c r="X32" s="33">
        <f t="shared" si="4"/>
        <v>617.80711724355922</v>
      </c>
      <c r="Y32" s="38">
        <f t="shared" si="5"/>
        <v>440.77121543848114</v>
      </c>
      <c r="AA32" s="71">
        <v>27</v>
      </c>
      <c r="AB32" s="33">
        <f t="shared" si="6"/>
        <v>0</v>
      </c>
      <c r="AC32" s="305">
        <f t="shared" si="41"/>
        <v>0</v>
      </c>
      <c r="AD32" s="100">
        <f t="shared" si="8"/>
        <v>0</v>
      </c>
      <c r="AE32" s="100">
        <f t="shared" si="9"/>
        <v>0</v>
      </c>
      <c r="AF32" s="194">
        <f t="shared" si="36"/>
        <v>0</v>
      </c>
      <c r="AG32" s="194">
        <f t="shared" si="37"/>
        <v>21.725380586451465</v>
      </c>
      <c r="AH32" s="194">
        <f t="shared" si="38"/>
        <v>10.633562439709928</v>
      </c>
      <c r="AI32" s="199">
        <f t="shared" si="39"/>
        <v>32.358943026161391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4">
        <f t="shared" si="15"/>
        <v>0</v>
      </c>
      <c r="AR32" s="194">
        <f t="shared" si="16"/>
        <v>0</v>
      </c>
      <c r="AS32" s="194">
        <f t="shared" si="17"/>
        <v>0</v>
      </c>
      <c r="AT32" s="194">
        <f t="shared" si="18"/>
        <v>0</v>
      </c>
      <c r="AU32" s="33"/>
      <c r="AV32" s="33"/>
      <c r="AW32" s="33"/>
      <c r="AX32" s="33"/>
      <c r="AY32" s="164">
        <f t="shared" si="27"/>
        <v>23.22</v>
      </c>
    </row>
    <row r="33" spans="2:51">
      <c r="B33" s="40">
        <f t="shared" si="34"/>
        <v>36</v>
      </c>
      <c r="C33" s="152">
        <f t="shared" si="40"/>
        <v>40</v>
      </c>
      <c r="D33" s="137">
        <f>D34+72</f>
        <v>564</v>
      </c>
      <c r="E33" s="141">
        <f t="shared" si="32"/>
        <v>1.3</v>
      </c>
      <c r="F33" s="42">
        <f t="shared" si="33"/>
        <v>733.2</v>
      </c>
      <c r="G33" s="51">
        <f t="shared" si="35"/>
        <v>41.599999999999994</v>
      </c>
      <c r="I33" s="55">
        <v>28</v>
      </c>
      <c r="J33" s="33">
        <f t="shared" si="21"/>
        <v>5</v>
      </c>
      <c r="K33" s="33">
        <f t="shared" si="22"/>
        <v>1.910565629709926</v>
      </c>
      <c r="L33" s="33">
        <f t="shared" si="23"/>
        <v>45</v>
      </c>
      <c r="M33" s="33">
        <f t="shared" si="24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9"/>
        <v>45.500000000000014</v>
      </c>
      <c r="R33" s="33">
        <f t="shared" si="25"/>
        <v>456.30000000000007</v>
      </c>
      <c r="S33" s="33">
        <f t="shared" si="26"/>
        <v>196.20900000000003</v>
      </c>
      <c r="T33" s="33">
        <f t="shared" si="2"/>
        <v>48.910095006515306</v>
      </c>
      <c r="U33" s="33">
        <f t="shared" si="20"/>
        <v>54.684340145389598</v>
      </c>
      <c r="V33" s="33">
        <f t="shared" si="3"/>
        <v>9.3333333333333339</v>
      </c>
      <c r="W33" s="33">
        <v>0</v>
      </c>
      <c r="X33" s="33">
        <f t="shared" si="4"/>
        <v>661.64722655833168</v>
      </c>
      <c r="Y33" s="38">
        <f t="shared" si="5"/>
        <v>484.6113247532536</v>
      </c>
      <c r="AA33" s="71">
        <v>28</v>
      </c>
      <c r="AB33" s="33">
        <f t="shared" si="6"/>
        <v>0</v>
      </c>
      <c r="AC33" s="305">
        <f t="shared" si="41"/>
        <v>0</v>
      </c>
      <c r="AD33" s="100">
        <f t="shared" si="8"/>
        <v>0</v>
      </c>
      <c r="AE33" s="100">
        <f t="shared" si="9"/>
        <v>0</v>
      </c>
      <c r="AF33" s="194">
        <f t="shared" si="36"/>
        <v>0</v>
      </c>
      <c r="AG33" s="194">
        <f t="shared" si="37"/>
        <v>21.131298911826839</v>
      </c>
      <c r="AH33" s="194">
        <f t="shared" si="38"/>
        <v>7.5190641092894595</v>
      </c>
      <c r="AI33" s="199">
        <f t="shared" si="39"/>
        <v>28.650363021116299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4">
        <f t="shared" si="15"/>
        <v>0</v>
      </c>
      <c r="AR33" s="194">
        <f t="shared" si="16"/>
        <v>0</v>
      </c>
      <c r="AS33" s="194">
        <f t="shared" si="17"/>
        <v>0</v>
      </c>
      <c r="AT33" s="194">
        <f t="shared" si="18"/>
        <v>0</v>
      </c>
      <c r="AU33" s="33"/>
      <c r="AV33" s="33"/>
      <c r="AW33" s="33"/>
      <c r="AX33" s="33"/>
      <c r="AY33" s="164">
        <f t="shared" si="27"/>
        <v>23.22</v>
      </c>
    </row>
    <row r="34" spans="2:51" ht="16" thickBot="1">
      <c r="B34" s="40">
        <f t="shared" si="34"/>
        <v>40</v>
      </c>
      <c r="C34" s="152">
        <f t="shared" si="40"/>
        <v>41</v>
      </c>
      <c r="D34" s="137">
        <v>492</v>
      </c>
      <c r="E34" s="141">
        <f t="shared" si="32"/>
        <v>1.3</v>
      </c>
      <c r="F34" s="42">
        <f t="shared" si="33"/>
        <v>639.6</v>
      </c>
      <c r="G34" s="51">
        <f t="shared" si="35"/>
        <v>-93.600000000000023</v>
      </c>
      <c r="I34" s="55">
        <v>29</v>
      </c>
      <c r="J34" s="33">
        <f t="shared" si="21"/>
        <v>5</v>
      </c>
      <c r="K34" s="33">
        <f t="shared" si="22"/>
        <v>1.910565629709926</v>
      </c>
      <c r="L34" s="33">
        <f t="shared" si="23"/>
        <v>45</v>
      </c>
      <c r="M34" s="33">
        <f t="shared" si="24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9"/>
        <v>45.500000000000014</v>
      </c>
      <c r="R34" s="33">
        <f t="shared" si="25"/>
        <v>501.80000000000007</v>
      </c>
      <c r="S34" s="33">
        <f t="shared" si="26"/>
        <v>215.77400000000003</v>
      </c>
      <c r="T34" s="33">
        <f t="shared" si="2"/>
        <v>53.195351229765926</v>
      </c>
      <c r="U34" s="33">
        <f t="shared" si="20"/>
        <v>54.950032603181285</v>
      </c>
      <c r="V34" s="33">
        <f t="shared" si="3"/>
        <v>9.6666666666666661</v>
      </c>
      <c r="W34" s="33">
        <v>0</v>
      </c>
      <c r="X34" s="33">
        <f t="shared" si="4"/>
        <v>705.38285071461814</v>
      </c>
      <c r="Y34" s="38">
        <f t="shared" si="5"/>
        <v>528.34694890954006</v>
      </c>
      <c r="AA34" s="71">
        <v>29</v>
      </c>
      <c r="AB34" s="143">
        <f t="shared" si="6"/>
        <v>0</v>
      </c>
      <c r="AC34" s="305">
        <f t="shared" si="41"/>
        <v>0</v>
      </c>
      <c r="AD34" s="101">
        <f t="shared" si="8"/>
        <v>0</v>
      </c>
      <c r="AE34" s="101">
        <f t="shared" si="9"/>
        <v>0</v>
      </c>
      <c r="AF34" s="196">
        <f t="shared" si="36"/>
        <v>0</v>
      </c>
      <c r="AG34" s="196">
        <f t="shared" si="37"/>
        <v>20.55346243183622</v>
      </c>
      <c r="AH34" s="194">
        <f t="shared" si="38"/>
        <v>5.3167812198549651</v>
      </c>
      <c r="AI34" s="199">
        <f t="shared" si="39"/>
        <v>25.870243651691183</v>
      </c>
      <c r="AK34" s="71">
        <v>29</v>
      </c>
      <c r="AL34" s="143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4">
        <f t="shared" si="15"/>
        <v>0</v>
      </c>
      <c r="AR34" s="194">
        <f t="shared" si="16"/>
        <v>0</v>
      </c>
      <c r="AS34" s="194">
        <f t="shared" si="17"/>
        <v>0</v>
      </c>
      <c r="AT34" s="194">
        <f t="shared" si="18"/>
        <v>0</v>
      </c>
      <c r="AU34" s="33"/>
      <c r="AV34" s="33"/>
      <c r="AW34" s="33"/>
      <c r="AX34" s="33"/>
      <c r="AY34" s="164">
        <f t="shared" si="27"/>
        <v>23.22</v>
      </c>
    </row>
    <row r="35" spans="2:51" ht="16" thickBot="1">
      <c r="B35" s="40">
        <f t="shared" si="34"/>
        <v>41</v>
      </c>
      <c r="C35" s="152">
        <f t="shared" si="40"/>
        <v>45</v>
      </c>
      <c r="D35" s="137">
        <f>D36+66</f>
        <v>606</v>
      </c>
      <c r="E35" s="141">
        <f t="shared" si="32"/>
        <v>1.3</v>
      </c>
      <c r="F35" s="42">
        <f t="shared" si="33"/>
        <v>787.80000000000007</v>
      </c>
      <c r="G35" s="51">
        <f t="shared" si="35"/>
        <v>37.050000000000011</v>
      </c>
      <c r="I35" s="87">
        <v>30</v>
      </c>
      <c r="J35" s="159">
        <f>IF($I35&lt;=$F$10,IF(AND(D8=B100,F12=C194),($F$11*$F$13+J34*50%),$F$11*$F$13+J34),)</f>
        <v>5</v>
      </c>
      <c r="K35" s="53">
        <f t="shared" si="22"/>
        <v>1.910565629709926</v>
      </c>
      <c r="L35" s="53">
        <f t="shared" si="23"/>
        <v>45</v>
      </c>
      <c r="M35" s="53">
        <f t="shared" si="24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9"/>
        <v>45.500000000000014</v>
      </c>
      <c r="R35" s="54">
        <f t="shared" si="25"/>
        <v>547.30000000000007</v>
      </c>
      <c r="S35" s="53">
        <f t="shared" si="26"/>
        <v>235.33900000000003</v>
      </c>
      <c r="T35" s="54">
        <f t="shared" si="2"/>
        <v>57.43555185051494</v>
      </c>
      <c r="U35" s="54">
        <f t="shared" si="20"/>
        <v>55.211115890829625</v>
      </c>
      <c r="V35" s="53">
        <f t="shared" si="3"/>
        <v>10</v>
      </c>
      <c r="W35" s="54">
        <v>0</v>
      </c>
      <c r="X35" s="69">
        <f t="shared" si="4"/>
        <v>749.02310273935552</v>
      </c>
      <c r="Y35" s="65">
        <f t="shared" si="5"/>
        <v>571.98720093427744</v>
      </c>
      <c r="AA35" s="73">
        <v>30</v>
      </c>
      <c r="AB35" s="143">
        <f t="shared" si="6"/>
        <v>0</v>
      </c>
      <c r="AC35" s="305">
        <f t="shared" si="41"/>
        <v>0</v>
      </c>
      <c r="AD35" s="101">
        <f t="shared" si="8"/>
        <v>0</v>
      </c>
      <c r="AE35" s="101">
        <f t="shared" si="9"/>
        <v>0</v>
      </c>
      <c r="AF35" s="200">
        <f t="shared" si="36"/>
        <v>0</v>
      </c>
      <c r="AG35" s="195">
        <f t="shared" si="37"/>
        <v>19.991426920778046</v>
      </c>
      <c r="AH35" s="201">
        <f t="shared" si="38"/>
        <v>3.7595320546447302</v>
      </c>
      <c r="AI35" s="202">
        <f t="shared" si="39"/>
        <v>23.750958975422776</v>
      </c>
      <c r="AK35" s="73">
        <v>30</v>
      </c>
      <c r="AL35" s="143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5">
        <f t="shared" si="15"/>
        <v>0</v>
      </c>
      <c r="AR35" s="195">
        <f t="shared" si="16"/>
        <v>0</v>
      </c>
      <c r="AS35" s="195">
        <f t="shared" si="17"/>
        <v>0</v>
      </c>
      <c r="AT35" s="195">
        <f t="shared" si="18"/>
        <v>0</v>
      </c>
      <c r="AU35" s="53"/>
      <c r="AV35" s="53"/>
      <c r="AW35" s="53"/>
      <c r="AX35" s="53"/>
      <c r="AY35" s="165">
        <f t="shared" si="27"/>
        <v>23.22</v>
      </c>
    </row>
    <row r="36" spans="2:51">
      <c r="B36" s="40">
        <f t="shared" si="34"/>
        <v>45</v>
      </c>
      <c r="C36" s="152">
        <f t="shared" si="40"/>
        <v>46</v>
      </c>
      <c r="D36" s="137">
        <v>540</v>
      </c>
      <c r="E36" s="141">
        <f t="shared" si="32"/>
        <v>1.3</v>
      </c>
      <c r="F36" s="42">
        <f t="shared" si="33"/>
        <v>702</v>
      </c>
      <c r="G36" s="51">
        <f t="shared" si="35"/>
        <v>-85.800000000000068</v>
      </c>
      <c r="I36" s="55">
        <v>31</v>
      </c>
      <c r="J36" s="33">
        <f t="shared" si="21"/>
        <v>5</v>
      </c>
      <c r="K36" s="33">
        <f t="shared" si="22"/>
        <v>1.910565629709926</v>
      </c>
      <c r="L36" s="33">
        <f t="shared" si="23"/>
        <v>45</v>
      </c>
      <c r="M36" s="33">
        <f t="shared" si="24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9"/>
        <v>-70.200000000000045</v>
      </c>
      <c r="R36" s="33">
        <f t="shared" si="25"/>
        <v>477.1</v>
      </c>
      <c r="S36" s="33">
        <f t="shared" si="26"/>
        <v>205.15300000000002</v>
      </c>
      <c r="T36" s="33">
        <f t="shared" si="2"/>
        <v>50.874959053246712</v>
      </c>
      <c r="U36" s="33">
        <f t="shared" si="20"/>
        <v>55.467669967132053</v>
      </c>
      <c r="V36" s="33">
        <f t="shared" si="3"/>
        <v>10</v>
      </c>
      <c r="W36" s="33">
        <v>0</v>
      </c>
      <c r="X36" s="33">
        <f t="shared" si="4"/>
        <v>685.96348523055565</v>
      </c>
      <c r="Y36" s="38">
        <f t="shared" si="5"/>
        <v>508.92758342547756</v>
      </c>
      <c r="AA36" s="71">
        <v>31</v>
      </c>
      <c r="AB36" s="33">
        <f t="shared" si="6"/>
        <v>54</v>
      </c>
      <c r="AC36" s="305">
        <f t="shared" si="41"/>
        <v>0.1</v>
      </c>
      <c r="AD36" s="100">
        <f t="shared" si="8"/>
        <v>0.44800000000000006</v>
      </c>
      <c r="AE36" s="100">
        <f t="shared" si="9"/>
        <v>0.35200000000000004</v>
      </c>
      <c r="AF36" s="194">
        <f t="shared" si="36"/>
        <v>4.0043674651897962</v>
      </c>
      <c r="AG36" s="194">
        <f t="shared" si="37"/>
        <v>37.313691636562751</v>
      </c>
      <c r="AH36" s="194">
        <f t="shared" si="38"/>
        <v>14.688893184790617</v>
      </c>
      <c r="AI36" s="199">
        <f t="shared" si="39"/>
        <v>56.006952286543161</v>
      </c>
      <c r="AK36" s="71">
        <v>31</v>
      </c>
      <c r="AL36" s="33">
        <f t="shared" si="10"/>
        <v>54</v>
      </c>
      <c r="AM36" s="33">
        <f t="shared" si="11"/>
        <v>0.2</v>
      </c>
      <c r="AN36" s="33">
        <f t="shared" si="12"/>
        <v>0.44800000000000006</v>
      </c>
      <c r="AO36" s="33">
        <f t="shared" si="13"/>
        <v>0.35200000000000004</v>
      </c>
      <c r="AP36" s="33">
        <f t="shared" si="14"/>
        <v>0</v>
      </c>
      <c r="AQ36" s="194">
        <f t="shared" si="15"/>
        <v>10.8</v>
      </c>
      <c r="AR36" s="194">
        <f t="shared" si="16"/>
        <v>24.192000000000004</v>
      </c>
      <c r="AS36" s="194">
        <f t="shared" si="17"/>
        <v>19.008000000000003</v>
      </c>
      <c r="AT36" s="194">
        <f t="shared" si="18"/>
        <v>0</v>
      </c>
      <c r="AU36" s="33"/>
      <c r="AV36" s="33"/>
      <c r="AW36" s="33"/>
      <c r="AX36" s="33"/>
      <c r="AY36" s="76"/>
    </row>
    <row r="37" spans="2:51">
      <c r="B37" s="40">
        <f t="shared" si="34"/>
        <v>46</v>
      </c>
      <c r="C37" s="152">
        <f t="shared" si="40"/>
        <v>50</v>
      </c>
      <c r="D37" s="137">
        <f>D38+48</f>
        <v>629</v>
      </c>
      <c r="E37" s="141">
        <f t="shared" si="32"/>
        <v>1.3</v>
      </c>
      <c r="F37" s="42">
        <f t="shared" si="33"/>
        <v>817.7</v>
      </c>
      <c r="G37" s="51">
        <f t="shared" si="35"/>
        <v>28.925000000000011</v>
      </c>
      <c r="I37" s="55">
        <v>32</v>
      </c>
      <c r="J37" s="33">
        <f t="shared" si="21"/>
        <v>5</v>
      </c>
      <c r="K37" s="33">
        <f t="shared" si="22"/>
        <v>1.910565629709926</v>
      </c>
      <c r="L37" s="33">
        <f t="shared" si="23"/>
        <v>45</v>
      </c>
      <c r="M37" s="33">
        <f t="shared" si="24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9"/>
        <v>44.849999999999994</v>
      </c>
      <c r="R37" s="33">
        <f t="shared" si="25"/>
        <v>521.95000000000005</v>
      </c>
      <c r="S37" s="33">
        <f t="shared" si="26"/>
        <v>224.4385</v>
      </c>
      <c r="T37" s="33">
        <f t="shared" si="2"/>
        <v>55.078447460515179</v>
      </c>
      <c r="U37" s="33">
        <f t="shared" si="20"/>
        <v>55.719773403779627</v>
      </c>
      <c r="V37" s="33">
        <f t="shared" si="3"/>
        <v>10</v>
      </c>
      <c r="W37" s="33">
        <v>0</v>
      </c>
      <c r="X37" s="33">
        <f t="shared" si="4"/>
        <v>727.79785264092277</v>
      </c>
      <c r="Y37" s="38">
        <f t="shared" si="5"/>
        <v>550.76195083584469</v>
      </c>
      <c r="AA37" s="71">
        <v>32</v>
      </c>
      <c r="AB37" s="33">
        <f t="shared" si="6"/>
        <v>0</v>
      </c>
      <c r="AC37" s="305">
        <f t="shared" si="41"/>
        <v>0</v>
      </c>
      <c r="AD37" s="100">
        <f t="shared" si="8"/>
        <v>0</v>
      </c>
      <c r="AE37" s="100">
        <f t="shared" si="9"/>
        <v>0</v>
      </c>
      <c r="AF37" s="194">
        <f t="shared" si="36"/>
        <v>3.925844261620409</v>
      </c>
      <c r="AG37" s="194">
        <f t="shared" si="37"/>
        <v>36.293346776519179</v>
      </c>
      <c r="AH37" s="194">
        <f t="shared" si="38"/>
        <v>10.386615979090308</v>
      </c>
      <c r="AI37" s="199">
        <f t="shared" si="39"/>
        <v>50.6058070172299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4">
        <f t="shared" si="15"/>
        <v>0</v>
      </c>
      <c r="AR37" s="194">
        <f t="shared" si="16"/>
        <v>0</v>
      </c>
      <c r="AS37" s="194">
        <f t="shared" si="17"/>
        <v>0</v>
      </c>
      <c r="AT37" s="194">
        <f t="shared" si="18"/>
        <v>0</v>
      </c>
      <c r="AU37" s="33"/>
      <c r="AV37" s="33"/>
      <c r="AW37" s="33"/>
      <c r="AX37" s="33"/>
      <c r="AY37" s="76"/>
    </row>
    <row r="38" spans="2:51">
      <c r="B38" s="40">
        <f t="shared" si="34"/>
        <v>50</v>
      </c>
      <c r="C38" s="152">
        <f t="shared" si="40"/>
        <v>51</v>
      </c>
      <c r="D38" s="137">
        <v>581</v>
      </c>
      <c r="E38" s="141">
        <f t="shared" si="32"/>
        <v>1.3</v>
      </c>
      <c r="F38" s="42">
        <f t="shared" si="33"/>
        <v>755.30000000000007</v>
      </c>
      <c r="G38" s="51">
        <f t="shared" si="35"/>
        <v>-62.399999999999977</v>
      </c>
      <c r="I38" s="55">
        <v>33</v>
      </c>
      <c r="J38" s="33">
        <f t="shared" si="21"/>
        <v>5</v>
      </c>
      <c r="K38" s="33">
        <f t="shared" si="22"/>
        <v>1.910565629709926</v>
      </c>
      <c r="L38" s="33">
        <f t="shared" si="23"/>
        <v>45</v>
      </c>
      <c r="M38" s="33">
        <f t="shared" si="24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9"/>
        <v>44.849999999999994</v>
      </c>
      <c r="R38" s="33">
        <f t="shared" si="25"/>
        <v>566.80000000000007</v>
      </c>
      <c r="S38" s="33">
        <f t="shared" si="26"/>
        <v>243.72400000000002</v>
      </c>
      <c r="T38" s="33">
        <f t="shared" si="2"/>
        <v>59.24004779454549</v>
      </c>
      <c r="U38" s="33">
        <f t="shared" si="20"/>
        <v>55.96750340942021</v>
      </c>
      <c r="V38" s="33">
        <f t="shared" si="3"/>
        <v>10</v>
      </c>
      <c r="W38" s="33">
        <v>0</v>
      </c>
      <c r="X38" s="33">
        <f t="shared" si="4"/>
        <v>769.54322907670746</v>
      </c>
      <c r="Y38" s="38">
        <f t="shared" si="5"/>
        <v>592.50732727162938</v>
      </c>
      <c r="AA38" s="71">
        <v>33</v>
      </c>
      <c r="AB38" s="33">
        <f t="shared" si="6"/>
        <v>0</v>
      </c>
      <c r="AC38" s="305">
        <f t="shared" si="41"/>
        <v>0</v>
      </c>
      <c r="AD38" s="100">
        <f t="shared" si="8"/>
        <v>0</v>
      </c>
      <c r="AE38" s="100">
        <f t="shared" si="9"/>
        <v>0</v>
      </c>
      <c r="AF38" s="194">
        <f t="shared" si="36"/>
        <v>3.8488608501785921</v>
      </c>
      <c r="AG38" s="194">
        <f t="shared" si="37"/>
        <v>35.300903300331107</v>
      </c>
      <c r="AH38" s="194">
        <f t="shared" si="38"/>
        <v>7.3444465923953093</v>
      </c>
      <c r="AI38" s="199">
        <f t="shared" si="39"/>
        <v>46.494210742905004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4">
        <f t="shared" si="15"/>
        <v>0</v>
      </c>
      <c r="AR38" s="194">
        <f t="shared" si="16"/>
        <v>0</v>
      </c>
      <c r="AS38" s="194">
        <f t="shared" si="17"/>
        <v>0</v>
      </c>
      <c r="AT38" s="194">
        <f t="shared" si="18"/>
        <v>0</v>
      </c>
      <c r="AU38" s="33"/>
      <c r="AV38" s="33"/>
      <c r="AW38" s="33"/>
      <c r="AX38" s="33"/>
      <c r="AY38" s="76"/>
    </row>
    <row r="39" spans="2:51">
      <c r="B39" s="40">
        <f t="shared" si="34"/>
        <v>51</v>
      </c>
      <c r="C39" s="152">
        <f t="shared" si="40"/>
        <v>55</v>
      </c>
      <c r="D39" s="137">
        <f>D40+35</f>
        <v>650</v>
      </c>
      <c r="E39" s="141">
        <f t="shared" si="32"/>
        <v>1.3</v>
      </c>
      <c r="F39" s="42">
        <f t="shared" si="33"/>
        <v>845</v>
      </c>
      <c r="G39" s="51">
        <f t="shared" si="35"/>
        <v>22.424999999999983</v>
      </c>
      <c r="I39" s="55">
        <v>34</v>
      </c>
      <c r="J39" s="33">
        <f t="shared" si="21"/>
        <v>5</v>
      </c>
      <c r="K39" s="33">
        <f t="shared" si="22"/>
        <v>1.910565629709926</v>
      </c>
      <c r="L39" s="33">
        <f t="shared" si="23"/>
        <v>45</v>
      </c>
      <c r="M39" s="33">
        <f t="shared" si="24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9"/>
        <v>44.849999999999994</v>
      </c>
      <c r="R39" s="33">
        <f t="shared" si="25"/>
        <v>611.65000000000009</v>
      </c>
      <c r="S39" s="33">
        <f t="shared" si="26"/>
        <v>263.00950000000006</v>
      </c>
      <c r="T39" s="33">
        <f t="shared" si="2"/>
        <v>63.36345143104748</v>
      </c>
      <c r="U39" s="33">
        <f t="shared" si="20"/>
        <v>56.210935853304257</v>
      </c>
      <c r="V39" s="33">
        <f t="shared" si="3"/>
        <v>10</v>
      </c>
      <c r="W39" s="33">
        <v>0</v>
      </c>
      <c r="X39" s="33">
        <f t="shared" si="4"/>
        <v>811.20632187119008</v>
      </c>
      <c r="Y39" s="38">
        <f t="shared" si="5"/>
        <v>634.170420066112</v>
      </c>
      <c r="AA39" s="71">
        <v>34</v>
      </c>
      <c r="AB39" s="33">
        <f t="shared" si="6"/>
        <v>0</v>
      </c>
      <c r="AC39" s="305">
        <f t="shared" si="41"/>
        <v>0</v>
      </c>
      <c r="AD39" s="100">
        <f t="shared" si="8"/>
        <v>0</v>
      </c>
      <c r="AE39" s="100">
        <f t="shared" si="9"/>
        <v>0</v>
      </c>
      <c r="AF39" s="194">
        <f t="shared" si="36"/>
        <v>3.7733870364799049</v>
      </c>
      <c r="AG39" s="194">
        <f t="shared" si="37"/>
        <v>34.335598243189729</v>
      </c>
      <c r="AH39" s="194">
        <f t="shared" si="38"/>
        <v>5.193307989545155</v>
      </c>
      <c r="AI39" s="199">
        <f t="shared" si="39"/>
        <v>43.302293269214786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4">
        <f t="shared" si="15"/>
        <v>0</v>
      </c>
      <c r="AR39" s="194">
        <f t="shared" si="16"/>
        <v>0</v>
      </c>
      <c r="AS39" s="194">
        <f t="shared" si="17"/>
        <v>0</v>
      </c>
      <c r="AT39" s="194">
        <f t="shared" si="18"/>
        <v>0</v>
      </c>
      <c r="AU39" s="33"/>
      <c r="AV39" s="33"/>
      <c r="AW39" s="33"/>
      <c r="AX39" s="33"/>
      <c r="AY39" s="76"/>
    </row>
    <row r="40" spans="2:51">
      <c r="B40" s="40">
        <f t="shared" si="34"/>
        <v>55</v>
      </c>
      <c r="C40" s="152">
        <f>C38+5</f>
        <v>56</v>
      </c>
      <c r="D40" s="137">
        <v>615</v>
      </c>
      <c r="E40" s="141">
        <f t="shared" si="32"/>
        <v>1.3</v>
      </c>
      <c r="F40" s="42">
        <f t="shared" si="33"/>
        <v>799.5</v>
      </c>
      <c r="G40" s="51">
        <f t="shared" si="35"/>
        <v>-45.5</v>
      </c>
      <c r="I40" s="55">
        <v>35</v>
      </c>
      <c r="J40" s="33">
        <f t="shared" si="21"/>
        <v>5</v>
      </c>
      <c r="K40" s="33">
        <f t="shared" si="22"/>
        <v>1.910565629709926</v>
      </c>
      <c r="L40" s="33">
        <f t="shared" si="23"/>
        <v>45</v>
      </c>
      <c r="M40" s="33">
        <f t="shared" si="24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9"/>
        <v>44.849999999999994</v>
      </c>
      <c r="R40" s="33">
        <f t="shared" si="25"/>
        <v>656.50000000000011</v>
      </c>
      <c r="S40" s="33">
        <f t="shared" si="26"/>
        <v>282.29500000000007</v>
      </c>
      <c r="T40" s="33">
        <f t="shared" si="2"/>
        <v>67.451777696853824</v>
      </c>
      <c r="U40" s="33">
        <f t="shared" si="20"/>
        <v>56.450145288520318</v>
      </c>
      <c r="V40" s="33">
        <f t="shared" si="3"/>
        <v>10</v>
      </c>
      <c r="W40" s="33">
        <v>0</v>
      </c>
      <c r="X40" s="33">
        <f t="shared" si="4"/>
        <v>852.79283721326158</v>
      </c>
      <c r="Y40" s="38">
        <f t="shared" si="5"/>
        <v>675.75693540818349</v>
      </c>
      <c r="AA40" s="71">
        <v>35</v>
      </c>
      <c r="AB40" s="33">
        <f t="shared" si="6"/>
        <v>0</v>
      </c>
      <c r="AC40" s="305">
        <f t="shared" si="41"/>
        <v>0</v>
      </c>
      <c r="AD40" s="100">
        <f t="shared" si="8"/>
        <v>0</v>
      </c>
      <c r="AE40" s="100">
        <f t="shared" si="9"/>
        <v>0</v>
      </c>
      <c r="AF40" s="194">
        <f t="shared" si="36"/>
        <v>3.699393218233368</v>
      </c>
      <c r="AG40" s="194">
        <f t="shared" si="37"/>
        <v>33.39668950359907</v>
      </c>
      <c r="AH40" s="194">
        <f t="shared" si="38"/>
        <v>3.6722232961976551</v>
      </c>
      <c r="AI40" s="199">
        <f t="shared" si="39"/>
        <v>40.768306018030096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4">
        <f t="shared" si="15"/>
        <v>0</v>
      </c>
      <c r="AR40" s="194">
        <f t="shared" si="16"/>
        <v>0</v>
      </c>
      <c r="AS40" s="194">
        <f t="shared" si="17"/>
        <v>0</v>
      </c>
      <c r="AT40" s="194">
        <f t="shared" si="18"/>
        <v>0</v>
      </c>
      <c r="AU40" s="33"/>
      <c r="AV40" s="33"/>
      <c r="AW40" s="33"/>
      <c r="AX40" s="33"/>
      <c r="AY40" s="76"/>
    </row>
    <row r="41" spans="2:51">
      <c r="B41" s="40">
        <f t="shared" si="34"/>
        <v>56</v>
      </c>
      <c r="C41" s="152">
        <f t="shared" si="40"/>
        <v>60</v>
      </c>
      <c r="D41" s="137">
        <f>D42+29</f>
        <v>666</v>
      </c>
      <c r="E41" s="141">
        <f t="shared" si="32"/>
        <v>1.3</v>
      </c>
      <c r="F41" s="42">
        <f t="shared" si="33"/>
        <v>865.80000000000007</v>
      </c>
      <c r="G41" s="51">
        <f t="shared" si="35"/>
        <v>16.575000000000017</v>
      </c>
      <c r="I41" s="55">
        <v>36</v>
      </c>
      <c r="J41" s="33">
        <f t="shared" si="21"/>
        <v>5</v>
      </c>
      <c r="K41" s="33">
        <f t="shared" si="22"/>
        <v>1.910565629709926</v>
      </c>
      <c r="L41" s="33">
        <f t="shared" si="23"/>
        <v>45</v>
      </c>
      <c r="M41" s="33">
        <f t="shared" si="24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9"/>
        <v>-89.699999999999932</v>
      </c>
      <c r="R41" s="33">
        <f t="shared" si="25"/>
        <v>566.80000000000018</v>
      </c>
      <c r="S41" s="33">
        <f t="shared" si="26"/>
        <v>243.72400000000007</v>
      </c>
      <c r="T41" s="33">
        <f t="shared" si="2"/>
        <v>59.24004779454549</v>
      </c>
      <c r="U41" s="33">
        <f t="shared" si="20"/>
        <v>56.68520497482757</v>
      </c>
      <c r="V41" s="33">
        <f t="shared" si="3"/>
        <v>10</v>
      </c>
      <c r="W41" s="33">
        <v>0</v>
      </c>
      <c r="X41" s="33">
        <f t="shared" si="4"/>
        <v>772.17480148320112</v>
      </c>
      <c r="Y41" s="38">
        <f t="shared" si="5"/>
        <v>595.13889967812304</v>
      </c>
      <c r="AA41" s="71">
        <v>36</v>
      </c>
      <c r="AB41" s="33">
        <f t="shared" si="6"/>
        <v>69</v>
      </c>
      <c r="AC41" s="305">
        <f t="shared" si="41"/>
        <v>0.15</v>
      </c>
      <c r="AD41" s="100">
        <f t="shared" si="8"/>
        <v>0.39200000000000002</v>
      </c>
      <c r="AE41" s="100">
        <f t="shared" si="9"/>
        <v>0.308</v>
      </c>
      <c r="AF41" s="194">
        <f t="shared" si="36"/>
        <v>11.30188801524465</v>
      </c>
      <c r="AG41" s="194">
        <f t="shared" si="37"/>
        <v>52.461913225187914</v>
      </c>
      <c r="AH41" s="194">
        <f t="shared" si="38"/>
        <v>16.047424234723717</v>
      </c>
      <c r="AI41" s="199">
        <f t="shared" si="39"/>
        <v>79.811225475156277</v>
      </c>
      <c r="AK41" s="71">
        <v>36</v>
      </c>
      <c r="AL41" s="33">
        <f t="shared" si="10"/>
        <v>69</v>
      </c>
      <c r="AM41" s="33">
        <f t="shared" si="11"/>
        <v>0.3</v>
      </c>
      <c r="AN41" s="33">
        <f t="shared" si="12"/>
        <v>0.39200000000000002</v>
      </c>
      <c r="AO41" s="33">
        <f t="shared" si="13"/>
        <v>0.308</v>
      </c>
      <c r="AP41" s="33">
        <f t="shared" si="14"/>
        <v>0</v>
      </c>
      <c r="AQ41" s="194">
        <f t="shared" si="15"/>
        <v>20.7</v>
      </c>
      <c r="AR41" s="194">
        <f t="shared" si="16"/>
        <v>27.048000000000002</v>
      </c>
      <c r="AS41" s="194">
        <f t="shared" si="17"/>
        <v>21.251999999999999</v>
      </c>
      <c r="AT41" s="194">
        <f t="shared" si="18"/>
        <v>0</v>
      </c>
      <c r="AU41" s="33"/>
      <c r="AV41" s="33"/>
      <c r="AW41" s="33"/>
      <c r="AX41" s="33"/>
      <c r="AY41" s="76"/>
    </row>
    <row r="42" spans="2:51">
      <c r="B42" s="40">
        <f t="shared" si="34"/>
        <v>60</v>
      </c>
      <c r="C42" s="152">
        <f t="shared" si="40"/>
        <v>61</v>
      </c>
      <c r="D42" s="137">
        <v>637</v>
      </c>
      <c r="E42" s="141">
        <f t="shared" si="32"/>
        <v>1.3</v>
      </c>
      <c r="F42" s="42">
        <f t="shared" si="33"/>
        <v>828.1</v>
      </c>
      <c r="G42" s="51">
        <f t="shared" si="35"/>
        <v>-37.700000000000045</v>
      </c>
      <c r="I42" s="55">
        <v>37</v>
      </c>
      <c r="J42" s="33">
        <f t="shared" si="21"/>
        <v>5</v>
      </c>
      <c r="K42" s="33">
        <f t="shared" si="22"/>
        <v>1.910565629709926</v>
      </c>
      <c r="L42" s="33">
        <f t="shared" si="23"/>
        <v>45</v>
      </c>
      <c r="M42" s="33">
        <f t="shared" si="24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9"/>
        <v>41.599999999999994</v>
      </c>
      <c r="R42" s="33">
        <f t="shared" si="25"/>
        <v>608.4000000000002</v>
      </c>
      <c r="S42" s="33">
        <f t="shared" si="26"/>
        <v>261.61200000000008</v>
      </c>
      <c r="T42" s="33">
        <f t="shared" si="2"/>
        <v>63.065867509496499</v>
      </c>
      <c r="U42" s="33">
        <f t="shared" si="20"/>
        <v>56.916186901092118</v>
      </c>
      <c r="V42" s="33">
        <f t="shared" si="3"/>
        <v>10</v>
      </c>
      <c r="W42" s="33">
        <v>0</v>
      </c>
      <c r="X42" s="33">
        <f t="shared" si="4"/>
        <v>810.83997121637765</v>
      </c>
      <c r="Y42" s="38">
        <f t="shared" si="5"/>
        <v>633.80406941129957</v>
      </c>
      <c r="AA42" s="71">
        <v>37</v>
      </c>
      <c r="AB42" s="33">
        <f t="shared" si="6"/>
        <v>0</v>
      </c>
      <c r="AC42" s="305">
        <f t="shared" si="41"/>
        <v>0</v>
      </c>
      <c r="AD42" s="100">
        <f t="shared" si="8"/>
        <v>0</v>
      </c>
      <c r="AE42" s="100">
        <f t="shared" si="9"/>
        <v>0</v>
      </c>
      <c r="AF42" s="194">
        <f t="shared" si="36"/>
        <v>11.080264884736717</v>
      </c>
      <c r="AG42" s="194">
        <f t="shared" si="37"/>
        <v>51.027339449193036</v>
      </c>
      <c r="AH42" s="194">
        <f t="shared" si="38"/>
        <v>11.347242496950484</v>
      </c>
      <c r="AI42" s="199">
        <f t="shared" si="39"/>
        <v>73.454846830880243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4">
        <f t="shared" si="15"/>
        <v>0</v>
      </c>
      <c r="AR42" s="194">
        <f t="shared" si="16"/>
        <v>0</v>
      </c>
      <c r="AS42" s="194">
        <f t="shared" si="17"/>
        <v>0</v>
      </c>
      <c r="AT42" s="194">
        <f t="shared" si="18"/>
        <v>0</v>
      </c>
      <c r="AU42" s="33"/>
      <c r="AV42" s="33"/>
      <c r="AW42" s="33"/>
      <c r="AX42" s="33"/>
      <c r="AY42" s="76"/>
    </row>
    <row r="43" spans="2:51">
      <c r="B43" s="40"/>
      <c r="C43" s="152"/>
      <c r="D43" s="137"/>
      <c r="E43" s="141"/>
      <c r="F43" s="42"/>
      <c r="G43" s="51"/>
      <c r="I43" s="55">
        <v>38</v>
      </c>
      <c r="J43" s="33">
        <f t="shared" si="21"/>
        <v>5</v>
      </c>
      <c r="K43" s="33">
        <f t="shared" si="22"/>
        <v>1.910565629709926</v>
      </c>
      <c r="L43" s="33">
        <f t="shared" si="23"/>
        <v>45</v>
      </c>
      <c r="M43" s="33">
        <f t="shared" si="24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9"/>
        <v>41.599999999999994</v>
      </c>
      <c r="R43" s="33">
        <f t="shared" si="25"/>
        <v>650.00000000000023</v>
      </c>
      <c r="S43" s="33">
        <f t="shared" si="26"/>
        <v>279.50000000000011</v>
      </c>
      <c r="T43" s="33">
        <f t="shared" si="2"/>
        <v>66.861333518957466</v>
      </c>
      <c r="U43" s="33">
        <f t="shared" si="20"/>
        <v>57.143161807334202</v>
      </c>
      <c r="V43" s="33">
        <f t="shared" si="3"/>
        <v>10</v>
      </c>
      <c r="W43" s="33">
        <v>0</v>
      </c>
      <c r="X43" s="33">
        <f t="shared" si="4"/>
        <v>849.43758250574319</v>
      </c>
      <c r="Y43" s="38">
        <f t="shared" si="5"/>
        <v>672.40168070066511</v>
      </c>
      <c r="AA43" s="71">
        <v>38</v>
      </c>
      <c r="AB43" s="33">
        <f t="shared" si="6"/>
        <v>0</v>
      </c>
      <c r="AC43" s="305">
        <f t="shared" si="41"/>
        <v>0</v>
      </c>
      <c r="AD43" s="100">
        <f t="shared" si="8"/>
        <v>0</v>
      </c>
      <c r="AE43" s="100">
        <f t="shared" si="9"/>
        <v>0</v>
      </c>
      <c r="AF43" s="194">
        <f t="shared" si="36"/>
        <v>10.862987648641283</v>
      </c>
      <c r="AG43" s="194">
        <f t="shared" si="37"/>
        <v>49.631994168543699</v>
      </c>
      <c r="AH43" s="194">
        <f t="shared" si="38"/>
        <v>8.0237121173618604</v>
      </c>
      <c r="AI43" s="199">
        <f t="shared" si="39"/>
        <v>68.518693934546832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4">
        <f t="shared" si="15"/>
        <v>0</v>
      </c>
      <c r="AR43" s="194">
        <f t="shared" si="16"/>
        <v>0</v>
      </c>
      <c r="AS43" s="194">
        <f t="shared" si="17"/>
        <v>0</v>
      </c>
      <c r="AT43" s="194">
        <f t="shared" si="18"/>
        <v>0</v>
      </c>
      <c r="AU43" s="33"/>
      <c r="AV43" s="33"/>
      <c r="AW43" s="33"/>
      <c r="AX43" s="33"/>
      <c r="AY43" s="76"/>
    </row>
    <row r="44" spans="2:51">
      <c r="B44" s="40"/>
      <c r="C44" s="152"/>
      <c r="D44" s="137"/>
      <c r="E44" s="141"/>
      <c r="F44" s="42"/>
      <c r="G44" s="51"/>
      <c r="I44" s="55">
        <v>39</v>
      </c>
      <c r="J44" s="33">
        <f t="shared" si="21"/>
        <v>5</v>
      </c>
      <c r="K44" s="33">
        <f t="shared" si="22"/>
        <v>1.910565629709926</v>
      </c>
      <c r="L44" s="33">
        <f t="shared" si="23"/>
        <v>45</v>
      </c>
      <c r="M44" s="33">
        <f t="shared" si="24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9"/>
        <v>41.599999999999994</v>
      </c>
      <c r="R44" s="33">
        <f t="shared" si="25"/>
        <v>691.60000000000025</v>
      </c>
      <c r="S44" s="33">
        <f t="shared" si="26"/>
        <v>297.38800000000009</v>
      </c>
      <c r="T44" s="33">
        <f t="shared" si="2"/>
        <v>70.628609572625066</v>
      </c>
      <c r="U44" s="33">
        <f t="shared" si="20"/>
        <v>57.366199206392857</v>
      </c>
      <c r="V44" s="33">
        <f t="shared" si="3"/>
        <v>10</v>
      </c>
      <c r="W44" s="33">
        <v>0</v>
      </c>
      <c r="X44" s="33">
        <f t="shared" si="4"/>
        <v>887.97165876242923</v>
      </c>
      <c r="Y44" s="38">
        <f t="shared" si="5"/>
        <v>710.93575695735115</v>
      </c>
      <c r="AA44" s="71">
        <v>39</v>
      </c>
      <c r="AB44" s="33">
        <f t="shared" si="6"/>
        <v>0</v>
      </c>
      <c r="AC44" s="305">
        <f t="shared" si="41"/>
        <v>0</v>
      </c>
      <c r="AD44" s="100">
        <f t="shared" si="8"/>
        <v>0</v>
      </c>
      <c r="AE44" s="100">
        <f t="shared" si="9"/>
        <v>0</v>
      </c>
      <c r="AF44" s="194">
        <f t="shared" si="36"/>
        <v>10.649971086619653</v>
      </c>
      <c r="AG44" s="194">
        <f t="shared" si="37"/>
        <v>48.27480467797173</v>
      </c>
      <c r="AH44" s="194">
        <f t="shared" si="38"/>
        <v>5.6736212484752437</v>
      </c>
      <c r="AI44" s="199">
        <f t="shared" si="39"/>
        <v>64.598397013066631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4">
        <f t="shared" si="15"/>
        <v>0</v>
      </c>
      <c r="AR44" s="194">
        <f t="shared" si="16"/>
        <v>0</v>
      </c>
      <c r="AS44" s="194">
        <f t="shared" si="17"/>
        <v>0</v>
      </c>
      <c r="AT44" s="194">
        <f t="shared" si="18"/>
        <v>0</v>
      </c>
      <c r="AU44" s="33"/>
      <c r="AV44" s="33"/>
      <c r="AW44" s="33"/>
      <c r="AX44" s="33"/>
      <c r="AY44" s="76"/>
    </row>
    <row r="45" spans="2:51">
      <c r="B45" s="40"/>
      <c r="C45" s="152"/>
      <c r="D45" s="137"/>
      <c r="E45" s="141"/>
      <c r="F45" s="42"/>
      <c r="G45" s="51"/>
      <c r="I45" s="55">
        <v>40</v>
      </c>
      <c r="J45" s="33">
        <f t="shared" si="21"/>
        <v>5</v>
      </c>
      <c r="K45" s="33">
        <f t="shared" si="22"/>
        <v>1.910565629709926</v>
      </c>
      <c r="L45" s="33">
        <f t="shared" si="23"/>
        <v>45</v>
      </c>
      <c r="M45" s="33">
        <f t="shared" si="24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9"/>
        <v>41.599999999999994</v>
      </c>
      <c r="R45" s="33">
        <f t="shared" si="25"/>
        <v>733.20000000000027</v>
      </c>
      <c r="S45" s="33">
        <f t="shared" si="26"/>
        <v>315.27600000000012</v>
      </c>
      <c r="T45" s="33">
        <f t="shared" si="2"/>
        <v>74.36958441265493</v>
      </c>
      <c r="U45" s="33">
        <f t="shared" si="20"/>
        <v>57.585367405214768</v>
      </c>
      <c r="V45" s="33">
        <f t="shared" si="3"/>
        <v>10</v>
      </c>
      <c r="W45" s="33">
        <v>0</v>
      </c>
      <c r="X45" s="33">
        <f t="shared" si="4"/>
        <v>926.44574000449495</v>
      </c>
      <c r="Y45" s="38">
        <f t="shared" si="5"/>
        <v>749.40983819941687</v>
      </c>
      <c r="AA45" s="71">
        <v>40</v>
      </c>
      <c r="AB45" s="33">
        <f t="shared" si="6"/>
        <v>0</v>
      </c>
      <c r="AC45" s="305">
        <f t="shared" si="41"/>
        <v>0</v>
      </c>
      <c r="AD45" s="100">
        <f t="shared" si="8"/>
        <v>0</v>
      </c>
      <c r="AE45" s="100">
        <f t="shared" si="9"/>
        <v>0</v>
      </c>
      <c r="AF45" s="194">
        <f t="shared" si="36"/>
        <v>10.441131649451993</v>
      </c>
      <c r="AG45" s="194">
        <f t="shared" si="37"/>
        <v>46.95472760539095</v>
      </c>
      <c r="AH45" s="194">
        <f t="shared" si="38"/>
        <v>4.0118560586809311</v>
      </c>
      <c r="AI45" s="199">
        <f t="shared" si="39"/>
        <v>61.40771531352388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4">
        <f t="shared" si="15"/>
        <v>0</v>
      </c>
      <c r="AR45" s="194">
        <f t="shared" si="16"/>
        <v>0</v>
      </c>
      <c r="AS45" s="194">
        <f t="shared" si="17"/>
        <v>0</v>
      </c>
      <c r="AT45" s="194">
        <f t="shared" si="18"/>
        <v>0</v>
      </c>
      <c r="AU45" s="33"/>
      <c r="AV45" s="33"/>
      <c r="AW45" s="33"/>
      <c r="AX45" s="33"/>
      <c r="AY45" s="76"/>
    </row>
    <row r="46" spans="2:51">
      <c r="B46" s="40"/>
      <c r="C46" s="152"/>
      <c r="D46" s="137"/>
      <c r="E46" s="141"/>
      <c r="F46" s="42"/>
      <c r="G46" s="51"/>
      <c r="I46" s="55">
        <v>41</v>
      </c>
      <c r="J46" s="33">
        <f t="shared" si="21"/>
        <v>5</v>
      </c>
      <c r="K46" s="33">
        <f t="shared" si="22"/>
        <v>1.910565629709926</v>
      </c>
      <c r="L46" s="33">
        <f t="shared" si="23"/>
        <v>45</v>
      </c>
      <c r="M46" s="33">
        <f t="shared" si="24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9"/>
        <v>-93.600000000000023</v>
      </c>
      <c r="R46" s="33">
        <f t="shared" si="25"/>
        <v>639.60000000000025</v>
      </c>
      <c r="S46" s="33">
        <f t="shared" si="26"/>
        <v>275.02800000000008</v>
      </c>
      <c r="T46" s="33">
        <f t="shared" si="2"/>
        <v>65.915189219423411</v>
      </c>
      <c r="U46" s="33">
        <f t="shared" si="20"/>
        <v>57.800733525773801</v>
      </c>
      <c r="V46" s="33">
        <f t="shared" si="3"/>
        <v>10</v>
      </c>
      <c r="W46" s="33">
        <v>0</v>
      </c>
      <c r="X46" s="33">
        <f t="shared" si="4"/>
        <v>842.41207748499983</v>
      </c>
      <c r="Y46" s="38">
        <f t="shared" si="5"/>
        <v>665.37617567992174</v>
      </c>
      <c r="AA46" s="71">
        <v>41</v>
      </c>
      <c r="AB46" s="33">
        <f t="shared" si="6"/>
        <v>72</v>
      </c>
      <c r="AC46" s="305">
        <f t="shared" si="41"/>
        <v>0.2</v>
      </c>
      <c r="AD46" s="100">
        <f t="shared" si="8"/>
        <v>0.33600000000000002</v>
      </c>
      <c r="AE46" s="100">
        <f t="shared" si="9"/>
        <v>0.26400000000000001</v>
      </c>
      <c r="AF46" s="194">
        <f t="shared" si="36"/>
        <v>20.914700666773832</v>
      </c>
      <c r="AG46" s="194">
        <f t="shared" si="37"/>
        <v>63.539679446016549</v>
      </c>
      <c r="AH46" s="194">
        <f t="shared" si="38"/>
        <v>14.867313199100753</v>
      </c>
      <c r="AI46" s="199">
        <f t="shared" si="39"/>
        <v>99.321693311891124</v>
      </c>
      <c r="AK46" s="71">
        <v>41</v>
      </c>
      <c r="AL46" s="33">
        <f t="shared" si="10"/>
        <v>72</v>
      </c>
      <c r="AM46" s="33">
        <f t="shared" si="11"/>
        <v>0.4</v>
      </c>
      <c r="AN46" s="33">
        <f t="shared" si="12"/>
        <v>0.33600000000000002</v>
      </c>
      <c r="AO46" s="33">
        <f t="shared" si="13"/>
        <v>0.26400000000000001</v>
      </c>
      <c r="AP46" s="33">
        <f t="shared" si="14"/>
        <v>0</v>
      </c>
      <c r="AQ46" s="194">
        <f t="shared" si="15"/>
        <v>28.8</v>
      </c>
      <c r="AR46" s="194">
        <f t="shared" si="16"/>
        <v>24.192</v>
      </c>
      <c r="AS46" s="194">
        <f t="shared" si="17"/>
        <v>19.008000000000003</v>
      </c>
      <c r="AT46" s="194">
        <f t="shared" si="18"/>
        <v>0</v>
      </c>
      <c r="AU46" s="33"/>
      <c r="AV46" s="33"/>
      <c r="AW46" s="33"/>
      <c r="AX46" s="33"/>
      <c r="AY46" s="76"/>
    </row>
    <row r="47" spans="2:51">
      <c r="B47" s="40"/>
      <c r="C47" s="152"/>
      <c r="D47" s="137"/>
      <c r="E47" s="141"/>
      <c r="F47" s="42"/>
      <c r="G47" s="51"/>
      <c r="I47" s="55">
        <v>42</v>
      </c>
      <c r="J47" s="33">
        <f t="shared" si="21"/>
        <v>5</v>
      </c>
      <c r="K47" s="33">
        <f t="shared" si="22"/>
        <v>1.910565629709926</v>
      </c>
      <c r="L47" s="33">
        <f t="shared" si="23"/>
        <v>45</v>
      </c>
      <c r="M47" s="33">
        <f t="shared" si="24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9"/>
        <v>37.050000000000011</v>
      </c>
      <c r="R47" s="33">
        <f t="shared" si="25"/>
        <v>676.65000000000032</v>
      </c>
      <c r="S47" s="33">
        <f t="shared" si="26"/>
        <v>290.95950000000011</v>
      </c>
      <c r="T47" s="33">
        <f t="shared" si="2"/>
        <v>69.277865571675221</v>
      </c>
      <c r="U47" s="33">
        <f t="shared" si="20"/>
        <v>58.012363525627649</v>
      </c>
      <c r="V47" s="33">
        <f t="shared" si="3"/>
        <v>10</v>
      </c>
      <c r="W47" s="33">
        <v>0</v>
      </c>
      <c r="X47" s="33">
        <f t="shared" si="4"/>
        <v>876.79207796463595</v>
      </c>
      <c r="Y47" s="38">
        <f t="shared" si="5"/>
        <v>699.75617615955787</v>
      </c>
      <c r="AA47" s="71">
        <v>42</v>
      </c>
      <c r="AB47" s="33">
        <f t="shared" si="6"/>
        <v>0</v>
      </c>
      <c r="AC47" s="305">
        <f t="shared" si="41"/>
        <v>0</v>
      </c>
      <c r="AD47" s="100">
        <f t="shared" si="8"/>
        <v>0</v>
      </c>
      <c r="AE47" s="100">
        <f t="shared" si="9"/>
        <v>0</v>
      </c>
      <c r="AF47" s="194">
        <f t="shared" si="36"/>
        <v>20.504576143406183</v>
      </c>
      <c r="AG47" s="194">
        <f t="shared" si="37"/>
        <v>61.802183570158704</v>
      </c>
      <c r="AH47" s="194">
        <f t="shared" si="38"/>
        <v>10.512777981108407</v>
      </c>
      <c r="AI47" s="199">
        <f t="shared" si="39"/>
        <v>92.819537694673301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4">
        <f t="shared" si="15"/>
        <v>0</v>
      </c>
      <c r="AR47" s="194">
        <f t="shared" si="16"/>
        <v>0</v>
      </c>
      <c r="AS47" s="194">
        <f t="shared" si="17"/>
        <v>0</v>
      </c>
      <c r="AT47" s="194">
        <f t="shared" si="18"/>
        <v>0</v>
      </c>
      <c r="AU47" s="33"/>
      <c r="AV47" s="33"/>
      <c r="AW47" s="33"/>
      <c r="AX47" s="33"/>
      <c r="AY47" s="76"/>
    </row>
    <row r="48" spans="2:51">
      <c r="B48" s="40"/>
      <c r="C48" s="152"/>
      <c r="D48" s="137"/>
      <c r="E48" s="141"/>
      <c r="F48" s="42"/>
      <c r="G48" s="51"/>
      <c r="I48" s="55">
        <v>43</v>
      </c>
      <c r="J48" s="33">
        <f t="shared" si="21"/>
        <v>5</v>
      </c>
      <c r="K48" s="33">
        <f t="shared" si="22"/>
        <v>1.910565629709926</v>
      </c>
      <c r="L48" s="33">
        <f t="shared" si="23"/>
        <v>45</v>
      </c>
      <c r="M48" s="33">
        <f t="shared" si="24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9"/>
        <v>37.050000000000011</v>
      </c>
      <c r="R48" s="33">
        <f t="shared" si="25"/>
        <v>713.70000000000027</v>
      </c>
      <c r="S48" s="33">
        <f t="shared" si="26"/>
        <v>306.89100000000013</v>
      </c>
      <c r="T48" s="33">
        <f t="shared" si="2"/>
        <v>72.61916682846531</v>
      </c>
      <c r="U48" s="33">
        <f t="shared" si="20"/>
        <v>58.220322218117829</v>
      </c>
      <c r="V48" s="33">
        <f t="shared" si="3"/>
        <v>10</v>
      </c>
      <c r="W48" s="33">
        <v>0</v>
      </c>
      <c r="X48" s="33">
        <f t="shared" si="4"/>
        <v>911.12138869267608</v>
      </c>
      <c r="Y48" s="38">
        <f t="shared" si="5"/>
        <v>734.08548688759799</v>
      </c>
      <c r="AA48" s="71">
        <v>43</v>
      </c>
      <c r="AB48" s="33">
        <f t="shared" si="6"/>
        <v>0</v>
      </c>
      <c r="AC48" s="305">
        <f t="shared" si="41"/>
        <v>0</v>
      </c>
      <c r="AD48" s="100">
        <f t="shared" si="8"/>
        <v>0</v>
      </c>
      <c r="AE48" s="100">
        <f t="shared" si="9"/>
        <v>0</v>
      </c>
      <c r="AF48" s="194">
        <f t="shared" si="36"/>
        <v>20.102493911790514</v>
      </c>
      <c r="AG48" s="194">
        <f t="shared" si="37"/>
        <v>60.112199610397134</v>
      </c>
      <c r="AH48" s="194">
        <f t="shared" si="38"/>
        <v>7.4336565995503774</v>
      </c>
      <c r="AI48" s="199">
        <f t="shared" si="39"/>
        <v>87.648350121738019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4">
        <f t="shared" si="15"/>
        <v>0</v>
      </c>
      <c r="AR48" s="194">
        <f t="shared" si="16"/>
        <v>0</v>
      </c>
      <c r="AS48" s="194">
        <f t="shared" si="17"/>
        <v>0</v>
      </c>
      <c r="AT48" s="194">
        <f t="shared" si="18"/>
        <v>0</v>
      </c>
      <c r="AU48" s="33"/>
      <c r="AV48" s="33"/>
      <c r="AW48" s="33"/>
      <c r="AX48" s="33"/>
      <c r="AY48" s="76"/>
    </row>
    <row r="49" spans="2:51">
      <c r="B49" s="40"/>
      <c r="C49" s="152"/>
      <c r="D49" s="137"/>
      <c r="E49" s="141"/>
      <c r="F49" s="42"/>
      <c r="G49" s="51"/>
      <c r="I49" s="55">
        <v>44</v>
      </c>
      <c r="J49" s="33">
        <f t="shared" si="21"/>
        <v>5</v>
      </c>
      <c r="K49" s="33">
        <f t="shared" si="22"/>
        <v>1.910565629709926</v>
      </c>
      <c r="L49" s="33">
        <f t="shared" si="23"/>
        <v>45</v>
      </c>
      <c r="M49" s="33">
        <f t="shared" si="24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9"/>
        <v>37.050000000000011</v>
      </c>
      <c r="R49" s="33">
        <f t="shared" si="25"/>
        <v>750.75000000000023</v>
      </c>
      <c r="S49" s="33">
        <f t="shared" si="26"/>
        <v>322.8225000000001</v>
      </c>
      <c r="T49" s="33">
        <f t="shared" si="2"/>
        <v>75.940329190637499</v>
      </c>
      <c r="U49" s="33">
        <f t="shared" si="20"/>
        <v>58.424673292219296</v>
      </c>
      <c r="V49" s="33">
        <f t="shared" si="3"/>
        <v>10</v>
      </c>
      <c r="W49" s="33">
        <v>0</v>
      </c>
      <c r="X49" s="33">
        <f t="shared" si="4"/>
        <v>945.4023962451646</v>
      </c>
      <c r="Y49" s="38">
        <f t="shared" si="5"/>
        <v>768.36649444008651</v>
      </c>
      <c r="AA49" s="71">
        <v>44</v>
      </c>
      <c r="AB49" s="33">
        <f t="shared" si="6"/>
        <v>0</v>
      </c>
      <c r="AC49" s="305">
        <f t="shared" si="41"/>
        <v>0</v>
      </c>
      <c r="AD49" s="100">
        <f t="shared" si="8"/>
        <v>0</v>
      </c>
      <c r="AE49" s="100">
        <f t="shared" si="9"/>
        <v>0</v>
      </c>
      <c r="AF49" s="194">
        <f t="shared" si="36"/>
        <v>19.708296267490883</v>
      </c>
      <c r="AG49" s="194">
        <f t="shared" si="37"/>
        <v>58.468428350887635</v>
      </c>
      <c r="AH49" s="194">
        <f t="shared" si="38"/>
        <v>5.2563889905542043</v>
      </c>
      <c r="AI49" s="199">
        <f t="shared" si="39"/>
        <v>83.433113608932715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4">
        <f t="shared" si="15"/>
        <v>0</v>
      </c>
      <c r="AR49" s="194">
        <f t="shared" si="16"/>
        <v>0</v>
      </c>
      <c r="AS49" s="194">
        <f t="shared" si="17"/>
        <v>0</v>
      </c>
      <c r="AT49" s="194">
        <f t="shared" si="18"/>
        <v>0</v>
      </c>
      <c r="AU49" s="33"/>
      <c r="AV49" s="33"/>
      <c r="AW49" s="33"/>
      <c r="AX49" s="33"/>
      <c r="AY49" s="76"/>
    </row>
    <row r="50" spans="2:51">
      <c r="B50" s="40"/>
      <c r="C50" s="152"/>
      <c r="D50" s="137"/>
      <c r="E50" s="141"/>
      <c r="F50" s="42"/>
      <c r="G50" s="51"/>
      <c r="I50" s="55">
        <v>45</v>
      </c>
      <c r="J50" s="33">
        <f t="shared" si="21"/>
        <v>5</v>
      </c>
      <c r="K50" s="33">
        <f t="shared" si="22"/>
        <v>1.910565629709926</v>
      </c>
      <c r="L50" s="33">
        <f t="shared" si="23"/>
        <v>45</v>
      </c>
      <c r="M50" s="33">
        <f t="shared" si="24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9"/>
        <v>37.050000000000011</v>
      </c>
      <c r="R50" s="33">
        <f t="shared" si="25"/>
        <v>787.80000000000018</v>
      </c>
      <c r="S50" s="33">
        <f t="shared" si="26"/>
        <v>338.75400000000008</v>
      </c>
      <c r="T50" s="33">
        <f t="shared" si="2"/>
        <v>79.242459951408904</v>
      </c>
      <c r="U50" s="33">
        <f t="shared" si="20"/>
        <v>58.625479332045664</v>
      </c>
      <c r="V50" s="33">
        <f t="shared" si="3"/>
        <v>10</v>
      </c>
      <c r="W50" s="33">
        <v>0</v>
      </c>
      <c r="X50" s="33">
        <f t="shared" si="4"/>
        <v>979.63725863287118</v>
      </c>
      <c r="Y50" s="38">
        <f t="shared" si="5"/>
        <v>802.6013568277931</v>
      </c>
      <c r="AA50" s="71">
        <v>45</v>
      </c>
      <c r="AB50" s="33">
        <f t="shared" si="6"/>
        <v>0</v>
      </c>
      <c r="AC50" s="305">
        <f t="shared" si="41"/>
        <v>0</v>
      </c>
      <c r="AD50" s="100">
        <f t="shared" si="8"/>
        <v>0</v>
      </c>
      <c r="AE50" s="100">
        <f t="shared" si="9"/>
        <v>0</v>
      </c>
      <c r="AF50" s="194">
        <f t="shared" si="36"/>
        <v>19.321828598559147</v>
      </c>
      <c r="AG50" s="194">
        <f t="shared" si="37"/>
        <v>56.869606102911597</v>
      </c>
      <c r="AH50" s="194">
        <f t="shared" si="38"/>
        <v>3.7168282997751896</v>
      </c>
      <c r="AI50" s="199">
        <f t="shared" si="39"/>
        <v>79.908263001245928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4">
        <f t="shared" si="15"/>
        <v>0</v>
      </c>
      <c r="AR50" s="194">
        <f t="shared" si="16"/>
        <v>0</v>
      </c>
      <c r="AS50" s="194">
        <f t="shared" si="17"/>
        <v>0</v>
      </c>
      <c r="AT50" s="194">
        <f t="shared" si="18"/>
        <v>0</v>
      </c>
      <c r="AU50" s="33"/>
      <c r="AV50" s="33"/>
      <c r="AW50" s="33"/>
      <c r="AX50" s="33"/>
      <c r="AY50" s="76"/>
    </row>
    <row r="51" spans="2:51">
      <c r="B51" s="40"/>
      <c r="C51" s="152"/>
      <c r="D51" s="137"/>
      <c r="E51" s="141"/>
      <c r="F51" s="42"/>
      <c r="G51" s="51"/>
      <c r="I51" s="55">
        <v>46</v>
      </c>
      <c r="J51" s="33">
        <f t="shared" si="21"/>
        <v>5</v>
      </c>
      <c r="K51" s="33">
        <f t="shared" si="22"/>
        <v>1.910565629709926</v>
      </c>
      <c r="L51" s="33">
        <f t="shared" si="23"/>
        <v>45</v>
      </c>
      <c r="M51" s="33">
        <f t="shared" si="24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9"/>
        <v>-85.800000000000068</v>
      </c>
      <c r="R51" s="33">
        <f t="shared" si="25"/>
        <v>702.00000000000011</v>
      </c>
      <c r="S51" s="33">
        <f t="shared" si="26"/>
        <v>301.86000000000007</v>
      </c>
      <c r="T51" s="33">
        <f t="shared" si="2"/>
        <v>71.566250541227049</v>
      </c>
      <c r="U51" s="33">
        <f t="shared" si="20"/>
        <v>58.82280183601609</v>
      </c>
      <c r="V51" s="33">
        <f t="shared" si="3"/>
        <v>10</v>
      </c>
      <c r="W51" s="33">
        <v>0</v>
      </c>
      <c r="X51" s="33">
        <f t="shared" si="4"/>
        <v>902.73432642469606</v>
      </c>
      <c r="Y51" s="38">
        <f t="shared" si="5"/>
        <v>725.69842461961798</v>
      </c>
      <c r="AA51" s="71">
        <v>46</v>
      </c>
      <c r="AB51" s="33">
        <f t="shared" si="6"/>
        <v>66</v>
      </c>
      <c r="AC51" s="305">
        <f t="shared" si="41"/>
        <v>0.25</v>
      </c>
      <c r="AD51" s="100">
        <f t="shared" si="8"/>
        <v>0.28000000000000003</v>
      </c>
      <c r="AE51" s="100">
        <f t="shared" si="9"/>
        <v>0.22</v>
      </c>
      <c r="AF51" s="194">
        <f t="shared" si="36"/>
        <v>31.178506579639759</v>
      </c>
      <c r="AG51" s="194">
        <f t="shared" si="37"/>
        <v>68.964381837454667</v>
      </c>
      <c r="AH51" s="194">
        <f t="shared" si="38"/>
        <v>11.818161739964218</v>
      </c>
      <c r="AI51" s="199">
        <f t="shared" si="39"/>
        <v>111.96105015705865</v>
      </c>
      <c r="AK51" s="71">
        <v>46</v>
      </c>
      <c r="AL51" s="33">
        <f t="shared" si="10"/>
        <v>66</v>
      </c>
      <c r="AM51" s="33">
        <f t="shared" si="11"/>
        <v>0.5</v>
      </c>
      <c r="AN51" s="33">
        <f t="shared" si="12"/>
        <v>0.28000000000000003</v>
      </c>
      <c r="AO51" s="33">
        <f t="shared" si="13"/>
        <v>0.22</v>
      </c>
      <c r="AP51" s="33">
        <f t="shared" si="14"/>
        <v>0</v>
      </c>
      <c r="AQ51" s="194">
        <f t="shared" si="15"/>
        <v>33</v>
      </c>
      <c r="AR51" s="194">
        <f t="shared" si="16"/>
        <v>18.48</v>
      </c>
      <c r="AS51" s="194">
        <f t="shared" si="17"/>
        <v>14.52</v>
      </c>
      <c r="AT51" s="194">
        <f t="shared" si="18"/>
        <v>0</v>
      </c>
      <c r="AU51" s="33"/>
      <c r="AV51" s="33"/>
      <c r="AW51" s="33"/>
      <c r="AX51" s="33"/>
      <c r="AY51" s="76"/>
    </row>
    <row r="52" spans="2:51">
      <c r="B52" s="40"/>
      <c r="C52" s="152"/>
      <c r="D52" s="137"/>
      <c r="E52" s="141"/>
      <c r="F52" s="42"/>
      <c r="G52" s="51"/>
      <c r="I52" s="55">
        <v>47</v>
      </c>
      <c r="J52" s="33">
        <f t="shared" si="21"/>
        <v>5</v>
      </c>
      <c r="K52" s="33">
        <f t="shared" si="22"/>
        <v>1.910565629709926</v>
      </c>
      <c r="L52" s="33">
        <f t="shared" si="23"/>
        <v>45</v>
      </c>
      <c r="M52" s="33">
        <f t="shared" si="24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9"/>
        <v>28.925000000000011</v>
      </c>
      <c r="R52" s="33">
        <f t="shared" si="25"/>
        <v>730.92500000000018</v>
      </c>
      <c r="S52" s="33">
        <f t="shared" si="26"/>
        <v>314.29775000000006</v>
      </c>
      <c r="T52" s="33">
        <f t="shared" si="2"/>
        <v>74.165650938780047</v>
      </c>
      <c r="U52" s="33">
        <f t="shared" si="20"/>
        <v>59.016701235689659</v>
      </c>
      <c r="V52" s="33">
        <f t="shared" si="3"/>
        <v>10</v>
      </c>
      <c r="W52" s="33">
        <v>0</v>
      </c>
      <c r="X52" s="33">
        <f t="shared" si="4"/>
        <v>929.63499449923745</v>
      </c>
      <c r="Y52" s="38">
        <f t="shared" si="5"/>
        <v>752.59909269415937</v>
      </c>
      <c r="AA52" s="71">
        <v>47</v>
      </c>
      <c r="AB52" s="33">
        <f t="shared" si="6"/>
        <v>0</v>
      </c>
      <c r="AC52" s="305">
        <f t="shared" si="41"/>
        <v>0</v>
      </c>
      <c r="AD52" s="100">
        <f t="shared" si="8"/>
        <v>0</v>
      </c>
      <c r="AE52" s="100">
        <f t="shared" si="9"/>
        <v>0</v>
      </c>
      <c r="AF52" s="194">
        <f t="shared" si="36"/>
        <v>30.567115082624262</v>
      </c>
      <c r="AG52" s="194">
        <f t="shared" si="37"/>
        <v>67.078547189430253</v>
      </c>
      <c r="AH52" s="194">
        <f t="shared" si="38"/>
        <v>8.3567023074881064</v>
      </c>
      <c r="AI52" s="199">
        <f t="shared" si="39"/>
        <v>106.00236457954263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4">
        <f t="shared" si="15"/>
        <v>0</v>
      </c>
      <c r="AR52" s="194">
        <f t="shared" si="16"/>
        <v>0</v>
      </c>
      <c r="AS52" s="194">
        <f t="shared" si="17"/>
        <v>0</v>
      </c>
      <c r="AT52" s="194">
        <f t="shared" si="18"/>
        <v>0</v>
      </c>
      <c r="AU52" s="33"/>
      <c r="AV52" s="33"/>
      <c r="AW52" s="33"/>
      <c r="AX52" s="33"/>
      <c r="AY52" s="76"/>
    </row>
    <row r="53" spans="2:51">
      <c r="B53" s="40"/>
      <c r="C53" s="152"/>
      <c r="D53" s="137"/>
      <c r="E53" s="141"/>
      <c r="F53" s="42"/>
      <c r="G53" s="51"/>
      <c r="I53" s="55">
        <v>48</v>
      </c>
      <c r="J53" s="33">
        <f t="shared" si="21"/>
        <v>5</v>
      </c>
      <c r="K53" s="33">
        <f t="shared" si="22"/>
        <v>1.910565629709926</v>
      </c>
      <c r="L53" s="33">
        <f t="shared" si="23"/>
        <v>45</v>
      </c>
      <c r="M53" s="33">
        <f t="shared" si="24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9"/>
        <v>28.925000000000011</v>
      </c>
      <c r="R53" s="33">
        <f t="shared" si="25"/>
        <v>759.85000000000014</v>
      </c>
      <c r="S53" s="33">
        <f t="shared" si="26"/>
        <v>326.73550000000006</v>
      </c>
      <c r="T53" s="33">
        <f t="shared" si="2"/>
        <v>76.753101922978843</v>
      </c>
      <c r="U53" s="33">
        <f t="shared" si="20"/>
        <v>59.207236914273011</v>
      </c>
      <c r="V53" s="33">
        <f t="shared" si="3"/>
        <v>10</v>
      </c>
      <c r="W53" s="33">
        <v>0</v>
      </c>
      <c r="X53" s="33">
        <f t="shared" si="4"/>
        <v>956.50251703485583</v>
      </c>
      <c r="Y53" s="38">
        <f t="shared" si="5"/>
        <v>779.46661522977774</v>
      </c>
      <c r="AA53" s="71">
        <v>48</v>
      </c>
      <c r="AB53" s="33">
        <f t="shared" si="6"/>
        <v>0</v>
      </c>
      <c r="AC53" s="305">
        <f t="shared" si="41"/>
        <v>0</v>
      </c>
      <c r="AD53" s="100">
        <f t="shared" si="8"/>
        <v>0</v>
      </c>
      <c r="AE53" s="100">
        <f t="shared" si="9"/>
        <v>0</v>
      </c>
      <c r="AF53" s="194">
        <f t="shared" si="36"/>
        <v>29.967712599953249</v>
      </c>
      <c r="AG53" s="194">
        <f t="shared" si="37"/>
        <v>65.244280789027798</v>
      </c>
      <c r="AH53" s="194">
        <f t="shared" si="38"/>
        <v>5.9090808699821098</v>
      </c>
      <c r="AI53" s="199">
        <f t="shared" si="39"/>
        <v>101.12107425896315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4">
        <f t="shared" si="15"/>
        <v>0</v>
      </c>
      <c r="AR53" s="194">
        <f t="shared" si="16"/>
        <v>0</v>
      </c>
      <c r="AS53" s="194">
        <f t="shared" si="17"/>
        <v>0</v>
      </c>
      <c r="AT53" s="194">
        <f t="shared" si="18"/>
        <v>0</v>
      </c>
      <c r="AU53" s="33"/>
      <c r="AV53" s="33"/>
      <c r="AW53" s="33"/>
      <c r="AX53" s="33"/>
      <c r="AY53" s="76"/>
    </row>
    <row r="54" spans="2:51">
      <c r="B54" s="40"/>
      <c r="C54" s="152"/>
      <c r="D54" s="137"/>
      <c r="E54" s="141"/>
      <c r="F54" s="42"/>
      <c r="G54" s="51"/>
      <c r="I54" s="55">
        <v>49</v>
      </c>
      <c r="J54" s="33">
        <f t="shared" si="21"/>
        <v>5</v>
      </c>
      <c r="K54" s="33">
        <f t="shared" si="22"/>
        <v>1.910565629709926</v>
      </c>
      <c r="L54" s="33">
        <f t="shared" si="23"/>
        <v>45</v>
      </c>
      <c r="M54" s="33">
        <f t="shared" si="24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9"/>
        <v>28.925000000000011</v>
      </c>
      <c r="R54" s="33">
        <f t="shared" si="25"/>
        <v>788.77500000000009</v>
      </c>
      <c r="S54" s="33">
        <f t="shared" si="26"/>
        <v>339.17325000000005</v>
      </c>
      <c r="T54" s="33">
        <f t="shared" si="2"/>
        <v>79.32911044214238</v>
      </c>
      <c r="U54" s="33">
        <f t="shared" si="20"/>
        <v>59.394467224806895</v>
      </c>
      <c r="V54" s="33">
        <f t="shared" si="3"/>
        <v>10</v>
      </c>
      <c r="W54" s="33">
        <v>0</v>
      </c>
      <c r="X54" s="33">
        <f t="shared" si="4"/>
        <v>983.33799092768993</v>
      </c>
      <c r="Y54" s="38">
        <f t="shared" si="5"/>
        <v>806.30208912261185</v>
      </c>
      <c r="AA54" s="71">
        <v>49</v>
      </c>
      <c r="AB54" s="33">
        <f t="shared" si="6"/>
        <v>0</v>
      </c>
      <c r="AC54" s="305">
        <f t="shared" si="41"/>
        <v>0</v>
      </c>
      <c r="AD54" s="100">
        <f t="shared" si="8"/>
        <v>0</v>
      </c>
      <c r="AE54" s="100">
        <f t="shared" si="9"/>
        <v>0</v>
      </c>
      <c r="AF54" s="194">
        <f t="shared" si="36"/>
        <v>29.380064034368001</v>
      </c>
      <c r="AG54" s="194">
        <f t="shared" si="37"/>
        <v>63.460172499804223</v>
      </c>
      <c r="AH54" s="194">
        <f t="shared" si="38"/>
        <v>4.1783511537440541</v>
      </c>
      <c r="AI54" s="199">
        <f t="shared" si="39"/>
        <v>97.018587687916281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4">
        <f t="shared" si="15"/>
        <v>0</v>
      </c>
      <c r="AR54" s="194">
        <f t="shared" si="16"/>
        <v>0</v>
      </c>
      <c r="AS54" s="194">
        <f t="shared" si="17"/>
        <v>0</v>
      </c>
      <c r="AT54" s="194">
        <f t="shared" si="18"/>
        <v>0</v>
      </c>
      <c r="AU54" s="33"/>
      <c r="AV54" s="33"/>
      <c r="AW54" s="33"/>
      <c r="AX54" s="33"/>
      <c r="AY54" s="76"/>
    </row>
    <row r="55" spans="2:51">
      <c r="B55" s="40"/>
      <c r="C55" s="152"/>
      <c r="D55" s="137"/>
      <c r="E55" s="141"/>
      <c r="F55" s="42"/>
      <c r="G55" s="51"/>
      <c r="I55" s="55">
        <v>50</v>
      </c>
      <c r="J55" s="33">
        <f t="shared" si="21"/>
        <v>5</v>
      </c>
      <c r="K55" s="33">
        <f t="shared" si="22"/>
        <v>1.910565629709926</v>
      </c>
      <c r="L55" s="33">
        <f t="shared" si="23"/>
        <v>45</v>
      </c>
      <c r="M55" s="33">
        <f t="shared" si="24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9"/>
        <v>28.925000000000011</v>
      </c>
      <c r="R55" s="33">
        <f t="shared" si="25"/>
        <v>817.7</v>
      </c>
      <c r="S55" s="33">
        <f t="shared" si="26"/>
        <v>351.61099999999999</v>
      </c>
      <c r="T55" s="33">
        <f t="shared" si="2"/>
        <v>81.89414415728541</v>
      </c>
      <c r="U55" s="33">
        <f t="shared" si="20"/>
        <v>59.578449508037295</v>
      </c>
      <c r="V55" s="33">
        <f t="shared" si="3"/>
        <v>10</v>
      </c>
      <c r="W55" s="33">
        <v>0</v>
      </c>
      <c r="X55" s="33">
        <f t="shared" si="4"/>
        <v>1010.1424409367422</v>
      </c>
      <c r="Y55" s="38">
        <f t="shared" si="5"/>
        <v>833.10653913166414</v>
      </c>
      <c r="AA55" s="71">
        <v>50</v>
      </c>
      <c r="AB55" s="33">
        <f t="shared" si="6"/>
        <v>0</v>
      </c>
      <c r="AC55" s="305">
        <f t="shared" si="41"/>
        <v>0</v>
      </c>
      <c r="AD55" s="100">
        <f t="shared" si="8"/>
        <v>0</v>
      </c>
      <c r="AE55" s="100">
        <f t="shared" si="9"/>
        <v>0</v>
      </c>
      <c r="AF55" s="194">
        <f t="shared" si="36"/>
        <v>28.803938898723647</v>
      </c>
      <c r="AG55" s="194">
        <f t="shared" si="37"/>
        <v>61.724850745571644</v>
      </c>
      <c r="AH55" s="194">
        <f t="shared" si="38"/>
        <v>2.9545404349910553</v>
      </c>
      <c r="AI55" s="199">
        <f t="shared" si="39"/>
        <v>93.483330079286347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4">
        <f t="shared" si="15"/>
        <v>0</v>
      </c>
      <c r="AR55" s="194">
        <f t="shared" si="16"/>
        <v>0</v>
      </c>
      <c r="AS55" s="194">
        <f t="shared" si="17"/>
        <v>0</v>
      </c>
      <c r="AT55" s="194">
        <f t="shared" si="18"/>
        <v>0</v>
      </c>
      <c r="AU55" s="33"/>
      <c r="AV55" s="33"/>
      <c r="AW55" s="33"/>
      <c r="AX55" s="33"/>
      <c r="AY55" s="76"/>
    </row>
    <row r="56" spans="2:51">
      <c r="B56" s="40"/>
      <c r="C56" s="152"/>
      <c r="D56" s="137"/>
      <c r="E56" s="141"/>
      <c r="F56" s="42"/>
      <c r="G56" s="51"/>
      <c r="I56" s="55">
        <v>51</v>
      </c>
      <c r="J56" s="33">
        <f t="shared" si="21"/>
        <v>5</v>
      </c>
      <c r="K56" s="33">
        <f t="shared" si="22"/>
        <v>1.910565629709926</v>
      </c>
      <c r="L56" s="33">
        <f t="shared" si="23"/>
        <v>45</v>
      </c>
      <c r="M56" s="33">
        <f t="shared" si="24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9"/>
        <v>-62.399999999999977</v>
      </c>
      <c r="R56" s="33">
        <f t="shared" si="25"/>
        <v>755.30000000000007</v>
      </c>
      <c r="S56" s="33">
        <f t="shared" si="26"/>
        <v>324.779</v>
      </c>
      <c r="T56" s="33">
        <f t="shared" si="2"/>
        <v>76.346858037753407</v>
      </c>
      <c r="U56" s="33">
        <f t="shared" si="20"/>
        <v>59.759240109976403</v>
      </c>
      <c r="V56" s="33">
        <f t="shared" si="3"/>
        <v>10</v>
      </c>
      <c r="W56" s="33">
        <v>0</v>
      </c>
      <c r="X56" s="33">
        <f t="shared" si="4"/>
        <v>954.41141648566725</v>
      </c>
      <c r="Y56" s="38">
        <f t="shared" si="5"/>
        <v>777.37551468058916</v>
      </c>
      <c r="AA56" s="71">
        <v>51</v>
      </c>
      <c r="AB56" s="33">
        <f t="shared" si="6"/>
        <v>48</v>
      </c>
      <c r="AC56" s="305">
        <f t="shared" si="41"/>
        <v>0.3</v>
      </c>
      <c r="AD56" s="100">
        <f t="shared" si="8"/>
        <v>0.22400000000000003</v>
      </c>
      <c r="AE56" s="100">
        <f t="shared" si="9"/>
        <v>0.17600000000000002</v>
      </c>
      <c r="AF56" s="194">
        <f t="shared" si="36"/>
        <v>38.917424466093763</v>
      </c>
      <c r="AG56" s="194">
        <f t="shared" si="37"/>
        <v>67.978728716514865</v>
      </c>
      <c r="AH56" s="194">
        <f t="shared" si="38"/>
        <v>7.4360656101445297</v>
      </c>
      <c r="AI56" s="199">
        <f t="shared" si="39"/>
        <v>114.33221879275315</v>
      </c>
      <c r="AK56" s="71">
        <v>51</v>
      </c>
      <c r="AL56" s="33">
        <f t="shared" si="10"/>
        <v>48</v>
      </c>
      <c r="AM56" s="33">
        <f t="shared" si="11"/>
        <v>0.6</v>
      </c>
      <c r="AN56" s="33">
        <f t="shared" si="12"/>
        <v>0.22400000000000003</v>
      </c>
      <c r="AO56" s="33">
        <f t="shared" si="13"/>
        <v>0.17600000000000002</v>
      </c>
      <c r="AP56" s="33">
        <f t="shared" si="14"/>
        <v>0</v>
      </c>
      <c r="AQ56" s="194">
        <f t="shared" si="15"/>
        <v>28.799999999999997</v>
      </c>
      <c r="AR56" s="194">
        <f t="shared" si="16"/>
        <v>10.752000000000002</v>
      </c>
      <c r="AS56" s="194">
        <f t="shared" si="17"/>
        <v>8.4480000000000004</v>
      </c>
      <c r="AT56" s="194">
        <f t="shared" si="18"/>
        <v>0</v>
      </c>
      <c r="AU56" s="33"/>
      <c r="AV56" s="33"/>
      <c r="AW56" s="33"/>
      <c r="AX56" s="33"/>
      <c r="AY56" s="76"/>
    </row>
    <row r="57" spans="2:51">
      <c r="B57" s="40"/>
      <c r="C57" s="152"/>
      <c r="D57" s="137"/>
      <c r="E57" s="141"/>
      <c r="F57" s="42"/>
      <c r="G57" s="51"/>
      <c r="I57" s="55">
        <v>52</v>
      </c>
      <c r="J57" s="33">
        <f t="shared" si="21"/>
        <v>5</v>
      </c>
      <c r="K57" s="33">
        <f t="shared" si="22"/>
        <v>1.910565629709926</v>
      </c>
      <c r="L57" s="33">
        <f t="shared" si="23"/>
        <v>45</v>
      </c>
      <c r="M57" s="33">
        <f t="shared" si="24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9"/>
        <v>22.424999999999983</v>
      </c>
      <c r="R57" s="33">
        <f t="shared" si="25"/>
        <v>777.72500000000002</v>
      </c>
      <c r="S57" s="33">
        <f t="shared" si="26"/>
        <v>334.42175000000003</v>
      </c>
      <c r="T57" s="33">
        <f t="shared" si="2"/>
        <v>78.346337392307177</v>
      </c>
      <c r="U57" s="33">
        <f t="shared" si="20"/>
        <v>59.936894399159101</v>
      </c>
      <c r="V57" s="33">
        <f t="shared" si="3"/>
        <v>10</v>
      </c>
      <c r="W57" s="33">
        <v>0</v>
      </c>
      <c r="X57" s="33">
        <f t="shared" si="4"/>
        <v>975.33969833851836</v>
      </c>
      <c r="Y57" s="38">
        <f t="shared" si="5"/>
        <v>798.30379653344028</v>
      </c>
      <c r="AA57" s="71">
        <v>52</v>
      </c>
      <c r="AB57" s="33">
        <f t="shared" si="6"/>
        <v>0</v>
      </c>
      <c r="AC57" s="305">
        <f t="shared" si="41"/>
        <v>0</v>
      </c>
      <c r="AD57" s="100">
        <f t="shared" si="8"/>
        <v>0</v>
      </c>
      <c r="AE57" s="100">
        <f t="shared" si="9"/>
        <v>0</v>
      </c>
      <c r="AF57" s="194">
        <f t="shared" si="36"/>
        <v>38.154277509598728</v>
      </c>
      <c r="AG57" s="194">
        <f t="shared" si="37"/>
        <v>66.119846804915795</v>
      </c>
      <c r="AH57" s="194">
        <f t="shared" si="38"/>
        <v>5.2580924182812794</v>
      </c>
      <c r="AI57" s="199">
        <f t="shared" si="39"/>
        <v>109.5322167327958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4">
        <f t="shared" si="15"/>
        <v>0</v>
      </c>
      <c r="AR57" s="194">
        <f t="shared" si="16"/>
        <v>0</v>
      </c>
      <c r="AS57" s="194">
        <f t="shared" si="17"/>
        <v>0</v>
      </c>
      <c r="AT57" s="194">
        <f t="shared" si="18"/>
        <v>0</v>
      </c>
      <c r="AU57" s="33"/>
      <c r="AV57" s="33"/>
      <c r="AW57" s="33"/>
      <c r="AX57" s="33"/>
      <c r="AY57" s="76"/>
    </row>
    <row r="58" spans="2:51">
      <c r="B58" s="40"/>
      <c r="C58" s="152"/>
      <c r="D58" s="137"/>
      <c r="E58" s="141"/>
      <c r="F58" s="42"/>
      <c r="G58" s="51"/>
      <c r="I58" s="55">
        <v>53</v>
      </c>
      <c r="J58" s="33">
        <f t="shared" si="21"/>
        <v>5</v>
      </c>
      <c r="K58" s="33">
        <f t="shared" si="22"/>
        <v>1.910565629709926</v>
      </c>
      <c r="L58" s="33">
        <f t="shared" si="23"/>
        <v>45</v>
      </c>
      <c r="M58" s="33">
        <f t="shared" si="24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9"/>
        <v>22.424999999999983</v>
      </c>
      <c r="R58" s="33">
        <f t="shared" si="25"/>
        <v>800.15</v>
      </c>
      <c r="S58" s="33">
        <f t="shared" si="26"/>
        <v>344.06450000000001</v>
      </c>
      <c r="T58" s="33">
        <f t="shared" si="2"/>
        <v>80.339116184032136</v>
      </c>
      <c r="U58" s="33">
        <f t="shared" si="20"/>
        <v>60.111466783599973</v>
      </c>
      <c r="V58" s="33">
        <f t="shared" si="3"/>
        <v>10</v>
      </c>
      <c r="W58" s="33">
        <v>0</v>
      </c>
      <c r="X58" s="33">
        <f t="shared" si="4"/>
        <v>996.24500972705573</v>
      </c>
      <c r="Y58" s="38">
        <f t="shared" si="5"/>
        <v>819.20910792197765</v>
      </c>
      <c r="AA58" s="71">
        <v>53</v>
      </c>
      <c r="AB58" s="33">
        <f t="shared" si="6"/>
        <v>0</v>
      </c>
      <c r="AC58" s="305">
        <f t="shared" si="41"/>
        <v>0</v>
      </c>
      <c r="AD58" s="100">
        <f t="shared" si="8"/>
        <v>0</v>
      </c>
      <c r="AE58" s="100">
        <f t="shared" si="9"/>
        <v>0</v>
      </c>
      <c r="AF58" s="194">
        <f t="shared" si="36"/>
        <v>37.406095399446876</v>
      </c>
      <c r="AG58" s="194">
        <f t="shared" si="37"/>
        <v>64.311796116943754</v>
      </c>
      <c r="AH58" s="194">
        <f t="shared" si="38"/>
        <v>3.7180328050722653</v>
      </c>
      <c r="AI58" s="199">
        <f t="shared" si="39"/>
        <v>105.43592432146291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4">
        <f t="shared" si="15"/>
        <v>0</v>
      </c>
      <c r="AR58" s="194">
        <f t="shared" si="16"/>
        <v>0</v>
      </c>
      <c r="AS58" s="194">
        <f t="shared" si="17"/>
        <v>0</v>
      </c>
      <c r="AT58" s="194">
        <f t="shared" si="18"/>
        <v>0</v>
      </c>
      <c r="AU58" s="33"/>
      <c r="AV58" s="33"/>
      <c r="AW58" s="33"/>
      <c r="AX58" s="33"/>
      <c r="AY58" s="76"/>
    </row>
    <row r="59" spans="2:51">
      <c r="B59" s="40"/>
      <c r="C59" s="152"/>
      <c r="D59" s="137"/>
      <c r="E59" s="141"/>
      <c r="F59" s="42"/>
      <c r="G59" s="51"/>
      <c r="I59" s="55">
        <v>54</v>
      </c>
      <c r="J59" s="33">
        <f t="shared" si="21"/>
        <v>5</v>
      </c>
      <c r="K59" s="33">
        <f t="shared" si="22"/>
        <v>1.910565629709926</v>
      </c>
      <c r="L59" s="33">
        <f t="shared" si="23"/>
        <v>45</v>
      </c>
      <c r="M59" s="33">
        <f t="shared" si="24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9"/>
        <v>22.424999999999983</v>
      </c>
      <c r="R59" s="33">
        <f t="shared" si="25"/>
        <v>822.57499999999993</v>
      </c>
      <c r="S59" s="33">
        <f t="shared" si="26"/>
        <v>353.70724999999999</v>
      </c>
      <c r="T59" s="33">
        <f t="shared" si="2"/>
        <v>82.325403775555372</v>
      </c>
      <c r="U59" s="33">
        <f t="shared" si="20"/>
        <v>60.283010727456173</v>
      </c>
      <c r="V59" s="33">
        <f t="shared" si="3"/>
        <v>10</v>
      </c>
      <c r="W59" s="33">
        <v>0</v>
      </c>
      <c r="X59" s="33">
        <f t="shared" si="4"/>
        <v>1017.1279113264317</v>
      </c>
      <c r="Y59" s="38">
        <f t="shared" si="5"/>
        <v>840.09200952135359</v>
      </c>
      <c r="AA59" s="71">
        <v>54</v>
      </c>
      <c r="AB59" s="33">
        <f t="shared" si="6"/>
        <v>0</v>
      </c>
      <c r="AC59" s="305">
        <f t="shared" si="41"/>
        <v>0</v>
      </c>
      <c r="AD59" s="100">
        <f t="shared" si="8"/>
        <v>0</v>
      </c>
      <c r="AE59" s="100">
        <f t="shared" si="9"/>
        <v>0</v>
      </c>
      <c r="AF59" s="194">
        <f t="shared" si="36"/>
        <v>36.672584684129077</v>
      </c>
      <c r="AG59" s="194">
        <f t="shared" si="37"/>
        <v>62.553186670115558</v>
      </c>
      <c r="AH59" s="194">
        <f t="shared" si="38"/>
        <v>2.6290462091406401</v>
      </c>
      <c r="AI59" s="199">
        <f t="shared" si="39"/>
        <v>101.85481756338528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4">
        <f t="shared" si="15"/>
        <v>0</v>
      </c>
      <c r="AR59" s="194">
        <f t="shared" si="16"/>
        <v>0</v>
      </c>
      <c r="AS59" s="194">
        <f t="shared" si="17"/>
        <v>0</v>
      </c>
      <c r="AT59" s="194">
        <f t="shared" si="18"/>
        <v>0</v>
      </c>
      <c r="AU59" s="33"/>
      <c r="AV59" s="33"/>
      <c r="AW59" s="33"/>
      <c r="AX59" s="33"/>
      <c r="AY59" s="76"/>
    </row>
    <row r="60" spans="2:51">
      <c r="B60" s="40"/>
      <c r="C60" s="152"/>
      <c r="D60" s="137"/>
      <c r="E60" s="141"/>
      <c r="F60" s="42"/>
      <c r="G60" s="51"/>
      <c r="I60" s="55">
        <v>55</v>
      </c>
      <c r="J60" s="33">
        <f t="shared" si="21"/>
        <v>5</v>
      </c>
      <c r="K60" s="33">
        <f t="shared" si="22"/>
        <v>1.910565629709926</v>
      </c>
      <c r="L60" s="33">
        <f t="shared" si="23"/>
        <v>45</v>
      </c>
      <c r="M60" s="33">
        <f t="shared" si="24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9"/>
        <v>22.424999999999983</v>
      </c>
      <c r="R60" s="33">
        <f t="shared" si="25"/>
        <v>844.99999999999989</v>
      </c>
      <c r="S60" s="33">
        <f t="shared" si="26"/>
        <v>363.34999999999997</v>
      </c>
      <c r="T60" s="33">
        <f t="shared" si="2"/>
        <v>84.30539746449827</v>
      </c>
      <c r="U60" s="33">
        <f t="shared" si="20"/>
        <v>60.45157876740128</v>
      </c>
      <c r="V60" s="33">
        <f t="shared" si="3"/>
        <v>10</v>
      </c>
      <c r="W60" s="33">
        <v>0</v>
      </c>
      <c r="X60" s="33">
        <f t="shared" si="4"/>
        <v>1037.9889393978058</v>
      </c>
      <c r="Y60" s="38">
        <f t="shared" si="5"/>
        <v>860.9530375927277</v>
      </c>
      <c r="AA60" s="71">
        <v>55</v>
      </c>
      <c r="AB60" s="33">
        <f t="shared" si="6"/>
        <v>0</v>
      </c>
      <c r="AC60" s="305">
        <f t="shared" si="41"/>
        <v>0</v>
      </c>
      <c r="AD60" s="100">
        <f t="shared" si="8"/>
        <v>0</v>
      </c>
      <c r="AE60" s="100">
        <f t="shared" si="9"/>
        <v>0</v>
      </c>
      <c r="AF60" s="194">
        <f t="shared" si="36"/>
        <v>35.953457666541297</v>
      </c>
      <c r="AG60" s="194">
        <f t="shared" si="37"/>
        <v>60.842666491092132</v>
      </c>
      <c r="AH60" s="194">
        <f t="shared" si="38"/>
        <v>1.8590164025361331</v>
      </c>
      <c r="AI60" s="199">
        <f t="shared" si="39"/>
        <v>98.655140560169556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4">
        <f t="shared" si="15"/>
        <v>0</v>
      </c>
      <c r="AR60" s="194">
        <f t="shared" si="16"/>
        <v>0</v>
      </c>
      <c r="AS60" s="194">
        <f t="shared" si="17"/>
        <v>0</v>
      </c>
      <c r="AT60" s="194">
        <f t="shared" si="18"/>
        <v>0</v>
      </c>
      <c r="AU60" s="33"/>
      <c r="AV60" s="33"/>
      <c r="AW60" s="33"/>
      <c r="AX60" s="33"/>
      <c r="AY60" s="76"/>
    </row>
    <row r="61" spans="2:51">
      <c r="B61" s="40"/>
      <c r="C61" s="152"/>
      <c r="D61" s="137"/>
      <c r="E61" s="141"/>
      <c r="F61" s="42"/>
      <c r="G61" s="51"/>
      <c r="I61" s="55">
        <v>56</v>
      </c>
      <c r="J61" s="33">
        <f t="shared" si="21"/>
        <v>5</v>
      </c>
      <c r="K61" s="33">
        <f t="shared" si="22"/>
        <v>1.910565629709926</v>
      </c>
      <c r="L61" s="33">
        <f t="shared" si="23"/>
        <v>45</v>
      </c>
      <c r="M61" s="33">
        <f t="shared" si="24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9"/>
        <v>-45.5</v>
      </c>
      <c r="R61" s="33">
        <f t="shared" si="25"/>
        <v>799.49999999999989</v>
      </c>
      <c r="S61" s="33">
        <f t="shared" si="26"/>
        <v>343.78499999999997</v>
      </c>
      <c r="T61" s="33">
        <f t="shared" si="2"/>
        <v>80.281446809317075</v>
      </c>
      <c r="U61" s="33">
        <f t="shared" si="20"/>
        <v>60.617222528715011</v>
      </c>
      <c r="V61" s="33">
        <f t="shared" si="3"/>
        <v>10</v>
      </c>
      <c r="W61" s="33">
        <v>0</v>
      </c>
      <c r="X61" s="33">
        <f t="shared" si="4"/>
        <v>997.51221079818208</v>
      </c>
      <c r="Y61" s="38">
        <f t="shared" si="5"/>
        <v>820.476308993104</v>
      </c>
      <c r="AA61" s="71">
        <v>56</v>
      </c>
      <c r="AB61" s="33">
        <f t="shared" si="6"/>
        <v>35</v>
      </c>
      <c r="AC61" s="305">
        <f t="shared" si="41"/>
        <v>0.35</v>
      </c>
      <c r="AD61" s="100">
        <f t="shared" si="8"/>
        <v>0.16800000000000004</v>
      </c>
      <c r="AE61" s="100">
        <f t="shared" si="9"/>
        <v>0.13200000000000003</v>
      </c>
      <c r="AF61" s="194">
        <f t="shared" si="36"/>
        <v>44.332414040880359</v>
      </c>
      <c r="AG61" s="194">
        <f t="shared" si="37"/>
        <v>63.522063609429559</v>
      </c>
      <c r="AH61" s="194">
        <f t="shared" si="38"/>
        <v>4.2386035915162203</v>
      </c>
      <c r="AI61" s="199">
        <f t="shared" si="39"/>
        <v>112.09308124182614</v>
      </c>
      <c r="AK61" s="71">
        <v>56</v>
      </c>
      <c r="AL61" s="33">
        <f t="shared" si="10"/>
        <v>35</v>
      </c>
      <c r="AM61" s="33">
        <f t="shared" si="11"/>
        <v>0.7</v>
      </c>
      <c r="AN61" s="33">
        <f t="shared" si="12"/>
        <v>0.16800000000000004</v>
      </c>
      <c r="AO61" s="33">
        <f t="shared" si="13"/>
        <v>0.13200000000000003</v>
      </c>
      <c r="AP61" s="33">
        <f t="shared" si="14"/>
        <v>0</v>
      </c>
      <c r="AQ61" s="194">
        <f t="shared" si="15"/>
        <v>24.5</v>
      </c>
      <c r="AR61" s="194">
        <f t="shared" si="16"/>
        <v>5.8800000000000017</v>
      </c>
      <c r="AS61" s="194">
        <f t="shared" si="17"/>
        <v>4.620000000000001</v>
      </c>
      <c r="AT61" s="194">
        <f t="shared" si="18"/>
        <v>0</v>
      </c>
      <c r="AU61" s="33"/>
      <c r="AV61" s="33"/>
      <c r="AW61" s="33"/>
      <c r="AX61" s="33"/>
      <c r="AY61" s="76"/>
    </row>
    <row r="62" spans="2:51">
      <c r="B62" s="40"/>
      <c r="C62" s="152"/>
      <c r="D62" s="137"/>
      <c r="E62" s="141"/>
      <c r="F62" s="42"/>
      <c r="G62" s="51"/>
      <c r="I62" s="55">
        <v>57</v>
      </c>
      <c r="J62" s="33">
        <f t="shared" si="21"/>
        <v>5</v>
      </c>
      <c r="K62" s="33">
        <f t="shared" si="22"/>
        <v>1.910565629709926</v>
      </c>
      <c r="L62" s="33">
        <f t="shared" si="23"/>
        <v>45</v>
      </c>
      <c r="M62" s="33">
        <f t="shared" si="24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9"/>
        <v>16.575000000000017</v>
      </c>
      <c r="R62" s="33">
        <f t="shared" si="25"/>
        <v>816.07499999999993</v>
      </c>
      <c r="S62" s="33">
        <f t="shared" si="26"/>
        <v>350.91224999999997</v>
      </c>
      <c r="T62" s="33">
        <f t="shared" si="2"/>
        <v>81.750324520346922</v>
      </c>
      <c r="U62" s="33">
        <f t="shared" si="20"/>
        <v>60.77999274109392</v>
      </c>
      <c r="V62" s="33">
        <f t="shared" si="3"/>
        <v>10</v>
      </c>
      <c r="W62" s="33">
        <v>0</v>
      </c>
      <c r="X62" s="33">
        <f t="shared" si="4"/>
        <v>1013.0806240069484</v>
      </c>
      <c r="Y62" s="38">
        <f t="shared" si="5"/>
        <v>836.04472220187029</v>
      </c>
      <c r="AA62" s="71">
        <v>57</v>
      </c>
      <c r="AB62" s="33">
        <f t="shared" si="6"/>
        <v>0</v>
      </c>
      <c r="AC62" s="305">
        <f t="shared" si="41"/>
        <v>0</v>
      </c>
      <c r="AD62" s="100">
        <f t="shared" si="8"/>
        <v>0</v>
      </c>
      <c r="AE62" s="100">
        <f t="shared" si="9"/>
        <v>0</v>
      </c>
      <c r="AF62" s="194">
        <f t="shared" si="36"/>
        <v>43.463082441641269</v>
      </c>
      <c r="AG62" s="194">
        <f t="shared" si="37"/>
        <v>61.78504943954956</v>
      </c>
      <c r="AH62" s="194">
        <f t="shared" si="38"/>
        <v>2.9971453423227747</v>
      </c>
      <c r="AI62" s="199">
        <f t="shared" si="39"/>
        <v>108.24527722351361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4">
        <f t="shared" si="15"/>
        <v>0</v>
      </c>
      <c r="AR62" s="194">
        <f t="shared" si="16"/>
        <v>0</v>
      </c>
      <c r="AS62" s="194">
        <f t="shared" si="17"/>
        <v>0</v>
      </c>
      <c r="AT62" s="194">
        <f t="shared" si="18"/>
        <v>0</v>
      </c>
      <c r="AU62" s="33"/>
      <c r="AV62" s="33"/>
      <c r="AW62" s="33"/>
      <c r="AX62" s="33"/>
      <c r="AY62" s="76"/>
    </row>
    <row r="63" spans="2:51">
      <c r="B63" s="40"/>
      <c r="C63" s="152"/>
      <c r="D63" s="137"/>
      <c r="E63" s="141"/>
      <c r="F63" s="42"/>
      <c r="G63" s="51"/>
      <c r="I63" s="55">
        <v>58</v>
      </c>
      <c r="J63" s="33">
        <f t="shared" si="21"/>
        <v>5</v>
      </c>
      <c r="K63" s="33">
        <f t="shared" si="22"/>
        <v>1.910565629709926</v>
      </c>
      <c r="L63" s="33">
        <f t="shared" si="23"/>
        <v>45</v>
      </c>
      <c r="M63" s="33">
        <f t="shared" si="24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9"/>
        <v>16.575000000000017</v>
      </c>
      <c r="R63" s="33">
        <f t="shared" si="25"/>
        <v>832.65</v>
      </c>
      <c r="S63" s="33">
        <f t="shared" si="26"/>
        <v>358.03949999999998</v>
      </c>
      <c r="T63" s="33">
        <f t="shared" si="2"/>
        <v>83.215733422439655</v>
      </c>
      <c r="U63" s="33">
        <f t="shared" si="20"/>
        <v>60.939939254187742</v>
      </c>
      <c r="V63" s="33">
        <f t="shared" si="3"/>
        <v>10</v>
      </c>
      <c r="W63" s="33">
        <v>0</v>
      </c>
      <c r="X63" s="33">
        <f t="shared" si="4"/>
        <v>1028.6326421427705</v>
      </c>
      <c r="Y63" s="38">
        <f t="shared" si="5"/>
        <v>851.59674033769238</v>
      </c>
      <c r="AA63" s="71">
        <v>58</v>
      </c>
      <c r="AB63" s="33">
        <f t="shared" si="6"/>
        <v>0</v>
      </c>
      <c r="AC63" s="305">
        <f t="shared" si="41"/>
        <v>0</v>
      </c>
      <c r="AD63" s="100">
        <f t="shared" si="8"/>
        <v>0</v>
      </c>
      <c r="AE63" s="100">
        <f t="shared" si="9"/>
        <v>0</v>
      </c>
      <c r="AF63" s="194">
        <f t="shared" si="36"/>
        <v>42.610797904823343</v>
      </c>
      <c r="AG63" s="194">
        <f t="shared" si="37"/>
        <v>60.095534013490536</v>
      </c>
      <c r="AH63" s="194">
        <f t="shared" si="38"/>
        <v>2.1193017957581106</v>
      </c>
      <c r="AI63" s="199">
        <f t="shared" si="39"/>
        <v>104.82563371407198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4">
        <f t="shared" si="15"/>
        <v>0</v>
      </c>
      <c r="AR63" s="194">
        <f t="shared" si="16"/>
        <v>0</v>
      </c>
      <c r="AS63" s="194">
        <f t="shared" si="17"/>
        <v>0</v>
      </c>
      <c r="AT63" s="194">
        <f t="shared" si="18"/>
        <v>0</v>
      </c>
      <c r="AU63" s="33"/>
      <c r="AV63" s="33"/>
      <c r="AW63" s="33"/>
      <c r="AX63" s="33"/>
      <c r="AY63" s="76"/>
    </row>
    <row r="64" spans="2:51">
      <c r="B64" s="40"/>
      <c r="C64" s="152"/>
      <c r="D64" s="137"/>
      <c r="E64" s="141"/>
      <c r="F64" s="42"/>
      <c r="G64" s="51"/>
      <c r="I64" s="55">
        <v>59</v>
      </c>
      <c r="J64" s="33">
        <f t="shared" si="21"/>
        <v>5</v>
      </c>
      <c r="K64" s="33">
        <f t="shared" si="22"/>
        <v>1.910565629709926</v>
      </c>
      <c r="L64" s="33">
        <f t="shared" si="23"/>
        <v>45</v>
      </c>
      <c r="M64" s="33">
        <f t="shared" si="24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9"/>
        <v>16.575000000000017</v>
      </c>
      <c r="R64" s="33">
        <f t="shared" si="25"/>
        <v>849.22500000000002</v>
      </c>
      <c r="S64" s="33">
        <f t="shared" si="26"/>
        <v>365.16674999999998</v>
      </c>
      <c r="T64" s="33">
        <f t="shared" si="2"/>
        <v>84.677750525412549</v>
      </c>
      <c r="U64" s="33">
        <f t="shared" si="20"/>
        <v>61.097111052866211</v>
      </c>
      <c r="V64" s="33">
        <f t="shared" si="3"/>
        <v>10</v>
      </c>
      <c r="W64" s="33">
        <v>0</v>
      </c>
      <c r="X64" s="33">
        <f t="shared" si="4"/>
        <v>1044.1685789422695</v>
      </c>
      <c r="Y64" s="38">
        <f t="shared" si="5"/>
        <v>867.13267713719142</v>
      </c>
      <c r="AA64" s="71">
        <v>59</v>
      </c>
      <c r="AB64" s="33">
        <f t="shared" si="6"/>
        <v>0</v>
      </c>
      <c r="AC64" s="305">
        <f t="shared" si="41"/>
        <v>0</v>
      </c>
      <c r="AD64" s="100">
        <f t="shared" si="8"/>
        <v>0</v>
      </c>
      <c r="AE64" s="100">
        <f t="shared" si="9"/>
        <v>0</v>
      </c>
      <c r="AF64" s="194">
        <f t="shared" si="36"/>
        <v>41.775226147930177</v>
      </c>
      <c r="AG64" s="194">
        <f t="shared" si="37"/>
        <v>58.452218475604852</v>
      </c>
      <c r="AH64" s="194">
        <f t="shared" si="38"/>
        <v>1.4985726711613876</v>
      </c>
      <c r="AI64" s="199">
        <f t="shared" si="39"/>
        <v>101.72601729469642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4">
        <f t="shared" si="15"/>
        <v>0</v>
      </c>
      <c r="AR64" s="194">
        <f t="shared" si="16"/>
        <v>0</v>
      </c>
      <c r="AS64" s="194">
        <f t="shared" si="17"/>
        <v>0</v>
      </c>
      <c r="AT64" s="194">
        <f t="shared" si="18"/>
        <v>0</v>
      </c>
      <c r="AU64" s="33"/>
      <c r="AV64" s="33"/>
      <c r="AW64" s="33"/>
      <c r="AX64" s="33"/>
      <c r="AY64" s="76"/>
    </row>
    <row r="65" spans="2:51">
      <c r="B65" s="40"/>
      <c r="C65" s="152"/>
      <c r="D65" s="137"/>
      <c r="E65" s="141"/>
      <c r="F65" s="42"/>
      <c r="G65" s="51"/>
      <c r="I65" s="55">
        <v>60</v>
      </c>
      <c r="J65" s="33">
        <f t="shared" si="21"/>
        <v>5</v>
      </c>
      <c r="K65" s="33">
        <f t="shared" si="22"/>
        <v>1.910565629709926</v>
      </c>
      <c r="L65" s="33">
        <f t="shared" si="23"/>
        <v>45</v>
      </c>
      <c r="M65" s="33">
        <f t="shared" si="24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9"/>
        <v>16.575000000000017</v>
      </c>
      <c r="R65" s="33">
        <f t="shared" si="25"/>
        <v>865.80000000000007</v>
      </c>
      <c r="S65" s="33">
        <f t="shared" si="26"/>
        <v>372.29400000000004</v>
      </c>
      <c r="T65" s="33">
        <f t="shared" si="2"/>
        <v>86.136449661008839</v>
      </c>
      <c r="U65" s="33">
        <f t="shared" si="20"/>
        <v>61.251556272221123</v>
      </c>
      <c r="V65" s="33">
        <f t="shared" si="3"/>
        <v>10</v>
      </c>
      <c r="W65" s="33">
        <v>0</v>
      </c>
      <c r="X65" s="33">
        <f t="shared" si="4"/>
        <v>1059.688739491068</v>
      </c>
      <c r="Y65" s="38">
        <f t="shared" si="5"/>
        <v>882.65283768598988</v>
      </c>
      <c r="AA65" s="71">
        <v>60</v>
      </c>
      <c r="AB65" s="33">
        <f t="shared" si="6"/>
        <v>0</v>
      </c>
      <c r="AC65" s="305">
        <f t="shared" si="41"/>
        <v>0</v>
      </c>
      <c r="AD65" s="100">
        <f t="shared" si="8"/>
        <v>0</v>
      </c>
      <c r="AE65" s="100">
        <f t="shared" si="9"/>
        <v>0</v>
      </c>
      <c r="AF65" s="194">
        <f t="shared" si="36"/>
        <v>40.956039443541236</v>
      </c>
      <c r="AG65" s="194">
        <f t="shared" si="37"/>
        <v>56.853839487520865</v>
      </c>
      <c r="AH65" s="194">
        <f t="shared" si="38"/>
        <v>1.0596508978790553</v>
      </c>
      <c r="AI65" s="199">
        <f t="shared" si="39"/>
        <v>98.869529828941154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4">
        <f t="shared" si="15"/>
        <v>0</v>
      </c>
      <c r="AR65" s="194">
        <f t="shared" si="16"/>
        <v>0</v>
      </c>
      <c r="AS65" s="194">
        <f t="shared" si="17"/>
        <v>0</v>
      </c>
      <c r="AT65" s="194">
        <f t="shared" si="18"/>
        <v>0</v>
      </c>
      <c r="AU65" s="33"/>
      <c r="AV65" s="33"/>
      <c r="AW65" s="33"/>
      <c r="AX65" s="33"/>
      <c r="AY65" s="76"/>
    </row>
    <row r="66" spans="2:51">
      <c r="B66" s="40"/>
      <c r="C66" s="152"/>
      <c r="D66" s="137"/>
      <c r="E66" s="141"/>
      <c r="F66" s="42"/>
      <c r="G66" s="51"/>
      <c r="I66" s="55">
        <v>61</v>
      </c>
      <c r="J66" s="33">
        <f t="shared" si="21"/>
        <v>5</v>
      </c>
      <c r="K66" s="33">
        <f t="shared" si="22"/>
        <v>1.910565629709926</v>
      </c>
      <c r="L66" s="33">
        <f t="shared" si="23"/>
        <v>45</v>
      </c>
      <c r="M66" s="33">
        <f t="shared" si="24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9"/>
        <v>-37.700000000000045</v>
      </c>
      <c r="R66" s="33">
        <f t="shared" si="25"/>
        <v>828.1</v>
      </c>
      <c r="S66" s="33">
        <f t="shared" si="26"/>
        <v>356.08300000000003</v>
      </c>
      <c r="T66" s="33">
        <f t="shared" si="2"/>
        <v>82.813805255716545</v>
      </c>
      <c r="U66" s="33">
        <f t="shared" si="20"/>
        <v>61.403322212307998</v>
      </c>
      <c r="V66" s="33">
        <f t="shared" si="3"/>
        <v>10</v>
      </c>
      <c r="W66" s="33">
        <v>0</v>
      </c>
      <c r="X66" s="33">
        <f t="shared" si="4"/>
        <v>1026.2241172655024</v>
      </c>
      <c r="Y66" s="38">
        <f t="shared" si="5"/>
        <v>849.18821546042432</v>
      </c>
      <c r="AA66" s="71">
        <v>61</v>
      </c>
      <c r="AB66" s="33">
        <f t="shared" si="6"/>
        <v>29</v>
      </c>
      <c r="AC66" s="305">
        <f t="shared" si="41"/>
        <v>0.4</v>
      </c>
      <c r="AD66" s="100">
        <f t="shared" si="8"/>
        <v>0.11199999999999999</v>
      </c>
      <c r="AE66" s="100">
        <f t="shared" si="9"/>
        <v>8.7999999999999981E-2</v>
      </c>
      <c r="AF66" s="194">
        <f t="shared" si="36"/>
        <v>48.754891045622969</v>
      </c>
      <c r="AG66" s="194">
        <f t="shared" si="37"/>
        <v>57.698237741878849</v>
      </c>
      <c r="AH66" s="194">
        <f t="shared" si="38"/>
        <v>2.3644926997984288</v>
      </c>
      <c r="AI66" s="199">
        <f t="shared" si="39"/>
        <v>108.81762148730024</v>
      </c>
      <c r="AK66" s="71">
        <v>61</v>
      </c>
      <c r="AL66" s="33">
        <f t="shared" si="10"/>
        <v>29</v>
      </c>
      <c r="AM66" s="33">
        <f t="shared" si="11"/>
        <v>0.8</v>
      </c>
      <c r="AN66" s="33">
        <f t="shared" si="12"/>
        <v>0.11199999999999999</v>
      </c>
      <c r="AO66" s="33">
        <f t="shared" si="13"/>
        <v>8.7999999999999981E-2</v>
      </c>
      <c r="AP66" s="33">
        <f t="shared" si="14"/>
        <v>0</v>
      </c>
      <c r="AQ66" s="194">
        <f t="shared" si="15"/>
        <v>23.200000000000003</v>
      </c>
      <c r="AR66" s="194">
        <f t="shared" si="16"/>
        <v>3.2479999999999998</v>
      </c>
      <c r="AS66" s="194">
        <f t="shared" si="17"/>
        <v>2.5519999999999996</v>
      </c>
      <c r="AT66" s="194">
        <f t="shared" si="18"/>
        <v>0</v>
      </c>
      <c r="AU66" s="33"/>
      <c r="AV66" s="33"/>
      <c r="AW66" s="33"/>
      <c r="AX66" s="33"/>
      <c r="AY66" s="76"/>
    </row>
    <row r="67" spans="2:51">
      <c r="B67" s="40"/>
      <c r="C67" s="152"/>
      <c r="D67" s="137"/>
      <c r="E67" s="141"/>
      <c r="F67" s="42"/>
      <c r="G67" s="51"/>
      <c r="I67" s="55">
        <v>62</v>
      </c>
      <c r="J67" s="33">
        <f t="shared" si="21"/>
        <v>5</v>
      </c>
      <c r="K67" s="33">
        <f t="shared" si="22"/>
        <v>1.910565629709926</v>
      </c>
      <c r="L67" s="33">
        <f t="shared" si="23"/>
        <v>45</v>
      </c>
      <c r="M67" s="33">
        <f t="shared" si="24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9"/>
        <v>-37.700000000000045</v>
      </c>
      <c r="R67" s="33">
        <f t="shared" si="25"/>
        <v>790.4</v>
      </c>
      <c r="S67" s="33">
        <f t="shared" si="26"/>
        <v>339.87199999999996</v>
      </c>
      <c r="T67" s="33">
        <f t="shared" si="2"/>
        <v>79.473500231862786</v>
      </c>
      <c r="U67" s="33">
        <f t="shared" si="20"/>
        <v>61.55245535263218</v>
      </c>
      <c r="V67" s="33">
        <f t="shared" si="3"/>
        <v>10</v>
      </c>
      <c r="W67" s="33">
        <v>0</v>
      </c>
      <c r="X67" s="33">
        <f t="shared" si="4"/>
        <v>992.71908253014556</v>
      </c>
      <c r="Y67" s="38">
        <f t="shared" si="5"/>
        <v>815.68318072506747</v>
      </c>
      <c r="AA67" s="71">
        <v>62</v>
      </c>
      <c r="AB67" s="33">
        <f t="shared" si="6"/>
        <v>0</v>
      </c>
      <c r="AC67" s="305">
        <f t="shared" si="41"/>
        <v>0</v>
      </c>
      <c r="AD67" s="100">
        <f t="shared" si="8"/>
        <v>0</v>
      </c>
      <c r="AE67" s="100">
        <f t="shared" si="9"/>
        <v>0</v>
      </c>
      <c r="AF67" s="194">
        <f t="shared" si="36"/>
        <v>47.798837369765501</v>
      </c>
      <c r="AG67" s="194">
        <f t="shared" si="37"/>
        <v>56.120476396608723</v>
      </c>
      <c r="AH67" s="194">
        <f t="shared" si="38"/>
        <v>1.6719488220935568</v>
      </c>
      <c r="AI67" s="199">
        <f t="shared" si="39"/>
        <v>105.59126258846777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4">
        <f t="shared" si="15"/>
        <v>0</v>
      </c>
      <c r="AR67" s="194">
        <f t="shared" si="16"/>
        <v>0</v>
      </c>
      <c r="AS67" s="194">
        <f t="shared" si="17"/>
        <v>0</v>
      </c>
      <c r="AT67" s="194">
        <f t="shared" si="18"/>
        <v>0</v>
      </c>
      <c r="AU67" s="33"/>
      <c r="AV67" s="33"/>
      <c r="AW67" s="33"/>
      <c r="AX67" s="33"/>
      <c r="AY67" s="76"/>
    </row>
    <row r="68" spans="2:51">
      <c r="B68" s="40"/>
      <c r="C68" s="152"/>
      <c r="D68" s="137"/>
      <c r="E68" s="141"/>
      <c r="F68" s="42"/>
      <c r="G68" s="51"/>
      <c r="I68" s="55">
        <v>63</v>
      </c>
      <c r="J68" s="33">
        <f t="shared" si="21"/>
        <v>5</v>
      </c>
      <c r="K68" s="33">
        <f t="shared" si="22"/>
        <v>1.910565629709926</v>
      </c>
      <c r="L68" s="33">
        <f t="shared" si="23"/>
        <v>45</v>
      </c>
      <c r="M68" s="33">
        <f t="shared" si="24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9"/>
        <v>-37.700000000000045</v>
      </c>
      <c r="R68" s="33">
        <f t="shared" si="25"/>
        <v>752.69999999999993</v>
      </c>
      <c r="S68" s="33">
        <f t="shared" si="26"/>
        <v>323.66099999999994</v>
      </c>
      <c r="T68" s="33">
        <f t="shared" si="2"/>
        <v>76.114590855840419</v>
      </c>
      <c r="U68" s="33">
        <f t="shared" si="20"/>
        <v>61.699001366383484</v>
      </c>
      <c r="V68" s="33">
        <f t="shared" si="3"/>
        <v>10</v>
      </c>
      <c r="W68" s="33">
        <v>0</v>
      </c>
      <c r="X68" s="33">
        <f t="shared" si="4"/>
        <v>959.17215908399476</v>
      </c>
      <c r="Y68" s="38">
        <f t="shared" si="5"/>
        <v>782.13625727891667</v>
      </c>
      <c r="AA68" s="71">
        <v>63</v>
      </c>
      <c r="AB68" s="33">
        <f t="shared" si="6"/>
        <v>0</v>
      </c>
      <c r="AC68" s="305">
        <f t="shared" si="41"/>
        <v>0</v>
      </c>
      <c r="AD68" s="100">
        <f t="shared" si="8"/>
        <v>0</v>
      </c>
      <c r="AE68" s="100">
        <f t="shared" si="9"/>
        <v>0</v>
      </c>
      <c r="AF68" s="194">
        <f t="shared" si="36"/>
        <v>46.861531323356438</v>
      </c>
      <c r="AG68" s="194">
        <f t="shared" si="37"/>
        <v>54.585859018295871</v>
      </c>
      <c r="AH68" s="194">
        <f t="shared" si="38"/>
        <v>1.1822463498992146</v>
      </c>
      <c r="AI68" s="199">
        <f t="shared" si="39"/>
        <v>102.62963669155153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4">
        <f t="shared" si="15"/>
        <v>0</v>
      </c>
      <c r="AR68" s="194">
        <f t="shared" si="16"/>
        <v>0</v>
      </c>
      <c r="AS68" s="194">
        <f t="shared" si="17"/>
        <v>0</v>
      </c>
      <c r="AT68" s="194">
        <f t="shared" si="18"/>
        <v>0</v>
      </c>
      <c r="AU68" s="33"/>
      <c r="AV68" s="33"/>
      <c r="AW68" s="33"/>
      <c r="AX68" s="33"/>
      <c r="AY68" s="76"/>
    </row>
    <row r="69" spans="2:51">
      <c r="B69" s="40"/>
      <c r="C69" s="152"/>
      <c r="D69" s="137"/>
      <c r="E69" s="141"/>
      <c r="F69" s="42"/>
      <c r="G69" s="51"/>
      <c r="I69" s="55">
        <v>64</v>
      </c>
      <c r="J69" s="33">
        <f t="shared" si="21"/>
        <v>5</v>
      </c>
      <c r="K69" s="33">
        <f t="shared" si="22"/>
        <v>1.910565629709926</v>
      </c>
      <c r="L69" s="33">
        <f t="shared" si="23"/>
        <v>45</v>
      </c>
      <c r="M69" s="33">
        <f t="shared" si="24"/>
        <v>0</v>
      </c>
      <c r="N69" s="33">
        <f t="shared" ref="N69:N132" si="42">IF(P70&lt;=$F$18,0,)</f>
        <v>0</v>
      </c>
      <c r="O69" s="34">
        <f t="shared" ref="O69:O132" si="43">((J69+K69)*0.475+L69+M69+N69)*44/12</f>
        <v>177.03590180507811</v>
      </c>
      <c r="P69" s="55">
        <v>64</v>
      </c>
      <c r="Q69" s="33">
        <f t="shared" si="19"/>
        <v>-37.700000000000045</v>
      </c>
      <c r="R69" s="33">
        <f t="shared" si="25"/>
        <v>714.99999999999989</v>
      </c>
      <c r="S69" s="33">
        <f t="shared" si="26"/>
        <v>307.44999999999993</v>
      </c>
      <c r="T69" s="33">
        <f t="shared" ref="T69:T132" si="44">IF(S69=0,0,EXP(-1.0587+0.8836*LN(S69)+0.284))</f>
        <v>72.736032945200179</v>
      </c>
      <c r="U69" s="33">
        <f t="shared" si="20"/>
        <v>61.843005134424018</v>
      </c>
      <c r="V69" s="33">
        <f t="shared" ref="V69:V132" si="45">IF(P69&lt;=$F$18,IF(P69&lt;=30,P69*($F$16-$F$6)/30,$F$16-$F$6),)</f>
        <v>10</v>
      </c>
      <c r="W69" s="33">
        <v>0</v>
      </c>
      <c r="X69" s="33">
        <f t="shared" ref="X69:X132" si="46">((S69+T69)*0.475+U69+V69+W69)*44/12</f>
        <v>925.58169287244493</v>
      </c>
      <c r="Y69" s="38">
        <f t="shared" ref="Y69:Y132" si="47">IF(P69&lt;=$F$18,X69-O69,)</f>
        <v>748.54579106736685</v>
      </c>
      <c r="AA69" s="71">
        <v>64</v>
      </c>
      <c r="AB69" s="33">
        <f t="shared" ref="AB69:AB132" si="48">IF(AA69&lt;=$F$18,IFERROR(VLOOKUP($AA69,$B$82:$G$94,2,FALSE),0),)</f>
        <v>0</v>
      </c>
      <c r="AC69" s="305">
        <f t="shared" si="41"/>
        <v>0</v>
      </c>
      <c r="AD69" s="100">
        <f t="shared" ref="AD69:AD132" si="49">IF(AA69&lt;=$F$18,IFERROR(VLOOKUP($AA69,$B$82:$G$94,4,FALSE),0),)</f>
        <v>0</v>
      </c>
      <c r="AE69" s="100">
        <f t="shared" ref="AE69:AE132" si="50">IF(AA69&lt;=$F$18,IFERROR(VLOOKUP($AA69,$B$82:$G$94,5,FALSE),0),)</f>
        <v>0</v>
      </c>
      <c r="AF69" s="194">
        <f t="shared" si="36"/>
        <v>45.942605276817218</v>
      </c>
      <c r="AG69" s="194">
        <f t="shared" si="37"/>
        <v>53.093205832895002</v>
      </c>
      <c r="AH69" s="194">
        <f t="shared" si="38"/>
        <v>0.8359744110467785</v>
      </c>
      <c r="AI69" s="199">
        <f t="shared" si="39"/>
        <v>99.871785520759005</v>
      </c>
      <c r="AK69" s="71">
        <v>64</v>
      </c>
      <c r="AL69" s="33">
        <f t="shared" ref="AL69:AL132" si="51">IF(AK69&lt;=$F$18,IFERROR(VLOOKUP($AA69,$B$82:$G$94,2,FALSE),0),)</f>
        <v>0</v>
      </c>
      <c r="AM69" s="33">
        <f t="shared" ref="AM69:AM132" si="52">IF(AK69&lt;=$F$18,IFERROR(VLOOKUP($AA69,$B$82:$G$94,3,FALSE),0),)</f>
        <v>0</v>
      </c>
      <c r="AN69" s="33">
        <f t="shared" ref="AN69:AN132" si="53">IF(AK69&lt;=$F$18,IFERROR(VLOOKUP($AA69,$B$82:$G$94,4,FALSE),0),)</f>
        <v>0</v>
      </c>
      <c r="AO69" s="33">
        <f t="shared" ref="AO69:AO132" si="54">IF(AK69&lt;=$F$18,IFERROR(VLOOKUP($AA69,$B$82:$G$94,5,FALSE),0),)</f>
        <v>0</v>
      </c>
      <c r="AP69" s="33">
        <f t="shared" ref="AP69:AP132" si="55">IF(AK69&lt;=$F$18,IFERROR(VLOOKUP($AA69,$B$82:$G$94,6,FALSE),0),)</f>
        <v>0</v>
      </c>
      <c r="AQ69" s="194">
        <f t="shared" ref="AQ69:AT132" si="56">IF($AK69&lt;=$F$18,$AL69*AM69,)</f>
        <v>0</v>
      </c>
      <c r="AR69" s="194">
        <f t="shared" si="56"/>
        <v>0</v>
      </c>
      <c r="AS69" s="194">
        <f t="shared" si="56"/>
        <v>0</v>
      </c>
      <c r="AT69" s="194">
        <f t="shared" si="56"/>
        <v>0</v>
      </c>
      <c r="AU69" s="33"/>
      <c r="AV69" s="33"/>
      <c r="AW69" s="33"/>
      <c r="AX69" s="33"/>
      <c r="AY69" s="76"/>
    </row>
    <row r="70" spans="2:51">
      <c r="B70" s="40"/>
      <c r="C70" s="152"/>
      <c r="D70" s="137"/>
      <c r="E70" s="141"/>
      <c r="F70" s="42"/>
      <c r="G70" s="51"/>
      <c r="I70" s="55">
        <v>65</v>
      </c>
      <c r="J70" s="33">
        <f t="shared" si="21"/>
        <v>5</v>
      </c>
      <c r="K70" s="33">
        <f t="shared" si="22"/>
        <v>1.910565629709926</v>
      </c>
      <c r="L70" s="33">
        <f t="shared" si="23"/>
        <v>45</v>
      </c>
      <c r="M70" s="33">
        <f t="shared" si="24"/>
        <v>0</v>
      </c>
      <c r="N70" s="33">
        <f t="shared" si="42"/>
        <v>0</v>
      </c>
      <c r="O70" s="34">
        <f t="shared" si="43"/>
        <v>177.03590180507811</v>
      </c>
      <c r="P70" s="55">
        <v>65</v>
      </c>
      <c r="Q70" s="33">
        <f t="shared" ref="Q70:Q133" si="57">IF(P70&lt;=$F$18,LOOKUP(P70-1,$B$25:$B$78,$G$25:$G$78),)</f>
        <v>-37.700000000000045</v>
      </c>
      <c r="R70" s="33">
        <f t="shared" si="25"/>
        <v>677.29999999999984</v>
      </c>
      <c r="S70" s="33">
        <f t="shared" si="26"/>
        <v>291.23899999999992</v>
      </c>
      <c r="T70" s="33">
        <f t="shared" si="44"/>
        <v>69.33666528436234</v>
      </c>
      <c r="U70" s="33">
        <f t="shared" ref="U70:U133" si="58">IF(P70&lt;=$F$18,$F$5+($F$15-$F$5)*(1-EXP(-0.0175*P70)),)</f>
        <v>61.984510759033235</v>
      </c>
      <c r="V70" s="33">
        <f t="shared" si="45"/>
        <v>10</v>
      </c>
      <c r="W70" s="33">
        <v>0</v>
      </c>
      <c r="X70" s="33">
        <f t="shared" si="46"/>
        <v>891.94582315338596</v>
      </c>
      <c r="Y70" s="38">
        <f t="shared" si="47"/>
        <v>714.90992134830788</v>
      </c>
      <c r="AA70" s="71">
        <v>65</v>
      </c>
      <c r="AB70" s="33">
        <f t="shared" si="48"/>
        <v>637</v>
      </c>
      <c r="AC70" s="305">
        <f t="shared" si="41"/>
        <v>0.47499999999999998</v>
      </c>
      <c r="AD70" s="100">
        <f t="shared" si="49"/>
        <v>2.8000000000000028E-2</v>
      </c>
      <c r="AE70" s="100">
        <f t="shared" si="50"/>
        <v>2.200000000000002E-2</v>
      </c>
      <c r="AF70" s="194">
        <f t="shared" si="36"/>
        <v>269.41604802804301</v>
      </c>
      <c r="AG70" s="194">
        <f t="shared" si="37"/>
        <v>64.815569861120608</v>
      </c>
      <c r="AH70" s="194">
        <f t="shared" si="38"/>
        <v>9.4608339853521795</v>
      </c>
      <c r="AI70" s="199">
        <f t="shared" si="39"/>
        <v>343.69245187451577</v>
      </c>
      <c r="AK70" s="71">
        <v>65</v>
      </c>
      <c r="AL70" s="33">
        <f t="shared" si="51"/>
        <v>637</v>
      </c>
      <c r="AM70" s="33">
        <f t="shared" si="52"/>
        <v>0.95</v>
      </c>
      <c r="AN70" s="33">
        <f t="shared" si="53"/>
        <v>2.8000000000000028E-2</v>
      </c>
      <c r="AO70" s="33">
        <f t="shared" si="54"/>
        <v>2.200000000000002E-2</v>
      </c>
      <c r="AP70" s="33">
        <f t="shared" si="55"/>
        <v>0</v>
      </c>
      <c r="AQ70" s="194">
        <f t="shared" si="56"/>
        <v>605.15</v>
      </c>
      <c r="AR70" s="194">
        <f t="shared" si="56"/>
        <v>17.836000000000016</v>
      </c>
      <c r="AS70" s="194">
        <f t="shared" si="56"/>
        <v>14.014000000000012</v>
      </c>
      <c r="AT70" s="194">
        <f t="shared" si="56"/>
        <v>0</v>
      </c>
      <c r="AU70" s="33"/>
      <c r="AV70" s="33"/>
      <c r="AW70" s="33"/>
      <c r="AX70" s="33"/>
      <c r="AY70" s="76"/>
    </row>
    <row r="71" spans="2:51">
      <c r="B71" s="40"/>
      <c r="C71" s="152"/>
      <c r="D71" s="137"/>
      <c r="E71" s="141"/>
      <c r="F71" s="42"/>
      <c r="G71" s="51"/>
      <c r="I71" s="55">
        <v>66</v>
      </c>
      <c r="J71" s="33">
        <f t="shared" ref="J71:J134" si="59">IF($I71&lt;=$F$10,$F$11*$F$13+J70,)</f>
        <v>0</v>
      </c>
      <c r="K71" s="33">
        <f t="shared" ref="K71:K134" si="60">IF(J71=0,0,EXP(-1.0587+0.8836*LN(J71)+0.284))</f>
        <v>0</v>
      </c>
      <c r="L71" s="33">
        <f t="shared" ref="L71:L134" si="61">IF(I71&lt;=$F$10,$F$5+($F$8-$F$5)*(1-EXP(-0.0175*I71)),)</f>
        <v>0</v>
      </c>
      <c r="M71" s="33">
        <f t="shared" ref="M71:M134" si="62">IF(I71&lt;=$F$10,IF(I71&lt;=30,I71*($F$9-$F$6)/30,$F$9-$F$6),)</f>
        <v>0</v>
      </c>
      <c r="N71" s="33">
        <f t="shared" si="42"/>
        <v>0</v>
      </c>
      <c r="O71" s="34">
        <f t="shared" si="43"/>
        <v>0</v>
      </c>
      <c r="P71" s="55">
        <v>66</v>
      </c>
      <c r="Q71" s="33">
        <f t="shared" si="57"/>
        <v>0</v>
      </c>
      <c r="R71" s="33">
        <f t="shared" ref="R71:R134" si="63">IF(P71&lt;=$F$18,Q71+R70,)</f>
        <v>0</v>
      </c>
      <c r="S71" s="33">
        <f t="shared" ref="S71:S134" si="64">$F$19*R71</f>
        <v>0</v>
      </c>
      <c r="T71" s="33">
        <f t="shared" si="44"/>
        <v>0</v>
      </c>
      <c r="U71" s="33">
        <f t="shared" si="58"/>
        <v>0</v>
      </c>
      <c r="V71" s="33">
        <f t="shared" si="45"/>
        <v>0</v>
      </c>
      <c r="W71" s="33">
        <v>0</v>
      </c>
      <c r="X71" s="33">
        <f t="shared" si="46"/>
        <v>0</v>
      </c>
      <c r="Y71" s="38">
        <f t="shared" si="47"/>
        <v>0</v>
      </c>
      <c r="AA71" s="71">
        <v>66</v>
      </c>
      <c r="AB71" s="33">
        <f t="shared" si="48"/>
        <v>0</v>
      </c>
      <c r="AC71" s="305">
        <f t="shared" si="41"/>
        <v>0</v>
      </c>
      <c r="AD71" s="100">
        <f t="shared" si="49"/>
        <v>0</v>
      </c>
      <c r="AE71" s="100">
        <f t="shared" si="50"/>
        <v>0</v>
      </c>
      <c r="AF71" s="194">
        <f t="shared" si="36"/>
        <v>0</v>
      </c>
      <c r="AG71" s="194">
        <f t="shared" si="37"/>
        <v>0</v>
      </c>
      <c r="AH71" s="194">
        <f t="shared" si="38"/>
        <v>0</v>
      </c>
      <c r="AI71" s="199">
        <f t="shared" si="39"/>
        <v>0</v>
      </c>
      <c r="AK71" s="71">
        <v>66</v>
      </c>
      <c r="AL71" s="33">
        <f t="shared" si="51"/>
        <v>0</v>
      </c>
      <c r="AM71" s="33">
        <f t="shared" si="52"/>
        <v>0</v>
      </c>
      <c r="AN71" s="33">
        <f t="shared" si="53"/>
        <v>0</v>
      </c>
      <c r="AO71" s="33">
        <f t="shared" si="54"/>
        <v>0</v>
      </c>
      <c r="AP71" s="33">
        <f t="shared" si="55"/>
        <v>0</v>
      </c>
      <c r="AQ71" s="194">
        <f t="shared" si="56"/>
        <v>0</v>
      </c>
      <c r="AR71" s="194">
        <f t="shared" si="56"/>
        <v>0</v>
      </c>
      <c r="AS71" s="194">
        <f t="shared" si="56"/>
        <v>0</v>
      </c>
      <c r="AT71" s="194">
        <f t="shared" si="56"/>
        <v>0</v>
      </c>
      <c r="AU71" s="33"/>
      <c r="AV71" s="33"/>
      <c r="AW71" s="33"/>
      <c r="AX71" s="33"/>
      <c r="AY71" s="76"/>
    </row>
    <row r="72" spans="2:51">
      <c r="B72" s="40"/>
      <c r="C72" s="152"/>
      <c r="D72" s="137"/>
      <c r="E72" s="141"/>
      <c r="F72" s="42"/>
      <c r="G72" s="51"/>
      <c r="I72" s="55">
        <v>67</v>
      </c>
      <c r="J72" s="33">
        <f t="shared" si="59"/>
        <v>0</v>
      </c>
      <c r="K72" s="33">
        <f t="shared" si="60"/>
        <v>0</v>
      </c>
      <c r="L72" s="33">
        <f t="shared" si="61"/>
        <v>0</v>
      </c>
      <c r="M72" s="33">
        <f t="shared" si="62"/>
        <v>0</v>
      </c>
      <c r="N72" s="33">
        <f t="shared" si="42"/>
        <v>0</v>
      </c>
      <c r="O72" s="34">
        <f t="shared" si="43"/>
        <v>0</v>
      </c>
      <c r="P72" s="55">
        <v>67</v>
      </c>
      <c r="Q72" s="33">
        <f t="shared" si="57"/>
        <v>0</v>
      </c>
      <c r="R72" s="33">
        <f t="shared" si="63"/>
        <v>0</v>
      </c>
      <c r="S72" s="33">
        <f t="shared" si="64"/>
        <v>0</v>
      </c>
      <c r="T72" s="33">
        <f t="shared" si="44"/>
        <v>0</v>
      </c>
      <c r="U72" s="33">
        <f t="shared" si="58"/>
        <v>0</v>
      </c>
      <c r="V72" s="33">
        <f t="shared" si="45"/>
        <v>0</v>
      </c>
      <c r="W72" s="33">
        <v>0</v>
      </c>
      <c r="X72" s="33">
        <f t="shared" si="46"/>
        <v>0</v>
      </c>
      <c r="Y72" s="38">
        <f t="shared" si="47"/>
        <v>0</v>
      </c>
      <c r="AA72" s="71">
        <v>67</v>
      </c>
      <c r="AB72" s="33">
        <f t="shared" si="48"/>
        <v>0</v>
      </c>
      <c r="AC72" s="305">
        <f t="shared" si="41"/>
        <v>0</v>
      </c>
      <c r="AD72" s="100">
        <f t="shared" si="49"/>
        <v>0</v>
      </c>
      <c r="AE72" s="100">
        <f t="shared" si="50"/>
        <v>0</v>
      </c>
      <c r="AF72" s="194">
        <f t="shared" si="36"/>
        <v>0</v>
      </c>
      <c r="AG72" s="194">
        <f t="shared" si="37"/>
        <v>0</v>
      </c>
      <c r="AH72" s="194">
        <f t="shared" si="38"/>
        <v>0</v>
      </c>
      <c r="AI72" s="199">
        <f t="shared" si="39"/>
        <v>0</v>
      </c>
      <c r="AK72" s="71">
        <v>67</v>
      </c>
      <c r="AL72" s="33">
        <f t="shared" si="51"/>
        <v>0</v>
      </c>
      <c r="AM72" s="33">
        <f t="shared" si="52"/>
        <v>0</v>
      </c>
      <c r="AN72" s="33">
        <f t="shared" si="53"/>
        <v>0</v>
      </c>
      <c r="AO72" s="33">
        <f t="shared" si="54"/>
        <v>0</v>
      </c>
      <c r="AP72" s="33">
        <f t="shared" si="55"/>
        <v>0</v>
      </c>
      <c r="AQ72" s="194">
        <f t="shared" si="56"/>
        <v>0</v>
      </c>
      <c r="AR72" s="194">
        <f t="shared" si="56"/>
        <v>0</v>
      </c>
      <c r="AS72" s="194">
        <f t="shared" si="56"/>
        <v>0</v>
      </c>
      <c r="AT72" s="194">
        <f t="shared" si="56"/>
        <v>0</v>
      </c>
      <c r="AU72" s="33"/>
      <c r="AV72" s="33"/>
      <c r="AW72" s="33"/>
      <c r="AX72" s="33"/>
      <c r="AY72" s="76"/>
    </row>
    <row r="73" spans="2:51">
      <c r="B73" s="40"/>
      <c r="C73" s="152"/>
      <c r="D73" s="137"/>
      <c r="E73" s="141"/>
      <c r="F73" s="42"/>
      <c r="G73" s="51"/>
      <c r="I73" s="55">
        <v>68</v>
      </c>
      <c r="J73" s="33">
        <f t="shared" si="59"/>
        <v>0</v>
      </c>
      <c r="K73" s="33">
        <f t="shared" si="60"/>
        <v>0</v>
      </c>
      <c r="L73" s="33">
        <f t="shared" si="61"/>
        <v>0</v>
      </c>
      <c r="M73" s="33">
        <f t="shared" si="62"/>
        <v>0</v>
      </c>
      <c r="N73" s="33">
        <f t="shared" si="42"/>
        <v>0</v>
      </c>
      <c r="O73" s="34">
        <f t="shared" si="43"/>
        <v>0</v>
      </c>
      <c r="P73" s="55">
        <v>68</v>
      </c>
      <c r="Q73" s="33">
        <f t="shared" si="57"/>
        <v>0</v>
      </c>
      <c r="R73" s="33">
        <f t="shared" si="63"/>
        <v>0</v>
      </c>
      <c r="S73" s="33">
        <f t="shared" si="64"/>
        <v>0</v>
      </c>
      <c r="T73" s="33">
        <f t="shared" si="44"/>
        <v>0</v>
      </c>
      <c r="U73" s="33">
        <f t="shared" si="58"/>
        <v>0</v>
      </c>
      <c r="V73" s="33">
        <f t="shared" si="45"/>
        <v>0</v>
      </c>
      <c r="W73" s="33">
        <v>0</v>
      </c>
      <c r="X73" s="33">
        <f t="shared" si="46"/>
        <v>0</v>
      </c>
      <c r="Y73" s="38">
        <f t="shared" si="47"/>
        <v>0</v>
      </c>
      <c r="AA73" s="71">
        <v>68</v>
      </c>
      <c r="AB73" s="33">
        <f t="shared" si="48"/>
        <v>0</v>
      </c>
      <c r="AC73" s="305">
        <f t="shared" si="41"/>
        <v>0</v>
      </c>
      <c r="AD73" s="100">
        <f t="shared" si="49"/>
        <v>0</v>
      </c>
      <c r="AE73" s="100">
        <f t="shared" si="50"/>
        <v>0</v>
      </c>
      <c r="AF73" s="194">
        <f t="shared" si="36"/>
        <v>0</v>
      </c>
      <c r="AG73" s="194">
        <f t="shared" si="37"/>
        <v>0</v>
      </c>
      <c r="AH73" s="194">
        <f t="shared" si="38"/>
        <v>0</v>
      </c>
      <c r="AI73" s="199">
        <f t="shared" si="39"/>
        <v>0</v>
      </c>
      <c r="AK73" s="71">
        <v>68</v>
      </c>
      <c r="AL73" s="33">
        <f t="shared" si="51"/>
        <v>0</v>
      </c>
      <c r="AM73" s="33">
        <f t="shared" si="52"/>
        <v>0</v>
      </c>
      <c r="AN73" s="33">
        <f t="shared" si="53"/>
        <v>0</v>
      </c>
      <c r="AO73" s="33">
        <f t="shared" si="54"/>
        <v>0</v>
      </c>
      <c r="AP73" s="33">
        <f t="shared" si="55"/>
        <v>0</v>
      </c>
      <c r="AQ73" s="194">
        <f t="shared" si="56"/>
        <v>0</v>
      </c>
      <c r="AR73" s="194">
        <f t="shared" si="56"/>
        <v>0</v>
      </c>
      <c r="AS73" s="194">
        <f t="shared" si="56"/>
        <v>0</v>
      </c>
      <c r="AT73" s="194">
        <f t="shared" si="56"/>
        <v>0</v>
      </c>
      <c r="AU73" s="33"/>
      <c r="AV73" s="33"/>
      <c r="AW73" s="33"/>
      <c r="AX73" s="33"/>
      <c r="AY73" s="76"/>
    </row>
    <row r="74" spans="2:51">
      <c r="B74" s="40"/>
      <c r="C74" s="152"/>
      <c r="D74" s="137"/>
      <c r="E74" s="141"/>
      <c r="F74" s="42"/>
      <c r="G74" s="51"/>
      <c r="I74" s="55">
        <v>69</v>
      </c>
      <c r="J74" s="33">
        <f t="shared" si="59"/>
        <v>0</v>
      </c>
      <c r="K74" s="33">
        <f t="shared" si="60"/>
        <v>0</v>
      </c>
      <c r="L74" s="33">
        <f t="shared" si="61"/>
        <v>0</v>
      </c>
      <c r="M74" s="33">
        <f t="shared" si="62"/>
        <v>0</v>
      </c>
      <c r="N74" s="33">
        <f t="shared" si="42"/>
        <v>0</v>
      </c>
      <c r="O74" s="34">
        <f t="shared" si="43"/>
        <v>0</v>
      </c>
      <c r="P74" s="55">
        <v>69</v>
      </c>
      <c r="Q74" s="33">
        <f t="shared" si="57"/>
        <v>0</v>
      </c>
      <c r="R74" s="33">
        <f t="shared" si="63"/>
        <v>0</v>
      </c>
      <c r="S74" s="33">
        <f t="shared" si="64"/>
        <v>0</v>
      </c>
      <c r="T74" s="33">
        <f t="shared" si="44"/>
        <v>0</v>
      </c>
      <c r="U74" s="33">
        <f t="shared" si="58"/>
        <v>0</v>
      </c>
      <c r="V74" s="33">
        <f t="shared" si="45"/>
        <v>0</v>
      </c>
      <c r="W74" s="33">
        <v>0</v>
      </c>
      <c r="X74" s="33">
        <f t="shared" si="46"/>
        <v>0</v>
      </c>
      <c r="Y74" s="38">
        <f t="shared" si="47"/>
        <v>0</v>
      </c>
      <c r="AA74" s="71">
        <v>69</v>
      </c>
      <c r="AB74" s="33">
        <f t="shared" si="48"/>
        <v>0</v>
      </c>
      <c r="AC74" s="305">
        <f t="shared" si="41"/>
        <v>0</v>
      </c>
      <c r="AD74" s="100">
        <f t="shared" si="49"/>
        <v>0</v>
      </c>
      <c r="AE74" s="100">
        <f t="shared" si="50"/>
        <v>0</v>
      </c>
      <c r="AF74" s="194">
        <f t="shared" si="36"/>
        <v>0</v>
      </c>
      <c r="AG74" s="194">
        <f t="shared" si="37"/>
        <v>0</v>
      </c>
      <c r="AH74" s="194">
        <f t="shared" si="38"/>
        <v>0</v>
      </c>
      <c r="AI74" s="199">
        <f t="shared" si="39"/>
        <v>0</v>
      </c>
      <c r="AK74" s="71">
        <v>69</v>
      </c>
      <c r="AL74" s="33">
        <f t="shared" si="51"/>
        <v>0</v>
      </c>
      <c r="AM74" s="33">
        <f t="shared" si="52"/>
        <v>0</v>
      </c>
      <c r="AN74" s="33">
        <f t="shared" si="53"/>
        <v>0</v>
      </c>
      <c r="AO74" s="33">
        <f t="shared" si="54"/>
        <v>0</v>
      </c>
      <c r="AP74" s="33">
        <f t="shared" si="55"/>
        <v>0</v>
      </c>
      <c r="AQ74" s="194">
        <f t="shared" si="56"/>
        <v>0</v>
      </c>
      <c r="AR74" s="194">
        <f t="shared" si="56"/>
        <v>0</v>
      </c>
      <c r="AS74" s="194">
        <f t="shared" si="56"/>
        <v>0</v>
      </c>
      <c r="AT74" s="194">
        <f t="shared" si="56"/>
        <v>0</v>
      </c>
      <c r="AU74" s="33"/>
      <c r="AV74" s="33"/>
      <c r="AW74" s="33"/>
      <c r="AX74" s="33"/>
      <c r="AY74" s="76"/>
    </row>
    <row r="75" spans="2:51">
      <c r="B75" s="40"/>
      <c r="C75" s="152"/>
      <c r="D75" s="137"/>
      <c r="E75" s="141"/>
      <c r="F75" s="42"/>
      <c r="G75" s="51"/>
      <c r="I75" s="55">
        <v>70</v>
      </c>
      <c r="J75" s="33">
        <f t="shared" si="59"/>
        <v>0</v>
      </c>
      <c r="K75" s="33">
        <f t="shared" si="60"/>
        <v>0</v>
      </c>
      <c r="L75" s="33">
        <f t="shared" si="61"/>
        <v>0</v>
      </c>
      <c r="M75" s="33">
        <f t="shared" si="62"/>
        <v>0</v>
      </c>
      <c r="N75" s="33">
        <f t="shared" si="42"/>
        <v>0</v>
      </c>
      <c r="O75" s="34">
        <f t="shared" si="43"/>
        <v>0</v>
      </c>
      <c r="P75" s="55">
        <v>70</v>
      </c>
      <c r="Q75" s="33">
        <f t="shared" si="57"/>
        <v>0</v>
      </c>
      <c r="R75" s="33">
        <f t="shared" si="63"/>
        <v>0</v>
      </c>
      <c r="S75" s="33">
        <f t="shared" si="64"/>
        <v>0</v>
      </c>
      <c r="T75" s="33">
        <f t="shared" si="44"/>
        <v>0</v>
      </c>
      <c r="U75" s="33">
        <f t="shared" si="58"/>
        <v>0</v>
      </c>
      <c r="V75" s="33">
        <f t="shared" si="45"/>
        <v>0</v>
      </c>
      <c r="W75" s="33">
        <v>0</v>
      </c>
      <c r="X75" s="33">
        <f t="shared" si="46"/>
        <v>0</v>
      </c>
      <c r="Y75" s="38">
        <f t="shared" si="47"/>
        <v>0</v>
      </c>
      <c r="AA75" s="71">
        <v>70</v>
      </c>
      <c r="AB75" s="33">
        <f t="shared" si="48"/>
        <v>0</v>
      </c>
      <c r="AC75" s="305">
        <f t="shared" si="41"/>
        <v>0</v>
      </c>
      <c r="AD75" s="100">
        <f t="shared" si="49"/>
        <v>0</v>
      </c>
      <c r="AE75" s="100">
        <f t="shared" si="50"/>
        <v>0</v>
      </c>
      <c r="AF75" s="194">
        <f t="shared" si="36"/>
        <v>0</v>
      </c>
      <c r="AG75" s="194">
        <f t="shared" si="37"/>
        <v>0</v>
      </c>
      <c r="AH75" s="194">
        <f t="shared" si="38"/>
        <v>0</v>
      </c>
      <c r="AI75" s="199">
        <f t="shared" si="39"/>
        <v>0</v>
      </c>
      <c r="AK75" s="71">
        <v>70</v>
      </c>
      <c r="AL75" s="33">
        <f t="shared" si="51"/>
        <v>0</v>
      </c>
      <c r="AM75" s="33">
        <f t="shared" si="52"/>
        <v>0</v>
      </c>
      <c r="AN75" s="33">
        <f t="shared" si="53"/>
        <v>0</v>
      </c>
      <c r="AO75" s="33">
        <f t="shared" si="54"/>
        <v>0</v>
      </c>
      <c r="AP75" s="33">
        <f t="shared" si="55"/>
        <v>0</v>
      </c>
      <c r="AQ75" s="194">
        <f t="shared" si="56"/>
        <v>0</v>
      </c>
      <c r="AR75" s="194">
        <f t="shared" si="56"/>
        <v>0</v>
      </c>
      <c r="AS75" s="194">
        <f t="shared" si="56"/>
        <v>0</v>
      </c>
      <c r="AT75" s="194">
        <f t="shared" si="56"/>
        <v>0</v>
      </c>
      <c r="AU75" s="33"/>
      <c r="AV75" s="33"/>
      <c r="AW75" s="33"/>
      <c r="AX75" s="33"/>
      <c r="AY75" s="76"/>
    </row>
    <row r="76" spans="2:51">
      <c r="B76" s="40"/>
      <c r="C76" s="152"/>
      <c r="D76" s="137"/>
      <c r="E76" s="141"/>
      <c r="F76" s="42"/>
      <c r="G76" s="51"/>
      <c r="I76" s="55">
        <v>71</v>
      </c>
      <c r="J76" s="33">
        <f t="shared" si="59"/>
        <v>0</v>
      </c>
      <c r="K76" s="33">
        <f t="shared" si="60"/>
        <v>0</v>
      </c>
      <c r="L76" s="33">
        <f t="shared" si="61"/>
        <v>0</v>
      </c>
      <c r="M76" s="33">
        <f t="shared" si="62"/>
        <v>0</v>
      </c>
      <c r="N76" s="33">
        <f t="shared" si="42"/>
        <v>0</v>
      </c>
      <c r="O76" s="34">
        <f t="shared" si="43"/>
        <v>0</v>
      </c>
      <c r="P76" s="55">
        <v>71</v>
      </c>
      <c r="Q76" s="33">
        <f t="shared" si="57"/>
        <v>0</v>
      </c>
      <c r="R76" s="33">
        <f t="shared" si="63"/>
        <v>0</v>
      </c>
      <c r="S76" s="33">
        <f t="shared" si="64"/>
        <v>0</v>
      </c>
      <c r="T76" s="33">
        <f t="shared" si="44"/>
        <v>0</v>
      </c>
      <c r="U76" s="33">
        <f t="shared" si="58"/>
        <v>0</v>
      </c>
      <c r="V76" s="33">
        <f t="shared" si="45"/>
        <v>0</v>
      </c>
      <c r="W76" s="33">
        <v>0</v>
      </c>
      <c r="X76" s="33">
        <f t="shared" si="46"/>
        <v>0</v>
      </c>
      <c r="Y76" s="38">
        <f t="shared" si="47"/>
        <v>0</v>
      </c>
      <c r="AA76" s="71">
        <v>71</v>
      </c>
      <c r="AB76" s="33">
        <f t="shared" si="48"/>
        <v>0</v>
      </c>
      <c r="AC76" s="305">
        <f t="shared" si="41"/>
        <v>0</v>
      </c>
      <c r="AD76" s="100">
        <f t="shared" si="49"/>
        <v>0</v>
      </c>
      <c r="AE76" s="100">
        <f t="shared" si="50"/>
        <v>0</v>
      </c>
      <c r="AF76" s="194">
        <f t="shared" si="36"/>
        <v>0</v>
      </c>
      <c r="AG76" s="194">
        <f t="shared" si="37"/>
        <v>0</v>
      </c>
      <c r="AH76" s="194">
        <f t="shared" si="38"/>
        <v>0</v>
      </c>
      <c r="AI76" s="199">
        <f t="shared" si="39"/>
        <v>0</v>
      </c>
      <c r="AK76" s="71">
        <v>71</v>
      </c>
      <c r="AL76" s="33">
        <f t="shared" si="51"/>
        <v>0</v>
      </c>
      <c r="AM76" s="33">
        <f t="shared" si="52"/>
        <v>0</v>
      </c>
      <c r="AN76" s="33">
        <f t="shared" si="53"/>
        <v>0</v>
      </c>
      <c r="AO76" s="33">
        <f t="shared" si="54"/>
        <v>0</v>
      </c>
      <c r="AP76" s="33">
        <f t="shared" si="55"/>
        <v>0</v>
      </c>
      <c r="AQ76" s="194">
        <f t="shared" si="56"/>
        <v>0</v>
      </c>
      <c r="AR76" s="194">
        <f t="shared" si="56"/>
        <v>0</v>
      </c>
      <c r="AS76" s="194">
        <f t="shared" si="56"/>
        <v>0</v>
      </c>
      <c r="AT76" s="194">
        <f t="shared" si="56"/>
        <v>0</v>
      </c>
      <c r="AU76" s="33"/>
      <c r="AV76" s="33"/>
      <c r="AW76" s="33"/>
      <c r="AX76" s="33"/>
      <c r="AY76" s="76"/>
    </row>
    <row r="77" spans="2:51">
      <c r="B77" s="40"/>
      <c r="C77" s="152"/>
      <c r="D77" s="137"/>
      <c r="E77" s="141"/>
      <c r="F77" s="42"/>
      <c r="G77" s="51"/>
      <c r="I77" s="55">
        <v>72</v>
      </c>
      <c r="J77" s="33">
        <f t="shared" si="59"/>
        <v>0</v>
      </c>
      <c r="K77" s="33">
        <f t="shared" si="60"/>
        <v>0</v>
      </c>
      <c r="L77" s="33">
        <f t="shared" si="61"/>
        <v>0</v>
      </c>
      <c r="M77" s="33">
        <f t="shared" si="62"/>
        <v>0</v>
      </c>
      <c r="N77" s="33">
        <f t="shared" si="42"/>
        <v>0</v>
      </c>
      <c r="O77" s="34">
        <f t="shared" si="43"/>
        <v>0</v>
      </c>
      <c r="P77" s="55">
        <v>72</v>
      </c>
      <c r="Q77" s="33">
        <f t="shared" si="57"/>
        <v>0</v>
      </c>
      <c r="R77" s="33">
        <f t="shared" si="63"/>
        <v>0</v>
      </c>
      <c r="S77" s="33">
        <f t="shared" si="64"/>
        <v>0</v>
      </c>
      <c r="T77" s="33">
        <f t="shared" si="44"/>
        <v>0</v>
      </c>
      <c r="U77" s="33">
        <f t="shared" si="58"/>
        <v>0</v>
      </c>
      <c r="V77" s="33">
        <f t="shared" si="45"/>
        <v>0</v>
      </c>
      <c r="W77" s="33">
        <v>0</v>
      </c>
      <c r="X77" s="33">
        <f t="shared" si="46"/>
        <v>0</v>
      </c>
      <c r="Y77" s="38">
        <f t="shared" si="47"/>
        <v>0</v>
      </c>
      <c r="AA77" s="71">
        <v>72</v>
      </c>
      <c r="AB77" s="33">
        <f t="shared" si="48"/>
        <v>0</v>
      </c>
      <c r="AC77" s="305">
        <f t="shared" si="41"/>
        <v>0</v>
      </c>
      <c r="AD77" s="100">
        <f t="shared" si="49"/>
        <v>0</v>
      </c>
      <c r="AE77" s="100">
        <f t="shared" si="50"/>
        <v>0</v>
      </c>
      <c r="AF77" s="194">
        <f t="shared" si="36"/>
        <v>0</v>
      </c>
      <c r="AG77" s="194">
        <f t="shared" si="37"/>
        <v>0</v>
      </c>
      <c r="AH77" s="194">
        <f t="shared" si="38"/>
        <v>0</v>
      </c>
      <c r="AI77" s="199">
        <f t="shared" si="39"/>
        <v>0</v>
      </c>
      <c r="AK77" s="71">
        <v>72</v>
      </c>
      <c r="AL77" s="33">
        <f t="shared" si="51"/>
        <v>0</v>
      </c>
      <c r="AM77" s="33">
        <f t="shared" si="52"/>
        <v>0</v>
      </c>
      <c r="AN77" s="33">
        <f t="shared" si="53"/>
        <v>0</v>
      </c>
      <c r="AO77" s="33">
        <f t="shared" si="54"/>
        <v>0</v>
      </c>
      <c r="AP77" s="33">
        <f t="shared" si="55"/>
        <v>0</v>
      </c>
      <c r="AQ77" s="194">
        <f t="shared" si="56"/>
        <v>0</v>
      </c>
      <c r="AR77" s="194">
        <f t="shared" si="56"/>
        <v>0</v>
      </c>
      <c r="AS77" s="194">
        <f t="shared" si="56"/>
        <v>0</v>
      </c>
      <c r="AT77" s="194">
        <f t="shared" si="56"/>
        <v>0</v>
      </c>
      <c r="AU77" s="33"/>
      <c r="AV77" s="33"/>
      <c r="AW77" s="33"/>
      <c r="AX77" s="33"/>
      <c r="AY77" s="76"/>
    </row>
    <row r="78" spans="2:51">
      <c r="B78" s="43"/>
      <c r="C78" s="153"/>
      <c r="D78" s="154"/>
      <c r="E78" s="144"/>
      <c r="F78" s="44"/>
      <c r="G78" s="52"/>
      <c r="I78" s="55">
        <v>73</v>
      </c>
      <c r="J78" s="33">
        <f t="shared" si="59"/>
        <v>0</v>
      </c>
      <c r="K78" s="33">
        <f t="shared" si="60"/>
        <v>0</v>
      </c>
      <c r="L78" s="33">
        <f t="shared" si="61"/>
        <v>0</v>
      </c>
      <c r="M78" s="33">
        <f t="shared" si="62"/>
        <v>0</v>
      </c>
      <c r="N78" s="33">
        <f t="shared" si="42"/>
        <v>0</v>
      </c>
      <c r="O78" s="34">
        <f t="shared" si="43"/>
        <v>0</v>
      </c>
      <c r="P78" s="55">
        <v>73</v>
      </c>
      <c r="Q78" s="33">
        <f t="shared" si="57"/>
        <v>0</v>
      </c>
      <c r="R78" s="33">
        <f t="shared" si="63"/>
        <v>0</v>
      </c>
      <c r="S78" s="33">
        <f t="shared" si="64"/>
        <v>0</v>
      </c>
      <c r="T78" s="33">
        <f t="shared" si="44"/>
        <v>0</v>
      </c>
      <c r="U78" s="33">
        <f t="shared" si="58"/>
        <v>0</v>
      </c>
      <c r="V78" s="33">
        <f t="shared" si="45"/>
        <v>0</v>
      </c>
      <c r="W78" s="33">
        <v>0</v>
      </c>
      <c r="X78" s="33">
        <f t="shared" si="46"/>
        <v>0</v>
      </c>
      <c r="Y78" s="38">
        <f t="shared" si="47"/>
        <v>0</v>
      </c>
      <c r="AA78" s="71">
        <v>73</v>
      </c>
      <c r="AB78" s="33">
        <f t="shared" si="48"/>
        <v>0</v>
      </c>
      <c r="AC78" s="305">
        <f t="shared" si="41"/>
        <v>0</v>
      </c>
      <c r="AD78" s="100">
        <f t="shared" si="49"/>
        <v>0</v>
      </c>
      <c r="AE78" s="100">
        <f t="shared" si="50"/>
        <v>0</v>
      </c>
      <c r="AF78" s="194">
        <f t="shared" si="36"/>
        <v>0</v>
      </c>
      <c r="AG78" s="194">
        <f t="shared" si="37"/>
        <v>0</v>
      </c>
      <c r="AH78" s="194">
        <f t="shared" si="38"/>
        <v>0</v>
      </c>
      <c r="AI78" s="199">
        <f t="shared" si="39"/>
        <v>0</v>
      </c>
      <c r="AK78" s="71">
        <v>73</v>
      </c>
      <c r="AL78" s="33">
        <f t="shared" si="51"/>
        <v>0</v>
      </c>
      <c r="AM78" s="33">
        <f t="shared" si="52"/>
        <v>0</v>
      </c>
      <c r="AN78" s="33">
        <f t="shared" si="53"/>
        <v>0</v>
      </c>
      <c r="AO78" s="33">
        <f t="shared" si="54"/>
        <v>0</v>
      </c>
      <c r="AP78" s="33">
        <f t="shared" si="55"/>
        <v>0</v>
      </c>
      <c r="AQ78" s="194">
        <f t="shared" si="56"/>
        <v>0</v>
      </c>
      <c r="AR78" s="194">
        <f t="shared" si="56"/>
        <v>0</v>
      </c>
      <c r="AS78" s="194">
        <f t="shared" si="56"/>
        <v>0</v>
      </c>
      <c r="AT78" s="194">
        <f t="shared" si="56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9"/>
        <v>0</v>
      </c>
      <c r="K79" s="33">
        <f t="shared" si="60"/>
        <v>0</v>
      </c>
      <c r="L79" s="33">
        <f t="shared" si="61"/>
        <v>0</v>
      </c>
      <c r="M79" s="33">
        <f t="shared" si="62"/>
        <v>0</v>
      </c>
      <c r="N79" s="33">
        <f t="shared" si="42"/>
        <v>0</v>
      </c>
      <c r="O79" s="34">
        <f t="shared" si="43"/>
        <v>0</v>
      </c>
      <c r="P79" s="55">
        <v>74</v>
      </c>
      <c r="Q79" s="33">
        <f t="shared" si="57"/>
        <v>0</v>
      </c>
      <c r="R79" s="33">
        <f t="shared" si="63"/>
        <v>0</v>
      </c>
      <c r="S79" s="33">
        <f t="shared" si="64"/>
        <v>0</v>
      </c>
      <c r="T79" s="33">
        <f t="shared" si="44"/>
        <v>0</v>
      </c>
      <c r="U79" s="33">
        <f t="shared" si="58"/>
        <v>0</v>
      </c>
      <c r="V79" s="33">
        <f t="shared" si="45"/>
        <v>0</v>
      </c>
      <c r="W79" s="33">
        <v>0</v>
      </c>
      <c r="X79" s="33">
        <f t="shared" si="46"/>
        <v>0</v>
      </c>
      <c r="Y79" s="38">
        <f t="shared" si="47"/>
        <v>0</v>
      </c>
      <c r="AA79" s="71">
        <v>74</v>
      </c>
      <c r="AB79" s="33">
        <f t="shared" si="48"/>
        <v>0</v>
      </c>
      <c r="AC79" s="305">
        <f t="shared" si="41"/>
        <v>0</v>
      </c>
      <c r="AD79" s="100">
        <f t="shared" si="49"/>
        <v>0</v>
      </c>
      <c r="AE79" s="100">
        <f t="shared" si="50"/>
        <v>0</v>
      </c>
      <c r="AF79" s="194">
        <f t="shared" si="36"/>
        <v>0</v>
      </c>
      <c r="AG79" s="194">
        <f t="shared" si="37"/>
        <v>0</v>
      </c>
      <c r="AH79" s="194">
        <f t="shared" si="38"/>
        <v>0</v>
      </c>
      <c r="AI79" s="199">
        <f t="shared" si="39"/>
        <v>0</v>
      </c>
      <c r="AK79" s="71">
        <v>74</v>
      </c>
      <c r="AL79" s="33">
        <f t="shared" si="51"/>
        <v>0</v>
      </c>
      <c r="AM79" s="33">
        <f t="shared" si="52"/>
        <v>0</v>
      </c>
      <c r="AN79" s="33">
        <f t="shared" si="53"/>
        <v>0</v>
      </c>
      <c r="AO79" s="33">
        <f t="shared" si="54"/>
        <v>0</v>
      </c>
      <c r="AP79" s="33">
        <f t="shared" si="55"/>
        <v>0</v>
      </c>
      <c r="AQ79" s="194">
        <f t="shared" si="56"/>
        <v>0</v>
      </c>
      <c r="AR79" s="194">
        <f t="shared" si="56"/>
        <v>0</v>
      </c>
      <c r="AS79" s="194">
        <f t="shared" si="56"/>
        <v>0</v>
      </c>
      <c r="AT79" s="194">
        <f t="shared" si="56"/>
        <v>0</v>
      </c>
      <c r="AU79" s="33"/>
      <c r="AV79" s="33"/>
      <c r="AW79" s="33"/>
      <c r="AX79" s="33"/>
      <c r="AY79" s="76"/>
    </row>
    <row r="80" spans="2:51">
      <c r="B80" s="378" t="s">
        <v>258</v>
      </c>
      <c r="C80" s="379"/>
      <c r="D80" s="379"/>
      <c r="E80" s="379"/>
      <c r="F80" s="379"/>
      <c r="G80" s="380"/>
      <c r="H80" s="23"/>
      <c r="I80" s="55">
        <v>75</v>
      </c>
      <c r="J80" s="33">
        <f t="shared" si="59"/>
        <v>0</v>
      </c>
      <c r="K80" s="33">
        <f t="shared" si="60"/>
        <v>0</v>
      </c>
      <c r="L80" s="33">
        <f t="shared" si="61"/>
        <v>0</v>
      </c>
      <c r="M80" s="33">
        <f t="shared" si="62"/>
        <v>0</v>
      </c>
      <c r="N80" s="33">
        <f t="shared" si="42"/>
        <v>0</v>
      </c>
      <c r="O80" s="34">
        <f t="shared" si="43"/>
        <v>0</v>
      </c>
      <c r="P80" s="55">
        <v>75</v>
      </c>
      <c r="Q80" s="33">
        <f t="shared" si="57"/>
        <v>0</v>
      </c>
      <c r="R80" s="33">
        <f t="shared" si="63"/>
        <v>0</v>
      </c>
      <c r="S80" s="33">
        <f t="shared" si="64"/>
        <v>0</v>
      </c>
      <c r="T80" s="33">
        <f t="shared" si="44"/>
        <v>0</v>
      </c>
      <c r="U80" s="33">
        <f t="shared" si="58"/>
        <v>0</v>
      </c>
      <c r="V80" s="33">
        <f t="shared" si="45"/>
        <v>0</v>
      </c>
      <c r="W80" s="33">
        <v>0</v>
      </c>
      <c r="X80" s="33">
        <f t="shared" si="46"/>
        <v>0</v>
      </c>
      <c r="Y80" s="38">
        <f t="shared" si="47"/>
        <v>0</v>
      </c>
      <c r="AA80" s="71">
        <v>75</v>
      </c>
      <c r="AB80" s="33">
        <f t="shared" si="48"/>
        <v>0</v>
      </c>
      <c r="AC80" s="305">
        <f t="shared" si="41"/>
        <v>0</v>
      </c>
      <c r="AD80" s="100">
        <f t="shared" si="49"/>
        <v>0</v>
      </c>
      <c r="AE80" s="100">
        <f t="shared" si="50"/>
        <v>0</v>
      </c>
      <c r="AF80" s="194">
        <f t="shared" si="36"/>
        <v>0</v>
      </c>
      <c r="AG80" s="194">
        <f t="shared" si="37"/>
        <v>0</v>
      </c>
      <c r="AH80" s="194">
        <f t="shared" si="38"/>
        <v>0</v>
      </c>
      <c r="AI80" s="199">
        <f t="shared" si="39"/>
        <v>0</v>
      </c>
      <c r="AK80" s="71">
        <v>75</v>
      </c>
      <c r="AL80" s="33">
        <f t="shared" si="51"/>
        <v>0</v>
      </c>
      <c r="AM80" s="33">
        <f t="shared" si="52"/>
        <v>0</v>
      </c>
      <c r="AN80" s="33">
        <f t="shared" si="53"/>
        <v>0</v>
      </c>
      <c r="AO80" s="33">
        <f t="shared" si="54"/>
        <v>0</v>
      </c>
      <c r="AP80" s="33">
        <f t="shared" si="55"/>
        <v>0</v>
      </c>
      <c r="AQ80" s="194">
        <f t="shared" si="56"/>
        <v>0</v>
      </c>
      <c r="AR80" s="194">
        <f t="shared" si="56"/>
        <v>0</v>
      </c>
      <c r="AS80" s="194">
        <f t="shared" si="56"/>
        <v>0</v>
      </c>
      <c r="AT80" s="194">
        <f t="shared" si="56"/>
        <v>0</v>
      </c>
      <c r="AU80" s="33"/>
      <c r="AV80" s="33"/>
      <c r="AW80" s="33"/>
      <c r="AX80" s="33"/>
      <c r="AY80" s="76"/>
    </row>
    <row r="81" spans="2:51">
      <c r="B81" s="156" t="s">
        <v>76</v>
      </c>
      <c r="C81" s="132" t="s">
        <v>155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7"/>
      <c r="I81" s="55">
        <v>76</v>
      </c>
      <c r="J81" s="33">
        <f t="shared" si="59"/>
        <v>0</v>
      </c>
      <c r="K81" s="33">
        <f t="shared" si="60"/>
        <v>0</v>
      </c>
      <c r="L81" s="33">
        <f t="shared" si="61"/>
        <v>0</v>
      </c>
      <c r="M81" s="33">
        <f t="shared" si="62"/>
        <v>0</v>
      </c>
      <c r="N81" s="33">
        <f t="shared" si="42"/>
        <v>0</v>
      </c>
      <c r="O81" s="34">
        <f t="shared" si="43"/>
        <v>0</v>
      </c>
      <c r="P81" s="55">
        <v>76</v>
      </c>
      <c r="Q81" s="33">
        <f t="shared" si="57"/>
        <v>0</v>
      </c>
      <c r="R81" s="33">
        <f t="shared" si="63"/>
        <v>0</v>
      </c>
      <c r="S81" s="33">
        <f t="shared" si="64"/>
        <v>0</v>
      </c>
      <c r="T81" s="33">
        <f t="shared" si="44"/>
        <v>0</v>
      </c>
      <c r="U81" s="33">
        <f t="shared" si="58"/>
        <v>0</v>
      </c>
      <c r="V81" s="33">
        <f t="shared" si="45"/>
        <v>0</v>
      </c>
      <c r="W81" s="33">
        <v>0</v>
      </c>
      <c r="X81" s="33">
        <f t="shared" si="46"/>
        <v>0</v>
      </c>
      <c r="Y81" s="38">
        <f t="shared" si="47"/>
        <v>0</v>
      </c>
      <c r="AA81" s="71">
        <v>76</v>
      </c>
      <c r="AB81" s="33">
        <f t="shared" si="48"/>
        <v>0</v>
      </c>
      <c r="AC81" s="305">
        <f t="shared" si="41"/>
        <v>0</v>
      </c>
      <c r="AD81" s="100">
        <f t="shared" si="49"/>
        <v>0</v>
      </c>
      <c r="AE81" s="100">
        <f t="shared" si="50"/>
        <v>0</v>
      </c>
      <c r="AF81" s="194">
        <f t="shared" si="36"/>
        <v>0</v>
      </c>
      <c r="AG81" s="194">
        <f t="shared" si="37"/>
        <v>0</v>
      </c>
      <c r="AH81" s="194">
        <f t="shared" si="38"/>
        <v>0</v>
      </c>
      <c r="AI81" s="199">
        <f t="shared" si="39"/>
        <v>0</v>
      </c>
      <c r="AK81" s="71">
        <v>76</v>
      </c>
      <c r="AL81" s="33">
        <f t="shared" si="51"/>
        <v>0</v>
      </c>
      <c r="AM81" s="33">
        <f t="shared" si="52"/>
        <v>0</v>
      </c>
      <c r="AN81" s="33">
        <f t="shared" si="53"/>
        <v>0</v>
      </c>
      <c r="AO81" s="33">
        <f t="shared" si="54"/>
        <v>0</v>
      </c>
      <c r="AP81" s="33">
        <f t="shared" si="55"/>
        <v>0</v>
      </c>
      <c r="AQ81" s="194">
        <f t="shared" si="56"/>
        <v>0</v>
      </c>
      <c r="AR81" s="194">
        <f t="shared" si="56"/>
        <v>0</v>
      </c>
      <c r="AS81" s="194">
        <f t="shared" si="56"/>
        <v>0</v>
      </c>
      <c r="AT81" s="194">
        <f t="shared" si="56"/>
        <v>0</v>
      </c>
      <c r="AU81" s="33"/>
      <c r="AV81" s="33"/>
      <c r="AW81" s="33"/>
      <c r="AX81" s="33"/>
      <c r="AY81" s="76"/>
    </row>
    <row r="82" spans="2:51">
      <c r="B82" s="170">
        <f>IF(C25&lt;=$F$18,C25+1,"-")</f>
        <v>20</v>
      </c>
      <c r="C82" s="145">
        <f>D25-D26</f>
        <v>0</v>
      </c>
      <c r="D82" s="146">
        <v>0</v>
      </c>
      <c r="E82" s="171">
        <f>IF(G82+D82&lt;&gt;1,(1-(G82+D82))*56%,0)</f>
        <v>0.56000000000000005</v>
      </c>
      <c r="F82" s="171">
        <f>IF(G82+D82&lt;&gt;1,(1-(G82+D82))*44%,0)</f>
        <v>0.44</v>
      </c>
      <c r="G82" s="147"/>
      <c r="H82" s="58">
        <f t="shared" ref="H82:H94" si="65">IF(C82=0,0,IF(SUM(D82:G82)&lt;&gt;1,"erreur",))</f>
        <v>0</v>
      </c>
      <c r="I82" s="55">
        <v>77</v>
      </c>
      <c r="J82" s="33">
        <f t="shared" si="59"/>
        <v>0</v>
      </c>
      <c r="K82" s="33">
        <f t="shared" si="60"/>
        <v>0</v>
      </c>
      <c r="L82" s="33">
        <f t="shared" si="61"/>
        <v>0</v>
      </c>
      <c r="M82" s="33">
        <f t="shared" si="62"/>
        <v>0</v>
      </c>
      <c r="N82" s="33">
        <f t="shared" si="42"/>
        <v>0</v>
      </c>
      <c r="O82" s="34">
        <f t="shared" si="43"/>
        <v>0</v>
      </c>
      <c r="P82" s="55">
        <v>77</v>
      </c>
      <c r="Q82" s="33">
        <f t="shared" si="57"/>
        <v>0</v>
      </c>
      <c r="R82" s="33">
        <f t="shared" si="63"/>
        <v>0</v>
      </c>
      <c r="S82" s="33">
        <f t="shared" si="64"/>
        <v>0</v>
      </c>
      <c r="T82" s="33">
        <f t="shared" si="44"/>
        <v>0</v>
      </c>
      <c r="U82" s="33">
        <f t="shared" si="58"/>
        <v>0</v>
      </c>
      <c r="V82" s="33">
        <f t="shared" si="45"/>
        <v>0</v>
      </c>
      <c r="W82" s="33">
        <v>0</v>
      </c>
      <c r="X82" s="33">
        <f t="shared" si="46"/>
        <v>0</v>
      </c>
      <c r="Y82" s="38">
        <f t="shared" si="47"/>
        <v>0</v>
      </c>
      <c r="AA82" s="71">
        <v>77</v>
      </c>
      <c r="AB82" s="33">
        <f t="shared" si="48"/>
        <v>0</v>
      </c>
      <c r="AC82" s="305">
        <f t="shared" si="41"/>
        <v>0</v>
      </c>
      <c r="AD82" s="100">
        <f t="shared" si="49"/>
        <v>0</v>
      </c>
      <c r="AE82" s="100">
        <f t="shared" si="50"/>
        <v>0</v>
      </c>
      <c r="AF82" s="194">
        <f t="shared" si="36"/>
        <v>0</v>
      </c>
      <c r="AG82" s="194">
        <f t="shared" si="37"/>
        <v>0</v>
      </c>
      <c r="AH82" s="194">
        <f t="shared" si="38"/>
        <v>0</v>
      </c>
      <c r="AI82" s="199">
        <f t="shared" si="39"/>
        <v>0</v>
      </c>
      <c r="AK82" s="71">
        <v>77</v>
      </c>
      <c r="AL82" s="33">
        <f t="shared" si="51"/>
        <v>0</v>
      </c>
      <c r="AM82" s="33">
        <f t="shared" si="52"/>
        <v>0</v>
      </c>
      <c r="AN82" s="33">
        <f t="shared" si="53"/>
        <v>0</v>
      </c>
      <c r="AO82" s="33">
        <f t="shared" si="54"/>
        <v>0</v>
      </c>
      <c r="AP82" s="33">
        <f t="shared" si="55"/>
        <v>0</v>
      </c>
      <c r="AQ82" s="194">
        <f t="shared" si="56"/>
        <v>0</v>
      </c>
      <c r="AR82" s="194">
        <f t="shared" si="56"/>
        <v>0</v>
      </c>
      <c r="AS82" s="194">
        <f t="shared" si="56"/>
        <v>0</v>
      </c>
      <c r="AT82" s="194">
        <f t="shared" si="56"/>
        <v>0</v>
      </c>
      <c r="AU82" s="33"/>
      <c r="AV82" s="33"/>
      <c r="AW82" s="33"/>
      <c r="AX82" s="33"/>
      <c r="AY82" s="76"/>
    </row>
    <row r="83" spans="2:51">
      <c r="B83" s="172">
        <f>IF(C27&lt;=$F$18,C27+1,"-")</f>
        <v>26</v>
      </c>
      <c r="C83" s="148">
        <f>D27-D28</f>
        <v>54</v>
      </c>
      <c r="D83" s="149">
        <v>0</v>
      </c>
      <c r="E83" s="129">
        <f t="shared" ref="E83:E94" si="66">IF(G83+D83&lt;&gt;1,(1-(G83+D83))*56%,0)</f>
        <v>0.56000000000000005</v>
      </c>
      <c r="F83" s="129">
        <f t="shared" ref="F83:F94" si="67">IF(G83+D83&lt;&gt;1,(1-(G83+D83))*44%,0)</f>
        <v>0.44</v>
      </c>
      <c r="G83" s="150"/>
      <c r="H83" s="58">
        <f t="shared" si="65"/>
        <v>0</v>
      </c>
      <c r="I83" s="55">
        <v>78</v>
      </c>
      <c r="J83" s="33">
        <f t="shared" si="59"/>
        <v>0</v>
      </c>
      <c r="K83" s="33">
        <f t="shared" si="60"/>
        <v>0</v>
      </c>
      <c r="L83" s="33">
        <f t="shared" si="61"/>
        <v>0</v>
      </c>
      <c r="M83" s="33">
        <f t="shared" si="62"/>
        <v>0</v>
      </c>
      <c r="N83" s="33">
        <f t="shared" si="42"/>
        <v>0</v>
      </c>
      <c r="O83" s="34">
        <f t="shared" si="43"/>
        <v>0</v>
      </c>
      <c r="P83" s="55">
        <v>78</v>
      </c>
      <c r="Q83" s="33">
        <f t="shared" si="57"/>
        <v>0</v>
      </c>
      <c r="R83" s="33">
        <f t="shared" si="63"/>
        <v>0</v>
      </c>
      <c r="S83" s="33">
        <f t="shared" si="64"/>
        <v>0</v>
      </c>
      <c r="T83" s="33">
        <f t="shared" si="44"/>
        <v>0</v>
      </c>
      <c r="U83" s="33">
        <f t="shared" si="58"/>
        <v>0</v>
      </c>
      <c r="V83" s="33">
        <f t="shared" si="45"/>
        <v>0</v>
      </c>
      <c r="W83" s="33">
        <v>0</v>
      </c>
      <c r="X83" s="33">
        <f t="shared" si="46"/>
        <v>0</v>
      </c>
      <c r="Y83" s="38">
        <f t="shared" si="47"/>
        <v>0</v>
      </c>
      <c r="AA83" s="71">
        <v>78</v>
      </c>
      <c r="AB83" s="33">
        <f t="shared" si="48"/>
        <v>0</v>
      </c>
      <c r="AC83" s="305">
        <f t="shared" si="41"/>
        <v>0</v>
      </c>
      <c r="AD83" s="100">
        <f t="shared" si="49"/>
        <v>0</v>
      </c>
      <c r="AE83" s="100">
        <f t="shared" si="50"/>
        <v>0</v>
      </c>
      <c r="AF83" s="194">
        <f t="shared" si="36"/>
        <v>0</v>
      </c>
      <c r="AG83" s="194">
        <f t="shared" si="37"/>
        <v>0</v>
      </c>
      <c r="AH83" s="194">
        <f t="shared" si="38"/>
        <v>0</v>
      </c>
      <c r="AI83" s="199">
        <f t="shared" si="39"/>
        <v>0</v>
      </c>
      <c r="AK83" s="71">
        <v>78</v>
      </c>
      <c r="AL83" s="33">
        <f t="shared" si="51"/>
        <v>0</v>
      </c>
      <c r="AM83" s="33">
        <f t="shared" si="52"/>
        <v>0</v>
      </c>
      <c r="AN83" s="33">
        <f t="shared" si="53"/>
        <v>0</v>
      </c>
      <c r="AO83" s="33">
        <f t="shared" si="54"/>
        <v>0</v>
      </c>
      <c r="AP83" s="33">
        <f t="shared" si="55"/>
        <v>0</v>
      </c>
      <c r="AQ83" s="194">
        <f t="shared" si="56"/>
        <v>0</v>
      </c>
      <c r="AR83" s="194">
        <f t="shared" si="56"/>
        <v>0</v>
      </c>
      <c r="AS83" s="194">
        <f t="shared" si="56"/>
        <v>0</v>
      </c>
      <c r="AT83" s="194">
        <f t="shared" si="56"/>
        <v>0</v>
      </c>
      <c r="AU83" s="33"/>
      <c r="AV83" s="33"/>
      <c r="AW83" s="33"/>
      <c r="AX83" s="33"/>
      <c r="AY83" s="76"/>
    </row>
    <row r="84" spans="2:51">
      <c r="B84" s="187">
        <f>IF(C29&lt;=$F$18,C29+1,"-")</f>
        <v>31</v>
      </c>
      <c r="C84" s="148">
        <f>D29-D30</f>
        <v>54</v>
      </c>
      <c r="D84" s="149">
        <v>0.2</v>
      </c>
      <c r="E84" s="129">
        <f t="shared" si="66"/>
        <v>0.44800000000000006</v>
      </c>
      <c r="F84" s="129">
        <f t="shared" si="67"/>
        <v>0.35200000000000004</v>
      </c>
      <c r="G84" s="150"/>
      <c r="H84" s="58">
        <f t="shared" si="65"/>
        <v>0</v>
      </c>
      <c r="I84" s="55">
        <v>79</v>
      </c>
      <c r="J84" s="33">
        <f t="shared" si="59"/>
        <v>0</v>
      </c>
      <c r="K84" s="33">
        <f t="shared" si="60"/>
        <v>0</v>
      </c>
      <c r="L84" s="33">
        <f t="shared" si="61"/>
        <v>0</v>
      </c>
      <c r="M84" s="33">
        <f t="shared" si="62"/>
        <v>0</v>
      </c>
      <c r="N84" s="33">
        <f t="shared" si="42"/>
        <v>0</v>
      </c>
      <c r="O84" s="34">
        <f t="shared" si="43"/>
        <v>0</v>
      </c>
      <c r="P84" s="55">
        <v>79</v>
      </c>
      <c r="Q84" s="33">
        <f t="shared" si="57"/>
        <v>0</v>
      </c>
      <c r="R84" s="33">
        <f t="shared" si="63"/>
        <v>0</v>
      </c>
      <c r="S84" s="33">
        <f t="shared" si="64"/>
        <v>0</v>
      </c>
      <c r="T84" s="33">
        <f t="shared" si="44"/>
        <v>0</v>
      </c>
      <c r="U84" s="33">
        <f t="shared" si="58"/>
        <v>0</v>
      </c>
      <c r="V84" s="33">
        <f t="shared" si="45"/>
        <v>0</v>
      </c>
      <c r="W84" s="33">
        <v>0</v>
      </c>
      <c r="X84" s="33">
        <f t="shared" si="46"/>
        <v>0</v>
      </c>
      <c r="Y84" s="38">
        <f t="shared" si="47"/>
        <v>0</v>
      </c>
      <c r="AA84" s="71">
        <v>79</v>
      </c>
      <c r="AB84" s="33">
        <f t="shared" si="48"/>
        <v>0</v>
      </c>
      <c r="AC84" s="305">
        <f t="shared" si="41"/>
        <v>0</v>
      </c>
      <c r="AD84" s="100">
        <f t="shared" si="49"/>
        <v>0</v>
      </c>
      <c r="AE84" s="100">
        <f t="shared" si="50"/>
        <v>0</v>
      </c>
      <c r="AF84" s="194">
        <f t="shared" si="36"/>
        <v>0</v>
      </c>
      <c r="AG84" s="194">
        <f t="shared" si="37"/>
        <v>0</v>
      </c>
      <c r="AH84" s="194">
        <f t="shared" si="38"/>
        <v>0</v>
      </c>
      <c r="AI84" s="199">
        <f t="shared" si="39"/>
        <v>0</v>
      </c>
      <c r="AK84" s="71">
        <v>79</v>
      </c>
      <c r="AL84" s="33">
        <f t="shared" si="51"/>
        <v>0</v>
      </c>
      <c r="AM84" s="33">
        <f t="shared" si="52"/>
        <v>0</v>
      </c>
      <c r="AN84" s="33">
        <f t="shared" si="53"/>
        <v>0</v>
      </c>
      <c r="AO84" s="33">
        <f t="shared" si="54"/>
        <v>0</v>
      </c>
      <c r="AP84" s="33">
        <f t="shared" si="55"/>
        <v>0</v>
      </c>
      <c r="AQ84" s="194">
        <f t="shared" si="56"/>
        <v>0</v>
      </c>
      <c r="AR84" s="194">
        <f t="shared" si="56"/>
        <v>0</v>
      </c>
      <c r="AS84" s="194">
        <f t="shared" si="56"/>
        <v>0</v>
      </c>
      <c r="AT84" s="194">
        <f t="shared" si="56"/>
        <v>0</v>
      </c>
      <c r="AU84" s="33"/>
      <c r="AV84" s="33"/>
      <c r="AW84" s="33"/>
      <c r="AX84" s="33"/>
      <c r="AY84" s="76"/>
    </row>
    <row r="85" spans="2:51">
      <c r="B85" s="172">
        <f>IF(C31&lt;=$F$18,C31+1,"-")</f>
        <v>36</v>
      </c>
      <c r="C85" s="148">
        <f>D31-D32</f>
        <v>69</v>
      </c>
      <c r="D85" s="149">
        <v>0.3</v>
      </c>
      <c r="E85" s="129">
        <f t="shared" si="66"/>
        <v>0.39200000000000002</v>
      </c>
      <c r="F85" s="129">
        <f t="shared" si="67"/>
        <v>0.308</v>
      </c>
      <c r="G85" s="150"/>
      <c r="H85" s="58">
        <f t="shared" si="65"/>
        <v>0</v>
      </c>
      <c r="I85" s="55">
        <v>80</v>
      </c>
      <c r="J85" s="33">
        <f t="shared" si="59"/>
        <v>0</v>
      </c>
      <c r="K85" s="33">
        <f t="shared" si="60"/>
        <v>0</v>
      </c>
      <c r="L85" s="33">
        <f t="shared" si="61"/>
        <v>0</v>
      </c>
      <c r="M85" s="33">
        <f t="shared" si="62"/>
        <v>0</v>
      </c>
      <c r="N85" s="33">
        <f t="shared" si="42"/>
        <v>0</v>
      </c>
      <c r="O85" s="34">
        <f t="shared" si="43"/>
        <v>0</v>
      </c>
      <c r="P85" s="55">
        <v>80</v>
      </c>
      <c r="Q85" s="33">
        <f t="shared" si="57"/>
        <v>0</v>
      </c>
      <c r="R85" s="33">
        <f t="shared" si="63"/>
        <v>0</v>
      </c>
      <c r="S85" s="33">
        <f t="shared" si="64"/>
        <v>0</v>
      </c>
      <c r="T85" s="33">
        <f t="shared" si="44"/>
        <v>0</v>
      </c>
      <c r="U85" s="33">
        <f t="shared" si="58"/>
        <v>0</v>
      </c>
      <c r="V85" s="33">
        <f t="shared" si="45"/>
        <v>0</v>
      </c>
      <c r="W85" s="33">
        <v>0</v>
      </c>
      <c r="X85" s="33">
        <f t="shared" si="46"/>
        <v>0</v>
      </c>
      <c r="Y85" s="38">
        <f t="shared" si="47"/>
        <v>0</v>
      </c>
      <c r="AA85" s="71">
        <v>80</v>
      </c>
      <c r="AB85" s="33">
        <f t="shared" si="48"/>
        <v>0</v>
      </c>
      <c r="AC85" s="305">
        <f t="shared" si="41"/>
        <v>0</v>
      </c>
      <c r="AD85" s="100">
        <f t="shared" si="49"/>
        <v>0</v>
      </c>
      <c r="AE85" s="100">
        <f t="shared" si="50"/>
        <v>0</v>
      </c>
      <c r="AF85" s="194">
        <f t="shared" si="36"/>
        <v>0</v>
      </c>
      <c r="AG85" s="194">
        <f t="shared" si="37"/>
        <v>0</v>
      </c>
      <c r="AH85" s="194">
        <f t="shared" si="38"/>
        <v>0</v>
      </c>
      <c r="AI85" s="199">
        <f t="shared" si="39"/>
        <v>0</v>
      </c>
      <c r="AK85" s="71">
        <v>80</v>
      </c>
      <c r="AL85" s="33">
        <f t="shared" si="51"/>
        <v>0</v>
      </c>
      <c r="AM85" s="33">
        <f t="shared" si="52"/>
        <v>0</v>
      </c>
      <c r="AN85" s="33">
        <f t="shared" si="53"/>
        <v>0</v>
      </c>
      <c r="AO85" s="33">
        <f t="shared" si="54"/>
        <v>0</v>
      </c>
      <c r="AP85" s="33">
        <f t="shared" si="55"/>
        <v>0</v>
      </c>
      <c r="AQ85" s="194">
        <f t="shared" si="56"/>
        <v>0</v>
      </c>
      <c r="AR85" s="194">
        <f t="shared" si="56"/>
        <v>0</v>
      </c>
      <c r="AS85" s="194">
        <f t="shared" si="56"/>
        <v>0</v>
      </c>
      <c r="AT85" s="194">
        <f t="shared" si="56"/>
        <v>0</v>
      </c>
      <c r="AU85" s="33"/>
      <c r="AV85" s="33"/>
      <c r="AW85" s="33"/>
      <c r="AX85" s="33"/>
      <c r="AY85" s="76"/>
    </row>
    <row r="86" spans="2:51">
      <c r="B86" s="172">
        <f>IF(C33&lt;=$F$18,C33+1,"-")</f>
        <v>41</v>
      </c>
      <c r="C86" s="148">
        <f>D33-D34</f>
        <v>72</v>
      </c>
      <c r="D86" s="149">
        <v>0.4</v>
      </c>
      <c r="E86" s="129">
        <f t="shared" si="66"/>
        <v>0.33600000000000002</v>
      </c>
      <c r="F86" s="129">
        <f t="shared" si="67"/>
        <v>0.26400000000000001</v>
      </c>
      <c r="G86" s="150"/>
      <c r="H86" s="58">
        <f t="shared" si="65"/>
        <v>0</v>
      </c>
      <c r="I86" s="55">
        <v>81</v>
      </c>
      <c r="J86" s="33">
        <f t="shared" si="59"/>
        <v>0</v>
      </c>
      <c r="K86" s="33">
        <f t="shared" si="60"/>
        <v>0</v>
      </c>
      <c r="L86" s="33">
        <f t="shared" si="61"/>
        <v>0</v>
      </c>
      <c r="M86" s="33">
        <f t="shared" si="62"/>
        <v>0</v>
      </c>
      <c r="N86" s="33">
        <f t="shared" si="42"/>
        <v>0</v>
      </c>
      <c r="O86" s="34">
        <f t="shared" si="43"/>
        <v>0</v>
      </c>
      <c r="P86" s="55">
        <v>81</v>
      </c>
      <c r="Q86" s="33">
        <f t="shared" si="57"/>
        <v>0</v>
      </c>
      <c r="R86" s="33">
        <f t="shared" si="63"/>
        <v>0</v>
      </c>
      <c r="S86" s="33">
        <f t="shared" si="64"/>
        <v>0</v>
      </c>
      <c r="T86" s="33">
        <f t="shared" si="44"/>
        <v>0</v>
      </c>
      <c r="U86" s="33">
        <f t="shared" si="58"/>
        <v>0</v>
      </c>
      <c r="V86" s="33">
        <f t="shared" si="45"/>
        <v>0</v>
      </c>
      <c r="W86" s="33">
        <v>0</v>
      </c>
      <c r="X86" s="33">
        <f t="shared" si="46"/>
        <v>0</v>
      </c>
      <c r="Y86" s="38">
        <f t="shared" si="47"/>
        <v>0</v>
      </c>
      <c r="AA86" s="71">
        <v>81</v>
      </c>
      <c r="AB86" s="33">
        <f t="shared" si="48"/>
        <v>0</v>
      </c>
      <c r="AC86" s="305">
        <f t="shared" si="41"/>
        <v>0</v>
      </c>
      <c r="AD86" s="100">
        <f t="shared" si="49"/>
        <v>0</v>
      </c>
      <c r="AE86" s="100">
        <f t="shared" si="50"/>
        <v>0</v>
      </c>
      <c r="AF86" s="194">
        <f t="shared" si="36"/>
        <v>0</v>
      </c>
      <c r="AG86" s="194">
        <f t="shared" si="37"/>
        <v>0</v>
      </c>
      <c r="AH86" s="194">
        <f t="shared" si="38"/>
        <v>0</v>
      </c>
      <c r="AI86" s="199">
        <f t="shared" si="39"/>
        <v>0</v>
      </c>
      <c r="AK86" s="71">
        <v>81</v>
      </c>
      <c r="AL86" s="33">
        <f t="shared" si="51"/>
        <v>0</v>
      </c>
      <c r="AM86" s="33">
        <f t="shared" si="52"/>
        <v>0</v>
      </c>
      <c r="AN86" s="33">
        <f t="shared" si="53"/>
        <v>0</v>
      </c>
      <c r="AO86" s="33">
        <f t="shared" si="54"/>
        <v>0</v>
      </c>
      <c r="AP86" s="33">
        <f t="shared" si="55"/>
        <v>0</v>
      </c>
      <c r="AQ86" s="194">
        <f t="shared" si="56"/>
        <v>0</v>
      </c>
      <c r="AR86" s="194">
        <f t="shared" si="56"/>
        <v>0</v>
      </c>
      <c r="AS86" s="194">
        <f t="shared" si="56"/>
        <v>0</v>
      </c>
      <c r="AT86" s="194">
        <f t="shared" si="56"/>
        <v>0</v>
      </c>
      <c r="AU86" s="33"/>
      <c r="AV86" s="33"/>
      <c r="AW86" s="33"/>
      <c r="AX86" s="33"/>
      <c r="AY86" s="76"/>
    </row>
    <row r="87" spans="2:51">
      <c r="B87" s="172">
        <f>IF(C35&lt;=$F$18,C35+1,"-")</f>
        <v>46</v>
      </c>
      <c r="C87" s="148">
        <f>D35-D36</f>
        <v>66</v>
      </c>
      <c r="D87" s="149">
        <v>0.5</v>
      </c>
      <c r="E87" s="129">
        <f t="shared" si="66"/>
        <v>0.28000000000000003</v>
      </c>
      <c r="F87" s="129">
        <f t="shared" si="67"/>
        <v>0.22</v>
      </c>
      <c r="G87" s="150"/>
      <c r="H87" s="58">
        <f t="shared" si="65"/>
        <v>0</v>
      </c>
      <c r="I87" s="55">
        <v>82</v>
      </c>
      <c r="J87" s="33">
        <f t="shared" si="59"/>
        <v>0</v>
      </c>
      <c r="K87" s="33">
        <f t="shared" si="60"/>
        <v>0</v>
      </c>
      <c r="L87" s="33">
        <f t="shared" si="61"/>
        <v>0</v>
      </c>
      <c r="M87" s="33">
        <f t="shared" si="62"/>
        <v>0</v>
      </c>
      <c r="N87" s="33">
        <f t="shared" si="42"/>
        <v>0</v>
      </c>
      <c r="O87" s="34">
        <f t="shared" si="43"/>
        <v>0</v>
      </c>
      <c r="P87" s="55">
        <v>82</v>
      </c>
      <c r="Q87" s="33">
        <f t="shared" si="57"/>
        <v>0</v>
      </c>
      <c r="R87" s="33">
        <f t="shared" si="63"/>
        <v>0</v>
      </c>
      <c r="S87" s="33">
        <f t="shared" si="64"/>
        <v>0</v>
      </c>
      <c r="T87" s="33">
        <f t="shared" si="44"/>
        <v>0</v>
      </c>
      <c r="U87" s="33">
        <f t="shared" si="58"/>
        <v>0</v>
      </c>
      <c r="V87" s="33">
        <f t="shared" si="45"/>
        <v>0</v>
      </c>
      <c r="W87" s="33">
        <v>0</v>
      </c>
      <c r="X87" s="33">
        <f t="shared" si="46"/>
        <v>0</v>
      </c>
      <c r="Y87" s="38">
        <f t="shared" si="47"/>
        <v>0</v>
      </c>
      <c r="AA87" s="71">
        <v>82</v>
      </c>
      <c r="AB87" s="33">
        <f t="shared" si="48"/>
        <v>0</v>
      </c>
      <c r="AC87" s="305">
        <f t="shared" si="41"/>
        <v>0</v>
      </c>
      <c r="AD87" s="100">
        <f t="shared" si="49"/>
        <v>0</v>
      </c>
      <c r="AE87" s="100">
        <f t="shared" si="50"/>
        <v>0</v>
      </c>
      <c r="AF87" s="194">
        <f t="shared" si="36"/>
        <v>0</v>
      </c>
      <c r="AG87" s="194">
        <f t="shared" si="37"/>
        <v>0</v>
      </c>
      <c r="AH87" s="194">
        <f t="shared" si="38"/>
        <v>0</v>
      </c>
      <c r="AI87" s="199">
        <f t="shared" si="39"/>
        <v>0</v>
      </c>
      <c r="AK87" s="71">
        <v>82</v>
      </c>
      <c r="AL87" s="33">
        <f t="shared" si="51"/>
        <v>0</v>
      </c>
      <c r="AM87" s="33">
        <f t="shared" si="52"/>
        <v>0</v>
      </c>
      <c r="AN87" s="33">
        <f t="shared" si="53"/>
        <v>0</v>
      </c>
      <c r="AO87" s="33">
        <f t="shared" si="54"/>
        <v>0</v>
      </c>
      <c r="AP87" s="33">
        <f t="shared" si="55"/>
        <v>0</v>
      </c>
      <c r="AQ87" s="194">
        <f t="shared" si="56"/>
        <v>0</v>
      </c>
      <c r="AR87" s="194">
        <f t="shared" si="56"/>
        <v>0</v>
      </c>
      <c r="AS87" s="194">
        <f t="shared" si="56"/>
        <v>0</v>
      </c>
      <c r="AT87" s="194">
        <f t="shared" si="56"/>
        <v>0</v>
      </c>
      <c r="AU87" s="33"/>
      <c r="AV87" s="33"/>
      <c r="AW87" s="33"/>
      <c r="AX87" s="33"/>
      <c r="AY87" s="76"/>
    </row>
    <row r="88" spans="2:51">
      <c r="B88" s="172">
        <f>IF(C37&lt;=$F$18,C37+1,"-")</f>
        <v>51</v>
      </c>
      <c r="C88" s="148">
        <f>D37-D38</f>
        <v>48</v>
      </c>
      <c r="D88" s="149">
        <v>0.6</v>
      </c>
      <c r="E88" s="129">
        <f t="shared" si="66"/>
        <v>0.22400000000000003</v>
      </c>
      <c r="F88" s="129">
        <f t="shared" si="67"/>
        <v>0.17600000000000002</v>
      </c>
      <c r="G88" s="150"/>
      <c r="H88" s="58">
        <f t="shared" si="65"/>
        <v>0</v>
      </c>
      <c r="I88" s="55">
        <v>83</v>
      </c>
      <c r="J88" s="33">
        <f t="shared" si="59"/>
        <v>0</v>
      </c>
      <c r="K88" s="33">
        <f t="shared" si="60"/>
        <v>0</v>
      </c>
      <c r="L88" s="33">
        <f t="shared" si="61"/>
        <v>0</v>
      </c>
      <c r="M88" s="33">
        <f t="shared" si="62"/>
        <v>0</v>
      </c>
      <c r="N88" s="33">
        <f t="shared" si="42"/>
        <v>0</v>
      </c>
      <c r="O88" s="34">
        <f t="shared" si="43"/>
        <v>0</v>
      </c>
      <c r="P88" s="55">
        <v>83</v>
      </c>
      <c r="Q88" s="33">
        <f t="shared" si="57"/>
        <v>0</v>
      </c>
      <c r="R88" s="33">
        <f t="shared" si="63"/>
        <v>0</v>
      </c>
      <c r="S88" s="33">
        <f t="shared" si="64"/>
        <v>0</v>
      </c>
      <c r="T88" s="33">
        <f t="shared" si="44"/>
        <v>0</v>
      </c>
      <c r="U88" s="33">
        <f t="shared" si="58"/>
        <v>0</v>
      </c>
      <c r="V88" s="33">
        <f t="shared" si="45"/>
        <v>0</v>
      </c>
      <c r="W88" s="33">
        <v>0</v>
      </c>
      <c r="X88" s="33">
        <f t="shared" si="46"/>
        <v>0</v>
      </c>
      <c r="Y88" s="38">
        <f t="shared" si="47"/>
        <v>0</v>
      </c>
      <c r="AA88" s="71">
        <v>83</v>
      </c>
      <c r="AB88" s="33">
        <f t="shared" si="48"/>
        <v>0</v>
      </c>
      <c r="AC88" s="305">
        <f t="shared" si="41"/>
        <v>0</v>
      </c>
      <c r="AD88" s="100">
        <f t="shared" si="49"/>
        <v>0</v>
      </c>
      <c r="AE88" s="100">
        <f t="shared" si="50"/>
        <v>0</v>
      </c>
      <c r="AF88" s="194">
        <f t="shared" si="36"/>
        <v>0</v>
      </c>
      <c r="AG88" s="194">
        <f t="shared" si="37"/>
        <v>0</v>
      </c>
      <c r="AH88" s="194">
        <f t="shared" si="38"/>
        <v>0</v>
      </c>
      <c r="AI88" s="199">
        <f t="shared" si="39"/>
        <v>0</v>
      </c>
      <c r="AK88" s="71">
        <v>83</v>
      </c>
      <c r="AL88" s="33">
        <f t="shared" si="51"/>
        <v>0</v>
      </c>
      <c r="AM88" s="33">
        <f t="shared" si="52"/>
        <v>0</v>
      </c>
      <c r="AN88" s="33">
        <f t="shared" si="53"/>
        <v>0</v>
      </c>
      <c r="AO88" s="33">
        <f t="shared" si="54"/>
        <v>0</v>
      </c>
      <c r="AP88" s="33">
        <f t="shared" si="55"/>
        <v>0</v>
      </c>
      <c r="AQ88" s="194">
        <f t="shared" si="56"/>
        <v>0</v>
      </c>
      <c r="AR88" s="194">
        <f t="shared" si="56"/>
        <v>0</v>
      </c>
      <c r="AS88" s="194">
        <f t="shared" si="56"/>
        <v>0</v>
      </c>
      <c r="AT88" s="194">
        <f t="shared" si="56"/>
        <v>0</v>
      </c>
      <c r="AU88" s="33"/>
      <c r="AV88" s="33"/>
      <c r="AW88" s="33"/>
      <c r="AX88" s="33"/>
      <c r="AY88" s="76"/>
    </row>
    <row r="89" spans="2:51">
      <c r="B89" s="172">
        <f>IF(C39&lt;=$F$18,C39+1,"-")</f>
        <v>56</v>
      </c>
      <c r="C89" s="148">
        <f>D39-D40</f>
        <v>35</v>
      </c>
      <c r="D89" s="149">
        <v>0.7</v>
      </c>
      <c r="E89" s="129">
        <f t="shared" si="66"/>
        <v>0.16800000000000004</v>
      </c>
      <c r="F89" s="129">
        <f t="shared" si="67"/>
        <v>0.13200000000000003</v>
      </c>
      <c r="G89" s="150"/>
      <c r="H89" s="58">
        <f t="shared" si="65"/>
        <v>0</v>
      </c>
      <c r="I89" s="55">
        <v>84</v>
      </c>
      <c r="J89" s="33">
        <f t="shared" si="59"/>
        <v>0</v>
      </c>
      <c r="K89" s="33">
        <f t="shared" si="60"/>
        <v>0</v>
      </c>
      <c r="L89" s="33">
        <f t="shared" si="61"/>
        <v>0</v>
      </c>
      <c r="M89" s="33">
        <f t="shared" si="62"/>
        <v>0</v>
      </c>
      <c r="N89" s="33">
        <f t="shared" si="42"/>
        <v>0</v>
      </c>
      <c r="O89" s="34">
        <f t="shared" si="43"/>
        <v>0</v>
      </c>
      <c r="P89" s="55">
        <v>84</v>
      </c>
      <c r="Q89" s="33">
        <f t="shared" si="57"/>
        <v>0</v>
      </c>
      <c r="R89" s="33">
        <f t="shared" si="63"/>
        <v>0</v>
      </c>
      <c r="S89" s="33">
        <f t="shared" si="64"/>
        <v>0</v>
      </c>
      <c r="T89" s="33">
        <f t="shared" si="44"/>
        <v>0</v>
      </c>
      <c r="U89" s="33">
        <f t="shared" si="58"/>
        <v>0</v>
      </c>
      <c r="V89" s="33">
        <f t="shared" si="45"/>
        <v>0</v>
      </c>
      <c r="W89" s="33">
        <v>0</v>
      </c>
      <c r="X89" s="33">
        <f t="shared" si="46"/>
        <v>0</v>
      </c>
      <c r="Y89" s="38">
        <f t="shared" si="47"/>
        <v>0</v>
      </c>
      <c r="AA89" s="71">
        <v>84</v>
      </c>
      <c r="AB89" s="33">
        <f t="shared" si="48"/>
        <v>0</v>
      </c>
      <c r="AC89" s="305">
        <f t="shared" si="41"/>
        <v>0</v>
      </c>
      <c r="AD89" s="100">
        <f t="shared" si="49"/>
        <v>0</v>
      </c>
      <c r="AE89" s="100">
        <f t="shared" si="50"/>
        <v>0</v>
      </c>
      <c r="AF89" s="194">
        <f t="shared" si="36"/>
        <v>0</v>
      </c>
      <c r="AG89" s="194">
        <f t="shared" si="37"/>
        <v>0</v>
      </c>
      <c r="AH89" s="194">
        <f t="shared" si="38"/>
        <v>0</v>
      </c>
      <c r="AI89" s="199">
        <f t="shared" si="39"/>
        <v>0</v>
      </c>
      <c r="AK89" s="71">
        <v>84</v>
      </c>
      <c r="AL89" s="33">
        <f t="shared" si="51"/>
        <v>0</v>
      </c>
      <c r="AM89" s="33">
        <f t="shared" si="52"/>
        <v>0</v>
      </c>
      <c r="AN89" s="33">
        <f t="shared" si="53"/>
        <v>0</v>
      </c>
      <c r="AO89" s="33">
        <f t="shared" si="54"/>
        <v>0</v>
      </c>
      <c r="AP89" s="33">
        <f t="shared" si="55"/>
        <v>0</v>
      </c>
      <c r="AQ89" s="194">
        <f t="shared" si="56"/>
        <v>0</v>
      </c>
      <c r="AR89" s="194">
        <f t="shared" si="56"/>
        <v>0</v>
      </c>
      <c r="AS89" s="194">
        <f t="shared" si="56"/>
        <v>0</v>
      </c>
      <c r="AT89" s="194">
        <f t="shared" si="56"/>
        <v>0</v>
      </c>
      <c r="AU89" s="33"/>
      <c r="AV89" s="33"/>
      <c r="AW89" s="33"/>
      <c r="AX89" s="33"/>
      <c r="AY89" s="76"/>
    </row>
    <row r="90" spans="2:51">
      <c r="B90" s="172">
        <f>IF(C41&lt;=$F$18,C41+1,"-")</f>
        <v>61</v>
      </c>
      <c r="C90" s="148">
        <f>D41-D42</f>
        <v>29</v>
      </c>
      <c r="D90" s="149">
        <v>0.8</v>
      </c>
      <c r="E90" s="129">
        <f t="shared" si="66"/>
        <v>0.11199999999999999</v>
      </c>
      <c r="F90" s="129">
        <f t="shared" si="67"/>
        <v>8.7999999999999981E-2</v>
      </c>
      <c r="G90" s="150"/>
      <c r="H90" s="58">
        <f t="shared" si="65"/>
        <v>0</v>
      </c>
      <c r="I90" s="55">
        <v>85</v>
      </c>
      <c r="J90" s="33">
        <f t="shared" si="59"/>
        <v>0</v>
      </c>
      <c r="K90" s="33">
        <f t="shared" si="60"/>
        <v>0</v>
      </c>
      <c r="L90" s="33">
        <f t="shared" si="61"/>
        <v>0</v>
      </c>
      <c r="M90" s="33">
        <f t="shared" si="62"/>
        <v>0</v>
      </c>
      <c r="N90" s="33">
        <f t="shared" si="42"/>
        <v>0</v>
      </c>
      <c r="O90" s="34">
        <f t="shared" si="43"/>
        <v>0</v>
      </c>
      <c r="P90" s="55">
        <v>85</v>
      </c>
      <c r="Q90" s="33">
        <f t="shared" si="57"/>
        <v>0</v>
      </c>
      <c r="R90" s="33">
        <f t="shared" si="63"/>
        <v>0</v>
      </c>
      <c r="S90" s="33">
        <f t="shared" si="64"/>
        <v>0</v>
      </c>
      <c r="T90" s="33">
        <f t="shared" si="44"/>
        <v>0</v>
      </c>
      <c r="U90" s="33">
        <f t="shared" si="58"/>
        <v>0</v>
      </c>
      <c r="V90" s="33">
        <f t="shared" si="45"/>
        <v>0</v>
      </c>
      <c r="W90" s="33">
        <v>0</v>
      </c>
      <c r="X90" s="33">
        <f t="shared" si="46"/>
        <v>0</v>
      </c>
      <c r="Y90" s="38">
        <f t="shared" si="47"/>
        <v>0</v>
      </c>
      <c r="AA90" s="71">
        <v>85</v>
      </c>
      <c r="AB90" s="33">
        <f t="shared" si="48"/>
        <v>0</v>
      </c>
      <c r="AC90" s="305">
        <f t="shared" si="41"/>
        <v>0</v>
      </c>
      <c r="AD90" s="100">
        <f t="shared" si="49"/>
        <v>0</v>
      </c>
      <c r="AE90" s="100">
        <f t="shared" si="50"/>
        <v>0</v>
      </c>
      <c r="AF90" s="194">
        <f t="shared" si="36"/>
        <v>0</v>
      </c>
      <c r="AG90" s="194">
        <f t="shared" si="37"/>
        <v>0</v>
      </c>
      <c r="AH90" s="194">
        <f t="shared" si="38"/>
        <v>0</v>
      </c>
      <c r="AI90" s="199">
        <f t="shared" si="39"/>
        <v>0</v>
      </c>
      <c r="AK90" s="71">
        <v>85</v>
      </c>
      <c r="AL90" s="33">
        <f t="shared" si="51"/>
        <v>0</v>
      </c>
      <c r="AM90" s="33">
        <f t="shared" si="52"/>
        <v>0</v>
      </c>
      <c r="AN90" s="33">
        <f t="shared" si="53"/>
        <v>0</v>
      </c>
      <c r="AO90" s="33">
        <f t="shared" si="54"/>
        <v>0</v>
      </c>
      <c r="AP90" s="33">
        <f t="shared" si="55"/>
        <v>0</v>
      </c>
      <c r="AQ90" s="194">
        <f t="shared" si="56"/>
        <v>0</v>
      </c>
      <c r="AR90" s="194">
        <f t="shared" si="56"/>
        <v>0</v>
      </c>
      <c r="AS90" s="194">
        <f t="shared" si="56"/>
        <v>0</v>
      </c>
      <c r="AT90" s="194">
        <f t="shared" si="56"/>
        <v>0</v>
      </c>
      <c r="AU90" s="33"/>
      <c r="AV90" s="33"/>
      <c r="AW90" s="33"/>
      <c r="AX90" s="33"/>
      <c r="AY90" s="76"/>
    </row>
    <row r="91" spans="2:51">
      <c r="B91" s="172">
        <f>IF(C43&lt;=$F$18,C43+1,"-")</f>
        <v>1</v>
      </c>
      <c r="C91" s="148">
        <f>D43-D44</f>
        <v>0</v>
      </c>
      <c r="D91" s="149">
        <v>0.9</v>
      </c>
      <c r="E91" s="129">
        <f>IF(G91+D91&lt;&gt;1,(1-(G91+D91))*56%,0)</f>
        <v>5.5999999999999994E-2</v>
      </c>
      <c r="F91" s="129">
        <f>IF(G91+D91&lt;&gt;1,(1-(G91+D91))*44%,0)</f>
        <v>4.3999999999999991E-2</v>
      </c>
      <c r="G91" s="150"/>
      <c r="H91" s="58">
        <f t="shared" si="65"/>
        <v>0</v>
      </c>
      <c r="I91" s="55">
        <v>86</v>
      </c>
      <c r="J91" s="33">
        <f t="shared" si="59"/>
        <v>0</v>
      </c>
      <c r="K91" s="33">
        <f t="shared" si="60"/>
        <v>0</v>
      </c>
      <c r="L91" s="33">
        <f t="shared" si="61"/>
        <v>0</v>
      </c>
      <c r="M91" s="33">
        <f t="shared" si="62"/>
        <v>0</v>
      </c>
      <c r="N91" s="33">
        <f t="shared" si="42"/>
        <v>0</v>
      </c>
      <c r="O91" s="34">
        <f t="shared" si="43"/>
        <v>0</v>
      </c>
      <c r="P91" s="55">
        <v>86</v>
      </c>
      <c r="Q91" s="33">
        <f t="shared" si="57"/>
        <v>0</v>
      </c>
      <c r="R91" s="33">
        <f t="shared" si="63"/>
        <v>0</v>
      </c>
      <c r="S91" s="33">
        <f t="shared" si="64"/>
        <v>0</v>
      </c>
      <c r="T91" s="33">
        <f t="shared" si="44"/>
        <v>0</v>
      </c>
      <c r="U91" s="33">
        <f t="shared" si="58"/>
        <v>0</v>
      </c>
      <c r="V91" s="33">
        <f t="shared" si="45"/>
        <v>0</v>
      </c>
      <c r="W91" s="33">
        <v>0</v>
      </c>
      <c r="X91" s="33">
        <f t="shared" si="46"/>
        <v>0</v>
      </c>
      <c r="Y91" s="38">
        <f t="shared" si="47"/>
        <v>0</v>
      </c>
      <c r="AA91" s="71">
        <v>86</v>
      </c>
      <c r="AB91" s="33">
        <f t="shared" si="48"/>
        <v>0</v>
      </c>
      <c r="AC91" s="305">
        <f t="shared" si="41"/>
        <v>0</v>
      </c>
      <c r="AD91" s="100">
        <f t="shared" si="49"/>
        <v>0</v>
      </c>
      <c r="AE91" s="100">
        <f t="shared" si="50"/>
        <v>0</v>
      </c>
      <c r="AF91" s="194">
        <f t="shared" ref="AF91:AF154" si="68">IF(OR(AA91&lt;=$F$18,AA91&lt;=30),EXP(-LN(2)/$D$104)*AF90+((1-EXP(-LN(2)/$D$104))/(LN(2)/$D$104))*$AB91*AC91*0.475*$F$19*44/12,)</f>
        <v>0</v>
      </c>
      <c r="AG91" s="194">
        <f t="shared" ref="AG91:AG154" si="69">IF(OR(AA91&lt;=$F$18,AA91&lt;=30),EXP(-LN(2)/$D$106)*AG90+((1-EXP(-LN(2)/$D$106))/(LN(2)/$D$106))*$AB91*AD91*0.475*$F$19*44/12,)</f>
        <v>0</v>
      </c>
      <c r="AH91" s="194">
        <f t="shared" ref="AH91:AH154" si="70">IF(OR(AA91&lt;=$F$18,AA91&lt;=30),EXP(-LN(2)/$D$105)*AH90+((1-EXP(-LN(2)/$D$105))/(LN(2)/$D$105))*$AB91*AE91*0.475*$F$19*44/12,)</f>
        <v>0</v>
      </c>
      <c r="AI91" s="199">
        <f t="shared" ref="AI91:AI154" si="71">IF(OR(AA91&lt;=$F$18,AA91&lt;=30),SUM(AF91:AH91),)</f>
        <v>0</v>
      </c>
      <c r="AK91" s="71">
        <v>86</v>
      </c>
      <c r="AL91" s="33">
        <f t="shared" si="51"/>
        <v>0</v>
      </c>
      <c r="AM91" s="33">
        <f t="shared" si="52"/>
        <v>0</v>
      </c>
      <c r="AN91" s="33">
        <f t="shared" si="53"/>
        <v>0</v>
      </c>
      <c r="AO91" s="33">
        <f t="shared" si="54"/>
        <v>0</v>
      </c>
      <c r="AP91" s="33">
        <f t="shared" si="55"/>
        <v>0</v>
      </c>
      <c r="AQ91" s="194">
        <f t="shared" si="56"/>
        <v>0</v>
      </c>
      <c r="AR91" s="194">
        <f t="shared" si="56"/>
        <v>0</v>
      </c>
      <c r="AS91" s="194">
        <f t="shared" si="56"/>
        <v>0</v>
      </c>
      <c r="AT91" s="194">
        <f t="shared" si="56"/>
        <v>0</v>
      </c>
      <c r="AU91" s="33"/>
      <c r="AV91" s="33"/>
      <c r="AW91" s="33"/>
      <c r="AX91" s="33"/>
      <c r="AY91" s="76"/>
    </row>
    <row r="92" spans="2:51">
      <c r="B92" s="172">
        <f>IF(C45&lt;=$F$18,C45+1,"-")</f>
        <v>1</v>
      </c>
      <c r="C92" s="148">
        <f>D45-D46</f>
        <v>0</v>
      </c>
      <c r="D92" s="149">
        <v>0.9</v>
      </c>
      <c r="E92" s="129">
        <f>IF(G92+D92&lt;&gt;1,(1-(G92+D92))*56%,0)</f>
        <v>5.5999999999999994E-2</v>
      </c>
      <c r="F92" s="129">
        <f>IF(G92+D92&lt;&gt;1,(1-(G92+D92))*44%,0)</f>
        <v>4.3999999999999991E-2</v>
      </c>
      <c r="G92" s="150"/>
      <c r="H92" s="58">
        <f t="shared" si="65"/>
        <v>0</v>
      </c>
      <c r="I92" s="55">
        <v>87</v>
      </c>
      <c r="J92" s="33">
        <f t="shared" si="59"/>
        <v>0</v>
      </c>
      <c r="K92" s="33">
        <f t="shared" si="60"/>
        <v>0</v>
      </c>
      <c r="L92" s="33">
        <f t="shared" si="61"/>
        <v>0</v>
      </c>
      <c r="M92" s="33">
        <f t="shared" si="62"/>
        <v>0</v>
      </c>
      <c r="N92" s="33">
        <f t="shared" si="42"/>
        <v>0</v>
      </c>
      <c r="O92" s="34">
        <f t="shared" si="43"/>
        <v>0</v>
      </c>
      <c r="P92" s="55">
        <v>87</v>
      </c>
      <c r="Q92" s="33">
        <f t="shared" si="57"/>
        <v>0</v>
      </c>
      <c r="R92" s="33">
        <f t="shared" si="63"/>
        <v>0</v>
      </c>
      <c r="S92" s="33">
        <f t="shared" si="64"/>
        <v>0</v>
      </c>
      <c r="T92" s="33">
        <f t="shared" si="44"/>
        <v>0</v>
      </c>
      <c r="U92" s="33">
        <f t="shared" si="58"/>
        <v>0</v>
      </c>
      <c r="V92" s="33">
        <f t="shared" si="45"/>
        <v>0</v>
      </c>
      <c r="W92" s="33">
        <v>0</v>
      </c>
      <c r="X92" s="33">
        <f t="shared" si="46"/>
        <v>0</v>
      </c>
      <c r="Y92" s="38">
        <f t="shared" si="47"/>
        <v>0</v>
      </c>
      <c r="AA92" s="71">
        <v>87</v>
      </c>
      <c r="AB92" s="33">
        <f t="shared" si="48"/>
        <v>0</v>
      </c>
      <c r="AC92" s="305">
        <f t="shared" si="41"/>
        <v>0</v>
      </c>
      <c r="AD92" s="100">
        <f t="shared" si="49"/>
        <v>0</v>
      </c>
      <c r="AE92" s="100">
        <f t="shared" si="50"/>
        <v>0</v>
      </c>
      <c r="AF92" s="194">
        <f t="shared" si="68"/>
        <v>0</v>
      </c>
      <c r="AG92" s="194">
        <f t="shared" si="69"/>
        <v>0</v>
      </c>
      <c r="AH92" s="194">
        <f t="shared" si="70"/>
        <v>0</v>
      </c>
      <c r="AI92" s="199">
        <f t="shared" si="71"/>
        <v>0</v>
      </c>
      <c r="AK92" s="71">
        <v>87</v>
      </c>
      <c r="AL92" s="33">
        <f t="shared" si="51"/>
        <v>0</v>
      </c>
      <c r="AM92" s="33">
        <f t="shared" si="52"/>
        <v>0</v>
      </c>
      <c r="AN92" s="33">
        <f t="shared" si="53"/>
        <v>0</v>
      </c>
      <c r="AO92" s="33">
        <f t="shared" si="54"/>
        <v>0</v>
      </c>
      <c r="AP92" s="33">
        <f t="shared" si="55"/>
        <v>0</v>
      </c>
      <c r="AQ92" s="194">
        <f t="shared" si="56"/>
        <v>0</v>
      </c>
      <c r="AR92" s="194">
        <f t="shared" si="56"/>
        <v>0</v>
      </c>
      <c r="AS92" s="194">
        <f t="shared" si="56"/>
        <v>0</v>
      </c>
      <c r="AT92" s="194">
        <f t="shared" si="56"/>
        <v>0</v>
      </c>
      <c r="AU92" s="33"/>
      <c r="AV92" s="33"/>
      <c r="AW92" s="33"/>
      <c r="AX92" s="33"/>
      <c r="AY92" s="76"/>
    </row>
    <row r="93" spans="2:51">
      <c r="B93" s="172">
        <f>IF(C47&lt;=$F$18,C47+1,"-")</f>
        <v>1</v>
      </c>
      <c r="C93" s="148">
        <f>D47-D48</f>
        <v>0</v>
      </c>
      <c r="D93" s="149">
        <v>0.95</v>
      </c>
      <c r="E93" s="129">
        <f>IF(G93+D93&lt;&gt;1,(1-(G93+D93))*56%,0)</f>
        <v>2.8000000000000028E-2</v>
      </c>
      <c r="F93" s="129">
        <f>IF(G93+D93&lt;&gt;1,(1-(G93+D93))*44%,0)</f>
        <v>2.200000000000002E-2</v>
      </c>
      <c r="G93" s="150"/>
      <c r="H93" s="58">
        <f t="shared" si="65"/>
        <v>0</v>
      </c>
      <c r="I93" s="55">
        <v>88</v>
      </c>
      <c r="J93" s="33">
        <f t="shared" si="59"/>
        <v>0</v>
      </c>
      <c r="K93" s="33">
        <f t="shared" si="60"/>
        <v>0</v>
      </c>
      <c r="L93" s="33">
        <f t="shared" si="61"/>
        <v>0</v>
      </c>
      <c r="M93" s="33">
        <f t="shared" si="62"/>
        <v>0</v>
      </c>
      <c r="N93" s="33">
        <f t="shared" si="42"/>
        <v>0</v>
      </c>
      <c r="O93" s="34">
        <f t="shared" si="43"/>
        <v>0</v>
      </c>
      <c r="P93" s="55">
        <v>88</v>
      </c>
      <c r="Q93" s="33">
        <f t="shared" si="57"/>
        <v>0</v>
      </c>
      <c r="R93" s="33">
        <f t="shared" si="63"/>
        <v>0</v>
      </c>
      <c r="S93" s="33">
        <f t="shared" si="64"/>
        <v>0</v>
      </c>
      <c r="T93" s="33">
        <f t="shared" si="44"/>
        <v>0</v>
      </c>
      <c r="U93" s="33">
        <f t="shared" si="58"/>
        <v>0</v>
      </c>
      <c r="V93" s="33">
        <f t="shared" si="45"/>
        <v>0</v>
      </c>
      <c r="W93" s="33">
        <v>0</v>
      </c>
      <c r="X93" s="33">
        <f t="shared" si="46"/>
        <v>0</v>
      </c>
      <c r="Y93" s="38">
        <f t="shared" si="47"/>
        <v>0</v>
      </c>
      <c r="AA93" s="71">
        <v>88</v>
      </c>
      <c r="AB93" s="33">
        <f t="shared" si="48"/>
        <v>0</v>
      </c>
      <c r="AC93" s="305">
        <f t="shared" si="41"/>
        <v>0</v>
      </c>
      <c r="AD93" s="100">
        <f t="shared" si="49"/>
        <v>0</v>
      </c>
      <c r="AE93" s="100">
        <f t="shared" si="50"/>
        <v>0</v>
      </c>
      <c r="AF93" s="194">
        <f t="shared" si="68"/>
        <v>0</v>
      </c>
      <c r="AG93" s="194">
        <f t="shared" si="69"/>
        <v>0</v>
      </c>
      <c r="AH93" s="194">
        <f t="shared" si="70"/>
        <v>0</v>
      </c>
      <c r="AI93" s="199">
        <f t="shared" si="71"/>
        <v>0</v>
      </c>
      <c r="AK93" s="71">
        <v>88</v>
      </c>
      <c r="AL93" s="33">
        <f t="shared" si="51"/>
        <v>0</v>
      </c>
      <c r="AM93" s="33">
        <f t="shared" si="52"/>
        <v>0</v>
      </c>
      <c r="AN93" s="33">
        <f t="shared" si="53"/>
        <v>0</v>
      </c>
      <c r="AO93" s="33">
        <f t="shared" si="54"/>
        <v>0</v>
      </c>
      <c r="AP93" s="33">
        <f t="shared" si="55"/>
        <v>0</v>
      </c>
      <c r="AQ93" s="194">
        <f t="shared" si="56"/>
        <v>0</v>
      </c>
      <c r="AR93" s="194">
        <f t="shared" si="56"/>
        <v>0</v>
      </c>
      <c r="AS93" s="194">
        <f t="shared" si="56"/>
        <v>0</v>
      </c>
      <c r="AT93" s="194">
        <f t="shared" si="56"/>
        <v>0</v>
      </c>
      <c r="AU93" s="33"/>
      <c r="AV93" s="33"/>
      <c r="AW93" s="33"/>
      <c r="AX93" s="33"/>
      <c r="AY93" s="76"/>
    </row>
    <row r="94" spans="2:51">
      <c r="B94" s="184">
        <f>F18</f>
        <v>65</v>
      </c>
      <c r="C94" s="181">
        <f>VLOOKUP(B94,C25:D78,2)</f>
        <v>637</v>
      </c>
      <c r="D94" s="182">
        <v>0.95</v>
      </c>
      <c r="E94" s="183">
        <f t="shared" si="66"/>
        <v>2.8000000000000028E-2</v>
      </c>
      <c r="F94" s="183">
        <f t="shared" si="67"/>
        <v>2.200000000000002E-2</v>
      </c>
      <c r="G94" s="151"/>
      <c r="H94" s="58">
        <f t="shared" si="65"/>
        <v>0</v>
      </c>
      <c r="I94" s="55">
        <v>89</v>
      </c>
      <c r="J94" s="33">
        <f t="shared" si="59"/>
        <v>0</v>
      </c>
      <c r="K94" s="33">
        <f t="shared" si="60"/>
        <v>0</v>
      </c>
      <c r="L94" s="33">
        <f t="shared" si="61"/>
        <v>0</v>
      </c>
      <c r="M94" s="33">
        <f t="shared" si="62"/>
        <v>0</v>
      </c>
      <c r="N94" s="33">
        <f t="shared" si="42"/>
        <v>0</v>
      </c>
      <c r="O94" s="34">
        <f t="shared" si="43"/>
        <v>0</v>
      </c>
      <c r="P94" s="55">
        <v>89</v>
      </c>
      <c r="Q94" s="33">
        <f t="shared" si="57"/>
        <v>0</v>
      </c>
      <c r="R94" s="33">
        <f t="shared" si="63"/>
        <v>0</v>
      </c>
      <c r="S94" s="33">
        <f t="shared" si="64"/>
        <v>0</v>
      </c>
      <c r="T94" s="33">
        <f t="shared" si="44"/>
        <v>0</v>
      </c>
      <c r="U94" s="33">
        <f t="shared" si="58"/>
        <v>0</v>
      </c>
      <c r="V94" s="33">
        <f t="shared" si="45"/>
        <v>0</v>
      </c>
      <c r="W94" s="33">
        <v>0</v>
      </c>
      <c r="X94" s="33">
        <f t="shared" si="46"/>
        <v>0</v>
      </c>
      <c r="Y94" s="38">
        <f t="shared" si="47"/>
        <v>0</v>
      </c>
      <c r="AA94" s="71">
        <v>89</v>
      </c>
      <c r="AB94" s="33">
        <f t="shared" si="48"/>
        <v>0</v>
      </c>
      <c r="AC94" s="305">
        <f t="shared" si="41"/>
        <v>0</v>
      </c>
      <c r="AD94" s="100">
        <f t="shared" si="49"/>
        <v>0</v>
      </c>
      <c r="AE94" s="100">
        <f t="shared" si="50"/>
        <v>0</v>
      </c>
      <c r="AF94" s="194">
        <f t="shared" si="68"/>
        <v>0</v>
      </c>
      <c r="AG94" s="194">
        <f t="shared" si="69"/>
        <v>0</v>
      </c>
      <c r="AH94" s="194">
        <f t="shared" si="70"/>
        <v>0</v>
      </c>
      <c r="AI94" s="199">
        <f t="shared" si="71"/>
        <v>0</v>
      </c>
      <c r="AK94" s="71">
        <v>89</v>
      </c>
      <c r="AL94" s="33">
        <f t="shared" si="51"/>
        <v>0</v>
      </c>
      <c r="AM94" s="33">
        <f t="shared" si="52"/>
        <v>0</v>
      </c>
      <c r="AN94" s="33">
        <f t="shared" si="53"/>
        <v>0</v>
      </c>
      <c r="AO94" s="33">
        <f t="shared" si="54"/>
        <v>0</v>
      </c>
      <c r="AP94" s="33">
        <f t="shared" si="55"/>
        <v>0</v>
      </c>
      <c r="AQ94" s="194">
        <f t="shared" si="56"/>
        <v>0</v>
      </c>
      <c r="AR94" s="194">
        <f t="shared" si="56"/>
        <v>0</v>
      </c>
      <c r="AS94" s="194">
        <f t="shared" si="56"/>
        <v>0</v>
      </c>
      <c r="AT94" s="194">
        <f t="shared" si="56"/>
        <v>0</v>
      </c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9"/>
        <v>0</v>
      </c>
      <c r="K95" s="33">
        <f t="shared" si="60"/>
        <v>0</v>
      </c>
      <c r="L95" s="33">
        <f t="shared" si="61"/>
        <v>0</v>
      </c>
      <c r="M95" s="33">
        <f t="shared" si="62"/>
        <v>0</v>
      </c>
      <c r="N95" s="33">
        <f t="shared" si="42"/>
        <v>0</v>
      </c>
      <c r="O95" s="34">
        <f t="shared" si="43"/>
        <v>0</v>
      </c>
      <c r="P95" s="55">
        <v>90</v>
      </c>
      <c r="Q95" s="33">
        <f t="shared" si="57"/>
        <v>0</v>
      </c>
      <c r="R95" s="33">
        <f t="shared" si="63"/>
        <v>0</v>
      </c>
      <c r="S95" s="33">
        <f t="shared" si="64"/>
        <v>0</v>
      </c>
      <c r="T95" s="33">
        <f t="shared" si="44"/>
        <v>0</v>
      </c>
      <c r="U95" s="33">
        <f t="shared" si="58"/>
        <v>0</v>
      </c>
      <c r="V95" s="33">
        <f t="shared" si="45"/>
        <v>0</v>
      </c>
      <c r="W95" s="33">
        <v>0</v>
      </c>
      <c r="X95" s="33">
        <f t="shared" si="46"/>
        <v>0</v>
      </c>
      <c r="Y95" s="38">
        <f t="shared" si="47"/>
        <v>0</v>
      </c>
      <c r="AA95" s="71">
        <v>90</v>
      </c>
      <c r="AB95" s="33">
        <f t="shared" si="48"/>
        <v>0</v>
      </c>
      <c r="AC95" s="305">
        <f t="shared" ref="AC95:AC158" si="72">IF(AA95&lt;=$F$18,IFERROR(VLOOKUP($AA95,$B$82:$G$94,3,FALSE),0),)*50%</f>
        <v>0</v>
      </c>
      <c r="AD95" s="100">
        <f t="shared" si="49"/>
        <v>0</v>
      </c>
      <c r="AE95" s="100">
        <f t="shared" si="50"/>
        <v>0</v>
      </c>
      <c r="AF95" s="194">
        <f t="shared" si="68"/>
        <v>0</v>
      </c>
      <c r="AG95" s="194">
        <f t="shared" si="69"/>
        <v>0</v>
      </c>
      <c r="AH95" s="194">
        <f t="shared" si="70"/>
        <v>0</v>
      </c>
      <c r="AI95" s="199">
        <f t="shared" si="71"/>
        <v>0</v>
      </c>
      <c r="AK95" s="71">
        <v>90</v>
      </c>
      <c r="AL95" s="33">
        <f t="shared" si="51"/>
        <v>0</v>
      </c>
      <c r="AM95" s="33">
        <f t="shared" si="52"/>
        <v>0</v>
      </c>
      <c r="AN95" s="33">
        <f t="shared" si="53"/>
        <v>0</v>
      </c>
      <c r="AO95" s="33">
        <f t="shared" si="54"/>
        <v>0</v>
      </c>
      <c r="AP95" s="33">
        <f t="shared" si="55"/>
        <v>0</v>
      </c>
      <c r="AQ95" s="194">
        <f t="shared" si="56"/>
        <v>0</v>
      </c>
      <c r="AR95" s="194">
        <f t="shared" si="56"/>
        <v>0</v>
      </c>
      <c r="AS95" s="194">
        <f t="shared" si="56"/>
        <v>0</v>
      </c>
      <c r="AT95" s="194">
        <f t="shared" si="56"/>
        <v>0</v>
      </c>
      <c r="AU95" s="33"/>
      <c r="AV95" s="33"/>
      <c r="AW95" s="33"/>
      <c r="AX95" s="33"/>
      <c r="AY95" s="76"/>
    </row>
    <row r="96" spans="2:51">
      <c r="C96" s="67" t="s">
        <v>153</v>
      </c>
      <c r="D96" t="s">
        <v>136</v>
      </c>
      <c r="E96" s="6"/>
      <c r="I96" s="55">
        <v>91</v>
      </c>
      <c r="J96" s="33">
        <f t="shared" si="59"/>
        <v>0</v>
      </c>
      <c r="K96" s="33">
        <f t="shared" si="60"/>
        <v>0</v>
      </c>
      <c r="L96" s="33">
        <f t="shared" si="61"/>
        <v>0</v>
      </c>
      <c r="M96" s="33">
        <f t="shared" si="62"/>
        <v>0</v>
      </c>
      <c r="N96" s="33">
        <f t="shared" si="42"/>
        <v>0</v>
      </c>
      <c r="O96" s="34">
        <f t="shared" si="43"/>
        <v>0</v>
      </c>
      <c r="P96" s="55">
        <v>91</v>
      </c>
      <c r="Q96" s="33">
        <f t="shared" si="57"/>
        <v>0</v>
      </c>
      <c r="R96" s="33">
        <f t="shared" si="63"/>
        <v>0</v>
      </c>
      <c r="S96" s="33">
        <f t="shared" si="64"/>
        <v>0</v>
      </c>
      <c r="T96" s="33">
        <f t="shared" si="44"/>
        <v>0</v>
      </c>
      <c r="U96" s="33">
        <f t="shared" si="58"/>
        <v>0</v>
      </c>
      <c r="V96" s="33">
        <f t="shared" si="45"/>
        <v>0</v>
      </c>
      <c r="W96" s="33">
        <v>0</v>
      </c>
      <c r="X96" s="33">
        <f t="shared" si="46"/>
        <v>0</v>
      </c>
      <c r="Y96" s="38">
        <f t="shared" si="47"/>
        <v>0</v>
      </c>
      <c r="AA96" s="71">
        <v>91</v>
      </c>
      <c r="AB96" s="33">
        <f t="shared" si="48"/>
        <v>0</v>
      </c>
      <c r="AC96" s="305">
        <f t="shared" si="72"/>
        <v>0</v>
      </c>
      <c r="AD96" s="100">
        <f t="shared" si="49"/>
        <v>0</v>
      </c>
      <c r="AE96" s="100">
        <f t="shared" si="50"/>
        <v>0</v>
      </c>
      <c r="AF96" s="194">
        <f t="shared" si="68"/>
        <v>0</v>
      </c>
      <c r="AG96" s="194">
        <f t="shared" si="69"/>
        <v>0</v>
      </c>
      <c r="AH96" s="194">
        <f t="shared" si="70"/>
        <v>0</v>
      </c>
      <c r="AI96" s="199">
        <f t="shared" si="71"/>
        <v>0</v>
      </c>
      <c r="AK96" s="71">
        <v>91</v>
      </c>
      <c r="AL96" s="33">
        <f t="shared" si="51"/>
        <v>0</v>
      </c>
      <c r="AM96" s="33">
        <f t="shared" si="52"/>
        <v>0</v>
      </c>
      <c r="AN96" s="33">
        <f t="shared" si="53"/>
        <v>0</v>
      </c>
      <c r="AO96" s="33">
        <f t="shared" si="54"/>
        <v>0</v>
      </c>
      <c r="AP96" s="33">
        <f t="shared" si="55"/>
        <v>0</v>
      </c>
      <c r="AQ96" s="194">
        <f t="shared" si="56"/>
        <v>0</v>
      </c>
      <c r="AR96" s="194">
        <f t="shared" si="56"/>
        <v>0</v>
      </c>
      <c r="AS96" s="194">
        <f t="shared" si="56"/>
        <v>0</v>
      </c>
      <c r="AT96" s="194">
        <f t="shared" si="56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9"/>
        <v>0</v>
      </c>
      <c r="K97" s="33">
        <f t="shared" si="60"/>
        <v>0</v>
      </c>
      <c r="L97" s="33">
        <f t="shared" si="61"/>
        <v>0</v>
      </c>
      <c r="M97" s="33">
        <f t="shared" si="62"/>
        <v>0</v>
      </c>
      <c r="N97" s="33">
        <f t="shared" si="42"/>
        <v>0</v>
      </c>
      <c r="O97" s="34">
        <f t="shared" si="43"/>
        <v>0</v>
      </c>
      <c r="P97" s="55">
        <v>92</v>
      </c>
      <c r="Q97" s="33">
        <f t="shared" si="57"/>
        <v>0</v>
      </c>
      <c r="R97" s="33">
        <f t="shared" si="63"/>
        <v>0</v>
      </c>
      <c r="S97" s="33">
        <f t="shared" si="64"/>
        <v>0</v>
      </c>
      <c r="T97" s="33">
        <f t="shared" si="44"/>
        <v>0</v>
      </c>
      <c r="U97" s="33">
        <f t="shared" si="58"/>
        <v>0</v>
      </c>
      <c r="V97" s="33">
        <f t="shared" si="45"/>
        <v>0</v>
      </c>
      <c r="W97" s="33">
        <v>0</v>
      </c>
      <c r="X97" s="33">
        <f t="shared" si="46"/>
        <v>0</v>
      </c>
      <c r="Y97" s="38">
        <f t="shared" si="47"/>
        <v>0</v>
      </c>
      <c r="AA97" s="71">
        <v>92</v>
      </c>
      <c r="AB97" s="33">
        <f t="shared" si="48"/>
        <v>0</v>
      </c>
      <c r="AC97" s="305">
        <f t="shared" si="72"/>
        <v>0</v>
      </c>
      <c r="AD97" s="100">
        <f t="shared" si="49"/>
        <v>0</v>
      </c>
      <c r="AE97" s="100">
        <f t="shared" si="50"/>
        <v>0</v>
      </c>
      <c r="AF97" s="194">
        <f t="shared" si="68"/>
        <v>0</v>
      </c>
      <c r="AG97" s="194">
        <f t="shared" si="69"/>
        <v>0</v>
      </c>
      <c r="AH97" s="194">
        <f t="shared" si="70"/>
        <v>0</v>
      </c>
      <c r="AI97" s="199">
        <f t="shared" si="71"/>
        <v>0</v>
      </c>
      <c r="AK97" s="71">
        <v>92</v>
      </c>
      <c r="AL97" s="33">
        <f t="shared" si="51"/>
        <v>0</v>
      </c>
      <c r="AM97" s="33">
        <f t="shared" si="52"/>
        <v>0</v>
      </c>
      <c r="AN97" s="33">
        <f t="shared" si="53"/>
        <v>0</v>
      </c>
      <c r="AO97" s="33">
        <f t="shared" si="54"/>
        <v>0</v>
      </c>
      <c r="AP97" s="33">
        <f t="shared" si="55"/>
        <v>0</v>
      </c>
      <c r="AQ97" s="194">
        <f t="shared" si="56"/>
        <v>0</v>
      </c>
      <c r="AR97" s="194">
        <f t="shared" si="56"/>
        <v>0</v>
      </c>
      <c r="AS97" s="194">
        <f t="shared" si="56"/>
        <v>0</v>
      </c>
      <c r="AT97" s="194">
        <f t="shared" si="56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9"/>
        <v>0</v>
      </c>
      <c r="K98" s="33">
        <f t="shared" si="60"/>
        <v>0</v>
      </c>
      <c r="L98" s="33">
        <f t="shared" si="61"/>
        <v>0</v>
      </c>
      <c r="M98" s="33">
        <f t="shared" si="62"/>
        <v>0</v>
      </c>
      <c r="N98" s="33">
        <f t="shared" si="42"/>
        <v>0</v>
      </c>
      <c r="O98" s="34">
        <f t="shared" si="43"/>
        <v>0</v>
      </c>
      <c r="P98" s="55">
        <v>93</v>
      </c>
      <c r="Q98" s="33">
        <f t="shared" si="57"/>
        <v>0</v>
      </c>
      <c r="R98" s="33">
        <f t="shared" si="63"/>
        <v>0</v>
      </c>
      <c r="S98" s="33">
        <f t="shared" si="64"/>
        <v>0</v>
      </c>
      <c r="T98" s="33">
        <f t="shared" si="44"/>
        <v>0</v>
      </c>
      <c r="U98" s="33">
        <f t="shared" si="58"/>
        <v>0</v>
      </c>
      <c r="V98" s="33">
        <f t="shared" si="45"/>
        <v>0</v>
      </c>
      <c r="W98" s="33">
        <v>0</v>
      </c>
      <c r="X98" s="33">
        <f t="shared" si="46"/>
        <v>0</v>
      </c>
      <c r="Y98" s="38">
        <f t="shared" si="47"/>
        <v>0</v>
      </c>
      <c r="AA98" s="71">
        <v>93</v>
      </c>
      <c r="AB98" s="33">
        <f t="shared" si="48"/>
        <v>0</v>
      </c>
      <c r="AC98" s="305">
        <f t="shared" si="72"/>
        <v>0</v>
      </c>
      <c r="AD98" s="100">
        <f t="shared" si="49"/>
        <v>0</v>
      </c>
      <c r="AE98" s="100">
        <f t="shared" si="50"/>
        <v>0</v>
      </c>
      <c r="AF98" s="194">
        <f t="shared" si="68"/>
        <v>0</v>
      </c>
      <c r="AG98" s="194">
        <f t="shared" si="69"/>
        <v>0</v>
      </c>
      <c r="AH98" s="194">
        <f t="shared" si="70"/>
        <v>0</v>
      </c>
      <c r="AI98" s="199">
        <f t="shared" si="71"/>
        <v>0</v>
      </c>
      <c r="AK98" s="71">
        <v>93</v>
      </c>
      <c r="AL98" s="33">
        <f t="shared" si="51"/>
        <v>0</v>
      </c>
      <c r="AM98" s="33">
        <f t="shared" si="52"/>
        <v>0</v>
      </c>
      <c r="AN98" s="33">
        <f t="shared" si="53"/>
        <v>0</v>
      </c>
      <c r="AO98" s="33">
        <f t="shared" si="54"/>
        <v>0</v>
      </c>
      <c r="AP98" s="33">
        <f t="shared" si="55"/>
        <v>0</v>
      </c>
      <c r="AQ98" s="194">
        <f t="shared" si="56"/>
        <v>0</v>
      </c>
      <c r="AR98" s="194">
        <f t="shared" si="56"/>
        <v>0</v>
      </c>
      <c r="AS98" s="194">
        <f t="shared" si="56"/>
        <v>0</v>
      </c>
      <c r="AT98" s="194">
        <f t="shared" si="56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9"/>
        <v>0</v>
      </c>
      <c r="K99" s="33">
        <f t="shared" si="60"/>
        <v>0</v>
      </c>
      <c r="L99" s="33">
        <f t="shared" si="61"/>
        <v>0</v>
      </c>
      <c r="M99" s="33">
        <f t="shared" si="62"/>
        <v>0</v>
      </c>
      <c r="N99" s="33">
        <f t="shared" si="42"/>
        <v>0</v>
      </c>
      <c r="O99" s="34">
        <f t="shared" si="43"/>
        <v>0</v>
      </c>
      <c r="P99" s="55">
        <v>94</v>
      </c>
      <c r="Q99" s="33">
        <f t="shared" si="57"/>
        <v>0</v>
      </c>
      <c r="R99" s="33">
        <f t="shared" si="63"/>
        <v>0</v>
      </c>
      <c r="S99" s="33">
        <f t="shared" si="64"/>
        <v>0</v>
      </c>
      <c r="T99" s="33">
        <f t="shared" si="44"/>
        <v>0</v>
      </c>
      <c r="U99" s="33">
        <f t="shared" si="58"/>
        <v>0</v>
      </c>
      <c r="V99" s="33">
        <f t="shared" si="45"/>
        <v>0</v>
      </c>
      <c r="W99" s="33">
        <v>0</v>
      </c>
      <c r="X99" s="33">
        <f t="shared" si="46"/>
        <v>0</v>
      </c>
      <c r="Y99" s="38">
        <f t="shared" si="47"/>
        <v>0</v>
      </c>
      <c r="AA99" s="71">
        <v>94</v>
      </c>
      <c r="AB99" s="33">
        <f t="shared" si="48"/>
        <v>0</v>
      </c>
      <c r="AC99" s="305">
        <f t="shared" si="72"/>
        <v>0</v>
      </c>
      <c r="AD99" s="100">
        <f t="shared" si="49"/>
        <v>0</v>
      </c>
      <c r="AE99" s="100">
        <f t="shared" si="50"/>
        <v>0</v>
      </c>
      <c r="AF99" s="194">
        <f t="shared" si="68"/>
        <v>0</v>
      </c>
      <c r="AG99" s="194">
        <f t="shared" si="69"/>
        <v>0</v>
      </c>
      <c r="AH99" s="194">
        <f t="shared" si="70"/>
        <v>0</v>
      </c>
      <c r="AI99" s="199">
        <f t="shared" si="71"/>
        <v>0</v>
      </c>
      <c r="AK99" s="71">
        <v>94</v>
      </c>
      <c r="AL99" s="33">
        <f t="shared" si="51"/>
        <v>0</v>
      </c>
      <c r="AM99" s="33">
        <f t="shared" si="52"/>
        <v>0</v>
      </c>
      <c r="AN99" s="33">
        <f t="shared" si="53"/>
        <v>0</v>
      </c>
      <c r="AO99" s="33">
        <f t="shared" si="54"/>
        <v>0</v>
      </c>
      <c r="AP99" s="33">
        <f t="shared" si="55"/>
        <v>0</v>
      </c>
      <c r="AQ99" s="194">
        <f t="shared" si="56"/>
        <v>0</v>
      </c>
      <c r="AR99" s="194">
        <f t="shared" si="56"/>
        <v>0</v>
      </c>
      <c r="AS99" s="194">
        <f t="shared" si="56"/>
        <v>0</v>
      </c>
      <c r="AT99" s="194">
        <f t="shared" si="56"/>
        <v>0</v>
      </c>
      <c r="AU99" s="33"/>
      <c r="AV99" s="33"/>
      <c r="AW99" s="33"/>
      <c r="AX99" s="33"/>
      <c r="AY99" s="76"/>
    </row>
    <row r="100" spans="2:51">
      <c r="B100" s="2" t="s">
        <v>134</v>
      </c>
      <c r="C100">
        <v>70</v>
      </c>
      <c r="D100">
        <v>0</v>
      </c>
      <c r="E100" s="6"/>
      <c r="I100" s="55">
        <v>95</v>
      </c>
      <c r="J100" s="33">
        <f t="shared" si="59"/>
        <v>0</v>
      </c>
      <c r="K100" s="33">
        <f t="shared" si="60"/>
        <v>0</v>
      </c>
      <c r="L100" s="33">
        <f t="shared" si="61"/>
        <v>0</v>
      </c>
      <c r="M100" s="33">
        <f t="shared" si="62"/>
        <v>0</v>
      </c>
      <c r="N100" s="33">
        <f t="shared" si="42"/>
        <v>0</v>
      </c>
      <c r="O100" s="34">
        <f t="shared" si="43"/>
        <v>0</v>
      </c>
      <c r="P100" s="55">
        <v>95</v>
      </c>
      <c r="Q100" s="33">
        <f t="shared" si="57"/>
        <v>0</v>
      </c>
      <c r="R100" s="33">
        <f t="shared" si="63"/>
        <v>0</v>
      </c>
      <c r="S100" s="33">
        <f t="shared" si="64"/>
        <v>0</v>
      </c>
      <c r="T100" s="33">
        <f t="shared" si="44"/>
        <v>0</v>
      </c>
      <c r="U100" s="33">
        <f t="shared" si="58"/>
        <v>0</v>
      </c>
      <c r="V100" s="33">
        <f t="shared" si="45"/>
        <v>0</v>
      </c>
      <c r="W100" s="33">
        <v>0</v>
      </c>
      <c r="X100" s="33">
        <f t="shared" si="46"/>
        <v>0</v>
      </c>
      <c r="Y100" s="38">
        <f t="shared" si="47"/>
        <v>0</v>
      </c>
      <c r="AA100" s="71">
        <v>95</v>
      </c>
      <c r="AB100" s="33">
        <f t="shared" si="48"/>
        <v>0</v>
      </c>
      <c r="AC100" s="305">
        <f t="shared" si="72"/>
        <v>0</v>
      </c>
      <c r="AD100" s="100">
        <f t="shared" si="49"/>
        <v>0</v>
      </c>
      <c r="AE100" s="100">
        <f t="shared" si="50"/>
        <v>0</v>
      </c>
      <c r="AF100" s="194">
        <f t="shared" si="68"/>
        <v>0</v>
      </c>
      <c r="AG100" s="194">
        <f t="shared" si="69"/>
        <v>0</v>
      </c>
      <c r="AH100" s="194">
        <f t="shared" si="70"/>
        <v>0</v>
      </c>
      <c r="AI100" s="199">
        <f t="shared" si="71"/>
        <v>0</v>
      </c>
      <c r="AK100" s="71">
        <v>95</v>
      </c>
      <c r="AL100" s="33">
        <f t="shared" si="51"/>
        <v>0</v>
      </c>
      <c r="AM100" s="33">
        <f t="shared" si="52"/>
        <v>0</v>
      </c>
      <c r="AN100" s="33">
        <f t="shared" si="53"/>
        <v>0</v>
      </c>
      <c r="AO100" s="33">
        <f t="shared" si="54"/>
        <v>0</v>
      </c>
      <c r="AP100" s="33">
        <f t="shared" si="55"/>
        <v>0</v>
      </c>
      <c r="AQ100" s="194">
        <f t="shared" si="56"/>
        <v>0</v>
      </c>
      <c r="AR100" s="194">
        <f t="shared" si="56"/>
        <v>0</v>
      </c>
      <c r="AS100" s="194">
        <f t="shared" si="56"/>
        <v>0</v>
      </c>
      <c r="AT100" s="194">
        <f t="shared" si="56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9"/>
        <v>0</v>
      </c>
      <c r="K101" s="33">
        <f t="shared" si="60"/>
        <v>0</v>
      </c>
      <c r="L101" s="33">
        <f t="shared" si="61"/>
        <v>0</v>
      </c>
      <c r="M101" s="33">
        <f t="shared" si="62"/>
        <v>0</v>
      </c>
      <c r="N101" s="33">
        <f t="shared" si="42"/>
        <v>0</v>
      </c>
      <c r="O101" s="34">
        <f t="shared" si="43"/>
        <v>0</v>
      </c>
      <c r="P101" s="55">
        <v>96</v>
      </c>
      <c r="Q101" s="33">
        <f t="shared" si="57"/>
        <v>0</v>
      </c>
      <c r="R101" s="33">
        <f t="shared" si="63"/>
        <v>0</v>
      </c>
      <c r="S101" s="33">
        <f t="shared" si="64"/>
        <v>0</v>
      </c>
      <c r="T101" s="33">
        <f t="shared" si="44"/>
        <v>0</v>
      </c>
      <c r="U101" s="33">
        <f t="shared" si="58"/>
        <v>0</v>
      </c>
      <c r="V101" s="33">
        <f t="shared" si="45"/>
        <v>0</v>
      </c>
      <c r="W101" s="33">
        <v>0</v>
      </c>
      <c r="X101" s="33">
        <f t="shared" si="46"/>
        <v>0</v>
      </c>
      <c r="Y101" s="38">
        <f t="shared" si="47"/>
        <v>0</v>
      </c>
      <c r="AA101" s="71">
        <v>96</v>
      </c>
      <c r="AB101" s="33">
        <f t="shared" si="48"/>
        <v>0</v>
      </c>
      <c r="AC101" s="305">
        <f t="shared" si="72"/>
        <v>0</v>
      </c>
      <c r="AD101" s="100">
        <f t="shared" si="49"/>
        <v>0</v>
      </c>
      <c r="AE101" s="100">
        <f t="shared" si="50"/>
        <v>0</v>
      </c>
      <c r="AF101" s="194">
        <f t="shared" si="68"/>
        <v>0</v>
      </c>
      <c r="AG101" s="194">
        <f t="shared" si="69"/>
        <v>0</v>
      </c>
      <c r="AH101" s="194">
        <f t="shared" si="70"/>
        <v>0</v>
      </c>
      <c r="AI101" s="199">
        <f t="shared" si="71"/>
        <v>0</v>
      </c>
      <c r="AK101" s="71">
        <v>96</v>
      </c>
      <c r="AL101" s="33">
        <f t="shared" si="51"/>
        <v>0</v>
      </c>
      <c r="AM101" s="33">
        <f t="shared" si="52"/>
        <v>0</v>
      </c>
      <c r="AN101" s="33">
        <f t="shared" si="53"/>
        <v>0</v>
      </c>
      <c r="AO101" s="33">
        <f t="shared" si="54"/>
        <v>0</v>
      </c>
      <c r="AP101" s="33">
        <f t="shared" si="55"/>
        <v>0</v>
      </c>
      <c r="AQ101" s="194">
        <f t="shared" si="56"/>
        <v>0</v>
      </c>
      <c r="AR101" s="194">
        <f t="shared" si="56"/>
        <v>0</v>
      </c>
      <c r="AS101" s="194">
        <f t="shared" si="56"/>
        <v>0</v>
      </c>
      <c r="AT101" s="194">
        <f t="shared" si="56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9"/>
        <v>0</v>
      </c>
      <c r="K102" s="33">
        <f t="shared" si="60"/>
        <v>0</v>
      </c>
      <c r="L102" s="33">
        <f t="shared" si="61"/>
        <v>0</v>
      </c>
      <c r="M102" s="33">
        <f t="shared" si="62"/>
        <v>0</v>
      </c>
      <c r="N102" s="33">
        <f t="shared" si="42"/>
        <v>0</v>
      </c>
      <c r="O102" s="34">
        <f t="shared" si="43"/>
        <v>0</v>
      </c>
      <c r="P102" s="55">
        <v>97</v>
      </c>
      <c r="Q102" s="33">
        <f t="shared" si="57"/>
        <v>0</v>
      </c>
      <c r="R102" s="33">
        <f t="shared" si="63"/>
        <v>0</v>
      </c>
      <c r="S102" s="33">
        <f t="shared" si="64"/>
        <v>0</v>
      </c>
      <c r="T102" s="33">
        <f t="shared" si="44"/>
        <v>0</v>
      </c>
      <c r="U102" s="33">
        <f t="shared" si="58"/>
        <v>0</v>
      </c>
      <c r="V102" s="33">
        <f t="shared" si="45"/>
        <v>0</v>
      </c>
      <c r="W102" s="33">
        <v>0</v>
      </c>
      <c r="X102" s="33">
        <f t="shared" si="46"/>
        <v>0</v>
      </c>
      <c r="Y102" s="38">
        <f t="shared" si="47"/>
        <v>0</v>
      </c>
      <c r="AA102" s="71">
        <v>97</v>
      </c>
      <c r="AB102" s="33">
        <f t="shared" si="48"/>
        <v>0</v>
      </c>
      <c r="AC102" s="305">
        <f t="shared" si="72"/>
        <v>0</v>
      </c>
      <c r="AD102" s="100">
        <f t="shared" si="49"/>
        <v>0</v>
      </c>
      <c r="AE102" s="100">
        <f t="shared" si="50"/>
        <v>0</v>
      </c>
      <c r="AF102" s="194">
        <f t="shared" si="68"/>
        <v>0</v>
      </c>
      <c r="AG102" s="194">
        <f t="shared" si="69"/>
        <v>0</v>
      </c>
      <c r="AH102" s="194">
        <f t="shared" si="70"/>
        <v>0</v>
      </c>
      <c r="AI102" s="199">
        <f t="shared" si="71"/>
        <v>0</v>
      </c>
      <c r="AK102" s="71">
        <v>97</v>
      </c>
      <c r="AL102" s="33">
        <f t="shared" si="51"/>
        <v>0</v>
      </c>
      <c r="AM102" s="33">
        <f t="shared" si="52"/>
        <v>0</v>
      </c>
      <c r="AN102" s="33">
        <f t="shared" si="53"/>
        <v>0</v>
      </c>
      <c r="AO102" s="33">
        <f t="shared" si="54"/>
        <v>0</v>
      </c>
      <c r="AP102" s="33">
        <f t="shared" si="55"/>
        <v>0</v>
      </c>
      <c r="AQ102" s="194">
        <f t="shared" si="56"/>
        <v>0</v>
      </c>
      <c r="AR102" s="194">
        <f t="shared" si="56"/>
        <v>0</v>
      </c>
      <c r="AS102" s="194">
        <f t="shared" si="56"/>
        <v>0</v>
      </c>
      <c r="AT102" s="194">
        <f t="shared" si="56"/>
        <v>0</v>
      </c>
      <c r="AU102" s="33"/>
      <c r="AV102" s="33"/>
      <c r="AW102" s="33"/>
      <c r="AX102" s="33"/>
      <c r="AY102" s="76"/>
    </row>
    <row r="103" spans="2:51" ht="16">
      <c r="C103" s="25" t="s">
        <v>156</v>
      </c>
      <c r="D103" s="157" t="s">
        <v>157</v>
      </c>
      <c r="F103" s="190" t="s">
        <v>231</v>
      </c>
      <c r="I103" s="55">
        <v>98</v>
      </c>
      <c r="J103" s="33">
        <f t="shared" si="59"/>
        <v>0</v>
      </c>
      <c r="K103" s="33">
        <f t="shared" si="60"/>
        <v>0</v>
      </c>
      <c r="L103" s="33">
        <f t="shared" si="61"/>
        <v>0</v>
      </c>
      <c r="M103" s="33">
        <f t="shared" si="62"/>
        <v>0</v>
      </c>
      <c r="N103" s="33">
        <f t="shared" si="42"/>
        <v>0</v>
      </c>
      <c r="O103" s="34">
        <f t="shared" si="43"/>
        <v>0</v>
      </c>
      <c r="P103" s="55">
        <v>98</v>
      </c>
      <c r="Q103" s="33">
        <f t="shared" si="57"/>
        <v>0</v>
      </c>
      <c r="R103" s="33">
        <f t="shared" si="63"/>
        <v>0</v>
      </c>
      <c r="S103" s="33">
        <f t="shared" si="64"/>
        <v>0</v>
      </c>
      <c r="T103" s="33">
        <f t="shared" si="44"/>
        <v>0</v>
      </c>
      <c r="U103" s="33">
        <f t="shared" si="58"/>
        <v>0</v>
      </c>
      <c r="V103" s="33">
        <f t="shared" si="45"/>
        <v>0</v>
      </c>
      <c r="W103" s="33">
        <v>0</v>
      </c>
      <c r="X103" s="33">
        <f t="shared" si="46"/>
        <v>0</v>
      </c>
      <c r="Y103" s="38">
        <f t="shared" si="47"/>
        <v>0</v>
      </c>
      <c r="AA103" s="71">
        <v>98</v>
      </c>
      <c r="AB103" s="33">
        <f t="shared" si="48"/>
        <v>0</v>
      </c>
      <c r="AC103" s="305">
        <f t="shared" si="72"/>
        <v>0</v>
      </c>
      <c r="AD103" s="100">
        <f t="shared" si="49"/>
        <v>0</v>
      </c>
      <c r="AE103" s="100">
        <f t="shared" si="50"/>
        <v>0</v>
      </c>
      <c r="AF103" s="194">
        <f t="shared" si="68"/>
        <v>0</v>
      </c>
      <c r="AG103" s="194">
        <f t="shared" si="69"/>
        <v>0</v>
      </c>
      <c r="AH103" s="194">
        <f t="shared" si="70"/>
        <v>0</v>
      </c>
      <c r="AI103" s="199">
        <f t="shared" si="71"/>
        <v>0</v>
      </c>
      <c r="AK103" s="71">
        <v>98</v>
      </c>
      <c r="AL103" s="33">
        <f t="shared" si="51"/>
        <v>0</v>
      </c>
      <c r="AM103" s="33">
        <f t="shared" si="52"/>
        <v>0</v>
      </c>
      <c r="AN103" s="33">
        <f t="shared" si="53"/>
        <v>0</v>
      </c>
      <c r="AO103" s="33">
        <f t="shared" si="54"/>
        <v>0</v>
      </c>
      <c r="AP103" s="33">
        <f t="shared" si="55"/>
        <v>0</v>
      </c>
      <c r="AQ103" s="194">
        <f t="shared" si="56"/>
        <v>0</v>
      </c>
      <c r="AR103" s="194">
        <f t="shared" si="56"/>
        <v>0</v>
      </c>
      <c r="AS103" s="194">
        <f t="shared" si="56"/>
        <v>0</v>
      </c>
      <c r="AT103" s="194">
        <f t="shared" si="56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9" t="s">
        <v>227</v>
      </c>
      <c r="G104" s="24">
        <v>0.25</v>
      </c>
      <c r="I104" s="55">
        <v>99</v>
      </c>
      <c r="J104" s="33">
        <f t="shared" si="59"/>
        <v>0</v>
      </c>
      <c r="K104" s="33">
        <f t="shared" si="60"/>
        <v>0</v>
      </c>
      <c r="L104" s="33">
        <f t="shared" si="61"/>
        <v>0</v>
      </c>
      <c r="M104" s="33">
        <f t="shared" si="62"/>
        <v>0</v>
      </c>
      <c r="N104" s="33">
        <f t="shared" si="42"/>
        <v>0</v>
      </c>
      <c r="O104" s="34">
        <f t="shared" si="43"/>
        <v>0</v>
      </c>
      <c r="P104" s="55">
        <v>99</v>
      </c>
      <c r="Q104" s="33">
        <f t="shared" si="57"/>
        <v>0</v>
      </c>
      <c r="R104" s="33">
        <f t="shared" si="63"/>
        <v>0</v>
      </c>
      <c r="S104" s="33">
        <f t="shared" si="64"/>
        <v>0</v>
      </c>
      <c r="T104" s="33">
        <f t="shared" si="44"/>
        <v>0</v>
      </c>
      <c r="U104" s="33">
        <f t="shared" si="58"/>
        <v>0</v>
      </c>
      <c r="V104" s="33">
        <f t="shared" si="45"/>
        <v>0</v>
      </c>
      <c r="W104" s="33">
        <v>0</v>
      </c>
      <c r="X104" s="33">
        <f t="shared" si="46"/>
        <v>0</v>
      </c>
      <c r="Y104" s="38">
        <f t="shared" si="47"/>
        <v>0</v>
      </c>
      <c r="AA104" s="71">
        <v>99</v>
      </c>
      <c r="AB104" s="33">
        <f t="shared" si="48"/>
        <v>0</v>
      </c>
      <c r="AC104" s="305">
        <f t="shared" si="72"/>
        <v>0</v>
      </c>
      <c r="AD104" s="100">
        <f t="shared" si="49"/>
        <v>0</v>
      </c>
      <c r="AE104" s="100">
        <f t="shared" si="50"/>
        <v>0</v>
      </c>
      <c r="AF104" s="194">
        <f t="shared" si="68"/>
        <v>0</v>
      </c>
      <c r="AG104" s="194">
        <f t="shared" si="69"/>
        <v>0</v>
      </c>
      <c r="AH104" s="194">
        <f t="shared" si="70"/>
        <v>0</v>
      </c>
      <c r="AI104" s="199">
        <f t="shared" si="71"/>
        <v>0</v>
      </c>
      <c r="AK104" s="71">
        <v>99</v>
      </c>
      <c r="AL104" s="33">
        <f t="shared" si="51"/>
        <v>0</v>
      </c>
      <c r="AM104" s="33">
        <f t="shared" si="52"/>
        <v>0</v>
      </c>
      <c r="AN104" s="33">
        <f t="shared" si="53"/>
        <v>0</v>
      </c>
      <c r="AO104" s="33">
        <f t="shared" si="54"/>
        <v>0</v>
      </c>
      <c r="AP104" s="33">
        <f t="shared" si="55"/>
        <v>0</v>
      </c>
      <c r="AQ104" s="194">
        <f t="shared" si="56"/>
        <v>0</v>
      </c>
      <c r="AR104" s="194">
        <f t="shared" si="56"/>
        <v>0</v>
      </c>
      <c r="AS104" s="194">
        <f t="shared" si="56"/>
        <v>0</v>
      </c>
      <c r="AT104" s="194">
        <f t="shared" si="56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9" t="s">
        <v>229</v>
      </c>
      <c r="G105" s="24">
        <v>1.03</v>
      </c>
      <c r="I105" s="55">
        <v>100</v>
      </c>
      <c r="J105" s="33">
        <f t="shared" si="59"/>
        <v>0</v>
      </c>
      <c r="K105" s="33">
        <f t="shared" si="60"/>
        <v>0</v>
      </c>
      <c r="L105" s="33">
        <f t="shared" si="61"/>
        <v>0</v>
      </c>
      <c r="M105" s="33">
        <f t="shared" si="62"/>
        <v>0</v>
      </c>
      <c r="N105" s="33">
        <f t="shared" si="42"/>
        <v>0</v>
      </c>
      <c r="O105" s="34">
        <f t="shared" si="43"/>
        <v>0</v>
      </c>
      <c r="P105" s="55">
        <v>100</v>
      </c>
      <c r="Q105" s="33">
        <f t="shared" si="57"/>
        <v>0</v>
      </c>
      <c r="R105" s="33">
        <f t="shared" si="63"/>
        <v>0</v>
      </c>
      <c r="S105" s="33">
        <f t="shared" si="64"/>
        <v>0</v>
      </c>
      <c r="T105" s="33">
        <f t="shared" si="44"/>
        <v>0</v>
      </c>
      <c r="U105" s="33">
        <f t="shared" si="58"/>
        <v>0</v>
      </c>
      <c r="V105" s="33">
        <f t="shared" si="45"/>
        <v>0</v>
      </c>
      <c r="W105" s="33">
        <v>0</v>
      </c>
      <c r="X105" s="33">
        <f t="shared" si="46"/>
        <v>0</v>
      </c>
      <c r="Y105" s="38">
        <f t="shared" si="47"/>
        <v>0</v>
      </c>
      <c r="AA105" s="71">
        <v>100</v>
      </c>
      <c r="AB105" s="33">
        <f t="shared" si="48"/>
        <v>0</v>
      </c>
      <c r="AC105" s="305">
        <f t="shared" si="72"/>
        <v>0</v>
      </c>
      <c r="AD105" s="100">
        <f t="shared" si="49"/>
        <v>0</v>
      </c>
      <c r="AE105" s="100">
        <f t="shared" si="50"/>
        <v>0</v>
      </c>
      <c r="AF105" s="194">
        <f t="shared" si="68"/>
        <v>0</v>
      </c>
      <c r="AG105" s="194">
        <f t="shared" si="69"/>
        <v>0</v>
      </c>
      <c r="AH105" s="194">
        <f t="shared" si="70"/>
        <v>0</v>
      </c>
      <c r="AI105" s="199">
        <f t="shared" si="71"/>
        <v>0</v>
      </c>
      <c r="AK105" s="71">
        <v>100</v>
      </c>
      <c r="AL105" s="33">
        <f t="shared" si="51"/>
        <v>0</v>
      </c>
      <c r="AM105" s="33">
        <f t="shared" si="52"/>
        <v>0</v>
      </c>
      <c r="AN105" s="33">
        <f t="shared" si="53"/>
        <v>0</v>
      </c>
      <c r="AO105" s="33">
        <f t="shared" si="54"/>
        <v>0</v>
      </c>
      <c r="AP105" s="33">
        <f t="shared" si="55"/>
        <v>0</v>
      </c>
      <c r="AQ105" s="194">
        <f t="shared" si="56"/>
        <v>0</v>
      </c>
      <c r="AR105" s="194">
        <f t="shared" si="56"/>
        <v>0</v>
      </c>
      <c r="AS105" s="194">
        <f t="shared" si="56"/>
        <v>0</v>
      </c>
      <c r="AT105" s="194">
        <f t="shared" si="56"/>
        <v>0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9" t="s">
        <v>230</v>
      </c>
      <c r="G106" s="24">
        <v>0.59</v>
      </c>
      <c r="I106" s="55">
        <v>101</v>
      </c>
      <c r="J106" s="33">
        <f t="shared" si="59"/>
        <v>0</v>
      </c>
      <c r="K106" s="33">
        <f t="shared" si="60"/>
        <v>0</v>
      </c>
      <c r="L106" s="33">
        <f t="shared" si="61"/>
        <v>0</v>
      </c>
      <c r="M106" s="33">
        <f t="shared" si="62"/>
        <v>0</v>
      </c>
      <c r="N106" s="33">
        <f t="shared" si="42"/>
        <v>0</v>
      </c>
      <c r="O106" s="34">
        <f t="shared" si="43"/>
        <v>0</v>
      </c>
      <c r="P106" s="55">
        <v>101</v>
      </c>
      <c r="Q106" s="33">
        <f t="shared" si="57"/>
        <v>0</v>
      </c>
      <c r="R106" s="33">
        <f t="shared" si="63"/>
        <v>0</v>
      </c>
      <c r="S106" s="33">
        <f t="shared" si="64"/>
        <v>0</v>
      </c>
      <c r="T106" s="33">
        <f t="shared" si="44"/>
        <v>0</v>
      </c>
      <c r="U106" s="33">
        <f t="shared" si="58"/>
        <v>0</v>
      </c>
      <c r="V106" s="33">
        <f t="shared" si="45"/>
        <v>0</v>
      </c>
      <c r="W106" s="33">
        <v>0</v>
      </c>
      <c r="X106" s="33">
        <f t="shared" si="46"/>
        <v>0</v>
      </c>
      <c r="Y106" s="38">
        <f t="shared" si="47"/>
        <v>0</v>
      </c>
      <c r="AA106" s="71">
        <v>101</v>
      </c>
      <c r="AB106" s="33">
        <f t="shared" si="48"/>
        <v>0</v>
      </c>
      <c r="AC106" s="305">
        <f t="shared" si="72"/>
        <v>0</v>
      </c>
      <c r="AD106" s="100">
        <f t="shared" si="49"/>
        <v>0</v>
      </c>
      <c r="AE106" s="100">
        <f t="shared" si="50"/>
        <v>0</v>
      </c>
      <c r="AF106" s="194">
        <f t="shared" si="68"/>
        <v>0</v>
      </c>
      <c r="AG106" s="194">
        <f t="shared" si="69"/>
        <v>0</v>
      </c>
      <c r="AH106" s="194">
        <f t="shared" si="70"/>
        <v>0</v>
      </c>
      <c r="AI106" s="199">
        <f t="shared" si="71"/>
        <v>0</v>
      </c>
      <c r="AK106" s="71">
        <v>101</v>
      </c>
      <c r="AL106" s="33">
        <f t="shared" si="51"/>
        <v>0</v>
      </c>
      <c r="AM106" s="33">
        <f t="shared" si="52"/>
        <v>0</v>
      </c>
      <c r="AN106" s="33">
        <f t="shared" si="53"/>
        <v>0</v>
      </c>
      <c r="AO106" s="33">
        <f t="shared" si="54"/>
        <v>0</v>
      </c>
      <c r="AP106" s="33">
        <f t="shared" si="55"/>
        <v>0</v>
      </c>
      <c r="AQ106" s="194">
        <f t="shared" si="56"/>
        <v>0</v>
      </c>
      <c r="AR106" s="194">
        <f t="shared" si="56"/>
        <v>0</v>
      </c>
      <c r="AS106" s="194">
        <f t="shared" si="56"/>
        <v>0</v>
      </c>
      <c r="AT106" s="194">
        <f t="shared" si="56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9" t="s">
        <v>228</v>
      </c>
      <c r="G107" s="24">
        <v>0.43</v>
      </c>
      <c r="I107" s="55">
        <v>102</v>
      </c>
      <c r="J107" s="33">
        <f t="shared" si="59"/>
        <v>0</v>
      </c>
      <c r="K107" s="33">
        <f t="shared" si="60"/>
        <v>0</v>
      </c>
      <c r="L107" s="33">
        <f t="shared" si="61"/>
        <v>0</v>
      </c>
      <c r="M107" s="33">
        <f t="shared" si="62"/>
        <v>0</v>
      </c>
      <c r="N107" s="33">
        <f t="shared" si="42"/>
        <v>0</v>
      </c>
      <c r="O107" s="34">
        <f t="shared" si="43"/>
        <v>0</v>
      </c>
      <c r="P107" s="55">
        <v>102</v>
      </c>
      <c r="Q107" s="33">
        <f t="shared" si="57"/>
        <v>0</v>
      </c>
      <c r="R107" s="33">
        <f t="shared" si="63"/>
        <v>0</v>
      </c>
      <c r="S107" s="33">
        <f t="shared" si="64"/>
        <v>0</v>
      </c>
      <c r="T107" s="33">
        <f t="shared" si="44"/>
        <v>0</v>
      </c>
      <c r="U107" s="33">
        <f t="shared" si="58"/>
        <v>0</v>
      </c>
      <c r="V107" s="33">
        <f t="shared" si="45"/>
        <v>0</v>
      </c>
      <c r="W107" s="33">
        <v>0</v>
      </c>
      <c r="X107" s="33">
        <f t="shared" si="46"/>
        <v>0</v>
      </c>
      <c r="Y107" s="38">
        <f t="shared" si="47"/>
        <v>0</v>
      </c>
      <c r="AA107" s="71">
        <v>102</v>
      </c>
      <c r="AB107" s="33">
        <f t="shared" si="48"/>
        <v>0</v>
      </c>
      <c r="AC107" s="305">
        <f t="shared" si="72"/>
        <v>0</v>
      </c>
      <c r="AD107" s="100">
        <f t="shared" si="49"/>
        <v>0</v>
      </c>
      <c r="AE107" s="100">
        <f t="shared" si="50"/>
        <v>0</v>
      </c>
      <c r="AF107" s="194">
        <f t="shared" si="68"/>
        <v>0</v>
      </c>
      <c r="AG107" s="194">
        <f t="shared" si="69"/>
        <v>0</v>
      </c>
      <c r="AH107" s="194">
        <f t="shared" si="70"/>
        <v>0</v>
      </c>
      <c r="AI107" s="199">
        <f t="shared" si="71"/>
        <v>0</v>
      </c>
      <c r="AK107" s="71">
        <v>102</v>
      </c>
      <c r="AL107" s="33">
        <f t="shared" si="51"/>
        <v>0</v>
      </c>
      <c r="AM107" s="33">
        <f t="shared" si="52"/>
        <v>0</v>
      </c>
      <c r="AN107" s="33">
        <f t="shared" si="53"/>
        <v>0</v>
      </c>
      <c r="AO107" s="33">
        <f t="shared" si="54"/>
        <v>0</v>
      </c>
      <c r="AP107" s="33">
        <f t="shared" si="55"/>
        <v>0</v>
      </c>
      <c r="AQ107" s="194">
        <f t="shared" si="56"/>
        <v>0</v>
      </c>
      <c r="AR107" s="194">
        <f t="shared" si="56"/>
        <v>0</v>
      </c>
      <c r="AS107" s="194">
        <f t="shared" si="56"/>
        <v>0</v>
      </c>
      <c r="AT107" s="194">
        <f t="shared" si="56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1" t="s">
        <v>232</v>
      </c>
      <c r="G108" s="192">
        <f>VLOOKUP(VLOOKUP(F17,C131:E195,3,FALSE),F104:G107,2,FALSE)</f>
        <v>0.43</v>
      </c>
      <c r="I108" s="55">
        <v>103</v>
      </c>
      <c r="J108" s="33">
        <f t="shared" si="59"/>
        <v>0</v>
      </c>
      <c r="K108" s="33">
        <f t="shared" si="60"/>
        <v>0</v>
      </c>
      <c r="L108" s="33">
        <f t="shared" si="61"/>
        <v>0</v>
      </c>
      <c r="M108" s="33">
        <f t="shared" si="62"/>
        <v>0</v>
      </c>
      <c r="N108" s="33">
        <f t="shared" si="42"/>
        <v>0</v>
      </c>
      <c r="O108" s="34">
        <f t="shared" si="43"/>
        <v>0</v>
      </c>
      <c r="P108" s="55">
        <v>103</v>
      </c>
      <c r="Q108" s="33">
        <f t="shared" si="57"/>
        <v>0</v>
      </c>
      <c r="R108" s="33">
        <f t="shared" si="63"/>
        <v>0</v>
      </c>
      <c r="S108" s="33">
        <f t="shared" si="64"/>
        <v>0</v>
      </c>
      <c r="T108" s="33">
        <f t="shared" si="44"/>
        <v>0</v>
      </c>
      <c r="U108" s="33">
        <f t="shared" si="58"/>
        <v>0</v>
      </c>
      <c r="V108" s="33">
        <f t="shared" si="45"/>
        <v>0</v>
      </c>
      <c r="W108" s="33">
        <v>0</v>
      </c>
      <c r="X108" s="33">
        <f t="shared" si="46"/>
        <v>0</v>
      </c>
      <c r="Y108" s="38">
        <f t="shared" si="47"/>
        <v>0</v>
      </c>
      <c r="AA108" s="71">
        <v>103</v>
      </c>
      <c r="AB108" s="33">
        <f t="shared" si="48"/>
        <v>0</v>
      </c>
      <c r="AC108" s="305">
        <f t="shared" si="72"/>
        <v>0</v>
      </c>
      <c r="AD108" s="100">
        <f t="shared" si="49"/>
        <v>0</v>
      </c>
      <c r="AE108" s="100">
        <f t="shared" si="50"/>
        <v>0</v>
      </c>
      <c r="AF108" s="194">
        <f t="shared" si="68"/>
        <v>0</v>
      </c>
      <c r="AG108" s="194">
        <f t="shared" si="69"/>
        <v>0</v>
      </c>
      <c r="AH108" s="194">
        <f t="shared" si="70"/>
        <v>0</v>
      </c>
      <c r="AI108" s="199">
        <f t="shared" si="71"/>
        <v>0</v>
      </c>
      <c r="AK108" s="71">
        <v>103</v>
      </c>
      <c r="AL108" s="33">
        <f t="shared" si="51"/>
        <v>0</v>
      </c>
      <c r="AM108" s="33">
        <f t="shared" si="52"/>
        <v>0</v>
      </c>
      <c r="AN108" s="33">
        <f t="shared" si="53"/>
        <v>0</v>
      </c>
      <c r="AO108" s="33">
        <f t="shared" si="54"/>
        <v>0</v>
      </c>
      <c r="AP108" s="33">
        <f t="shared" si="55"/>
        <v>0</v>
      </c>
      <c r="AQ108" s="194">
        <f t="shared" si="56"/>
        <v>0</v>
      </c>
      <c r="AR108" s="194">
        <f t="shared" si="56"/>
        <v>0</v>
      </c>
      <c r="AS108" s="194">
        <f t="shared" si="56"/>
        <v>0</v>
      </c>
      <c r="AT108" s="194">
        <f t="shared" si="56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9"/>
        <v>0</v>
      </c>
      <c r="K109" s="33">
        <f t="shared" si="60"/>
        <v>0</v>
      </c>
      <c r="L109" s="33">
        <f t="shared" si="61"/>
        <v>0</v>
      </c>
      <c r="M109" s="33">
        <f t="shared" si="62"/>
        <v>0</v>
      </c>
      <c r="N109" s="33">
        <f t="shared" si="42"/>
        <v>0</v>
      </c>
      <c r="O109" s="34">
        <f t="shared" si="43"/>
        <v>0</v>
      </c>
      <c r="P109" s="55">
        <v>104</v>
      </c>
      <c r="Q109" s="33">
        <f t="shared" si="57"/>
        <v>0</v>
      </c>
      <c r="R109" s="33">
        <f t="shared" si="63"/>
        <v>0</v>
      </c>
      <c r="S109" s="33">
        <f t="shared" si="64"/>
        <v>0</v>
      </c>
      <c r="T109" s="33">
        <f t="shared" si="44"/>
        <v>0</v>
      </c>
      <c r="U109" s="33">
        <f t="shared" si="58"/>
        <v>0</v>
      </c>
      <c r="V109" s="33">
        <f t="shared" si="45"/>
        <v>0</v>
      </c>
      <c r="W109" s="33">
        <v>0</v>
      </c>
      <c r="X109" s="33">
        <f t="shared" si="46"/>
        <v>0</v>
      </c>
      <c r="Y109" s="38">
        <f t="shared" si="47"/>
        <v>0</v>
      </c>
      <c r="AA109" s="71">
        <v>104</v>
      </c>
      <c r="AB109" s="33">
        <f t="shared" si="48"/>
        <v>0</v>
      </c>
      <c r="AC109" s="305">
        <f t="shared" si="72"/>
        <v>0</v>
      </c>
      <c r="AD109" s="100">
        <f t="shared" si="49"/>
        <v>0</v>
      </c>
      <c r="AE109" s="100">
        <f t="shared" si="50"/>
        <v>0</v>
      </c>
      <c r="AF109" s="194">
        <f t="shared" si="68"/>
        <v>0</v>
      </c>
      <c r="AG109" s="194">
        <f t="shared" si="69"/>
        <v>0</v>
      </c>
      <c r="AH109" s="194">
        <f t="shared" si="70"/>
        <v>0</v>
      </c>
      <c r="AI109" s="199">
        <f t="shared" si="71"/>
        <v>0</v>
      </c>
      <c r="AK109" s="71">
        <v>104</v>
      </c>
      <c r="AL109" s="33">
        <f t="shared" si="51"/>
        <v>0</v>
      </c>
      <c r="AM109" s="33">
        <f t="shared" si="52"/>
        <v>0</v>
      </c>
      <c r="AN109" s="33">
        <f t="shared" si="53"/>
        <v>0</v>
      </c>
      <c r="AO109" s="33">
        <f t="shared" si="54"/>
        <v>0</v>
      </c>
      <c r="AP109" s="33">
        <f t="shared" si="55"/>
        <v>0</v>
      </c>
      <c r="AQ109" s="194">
        <f t="shared" si="56"/>
        <v>0</v>
      </c>
      <c r="AR109" s="194">
        <f t="shared" si="56"/>
        <v>0</v>
      </c>
      <c r="AS109" s="194">
        <f t="shared" si="56"/>
        <v>0</v>
      </c>
      <c r="AT109" s="194">
        <f t="shared" si="56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9"/>
        <v>0</v>
      </c>
      <c r="K110" s="33">
        <f t="shared" si="60"/>
        <v>0</v>
      </c>
      <c r="L110" s="33">
        <f t="shared" si="61"/>
        <v>0</v>
      </c>
      <c r="M110" s="33">
        <f t="shared" si="62"/>
        <v>0</v>
      </c>
      <c r="N110" s="33">
        <f t="shared" si="42"/>
        <v>0</v>
      </c>
      <c r="O110" s="34">
        <f t="shared" si="43"/>
        <v>0</v>
      </c>
      <c r="P110" s="55">
        <v>105</v>
      </c>
      <c r="Q110" s="33">
        <f t="shared" si="57"/>
        <v>0</v>
      </c>
      <c r="R110" s="33">
        <f t="shared" si="63"/>
        <v>0</v>
      </c>
      <c r="S110" s="33">
        <f t="shared" si="64"/>
        <v>0</v>
      </c>
      <c r="T110" s="33">
        <f t="shared" si="44"/>
        <v>0</v>
      </c>
      <c r="U110" s="33">
        <f t="shared" si="58"/>
        <v>0</v>
      </c>
      <c r="V110" s="33">
        <f t="shared" si="45"/>
        <v>0</v>
      </c>
      <c r="W110" s="33">
        <v>0</v>
      </c>
      <c r="X110" s="33">
        <f t="shared" si="46"/>
        <v>0</v>
      </c>
      <c r="Y110" s="38">
        <f t="shared" si="47"/>
        <v>0</v>
      </c>
      <c r="AA110" s="71">
        <v>105</v>
      </c>
      <c r="AB110" s="33">
        <f t="shared" si="48"/>
        <v>0</v>
      </c>
      <c r="AC110" s="305">
        <f t="shared" si="72"/>
        <v>0</v>
      </c>
      <c r="AD110" s="100">
        <f t="shared" si="49"/>
        <v>0</v>
      </c>
      <c r="AE110" s="100">
        <f t="shared" si="50"/>
        <v>0</v>
      </c>
      <c r="AF110" s="194">
        <f t="shared" si="68"/>
        <v>0</v>
      </c>
      <c r="AG110" s="194">
        <f t="shared" si="69"/>
        <v>0</v>
      </c>
      <c r="AH110" s="194">
        <f t="shared" si="70"/>
        <v>0</v>
      </c>
      <c r="AI110" s="199">
        <f t="shared" si="71"/>
        <v>0</v>
      </c>
      <c r="AK110" s="71">
        <v>105</v>
      </c>
      <c r="AL110" s="33">
        <f t="shared" si="51"/>
        <v>0</v>
      </c>
      <c r="AM110" s="33">
        <f t="shared" si="52"/>
        <v>0</v>
      </c>
      <c r="AN110" s="33">
        <f t="shared" si="53"/>
        <v>0</v>
      </c>
      <c r="AO110" s="33">
        <f t="shared" si="54"/>
        <v>0</v>
      </c>
      <c r="AP110" s="33">
        <f t="shared" si="55"/>
        <v>0</v>
      </c>
      <c r="AQ110" s="194">
        <f t="shared" si="56"/>
        <v>0</v>
      </c>
      <c r="AR110" s="194">
        <f t="shared" si="56"/>
        <v>0</v>
      </c>
      <c r="AS110" s="194">
        <f t="shared" si="56"/>
        <v>0</v>
      </c>
      <c r="AT110" s="194">
        <f t="shared" si="56"/>
        <v>0</v>
      </c>
      <c r="AU110" s="33"/>
      <c r="AV110" s="33"/>
      <c r="AW110" s="33"/>
      <c r="AX110" s="33"/>
      <c r="AY110" s="76"/>
    </row>
    <row r="111" spans="2:51">
      <c r="C111" s="157" t="s">
        <v>168</v>
      </c>
      <c r="D111" s="157"/>
      <c r="E111" s="157"/>
      <c r="I111" s="55">
        <v>106</v>
      </c>
      <c r="J111" s="33">
        <f t="shared" si="59"/>
        <v>0</v>
      </c>
      <c r="K111" s="33">
        <f t="shared" si="60"/>
        <v>0</v>
      </c>
      <c r="L111" s="33">
        <f t="shared" si="61"/>
        <v>0</v>
      </c>
      <c r="M111" s="33">
        <f t="shared" si="62"/>
        <v>0</v>
      </c>
      <c r="N111" s="33">
        <f t="shared" si="42"/>
        <v>0</v>
      </c>
      <c r="O111" s="34">
        <f t="shared" si="43"/>
        <v>0</v>
      </c>
      <c r="P111" s="55">
        <v>106</v>
      </c>
      <c r="Q111" s="33">
        <f t="shared" si="57"/>
        <v>0</v>
      </c>
      <c r="R111" s="33">
        <f t="shared" si="63"/>
        <v>0</v>
      </c>
      <c r="S111" s="33">
        <f t="shared" si="64"/>
        <v>0</v>
      </c>
      <c r="T111" s="33">
        <f t="shared" si="44"/>
        <v>0</v>
      </c>
      <c r="U111" s="33">
        <f t="shared" si="58"/>
        <v>0</v>
      </c>
      <c r="V111" s="33">
        <f t="shared" si="45"/>
        <v>0</v>
      </c>
      <c r="W111" s="33">
        <v>0</v>
      </c>
      <c r="X111" s="33">
        <f t="shared" si="46"/>
        <v>0</v>
      </c>
      <c r="Y111" s="38">
        <f t="shared" si="47"/>
        <v>0</v>
      </c>
      <c r="AA111" s="71">
        <v>106</v>
      </c>
      <c r="AB111" s="33">
        <f t="shared" si="48"/>
        <v>0</v>
      </c>
      <c r="AC111" s="305">
        <f t="shared" si="72"/>
        <v>0</v>
      </c>
      <c r="AD111" s="100">
        <f t="shared" si="49"/>
        <v>0</v>
      </c>
      <c r="AE111" s="100">
        <f t="shared" si="50"/>
        <v>0</v>
      </c>
      <c r="AF111" s="194">
        <f t="shared" si="68"/>
        <v>0</v>
      </c>
      <c r="AG111" s="194">
        <f t="shared" si="69"/>
        <v>0</v>
      </c>
      <c r="AH111" s="194">
        <f t="shared" si="70"/>
        <v>0</v>
      </c>
      <c r="AI111" s="199">
        <f t="shared" si="71"/>
        <v>0</v>
      </c>
      <c r="AK111" s="71">
        <v>106</v>
      </c>
      <c r="AL111" s="33">
        <f t="shared" si="51"/>
        <v>0</v>
      </c>
      <c r="AM111" s="33">
        <f t="shared" si="52"/>
        <v>0</v>
      </c>
      <c r="AN111" s="33">
        <f t="shared" si="53"/>
        <v>0</v>
      </c>
      <c r="AO111" s="33">
        <f t="shared" si="54"/>
        <v>0</v>
      </c>
      <c r="AP111" s="33">
        <f t="shared" si="55"/>
        <v>0</v>
      </c>
      <c r="AQ111" s="194">
        <f t="shared" si="56"/>
        <v>0</v>
      </c>
      <c r="AR111" s="194">
        <f t="shared" si="56"/>
        <v>0</v>
      </c>
      <c r="AS111" s="194">
        <f t="shared" si="56"/>
        <v>0</v>
      </c>
      <c r="AT111" s="194">
        <f t="shared" si="56"/>
        <v>0</v>
      </c>
      <c r="AU111" s="33"/>
      <c r="AV111" s="33"/>
      <c r="AW111" s="33"/>
      <c r="AX111" s="33"/>
      <c r="AY111" s="76"/>
    </row>
    <row r="112" spans="2:51">
      <c r="C112" s="74" t="s">
        <v>144</v>
      </c>
      <c r="D112" s="74" t="s">
        <v>72</v>
      </c>
      <c r="E112" s="74" t="s">
        <v>165</v>
      </c>
      <c r="I112" s="55">
        <v>107</v>
      </c>
      <c r="J112" s="33">
        <f t="shared" si="59"/>
        <v>0</v>
      </c>
      <c r="K112" s="33">
        <f t="shared" si="60"/>
        <v>0</v>
      </c>
      <c r="L112" s="33">
        <f t="shared" si="61"/>
        <v>0</v>
      </c>
      <c r="M112" s="33">
        <f t="shared" si="62"/>
        <v>0</v>
      </c>
      <c r="N112" s="33">
        <f t="shared" si="42"/>
        <v>0</v>
      </c>
      <c r="O112" s="34">
        <f t="shared" si="43"/>
        <v>0</v>
      </c>
      <c r="P112" s="55">
        <v>107</v>
      </c>
      <c r="Q112" s="33">
        <f t="shared" si="57"/>
        <v>0</v>
      </c>
      <c r="R112" s="33">
        <f t="shared" si="63"/>
        <v>0</v>
      </c>
      <c r="S112" s="33">
        <f t="shared" si="64"/>
        <v>0</v>
      </c>
      <c r="T112" s="33">
        <f t="shared" si="44"/>
        <v>0</v>
      </c>
      <c r="U112" s="33">
        <f t="shared" si="58"/>
        <v>0</v>
      </c>
      <c r="V112" s="33">
        <f t="shared" si="45"/>
        <v>0</v>
      </c>
      <c r="W112" s="33">
        <v>0</v>
      </c>
      <c r="X112" s="33">
        <f t="shared" si="46"/>
        <v>0</v>
      </c>
      <c r="Y112" s="38">
        <f t="shared" si="47"/>
        <v>0</v>
      </c>
      <c r="AA112" s="71">
        <v>107</v>
      </c>
      <c r="AB112" s="33">
        <f t="shared" si="48"/>
        <v>0</v>
      </c>
      <c r="AC112" s="305">
        <f t="shared" si="72"/>
        <v>0</v>
      </c>
      <c r="AD112" s="100">
        <f t="shared" si="49"/>
        <v>0</v>
      </c>
      <c r="AE112" s="100">
        <f t="shared" si="50"/>
        <v>0</v>
      </c>
      <c r="AF112" s="194">
        <f t="shared" si="68"/>
        <v>0</v>
      </c>
      <c r="AG112" s="194">
        <f t="shared" si="69"/>
        <v>0</v>
      </c>
      <c r="AH112" s="194">
        <f t="shared" si="70"/>
        <v>0</v>
      </c>
      <c r="AI112" s="199">
        <f t="shared" si="71"/>
        <v>0</v>
      </c>
      <c r="AK112" s="71">
        <v>107</v>
      </c>
      <c r="AL112" s="33">
        <f t="shared" si="51"/>
        <v>0</v>
      </c>
      <c r="AM112" s="33">
        <f t="shared" si="52"/>
        <v>0</v>
      </c>
      <c r="AN112" s="33">
        <f t="shared" si="53"/>
        <v>0</v>
      </c>
      <c r="AO112" s="33">
        <f t="shared" si="54"/>
        <v>0</v>
      </c>
      <c r="AP112" s="33">
        <f t="shared" si="55"/>
        <v>0</v>
      </c>
      <c r="AQ112" s="194">
        <f t="shared" si="56"/>
        <v>0</v>
      </c>
      <c r="AR112" s="194">
        <f t="shared" si="56"/>
        <v>0</v>
      </c>
      <c r="AS112" s="194">
        <f t="shared" si="56"/>
        <v>0</v>
      </c>
      <c r="AT112" s="194">
        <f t="shared" si="56"/>
        <v>0</v>
      </c>
      <c r="AU112" s="33"/>
      <c r="AV112" s="33"/>
      <c r="AW112" s="33"/>
      <c r="AX112" s="33"/>
      <c r="AY112" s="76"/>
    </row>
    <row r="113" spans="2:51">
      <c r="B113" s="67" t="s">
        <v>166</v>
      </c>
      <c r="C113" s="79">
        <f>1/$F$18*SUM(X6:X205)</f>
        <v>684.50916755430364</v>
      </c>
      <c r="D113" s="79">
        <f>1/$F$10*SUM(O6:O205)</f>
        <v>177.03590180507837</v>
      </c>
      <c r="E113" s="78">
        <f>C113-D113</f>
        <v>507.47326574922528</v>
      </c>
      <c r="I113" s="55">
        <v>108</v>
      </c>
      <c r="J113" s="33">
        <f t="shared" si="59"/>
        <v>0</v>
      </c>
      <c r="K113" s="33">
        <f t="shared" si="60"/>
        <v>0</v>
      </c>
      <c r="L113" s="33">
        <f t="shared" si="61"/>
        <v>0</v>
      </c>
      <c r="M113" s="33">
        <f t="shared" si="62"/>
        <v>0</v>
      </c>
      <c r="N113" s="33">
        <f t="shared" si="42"/>
        <v>0</v>
      </c>
      <c r="O113" s="34">
        <f t="shared" si="43"/>
        <v>0</v>
      </c>
      <c r="P113" s="55">
        <v>108</v>
      </c>
      <c r="Q113" s="33">
        <f t="shared" si="57"/>
        <v>0</v>
      </c>
      <c r="R113" s="33">
        <f t="shared" si="63"/>
        <v>0</v>
      </c>
      <c r="S113" s="33">
        <f t="shared" si="64"/>
        <v>0</v>
      </c>
      <c r="T113" s="33">
        <f t="shared" si="44"/>
        <v>0</v>
      </c>
      <c r="U113" s="33">
        <f t="shared" si="58"/>
        <v>0</v>
      </c>
      <c r="V113" s="33">
        <f t="shared" si="45"/>
        <v>0</v>
      </c>
      <c r="W113" s="33">
        <v>0</v>
      </c>
      <c r="X113" s="33">
        <f t="shared" si="46"/>
        <v>0</v>
      </c>
      <c r="Y113" s="38">
        <f t="shared" si="47"/>
        <v>0</v>
      </c>
      <c r="AA113" s="71">
        <v>108</v>
      </c>
      <c r="AB113" s="33">
        <f t="shared" si="48"/>
        <v>0</v>
      </c>
      <c r="AC113" s="305">
        <f t="shared" si="72"/>
        <v>0</v>
      </c>
      <c r="AD113" s="100">
        <f t="shared" si="49"/>
        <v>0</v>
      </c>
      <c r="AE113" s="100">
        <f t="shared" si="50"/>
        <v>0</v>
      </c>
      <c r="AF113" s="194">
        <f t="shared" si="68"/>
        <v>0</v>
      </c>
      <c r="AG113" s="194">
        <f t="shared" si="69"/>
        <v>0</v>
      </c>
      <c r="AH113" s="194">
        <f t="shared" si="70"/>
        <v>0</v>
      </c>
      <c r="AI113" s="199">
        <f t="shared" si="71"/>
        <v>0</v>
      </c>
      <c r="AK113" s="71">
        <v>108</v>
      </c>
      <c r="AL113" s="33">
        <f t="shared" si="51"/>
        <v>0</v>
      </c>
      <c r="AM113" s="33">
        <f t="shared" si="52"/>
        <v>0</v>
      </c>
      <c r="AN113" s="33">
        <f t="shared" si="53"/>
        <v>0</v>
      </c>
      <c r="AO113" s="33">
        <f t="shared" si="54"/>
        <v>0</v>
      </c>
      <c r="AP113" s="33">
        <f t="shared" si="55"/>
        <v>0</v>
      </c>
      <c r="AQ113" s="194">
        <f t="shared" si="56"/>
        <v>0</v>
      </c>
      <c r="AR113" s="194">
        <f t="shared" si="56"/>
        <v>0</v>
      </c>
      <c r="AS113" s="194">
        <f t="shared" si="56"/>
        <v>0</v>
      </c>
      <c r="AT113" s="194">
        <f t="shared" si="56"/>
        <v>0</v>
      </c>
      <c r="AU113" s="33"/>
      <c r="AV113" s="33"/>
      <c r="AW113" s="33"/>
      <c r="AX113" s="33"/>
      <c r="AY113" s="76"/>
    </row>
    <row r="114" spans="2:51">
      <c r="B114" s="67" t="s">
        <v>167</v>
      </c>
      <c r="C114" s="79">
        <f>X35</f>
        <v>749.02310273935552</v>
      </c>
      <c r="D114" s="79">
        <f>O35</f>
        <v>177.03590180507811</v>
      </c>
      <c r="E114" s="78">
        <f>VLOOKUP(30,I5:Y205,17,FALSE)</f>
        <v>571.98720093427744</v>
      </c>
      <c r="I114" s="55">
        <v>109</v>
      </c>
      <c r="J114" s="33">
        <f t="shared" si="59"/>
        <v>0</v>
      </c>
      <c r="K114" s="33">
        <f t="shared" si="60"/>
        <v>0</v>
      </c>
      <c r="L114" s="33">
        <f t="shared" si="61"/>
        <v>0</v>
      </c>
      <c r="M114" s="33">
        <f t="shared" si="62"/>
        <v>0</v>
      </c>
      <c r="N114" s="33">
        <f t="shared" si="42"/>
        <v>0</v>
      </c>
      <c r="O114" s="34">
        <f t="shared" si="43"/>
        <v>0</v>
      </c>
      <c r="P114" s="55">
        <v>109</v>
      </c>
      <c r="Q114" s="33">
        <f t="shared" si="57"/>
        <v>0</v>
      </c>
      <c r="R114" s="33">
        <f t="shared" si="63"/>
        <v>0</v>
      </c>
      <c r="S114" s="33">
        <f t="shared" si="64"/>
        <v>0</v>
      </c>
      <c r="T114" s="33">
        <f t="shared" si="44"/>
        <v>0</v>
      </c>
      <c r="U114" s="33">
        <f t="shared" si="58"/>
        <v>0</v>
      </c>
      <c r="V114" s="33">
        <f t="shared" si="45"/>
        <v>0</v>
      </c>
      <c r="W114" s="33">
        <v>0</v>
      </c>
      <c r="X114" s="33">
        <f t="shared" si="46"/>
        <v>0</v>
      </c>
      <c r="Y114" s="38">
        <f t="shared" si="47"/>
        <v>0</v>
      </c>
      <c r="AA114" s="71">
        <v>109</v>
      </c>
      <c r="AB114" s="33">
        <f t="shared" si="48"/>
        <v>0</v>
      </c>
      <c r="AC114" s="305">
        <f t="shared" si="72"/>
        <v>0</v>
      </c>
      <c r="AD114" s="100">
        <f t="shared" si="49"/>
        <v>0</v>
      </c>
      <c r="AE114" s="100">
        <f t="shared" si="50"/>
        <v>0</v>
      </c>
      <c r="AF114" s="194">
        <f t="shared" si="68"/>
        <v>0</v>
      </c>
      <c r="AG114" s="194">
        <f t="shared" si="69"/>
        <v>0</v>
      </c>
      <c r="AH114" s="194">
        <f t="shared" si="70"/>
        <v>0</v>
      </c>
      <c r="AI114" s="199">
        <f t="shared" si="71"/>
        <v>0</v>
      </c>
      <c r="AK114" s="71">
        <v>109</v>
      </c>
      <c r="AL114" s="33">
        <f t="shared" si="51"/>
        <v>0</v>
      </c>
      <c r="AM114" s="33">
        <f t="shared" si="52"/>
        <v>0</v>
      </c>
      <c r="AN114" s="33">
        <f t="shared" si="53"/>
        <v>0</v>
      </c>
      <c r="AO114" s="33">
        <f t="shared" si="54"/>
        <v>0</v>
      </c>
      <c r="AP114" s="33">
        <f t="shared" si="55"/>
        <v>0</v>
      </c>
      <c r="AQ114" s="194">
        <f t="shared" si="56"/>
        <v>0</v>
      </c>
      <c r="AR114" s="194">
        <f t="shared" si="56"/>
        <v>0</v>
      </c>
      <c r="AS114" s="194">
        <f t="shared" si="56"/>
        <v>0</v>
      </c>
      <c r="AT114" s="194">
        <f t="shared" si="56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9"/>
        <v>0</v>
      </c>
      <c r="K115" s="33">
        <f t="shared" si="60"/>
        <v>0</v>
      </c>
      <c r="L115" s="33">
        <f t="shared" si="61"/>
        <v>0</v>
      </c>
      <c r="M115" s="33">
        <f t="shared" si="62"/>
        <v>0</v>
      </c>
      <c r="N115" s="33">
        <f t="shared" si="42"/>
        <v>0</v>
      </c>
      <c r="O115" s="34">
        <f t="shared" si="43"/>
        <v>0</v>
      </c>
      <c r="P115" s="55">
        <v>110</v>
      </c>
      <c r="Q115" s="33">
        <f t="shared" si="57"/>
        <v>0</v>
      </c>
      <c r="R115" s="33">
        <f t="shared" si="63"/>
        <v>0</v>
      </c>
      <c r="S115" s="33">
        <f t="shared" si="64"/>
        <v>0</v>
      </c>
      <c r="T115" s="33">
        <f t="shared" si="44"/>
        <v>0</v>
      </c>
      <c r="U115" s="33">
        <f t="shared" si="58"/>
        <v>0</v>
      </c>
      <c r="V115" s="33">
        <f t="shared" si="45"/>
        <v>0</v>
      </c>
      <c r="W115" s="33">
        <v>0</v>
      </c>
      <c r="X115" s="33">
        <f t="shared" si="46"/>
        <v>0</v>
      </c>
      <c r="Y115" s="38">
        <f t="shared" si="47"/>
        <v>0</v>
      </c>
      <c r="AA115" s="71">
        <v>110</v>
      </c>
      <c r="AB115" s="33">
        <f t="shared" si="48"/>
        <v>0</v>
      </c>
      <c r="AC115" s="305">
        <f t="shared" si="72"/>
        <v>0</v>
      </c>
      <c r="AD115" s="100">
        <f t="shared" si="49"/>
        <v>0</v>
      </c>
      <c r="AE115" s="100">
        <f t="shared" si="50"/>
        <v>0</v>
      </c>
      <c r="AF115" s="194">
        <f t="shared" si="68"/>
        <v>0</v>
      </c>
      <c r="AG115" s="194">
        <f t="shared" si="69"/>
        <v>0</v>
      </c>
      <c r="AH115" s="194">
        <f t="shared" si="70"/>
        <v>0</v>
      </c>
      <c r="AI115" s="199">
        <f t="shared" si="71"/>
        <v>0</v>
      </c>
      <c r="AK115" s="71">
        <v>110</v>
      </c>
      <c r="AL115" s="33">
        <f t="shared" si="51"/>
        <v>0</v>
      </c>
      <c r="AM115" s="33">
        <f t="shared" si="52"/>
        <v>0</v>
      </c>
      <c r="AN115" s="33">
        <f t="shared" si="53"/>
        <v>0</v>
      </c>
      <c r="AO115" s="33">
        <f t="shared" si="54"/>
        <v>0</v>
      </c>
      <c r="AP115" s="33">
        <f t="shared" si="55"/>
        <v>0</v>
      </c>
      <c r="AQ115" s="194">
        <f t="shared" si="56"/>
        <v>0</v>
      </c>
      <c r="AR115" s="194">
        <f t="shared" si="56"/>
        <v>0</v>
      </c>
      <c r="AS115" s="194">
        <f t="shared" si="56"/>
        <v>0</v>
      </c>
      <c r="AT115" s="194">
        <f t="shared" si="56"/>
        <v>0</v>
      </c>
      <c r="AU115" s="33"/>
      <c r="AV115" s="33"/>
      <c r="AW115" s="33"/>
      <c r="AX115" s="33"/>
      <c r="AY115" s="76"/>
    </row>
    <row r="116" spans="2:51">
      <c r="C116" s="135" t="s">
        <v>124</v>
      </c>
      <c r="D116" s="135"/>
      <c r="E116" s="135"/>
      <c r="I116" s="55">
        <v>111</v>
      </c>
      <c r="J116" s="33">
        <f t="shared" si="59"/>
        <v>0</v>
      </c>
      <c r="K116" s="33">
        <f t="shared" si="60"/>
        <v>0</v>
      </c>
      <c r="L116" s="33">
        <f t="shared" si="61"/>
        <v>0</v>
      </c>
      <c r="M116" s="33">
        <f t="shared" si="62"/>
        <v>0</v>
      </c>
      <c r="N116" s="33">
        <f t="shared" si="42"/>
        <v>0</v>
      </c>
      <c r="O116" s="34">
        <f t="shared" si="43"/>
        <v>0</v>
      </c>
      <c r="P116" s="55">
        <v>111</v>
      </c>
      <c r="Q116" s="33">
        <f t="shared" si="57"/>
        <v>0</v>
      </c>
      <c r="R116" s="33">
        <f t="shared" si="63"/>
        <v>0</v>
      </c>
      <c r="S116" s="33">
        <f t="shared" si="64"/>
        <v>0</v>
      </c>
      <c r="T116" s="33">
        <f t="shared" si="44"/>
        <v>0</v>
      </c>
      <c r="U116" s="33">
        <f t="shared" si="58"/>
        <v>0</v>
      </c>
      <c r="V116" s="33">
        <f t="shared" si="45"/>
        <v>0</v>
      </c>
      <c r="W116" s="33">
        <v>0</v>
      </c>
      <c r="X116" s="33">
        <f t="shared" si="46"/>
        <v>0</v>
      </c>
      <c r="Y116" s="38">
        <f t="shared" si="47"/>
        <v>0</v>
      </c>
      <c r="AA116" s="71">
        <v>111</v>
      </c>
      <c r="AB116" s="33">
        <f t="shared" si="48"/>
        <v>0</v>
      </c>
      <c r="AC116" s="305">
        <f t="shared" si="72"/>
        <v>0</v>
      </c>
      <c r="AD116" s="100">
        <f t="shared" si="49"/>
        <v>0</v>
      </c>
      <c r="AE116" s="100">
        <f t="shared" si="50"/>
        <v>0</v>
      </c>
      <c r="AF116" s="194">
        <f t="shared" si="68"/>
        <v>0</v>
      </c>
      <c r="AG116" s="194">
        <f t="shared" si="69"/>
        <v>0</v>
      </c>
      <c r="AH116" s="194">
        <f t="shared" si="70"/>
        <v>0</v>
      </c>
      <c r="AI116" s="199">
        <f t="shared" si="71"/>
        <v>0</v>
      </c>
      <c r="AK116" s="71">
        <v>111</v>
      </c>
      <c r="AL116" s="33">
        <f t="shared" si="51"/>
        <v>0</v>
      </c>
      <c r="AM116" s="33">
        <f t="shared" si="52"/>
        <v>0</v>
      </c>
      <c r="AN116" s="33">
        <f t="shared" si="53"/>
        <v>0</v>
      </c>
      <c r="AO116" s="33">
        <f t="shared" si="54"/>
        <v>0</v>
      </c>
      <c r="AP116" s="33">
        <f t="shared" si="55"/>
        <v>0</v>
      </c>
      <c r="AQ116" s="194">
        <f t="shared" si="56"/>
        <v>0</v>
      </c>
      <c r="AR116" s="194">
        <f t="shared" si="56"/>
        <v>0</v>
      </c>
      <c r="AS116" s="194">
        <f t="shared" si="56"/>
        <v>0</v>
      </c>
      <c r="AT116" s="194">
        <f t="shared" si="56"/>
        <v>0</v>
      </c>
      <c r="AU116" s="33"/>
      <c r="AV116" s="33"/>
      <c r="AW116" s="33"/>
      <c r="AX116" s="33"/>
      <c r="AY116" s="76"/>
    </row>
    <row r="117" spans="2:51">
      <c r="C117" s="135" t="s">
        <v>144</v>
      </c>
      <c r="D117" s="135" t="s">
        <v>72</v>
      </c>
      <c r="E117" s="81" t="s">
        <v>165</v>
      </c>
      <c r="I117" s="55">
        <v>112</v>
      </c>
      <c r="J117" s="33">
        <f t="shared" si="59"/>
        <v>0</v>
      </c>
      <c r="K117" s="33">
        <f t="shared" si="60"/>
        <v>0</v>
      </c>
      <c r="L117" s="33">
        <f t="shared" si="61"/>
        <v>0</v>
      </c>
      <c r="M117" s="33">
        <f t="shared" si="62"/>
        <v>0</v>
      </c>
      <c r="N117" s="33">
        <f t="shared" si="42"/>
        <v>0</v>
      </c>
      <c r="O117" s="34">
        <f t="shared" si="43"/>
        <v>0</v>
      </c>
      <c r="P117" s="55">
        <v>112</v>
      </c>
      <c r="Q117" s="33">
        <f t="shared" si="57"/>
        <v>0</v>
      </c>
      <c r="R117" s="33">
        <f t="shared" si="63"/>
        <v>0</v>
      </c>
      <c r="S117" s="33">
        <f t="shared" si="64"/>
        <v>0</v>
      </c>
      <c r="T117" s="33">
        <f t="shared" si="44"/>
        <v>0</v>
      </c>
      <c r="U117" s="33">
        <f t="shared" si="58"/>
        <v>0</v>
      </c>
      <c r="V117" s="33">
        <f t="shared" si="45"/>
        <v>0</v>
      </c>
      <c r="W117" s="33">
        <v>0</v>
      </c>
      <c r="X117" s="33">
        <f t="shared" si="46"/>
        <v>0</v>
      </c>
      <c r="Y117" s="38">
        <f t="shared" si="47"/>
        <v>0</v>
      </c>
      <c r="AA117" s="71">
        <v>112</v>
      </c>
      <c r="AB117" s="33">
        <f t="shared" si="48"/>
        <v>0</v>
      </c>
      <c r="AC117" s="305">
        <f t="shared" si="72"/>
        <v>0</v>
      </c>
      <c r="AD117" s="100">
        <f t="shared" si="49"/>
        <v>0</v>
      </c>
      <c r="AE117" s="100">
        <f t="shared" si="50"/>
        <v>0</v>
      </c>
      <c r="AF117" s="194">
        <f t="shared" si="68"/>
        <v>0</v>
      </c>
      <c r="AG117" s="194">
        <f t="shared" si="69"/>
        <v>0</v>
      </c>
      <c r="AH117" s="194">
        <f t="shared" si="70"/>
        <v>0</v>
      </c>
      <c r="AI117" s="199">
        <f t="shared" si="71"/>
        <v>0</v>
      </c>
      <c r="AK117" s="71">
        <v>112</v>
      </c>
      <c r="AL117" s="33">
        <f t="shared" si="51"/>
        <v>0</v>
      </c>
      <c r="AM117" s="33">
        <f t="shared" si="52"/>
        <v>0</v>
      </c>
      <c r="AN117" s="33">
        <f t="shared" si="53"/>
        <v>0</v>
      </c>
      <c r="AO117" s="33">
        <f t="shared" si="54"/>
        <v>0</v>
      </c>
      <c r="AP117" s="33">
        <f t="shared" si="55"/>
        <v>0</v>
      </c>
      <c r="AQ117" s="194">
        <f t="shared" si="56"/>
        <v>0</v>
      </c>
      <c r="AR117" s="194">
        <f t="shared" si="56"/>
        <v>0</v>
      </c>
      <c r="AS117" s="194">
        <f t="shared" si="56"/>
        <v>0</v>
      </c>
      <c r="AT117" s="194">
        <f t="shared" si="56"/>
        <v>0</v>
      </c>
      <c r="AU117" s="33"/>
      <c r="AV117" s="33"/>
      <c r="AW117" s="33"/>
      <c r="AX117" s="33"/>
      <c r="AY117" s="76"/>
    </row>
    <row r="118" spans="2:51">
      <c r="B118" s="67" t="s">
        <v>260</v>
      </c>
      <c r="C118" s="303">
        <f>1/30*SUM(AI6:AI35)</f>
        <v>4.9334933687755536</v>
      </c>
      <c r="D118" s="79">
        <v>0</v>
      </c>
      <c r="E118" s="78">
        <f>C118-D118</f>
        <v>4.9334933687755536</v>
      </c>
      <c r="I118" s="55">
        <v>113</v>
      </c>
      <c r="J118" s="33">
        <f t="shared" si="59"/>
        <v>0</v>
      </c>
      <c r="K118" s="33">
        <f t="shared" si="60"/>
        <v>0</v>
      </c>
      <c r="L118" s="33">
        <f t="shared" si="61"/>
        <v>0</v>
      </c>
      <c r="M118" s="33">
        <f t="shared" si="62"/>
        <v>0</v>
      </c>
      <c r="N118" s="33">
        <f t="shared" si="42"/>
        <v>0</v>
      </c>
      <c r="O118" s="34">
        <f t="shared" si="43"/>
        <v>0</v>
      </c>
      <c r="P118" s="55">
        <v>113</v>
      </c>
      <c r="Q118" s="33">
        <f t="shared" si="57"/>
        <v>0</v>
      </c>
      <c r="R118" s="33">
        <f t="shared" si="63"/>
        <v>0</v>
      </c>
      <c r="S118" s="33">
        <f t="shared" si="64"/>
        <v>0</v>
      </c>
      <c r="T118" s="33">
        <f t="shared" si="44"/>
        <v>0</v>
      </c>
      <c r="U118" s="33">
        <f t="shared" si="58"/>
        <v>0</v>
      </c>
      <c r="V118" s="33">
        <f t="shared" si="45"/>
        <v>0</v>
      </c>
      <c r="W118" s="33">
        <v>0</v>
      </c>
      <c r="X118" s="33">
        <f t="shared" si="46"/>
        <v>0</v>
      </c>
      <c r="Y118" s="38">
        <f t="shared" si="47"/>
        <v>0</v>
      </c>
      <c r="AA118" s="71">
        <v>113</v>
      </c>
      <c r="AB118" s="33">
        <f t="shared" si="48"/>
        <v>0</v>
      </c>
      <c r="AC118" s="305">
        <f t="shared" si="72"/>
        <v>0</v>
      </c>
      <c r="AD118" s="100">
        <f t="shared" si="49"/>
        <v>0</v>
      </c>
      <c r="AE118" s="100">
        <f t="shared" si="50"/>
        <v>0</v>
      </c>
      <c r="AF118" s="194">
        <f t="shared" si="68"/>
        <v>0</v>
      </c>
      <c r="AG118" s="194">
        <f t="shared" si="69"/>
        <v>0</v>
      </c>
      <c r="AH118" s="194">
        <f t="shared" si="70"/>
        <v>0</v>
      </c>
      <c r="AI118" s="199">
        <f t="shared" si="71"/>
        <v>0</v>
      </c>
      <c r="AK118" s="71">
        <v>113</v>
      </c>
      <c r="AL118" s="33">
        <f t="shared" si="51"/>
        <v>0</v>
      </c>
      <c r="AM118" s="33">
        <f t="shared" si="52"/>
        <v>0</v>
      </c>
      <c r="AN118" s="33">
        <f t="shared" si="53"/>
        <v>0</v>
      </c>
      <c r="AO118" s="33">
        <f t="shared" si="54"/>
        <v>0</v>
      </c>
      <c r="AP118" s="33">
        <f t="shared" si="55"/>
        <v>0</v>
      </c>
      <c r="AQ118" s="194">
        <f t="shared" si="56"/>
        <v>0</v>
      </c>
      <c r="AR118" s="194">
        <f t="shared" si="56"/>
        <v>0</v>
      </c>
      <c r="AS118" s="194">
        <f t="shared" si="56"/>
        <v>0</v>
      </c>
      <c r="AT118" s="194">
        <f t="shared" si="56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9"/>
        <v>0</v>
      </c>
      <c r="K119" s="33">
        <f t="shared" si="60"/>
        <v>0</v>
      </c>
      <c r="L119" s="33">
        <f t="shared" si="61"/>
        <v>0</v>
      </c>
      <c r="M119" s="33">
        <f t="shared" si="62"/>
        <v>0</v>
      </c>
      <c r="N119" s="33">
        <f t="shared" si="42"/>
        <v>0</v>
      </c>
      <c r="O119" s="34">
        <f t="shared" si="43"/>
        <v>0</v>
      </c>
      <c r="P119" s="55">
        <v>114</v>
      </c>
      <c r="Q119" s="33">
        <f t="shared" si="57"/>
        <v>0</v>
      </c>
      <c r="R119" s="33">
        <f t="shared" si="63"/>
        <v>0</v>
      </c>
      <c r="S119" s="33">
        <f t="shared" si="64"/>
        <v>0</v>
      </c>
      <c r="T119" s="33">
        <f t="shared" si="44"/>
        <v>0</v>
      </c>
      <c r="U119" s="33">
        <f t="shared" si="58"/>
        <v>0</v>
      </c>
      <c r="V119" s="33">
        <f t="shared" si="45"/>
        <v>0</v>
      </c>
      <c r="W119" s="33">
        <v>0</v>
      </c>
      <c r="X119" s="33">
        <f t="shared" si="46"/>
        <v>0</v>
      </c>
      <c r="Y119" s="38">
        <f t="shared" si="47"/>
        <v>0</v>
      </c>
      <c r="AA119" s="71">
        <v>114</v>
      </c>
      <c r="AB119" s="33">
        <f t="shared" si="48"/>
        <v>0</v>
      </c>
      <c r="AC119" s="305">
        <f t="shared" si="72"/>
        <v>0</v>
      </c>
      <c r="AD119" s="100">
        <f t="shared" si="49"/>
        <v>0</v>
      </c>
      <c r="AE119" s="100">
        <f t="shared" si="50"/>
        <v>0</v>
      </c>
      <c r="AF119" s="194">
        <f t="shared" si="68"/>
        <v>0</v>
      </c>
      <c r="AG119" s="194">
        <f t="shared" si="69"/>
        <v>0</v>
      </c>
      <c r="AH119" s="194">
        <f t="shared" si="70"/>
        <v>0</v>
      </c>
      <c r="AI119" s="199">
        <f t="shared" si="71"/>
        <v>0</v>
      </c>
      <c r="AK119" s="71">
        <v>114</v>
      </c>
      <c r="AL119" s="33">
        <f t="shared" si="51"/>
        <v>0</v>
      </c>
      <c r="AM119" s="33">
        <f t="shared" si="52"/>
        <v>0</v>
      </c>
      <c r="AN119" s="33">
        <f t="shared" si="53"/>
        <v>0</v>
      </c>
      <c r="AO119" s="33">
        <f t="shared" si="54"/>
        <v>0</v>
      </c>
      <c r="AP119" s="33">
        <f t="shared" si="55"/>
        <v>0</v>
      </c>
      <c r="AQ119" s="194">
        <f t="shared" si="56"/>
        <v>0</v>
      </c>
      <c r="AR119" s="194">
        <f t="shared" si="56"/>
        <v>0</v>
      </c>
      <c r="AS119" s="194">
        <f t="shared" si="56"/>
        <v>0</v>
      </c>
      <c r="AT119" s="194">
        <f t="shared" si="56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9"/>
        <v>0</v>
      </c>
      <c r="K120" s="33">
        <f t="shared" si="60"/>
        <v>0</v>
      </c>
      <c r="L120" s="33">
        <f t="shared" si="61"/>
        <v>0</v>
      </c>
      <c r="M120" s="33">
        <f t="shared" si="62"/>
        <v>0</v>
      </c>
      <c r="N120" s="33">
        <f t="shared" si="42"/>
        <v>0</v>
      </c>
      <c r="O120" s="34">
        <f t="shared" si="43"/>
        <v>0</v>
      </c>
      <c r="P120" s="55">
        <v>115</v>
      </c>
      <c r="Q120" s="33">
        <f t="shared" si="57"/>
        <v>0</v>
      </c>
      <c r="R120" s="33">
        <f t="shared" si="63"/>
        <v>0</v>
      </c>
      <c r="S120" s="33">
        <f t="shared" si="64"/>
        <v>0</v>
      </c>
      <c r="T120" s="33">
        <f t="shared" si="44"/>
        <v>0</v>
      </c>
      <c r="U120" s="33">
        <f t="shared" si="58"/>
        <v>0</v>
      </c>
      <c r="V120" s="33">
        <f t="shared" si="45"/>
        <v>0</v>
      </c>
      <c r="W120" s="33">
        <v>0</v>
      </c>
      <c r="X120" s="33">
        <f t="shared" si="46"/>
        <v>0</v>
      </c>
      <c r="Y120" s="38">
        <f t="shared" si="47"/>
        <v>0</v>
      </c>
      <c r="AA120" s="71">
        <v>115</v>
      </c>
      <c r="AB120" s="33">
        <f t="shared" si="48"/>
        <v>0</v>
      </c>
      <c r="AC120" s="305">
        <f t="shared" si="72"/>
        <v>0</v>
      </c>
      <c r="AD120" s="100">
        <f t="shared" si="49"/>
        <v>0</v>
      </c>
      <c r="AE120" s="100">
        <f t="shared" si="50"/>
        <v>0</v>
      </c>
      <c r="AF120" s="194">
        <f t="shared" si="68"/>
        <v>0</v>
      </c>
      <c r="AG120" s="194">
        <f t="shared" si="69"/>
        <v>0</v>
      </c>
      <c r="AH120" s="194">
        <f t="shared" si="70"/>
        <v>0</v>
      </c>
      <c r="AI120" s="199">
        <f t="shared" si="71"/>
        <v>0</v>
      </c>
      <c r="AK120" s="71">
        <v>115</v>
      </c>
      <c r="AL120" s="33">
        <f t="shared" si="51"/>
        <v>0</v>
      </c>
      <c r="AM120" s="33">
        <f t="shared" si="52"/>
        <v>0</v>
      </c>
      <c r="AN120" s="33">
        <f t="shared" si="53"/>
        <v>0</v>
      </c>
      <c r="AO120" s="33">
        <f t="shared" si="54"/>
        <v>0</v>
      </c>
      <c r="AP120" s="33">
        <f t="shared" si="55"/>
        <v>0</v>
      </c>
      <c r="AQ120" s="194">
        <f t="shared" si="56"/>
        <v>0</v>
      </c>
      <c r="AR120" s="194">
        <f t="shared" si="56"/>
        <v>0</v>
      </c>
      <c r="AS120" s="194">
        <f t="shared" si="56"/>
        <v>0</v>
      </c>
      <c r="AT120" s="194">
        <f t="shared" si="56"/>
        <v>0</v>
      </c>
      <c r="AU120" s="33"/>
      <c r="AV120" s="33"/>
      <c r="AW120" s="33"/>
      <c r="AX120" s="33"/>
      <c r="AY120" s="76"/>
    </row>
    <row r="121" spans="2:51">
      <c r="C121" s="135" t="s">
        <v>159</v>
      </c>
      <c r="D121" s="135"/>
      <c r="E121" s="135"/>
      <c r="I121" s="55">
        <v>116</v>
      </c>
      <c r="J121" s="33">
        <f t="shared" si="59"/>
        <v>0</v>
      </c>
      <c r="K121" s="33">
        <f t="shared" si="60"/>
        <v>0</v>
      </c>
      <c r="L121" s="33">
        <f t="shared" si="61"/>
        <v>0</v>
      </c>
      <c r="M121" s="33">
        <f t="shared" si="62"/>
        <v>0</v>
      </c>
      <c r="N121" s="33">
        <f t="shared" si="42"/>
        <v>0</v>
      </c>
      <c r="O121" s="34">
        <f t="shared" si="43"/>
        <v>0</v>
      </c>
      <c r="P121" s="55">
        <v>116</v>
      </c>
      <c r="Q121" s="33">
        <f t="shared" si="57"/>
        <v>0</v>
      </c>
      <c r="R121" s="33">
        <f t="shared" si="63"/>
        <v>0</v>
      </c>
      <c r="S121" s="33">
        <f t="shared" si="64"/>
        <v>0</v>
      </c>
      <c r="T121" s="33">
        <f t="shared" si="44"/>
        <v>0</v>
      </c>
      <c r="U121" s="33">
        <f t="shared" si="58"/>
        <v>0</v>
      </c>
      <c r="V121" s="33">
        <f t="shared" si="45"/>
        <v>0</v>
      </c>
      <c r="W121" s="33">
        <v>0</v>
      </c>
      <c r="X121" s="33">
        <f t="shared" si="46"/>
        <v>0</v>
      </c>
      <c r="Y121" s="38">
        <f t="shared" si="47"/>
        <v>0</v>
      </c>
      <c r="AA121" s="71">
        <v>116</v>
      </c>
      <c r="AB121" s="33">
        <f t="shared" si="48"/>
        <v>0</v>
      </c>
      <c r="AC121" s="305">
        <f t="shared" si="72"/>
        <v>0</v>
      </c>
      <c r="AD121" s="100">
        <f t="shared" si="49"/>
        <v>0</v>
      </c>
      <c r="AE121" s="100">
        <f t="shared" si="50"/>
        <v>0</v>
      </c>
      <c r="AF121" s="194">
        <f t="shared" si="68"/>
        <v>0</v>
      </c>
      <c r="AG121" s="194">
        <f t="shared" si="69"/>
        <v>0</v>
      </c>
      <c r="AH121" s="194">
        <f t="shared" si="70"/>
        <v>0</v>
      </c>
      <c r="AI121" s="199">
        <f t="shared" si="71"/>
        <v>0</v>
      </c>
      <c r="AK121" s="71">
        <v>116</v>
      </c>
      <c r="AL121" s="33">
        <f t="shared" si="51"/>
        <v>0</v>
      </c>
      <c r="AM121" s="33">
        <f t="shared" si="52"/>
        <v>0</v>
      </c>
      <c r="AN121" s="33">
        <f t="shared" si="53"/>
        <v>0</v>
      </c>
      <c r="AO121" s="33">
        <f t="shared" si="54"/>
        <v>0</v>
      </c>
      <c r="AP121" s="33">
        <f t="shared" si="55"/>
        <v>0</v>
      </c>
      <c r="AQ121" s="194">
        <f t="shared" si="56"/>
        <v>0</v>
      </c>
      <c r="AR121" s="194">
        <f t="shared" si="56"/>
        <v>0</v>
      </c>
      <c r="AS121" s="194">
        <f t="shared" si="56"/>
        <v>0</v>
      </c>
      <c r="AT121" s="194">
        <f t="shared" si="56"/>
        <v>0</v>
      </c>
      <c r="AU121" s="33"/>
      <c r="AV121" s="33"/>
      <c r="AW121" s="33"/>
      <c r="AX121" s="33"/>
      <c r="AY121" s="76"/>
    </row>
    <row r="122" spans="2:51">
      <c r="C122" s="135" t="s">
        <v>144</v>
      </c>
      <c r="D122" s="135" t="s">
        <v>72</v>
      </c>
      <c r="E122" s="81" t="s">
        <v>165</v>
      </c>
      <c r="I122" s="55">
        <v>117</v>
      </c>
      <c r="J122" s="33">
        <f t="shared" si="59"/>
        <v>0</v>
      </c>
      <c r="K122" s="33">
        <f t="shared" si="60"/>
        <v>0</v>
      </c>
      <c r="L122" s="33">
        <f t="shared" si="61"/>
        <v>0</v>
      </c>
      <c r="M122" s="33">
        <f t="shared" si="62"/>
        <v>0</v>
      </c>
      <c r="N122" s="33">
        <f t="shared" si="42"/>
        <v>0</v>
      </c>
      <c r="O122" s="34">
        <f t="shared" si="43"/>
        <v>0</v>
      </c>
      <c r="P122" s="55">
        <v>117</v>
      </c>
      <c r="Q122" s="33">
        <f t="shared" si="57"/>
        <v>0</v>
      </c>
      <c r="R122" s="33">
        <f t="shared" si="63"/>
        <v>0</v>
      </c>
      <c r="S122" s="33">
        <f t="shared" si="64"/>
        <v>0</v>
      </c>
      <c r="T122" s="33">
        <f t="shared" si="44"/>
        <v>0</v>
      </c>
      <c r="U122" s="33">
        <f t="shared" si="58"/>
        <v>0</v>
      </c>
      <c r="V122" s="33">
        <f t="shared" si="45"/>
        <v>0</v>
      </c>
      <c r="W122" s="33">
        <v>0</v>
      </c>
      <c r="X122" s="33">
        <f t="shared" si="46"/>
        <v>0</v>
      </c>
      <c r="Y122" s="38">
        <f t="shared" si="47"/>
        <v>0</v>
      </c>
      <c r="AA122" s="71">
        <v>117</v>
      </c>
      <c r="AB122" s="33">
        <f t="shared" si="48"/>
        <v>0</v>
      </c>
      <c r="AC122" s="305">
        <f t="shared" si="72"/>
        <v>0</v>
      </c>
      <c r="AD122" s="100">
        <f t="shared" si="49"/>
        <v>0</v>
      </c>
      <c r="AE122" s="100">
        <f t="shared" si="50"/>
        <v>0</v>
      </c>
      <c r="AF122" s="194">
        <f t="shared" si="68"/>
        <v>0</v>
      </c>
      <c r="AG122" s="194">
        <f t="shared" si="69"/>
        <v>0</v>
      </c>
      <c r="AH122" s="194">
        <f t="shared" si="70"/>
        <v>0</v>
      </c>
      <c r="AI122" s="199">
        <f t="shared" si="71"/>
        <v>0</v>
      </c>
      <c r="AK122" s="71">
        <v>117</v>
      </c>
      <c r="AL122" s="33">
        <f t="shared" si="51"/>
        <v>0</v>
      </c>
      <c r="AM122" s="33">
        <f t="shared" si="52"/>
        <v>0</v>
      </c>
      <c r="AN122" s="33">
        <f t="shared" si="53"/>
        <v>0</v>
      </c>
      <c r="AO122" s="33">
        <f t="shared" si="54"/>
        <v>0</v>
      </c>
      <c r="AP122" s="33">
        <f t="shared" si="55"/>
        <v>0</v>
      </c>
      <c r="AQ122" s="194">
        <f t="shared" si="56"/>
        <v>0</v>
      </c>
      <c r="AR122" s="194">
        <f t="shared" si="56"/>
        <v>0</v>
      </c>
      <c r="AS122" s="194">
        <f t="shared" si="56"/>
        <v>0</v>
      </c>
      <c r="AT122" s="194">
        <f t="shared" si="56"/>
        <v>0</v>
      </c>
      <c r="AU122" s="33"/>
      <c r="AV122" s="33"/>
      <c r="AW122" s="33"/>
      <c r="AX122" s="33"/>
      <c r="AY122" s="76"/>
    </row>
    <row r="123" spans="2:51">
      <c r="B123" s="67" t="s">
        <v>167</v>
      </c>
      <c r="C123" s="82">
        <f>AY35</f>
        <v>23.22</v>
      </c>
      <c r="D123" s="304">
        <f>IF(AND(D8=B100,F12=C194),J34*50%*G107,0)</f>
        <v>0</v>
      </c>
      <c r="E123" s="78">
        <f>C123-D123</f>
        <v>23.22</v>
      </c>
      <c r="I123" s="55">
        <v>118</v>
      </c>
      <c r="J123" s="33">
        <f t="shared" si="59"/>
        <v>0</v>
      </c>
      <c r="K123" s="33">
        <f t="shared" si="60"/>
        <v>0</v>
      </c>
      <c r="L123" s="33">
        <f t="shared" si="61"/>
        <v>0</v>
      </c>
      <c r="M123" s="33">
        <f t="shared" si="62"/>
        <v>0</v>
      </c>
      <c r="N123" s="33">
        <f t="shared" si="42"/>
        <v>0</v>
      </c>
      <c r="O123" s="34">
        <f t="shared" si="43"/>
        <v>0</v>
      </c>
      <c r="P123" s="55">
        <v>118</v>
      </c>
      <c r="Q123" s="33">
        <f t="shared" si="57"/>
        <v>0</v>
      </c>
      <c r="R123" s="33">
        <f t="shared" si="63"/>
        <v>0</v>
      </c>
      <c r="S123" s="33">
        <f t="shared" si="64"/>
        <v>0</v>
      </c>
      <c r="T123" s="33">
        <f t="shared" si="44"/>
        <v>0</v>
      </c>
      <c r="U123" s="33">
        <f t="shared" si="58"/>
        <v>0</v>
      </c>
      <c r="V123" s="33">
        <f t="shared" si="45"/>
        <v>0</v>
      </c>
      <c r="W123" s="33">
        <v>0</v>
      </c>
      <c r="X123" s="33">
        <f t="shared" si="46"/>
        <v>0</v>
      </c>
      <c r="Y123" s="38">
        <f t="shared" si="47"/>
        <v>0</v>
      </c>
      <c r="AA123" s="71">
        <v>118</v>
      </c>
      <c r="AB123" s="33">
        <f t="shared" si="48"/>
        <v>0</v>
      </c>
      <c r="AC123" s="305">
        <f t="shared" si="72"/>
        <v>0</v>
      </c>
      <c r="AD123" s="100">
        <f t="shared" si="49"/>
        <v>0</v>
      </c>
      <c r="AE123" s="100">
        <f t="shared" si="50"/>
        <v>0</v>
      </c>
      <c r="AF123" s="194">
        <f t="shared" si="68"/>
        <v>0</v>
      </c>
      <c r="AG123" s="194">
        <f t="shared" si="69"/>
        <v>0</v>
      </c>
      <c r="AH123" s="194">
        <f t="shared" si="70"/>
        <v>0</v>
      </c>
      <c r="AI123" s="199">
        <f t="shared" si="71"/>
        <v>0</v>
      </c>
      <c r="AK123" s="71">
        <v>118</v>
      </c>
      <c r="AL123" s="33">
        <f t="shared" si="51"/>
        <v>0</v>
      </c>
      <c r="AM123" s="33">
        <f t="shared" si="52"/>
        <v>0</v>
      </c>
      <c r="AN123" s="33">
        <f t="shared" si="53"/>
        <v>0</v>
      </c>
      <c r="AO123" s="33">
        <f t="shared" si="54"/>
        <v>0</v>
      </c>
      <c r="AP123" s="33">
        <f t="shared" si="55"/>
        <v>0</v>
      </c>
      <c r="AQ123" s="194">
        <f t="shared" si="56"/>
        <v>0</v>
      </c>
      <c r="AR123" s="194">
        <f t="shared" si="56"/>
        <v>0</v>
      </c>
      <c r="AS123" s="194">
        <f t="shared" si="56"/>
        <v>0</v>
      </c>
      <c r="AT123" s="194">
        <f t="shared" si="56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9"/>
        <v>0</v>
      </c>
      <c r="K124" s="33">
        <f t="shared" si="60"/>
        <v>0</v>
      </c>
      <c r="L124" s="33">
        <f t="shared" si="61"/>
        <v>0</v>
      </c>
      <c r="M124" s="33">
        <f t="shared" si="62"/>
        <v>0</v>
      </c>
      <c r="N124" s="33">
        <f t="shared" si="42"/>
        <v>0</v>
      </c>
      <c r="O124" s="34">
        <f t="shared" si="43"/>
        <v>0</v>
      </c>
      <c r="P124" s="55">
        <v>119</v>
      </c>
      <c r="Q124" s="33">
        <f t="shared" si="57"/>
        <v>0</v>
      </c>
      <c r="R124" s="33">
        <f t="shared" si="63"/>
        <v>0</v>
      </c>
      <c r="S124" s="33">
        <f t="shared" si="64"/>
        <v>0</v>
      </c>
      <c r="T124" s="33">
        <f t="shared" si="44"/>
        <v>0</v>
      </c>
      <c r="U124" s="33">
        <f t="shared" si="58"/>
        <v>0</v>
      </c>
      <c r="V124" s="33">
        <f t="shared" si="45"/>
        <v>0</v>
      </c>
      <c r="W124" s="33">
        <v>0</v>
      </c>
      <c r="X124" s="33">
        <f t="shared" si="46"/>
        <v>0</v>
      </c>
      <c r="Y124" s="38">
        <f t="shared" si="47"/>
        <v>0</v>
      </c>
      <c r="AA124" s="71">
        <v>119</v>
      </c>
      <c r="AB124" s="33">
        <f t="shared" si="48"/>
        <v>0</v>
      </c>
      <c r="AC124" s="305">
        <f t="shared" si="72"/>
        <v>0</v>
      </c>
      <c r="AD124" s="100">
        <f t="shared" si="49"/>
        <v>0</v>
      </c>
      <c r="AE124" s="100">
        <f t="shared" si="50"/>
        <v>0</v>
      </c>
      <c r="AF124" s="194">
        <f t="shared" si="68"/>
        <v>0</v>
      </c>
      <c r="AG124" s="194">
        <f t="shared" si="69"/>
        <v>0</v>
      </c>
      <c r="AH124" s="194">
        <f t="shared" si="70"/>
        <v>0</v>
      </c>
      <c r="AI124" s="199">
        <f t="shared" si="71"/>
        <v>0</v>
      </c>
      <c r="AK124" s="71">
        <v>119</v>
      </c>
      <c r="AL124" s="33">
        <f t="shared" si="51"/>
        <v>0</v>
      </c>
      <c r="AM124" s="33">
        <f t="shared" si="52"/>
        <v>0</v>
      </c>
      <c r="AN124" s="33">
        <f t="shared" si="53"/>
        <v>0</v>
      </c>
      <c r="AO124" s="33">
        <f t="shared" si="54"/>
        <v>0</v>
      </c>
      <c r="AP124" s="33">
        <f t="shared" si="55"/>
        <v>0</v>
      </c>
      <c r="AQ124" s="194">
        <f t="shared" si="56"/>
        <v>0</v>
      </c>
      <c r="AR124" s="194">
        <f t="shared" si="56"/>
        <v>0</v>
      </c>
      <c r="AS124" s="194">
        <f t="shared" si="56"/>
        <v>0</v>
      </c>
      <c r="AT124" s="194">
        <f t="shared" si="56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9"/>
        <v>0</v>
      </c>
      <c r="K125" s="33">
        <f t="shared" si="60"/>
        <v>0</v>
      </c>
      <c r="L125" s="33">
        <f t="shared" si="61"/>
        <v>0</v>
      </c>
      <c r="M125" s="33">
        <f t="shared" si="62"/>
        <v>0</v>
      </c>
      <c r="N125" s="33">
        <f t="shared" si="42"/>
        <v>0</v>
      </c>
      <c r="O125" s="34">
        <f t="shared" si="43"/>
        <v>0</v>
      </c>
      <c r="P125" s="55">
        <v>120</v>
      </c>
      <c r="Q125" s="33">
        <f t="shared" si="57"/>
        <v>0</v>
      </c>
      <c r="R125" s="33">
        <f t="shared" si="63"/>
        <v>0</v>
      </c>
      <c r="S125" s="33">
        <f t="shared" si="64"/>
        <v>0</v>
      </c>
      <c r="T125" s="33">
        <f t="shared" si="44"/>
        <v>0</v>
      </c>
      <c r="U125" s="33">
        <f t="shared" si="58"/>
        <v>0</v>
      </c>
      <c r="V125" s="33">
        <f t="shared" si="45"/>
        <v>0</v>
      </c>
      <c r="W125" s="33">
        <v>0</v>
      </c>
      <c r="X125" s="33">
        <f t="shared" si="46"/>
        <v>0</v>
      </c>
      <c r="Y125" s="38">
        <f t="shared" si="47"/>
        <v>0</v>
      </c>
      <c r="AA125" s="71">
        <v>120</v>
      </c>
      <c r="AB125" s="33">
        <f t="shared" si="48"/>
        <v>0</v>
      </c>
      <c r="AC125" s="305">
        <f t="shared" si="72"/>
        <v>0</v>
      </c>
      <c r="AD125" s="100">
        <f t="shared" si="49"/>
        <v>0</v>
      </c>
      <c r="AE125" s="100">
        <f t="shared" si="50"/>
        <v>0</v>
      </c>
      <c r="AF125" s="194">
        <f t="shared" si="68"/>
        <v>0</v>
      </c>
      <c r="AG125" s="194">
        <f t="shared" si="69"/>
        <v>0</v>
      </c>
      <c r="AH125" s="194">
        <f t="shared" si="70"/>
        <v>0</v>
      </c>
      <c r="AI125" s="199">
        <f t="shared" si="71"/>
        <v>0</v>
      </c>
      <c r="AK125" s="71">
        <v>120</v>
      </c>
      <c r="AL125" s="33">
        <f t="shared" si="51"/>
        <v>0</v>
      </c>
      <c r="AM125" s="33">
        <f t="shared" si="52"/>
        <v>0</v>
      </c>
      <c r="AN125" s="33">
        <f t="shared" si="53"/>
        <v>0</v>
      </c>
      <c r="AO125" s="33">
        <f t="shared" si="54"/>
        <v>0</v>
      </c>
      <c r="AP125" s="33">
        <f t="shared" si="55"/>
        <v>0</v>
      </c>
      <c r="AQ125" s="194">
        <f t="shared" si="56"/>
        <v>0</v>
      </c>
      <c r="AR125" s="194">
        <f t="shared" si="56"/>
        <v>0</v>
      </c>
      <c r="AS125" s="194">
        <f t="shared" si="56"/>
        <v>0</v>
      </c>
      <c r="AT125" s="194">
        <f t="shared" si="56"/>
        <v>0</v>
      </c>
      <c r="AU125" s="33"/>
      <c r="AV125" s="33"/>
      <c r="AW125" s="33"/>
      <c r="AX125" s="33"/>
      <c r="AY125" s="76"/>
    </row>
    <row r="126" spans="2:51">
      <c r="C126" s="84" t="s">
        <v>128</v>
      </c>
      <c r="D126" s="84" t="s">
        <v>129</v>
      </c>
      <c r="E126" s="84" t="s">
        <v>159</v>
      </c>
      <c r="F126" s="157" t="s">
        <v>169</v>
      </c>
      <c r="I126" s="55">
        <v>121</v>
      </c>
      <c r="J126" s="33">
        <f t="shared" si="59"/>
        <v>0</v>
      </c>
      <c r="K126" s="33">
        <f t="shared" si="60"/>
        <v>0</v>
      </c>
      <c r="L126" s="33">
        <f t="shared" si="61"/>
        <v>0</v>
      </c>
      <c r="M126" s="33">
        <f t="shared" si="62"/>
        <v>0</v>
      </c>
      <c r="N126" s="33">
        <f t="shared" si="42"/>
        <v>0</v>
      </c>
      <c r="O126" s="34">
        <f t="shared" si="43"/>
        <v>0</v>
      </c>
      <c r="P126" s="55">
        <v>121</v>
      </c>
      <c r="Q126" s="33">
        <f t="shared" si="57"/>
        <v>0</v>
      </c>
      <c r="R126" s="33">
        <f t="shared" si="63"/>
        <v>0</v>
      </c>
      <c r="S126" s="33">
        <f t="shared" si="64"/>
        <v>0</v>
      </c>
      <c r="T126" s="33">
        <f t="shared" si="44"/>
        <v>0</v>
      </c>
      <c r="U126" s="33">
        <f t="shared" si="58"/>
        <v>0</v>
      </c>
      <c r="V126" s="33">
        <f t="shared" si="45"/>
        <v>0</v>
      </c>
      <c r="W126" s="33">
        <v>0</v>
      </c>
      <c r="X126" s="33">
        <f t="shared" si="46"/>
        <v>0</v>
      </c>
      <c r="Y126" s="38">
        <f t="shared" si="47"/>
        <v>0</v>
      </c>
      <c r="AA126" s="71">
        <v>121</v>
      </c>
      <c r="AB126" s="33">
        <f t="shared" si="48"/>
        <v>0</v>
      </c>
      <c r="AC126" s="305">
        <f t="shared" si="72"/>
        <v>0</v>
      </c>
      <c r="AD126" s="100">
        <f t="shared" si="49"/>
        <v>0</v>
      </c>
      <c r="AE126" s="100">
        <f t="shared" si="50"/>
        <v>0</v>
      </c>
      <c r="AF126" s="194">
        <f t="shared" si="68"/>
        <v>0</v>
      </c>
      <c r="AG126" s="194">
        <f t="shared" si="69"/>
        <v>0</v>
      </c>
      <c r="AH126" s="194">
        <f t="shared" si="70"/>
        <v>0</v>
      </c>
      <c r="AI126" s="199">
        <f t="shared" si="71"/>
        <v>0</v>
      </c>
      <c r="AK126" s="71">
        <v>121</v>
      </c>
      <c r="AL126" s="33">
        <f t="shared" si="51"/>
        <v>0</v>
      </c>
      <c r="AM126" s="33">
        <f t="shared" si="52"/>
        <v>0</v>
      </c>
      <c r="AN126" s="33">
        <f t="shared" si="53"/>
        <v>0</v>
      </c>
      <c r="AO126" s="33">
        <f t="shared" si="54"/>
        <v>0</v>
      </c>
      <c r="AP126" s="33">
        <f t="shared" si="55"/>
        <v>0</v>
      </c>
      <c r="AQ126" s="194">
        <f t="shared" si="56"/>
        <v>0</v>
      </c>
      <c r="AR126" s="194">
        <f t="shared" si="56"/>
        <v>0</v>
      </c>
      <c r="AS126" s="194">
        <f t="shared" si="56"/>
        <v>0</v>
      </c>
      <c r="AT126" s="194">
        <f t="shared" si="56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507.47326574922528</v>
      </c>
      <c r="D127" s="82">
        <f>MIN(E118:E119)</f>
        <v>4.9334933687755536</v>
      </c>
      <c r="E127" s="85">
        <f>E123</f>
        <v>23.22</v>
      </c>
      <c r="F127" s="86">
        <f>SUM(C127:E127)</f>
        <v>535.6267591180009</v>
      </c>
      <c r="I127" s="55">
        <v>122</v>
      </c>
      <c r="J127" s="33">
        <f t="shared" si="59"/>
        <v>0</v>
      </c>
      <c r="K127" s="33">
        <f t="shared" si="60"/>
        <v>0</v>
      </c>
      <c r="L127" s="33">
        <f t="shared" si="61"/>
        <v>0</v>
      </c>
      <c r="M127" s="33">
        <f t="shared" si="62"/>
        <v>0</v>
      </c>
      <c r="N127" s="33">
        <f t="shared" si="42"/>
        <v>0</v>
      </c>
      <c r="O127" s="34">
        <f t="shared" si="43"/>
        <v>0</v>
      </c>
      <c r="P127" s="55">
        <v>122</v>
      </c>
      <c r="Q127" s="33">
        <f t="shared" si="57"/>
        <v>0</v>
      </c>
      <c r="R127" s="33">
        <f t="shared" si="63"/>
        <v>0</v>
      </c>
      <c r="S127" s="33">
        <f t="shared" si="64"/>
        <v>0</v>
      </c>
      <c r="T127" s="33">
        <f t="shared" si="44"/>
        <v>0</v>
      </c>
      <c r="U127" s="33">
        <f t="shared" si="58"/>
        <v>0</v>
      </c>
      <c r="V127" s="33">
        <f t="shared" si="45"/>
        <v>0</v>
      </c>
      <c r="W127" s="33">
        <v>0</v>
      </c>
      <c r="X127" s="33">
        <f t="shared" si="46"/>
        <v>0</v>
      </c>
      <c r="Y127" s="38">
        <f t="shared" si="47"/>
        <v>0</v>
      </c>
      <c r="AA127" s="71">
        <v>122</v>
      </c>
      <c r="AB127" s="33">
        <f t="shared" si="48"/>
        <v>0</v>
      </c>
      <c r="AC127" s="305">
        <f t="shared" si="72"/>
        <v>0</v>
      </c>
      <c r="AD127" s="100">
        <f t="shared" si="49"/>
        <v>0</v>
      </c>
      <c r="AE127" s="100">
        <f t="shared" si="50"/>
        <v>0</v>
      </c>
      <c r="AF127" s="194">
        <f t="shared" si="68"/>
        <v>0</v>
      </c>
      <c r="AG127" s="194">
        <f t="shared" si="69"/>
        <v>0</v>
      </c>
      <c r="AH127" s="194">
        <f t="shared" si="70"/>
        <v>0</v>
      </c>
      <c r="AI127" s="199">
        <f t="shared" si="71"/>
        <v>0</v>
      </c>
      <c r="AK127" s="71">
        <v>122</v>
      </c>
      <c r="AL127" s="33">
        <f t="shared" si="51"/>
        <v>0</v>
      </c>
      <c r="AM127" s="33">
        <f t="shared" si="52"/>
        <v>0</v>
      </c>
      <c r="AN127" s="33">
        <f t="shared" si="53"/>
        <v>0</v>
      </c>
      <c r="AO127" s="33">
        <f t="shared" si="54"/>
        <v>0</v>
      </c>
      <c r="AP127" s="33">
        <f t="shared" si="55"/>
        <v>0</v>
      </c>
      <c r="AQ127" s="194">
        <f t="shared" si="56"/>
        <v>0</v>
      </c>
      <c r="AR127" s="194">
        <f t="shared" si="56"/>
        <v>0</v>
      </c>
      <c r="AS127" s="194">
        <f t="shared" si="56"/>
        <v>0</v>
      </c>
      <c r="AT127" s="194">
        <f t="shared" si="56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9"/>
        <v>0</v>
      </c>
      <c r="K128" s="33">
        <f t="shared" si="60"/>
        <v>0</v>
      </c>
      <c r="L128" s="33">
        <f t="shared" si="61"/>
        <v>0</v>
      </c>
      <c r="M128" s="33">
        <f t="shared" si="62"/>
        <v>0</v>
      </c>
      <c r="N128" s="33">
        <f t="shared" si="42"/>
        <v>0</v>
      </c>
      <c r="O128" s="34">
        <f t="shared" si="43"/>
        <v>0</v>
      </c>
      <c r="P128" s="55">
        <v>123</v>
      </c>
      <c r="Q128" s="33">
        <f t="shared" si="57"/>
        <v>0</v>
      </c>
      <c r="R128" s="33">
        <f t="shared" si="63"/>
        <v>0</v>
      </c>
      <c r="S128" s="33">
        <f t="shared" si="64"/>
        <v>0</v>
      </c>
      <c r="T128" s="33">
        <f t="shared" si="44"/>
        <v>0</v>
      </c>
      <c r="U128" s="33">
        <f t="shared" si="58"/>
        <v>0</v>
      </c>
      <c r="V128" s="33">
        <f t="shared" si="45"/>
        <v>0</v>
      </c>
      <c r="W128" s="33">
        <v>0</v>
      </c>
      <c r="X128" s="33">
        <f t="shared" si="46"/>
        <v>0</v>
      </c>
      <c r="Y128" s="38">
        <f t="shared" si="47"/>
        <v>0</v>
      </c>
      <c r="AA128" s="71">
        <v>123</v>
      </c>
      <c r="AB128" s="33">
        <f t="shared" si="48"/>
        <v>0</v>
      </c>
      <c r="AC128" s="305">
        <f t="shared" si="72"/>
        <v>0</v>
      </c>
      <c r="AD128" s="100">
        <f t="shared" si="49"/>
        <v>0</v>
      </c>
      <c r="AE128" s="100">
        <f t="shared" si="50"/>
        <v>0</v>
      </c>
      <c r="AF128" s="194">
        <f t="shared" si="68"/>
        <v>0</v>
      </c>
      <c r="AG128" s="194">
        <f t="shared" si="69"/>
        <v>0</v>
      </c>
      <c r="AH128" s="194">
        <f t="shared" si="70"/>
        <v>0</v>
      </c>
      <c r="AI128" s="199">
        <f t="shared" si="71"/>
        <v>0</v>
      </c>
      <c r="AK128" s="71">
        <v>123</v>
      </c>
      <c r="AL128" s="33">
        <f t="shared" si="51"/>
        <v>0</v>
      </c>
      <c r="AM128" s="33">
        <f t="shared" si="52"/>
        <v>0</v>
      </c>
      <c r="AN128" s="33">
        <f t="shared" si="53"/>
        <v>0</v>
      </c>
      <c r="AO128" s="33">
        <f t="shared" si="54"/>
        <v>0</v>
      </c>
      <c r="AP128" s="33">
        <f t="shared" si="55"/>
        <v>0</v>
      </c>
      <c r="AQ128" s="194">
        <f t="shared" si="56"/>
        <v>0</v>
      </c>
      <c r="AR128" s="194">
        <f t="shared" si="56"/>
        <v>0</v>
      </c>
      <c r="AS128" s="194">
        <f t="shared" si="56"/>
        <v>0</v>
      </c>
      <c r="AT128" s="194">
        <f t="shared" si="56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9"/>
        <v>0</v>
      </c>
      <c r="K129" s="33">
        <f t="shared" si="60"/>
        <v>0</v>
      </c>
      <c r="L129" s="33">
        <f t="shared" si="61"/>
        <v>0</v>
      </c>
      <c r="M129" s="33">
        <f t="shared" si="62"/>
        <v>0</v>
      </c>
      <c r="N129" s="33">
        <f t="shared" si="42"/>
        <v>0</v>
      </c>
      <c r="O129" s="34">
        <f t="shared" si="43"/>
        <v>0</v>
      </c>
      <c r="P129" s="55">
        <v>124</v>
      </c>
      <c r="Q129" s="33">
        <f t="shared" si="57"/>
        <v>0</v>
      </c>
      <c r="R129" s="33">
        <f t="shared" si="63"/>
        <v>0</v>
      </c>
      <c r="S129" s="33">
        <f t="shared" si="64"/>
        <v>0</v>
      </c>
      <c r="T129" s="33">
        <f t="shared" si="44"/>
        <v>0</v>
      </c>
      <c r="U129" s="33">
        <f t="shared" si="58"/>
        <v>0</v>
      </c>
      <c r="V129" s="33">
        <f t="shared" si="45"/>
        <v>0</v>
      </c>
      <c r="W129" s="33">
        <v>0</v>
      </c>
      <c r="X129" s="33">
        <f t="shared" si="46"/>
        <v>0</v>
      </c>
      <c r="Y129" s="38">
        <f t="shared" si="47"/>
        <v>0</v>
      </c>
      <c r="AA129" s="71">
        <v>124</v>
      </c>
      <c r="AB129" s="33">
        <f t="shared" si="48"/>
        <v>0</v>
      </c>
      <c r="AC129" s="305">
        <f t="shared" si="72"/>
        <v>0</v>
      </c>
      <c r="AD129" s="100">
        <f t="shared" si="49"/>
        <v>0</v>
      </c>
      <c r="AE129" s="100">
        <f t="shared" si="50"/>
        <v>0</v>
      </c>
      <c r="AF129" s="194">
        <f t="shared" si="68"/>
        <v>0</v>
      </c>
      <c r="AG129" s="194">
        <f t="shared" si="69"/>
        <v>0</v>
      </c>
      <c r="AH129" s="194">
        <f t="shared" si="70"/>
        <v>0</v>
      </c>
      <c r="AI129" s="199">
        <f t="shared" si="71"/>
        <v>0</v>
      </c>
      <c r="AK129" s="71">
        <v>124</v>
      </c>
      <c r="AL129" s="33">
        <f t="shared" si="51"/>
        <v>0</v>
      </c>
      <c r="AM129" s="33">
        <f t="shared" si="52"/>
        <v>0</v>
      </c>
      <c r="AN129" s="33">
        <f t="shared" si="53"/>
        <v>0</v>
      </c>
      <c r="AO129" s="33">
        <f t="shared" si="54"/>
        <v>0</v>
      </c>
      <c r="AP129" s="33">
        <f t="shared" si="55"/>
        <v>0</v>
      </c>
      <c r="AQ129" s="194">
        <f t="shared" si="56"/>
        <v>0</v>
      </c>
      <c r="AR129" s="194">
        <f t="shared" si="56"/>
        <v>0</v>
      </c>
      <c r="AS129" s="194">
        <f t="shared" si="56"/>
        <v>0</v>
      </c>
      <c r="AT129" s="194">
        <f t="shared" si="56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8" t="s">
        <v>226</v>
      </c>
      <c r="F130" s="343" t="s">
        <v>272</v>
      </c>
      <c r="I130" s="55">
        <v>125</v>
      </c>
      <c r="J130" s="33">
        <f t="shared" si="59"/>
        <v>0</v>
      </c>
      <c r="K130" s="33">
        <f t="shared" si="60"/>
        <v>0</v>
      </c>
      <c r="L130" s="33">
        <f t="shared" si="61"/>
        <v>0</v>
      </c>
      <c r="M130" s="33">
        <f t="shared" si="62"/>
        <v>0</v>
      </c>
      <c r="N130" s="33">
        <f t="shared" si="42"/>
        <v>0</v>
      </c>
      <c r="O130" s="34">
        <f t="shared" si="43"/>
        <v>0</v>
      </c>
      <c r="P130" s="55">
        <v>125</v>
      </c>
      <c r="Q130" s="33">
        <f t="shared" si="57"/>
        <v>0</v>
      </c>
      <c r="R130" s="33">
        <f t="shared" si="63"/>
        <v>0</v>
      </c>
      <c r="S130" s="33">
        <f t="shared" si="64"/>
        <v>0</v>
      </c>
      <c r="T130" s="33">
        <f t="shared" si="44"/>
        <v>0</v>
      </c>
      <c r="U130" s="33">
        <f t="shared" si="58"/>
        <v>0</v>
      </c>
      <c r="V130" s="33">
        <f t="shared" si="45"/>
        <v>0</v>
      </c>
      <c r="W130" s="33">
        <v>0</v>
      </c>
      <c r="X130" s="33">
        <f t="shared" si="46"/>
        <v>0</v>
      </c>
      <c r="Y130" s="38">
        <f t="shared" si="47"/>
        <v>0</v>
      </c>
      <c r="AA130" s="71">
        <v>125</v>
      </c>
      <c r="AB130" s="33">
        <f t="shared" si="48"/>
        <v>0</v>
      </c>
      <c r="AC130" s="305">
        <f t="shared" si="72"/>
        <v>0</v>
      </c>
      <c r="AD130" s="100">
        <f t="shared" si="49"/>
        <v>0</v>
      </c>
      <c r="AE130" s="100">
        <f t="shared" si="50"/>
        <v>0</v>
      </c>
      <c r="AF130" s="194">
        <f t="shared" si="68"/>
        <v>0</v>
      </c>
      <c r="AG130" s="194">
        <f t="shared" si="69"/>
        <v>0</v>
      </c>
      <c r="AH130" s="194">
        <f t="shared" si="70"/>
        <v>0</v>
      </c>
      <c r="AI130" s="199">
        <f t="shared" si="71"/>
        <v>0</v>
      </c>
      <c r="AK130" s="71">
        <v>125</v>
      </c>
      <c r="AL130" s="33">
        <f t="shared" si="51"/>
        <v>0</v>
      </c>
      <c r="AM130" s="33">
        <f t="shared" si="52"/>
        <v>0</v>
      </c>
      <c r="AN130" s="33">
        <f t="shared" si="53"/>
        <v>0</v>
      </c>
      <c r="AO130" s="33">
        <f t="shared" si="54"/>
        <v>0</v>
      </c>
      <c r="AP130" s="33">
        <f t="shared" si="55"/>
        <v>0</v>
      </c>
      <c r="AQ130" s="194">
        <f t="shared" si="56"/>
        <v>0</v>
      </c>
      <c r="AR130" s="194">
        <f t="shared" si="56"/>
        <v>0</v>
      </c>
      <c r="AS130" s="194">
        <f t="shared" si="56"/>
        <v>0</v>
      </c>
      <c r="AT130" s="194">
        <f t="shared" si="56"/>
        <v>0</v>
      </c>
      <c r="AU130" s="33"/>
      <c r="AV130" s="33"/>
      <c r="AW130" s="33"/>
      <c r="AX130" s="33"/>
      <c r="AY130" s="76"/>
    </row>
    <row r="131" spans="3:51">
      <c r="C131" s="166" t="s">
        <v>7</v>
      </c>
      <c r="D131" s="4">
        <v>0.62</v>
      </c>
      <c r="E131" s="188" t="s">
        <v>227</v>
      </c>
      <c r="F131" s="343">
        <f>IF(OR(Tableau145[[#This Row],[Type]]="Feuillus",Tableau145[[#This Row],[Type]]="Peupliers"),1.56,1.3)</f>
        <v>1.56</v>
      </c>
      <c r="I131" s="55">
        <v>126</v>
      </c>
      <c r="J131" s="33">
        <f t="shared" si="59"/>
        <v>0</v>
      </c>
      <c r="K131" s="33">
        <f t="shared" si="60"/>
        <v>0</v>
      </c>
      <c r="L131" s="33">
        <f t="shared" si="61"/>
        <v>0</v>
      </c>
      <c r="M131" s="33">
        <f t="shared" si="62"/>
        <v>0</v>
      </c>
      <c r="N131" s="33">
        <f t="shared" si="42"/>
        <v>0</v>
      </c>
      <c r="O131" s="34">
        <f t="shared" si="43"/>
        <v>0</v>
      </c>
      <c r="P131" s="55">
        <v>126</v>
      </c>
      <c r="Q131" s="33">
        <f t="shared" si="57"/>
        <v>0</v>
      </c>
      <c r="R131" s="33">
        <f t="shared" si="63"/>
        <v>0</v>
      </c>
      <c r="S131" s="33">
        <f t="shared" si="64"/>
        <v>0</v>
      </c>
      <c r="T131" s="33">
        <f t="shared" si="44"/>
        <v>0</v>
      </c>
      <c r="U131" s="33">
        <f t="shared" si="58"/>
        <v>0</v>
      </c>
      <c r="V131" s="33">
        <f t="shared" si="45"/>
        <v>0</v>
      </c>
      <c r="W131" s="33">
        <v>0</v>
      </c>
      <c r="X131" s="33">
        <f t="shared" si="46"/>
        <v>0</v>
      </c>
      <c r="Y131" s="38">
        <f t="shared" si="47"/>
        <v>0</v>
      </c>
      <c r="AA131" s="71">
        <v>126</v>
      </c>
      <c r="AB131" s="33">
        <f t="shared" si="48"/>
        <v>0</v>
      </c>
      <c r="AC131" s="305">
        <f t="shared" si="72"/>
        <v>0</v>
      </c>
      <c r="AD131" s="100">
        <f t="shared" si="49"/>
        <v>0</v>
      </c>
      <c r="AE131" s="100">
        <f t="shared" si="50"/>
        <v>0</v>
      </c>
      <c r="AF131" s="194">
        <f t="shared" si="68"/>
        <v>0</v>
      </c>
      <c r="AG131" s="194">
        <f t="shared" si="69"/>
        <v>0</v>
      </c>
      <c r="AH131" s="194">
        <f t="shared" si="70"/>
        <v>0</v>
      </c>
      <c r="AI131" s="199">
        <f t="shared" si="71"/>
        <v>0</v>
      </c>
      <c r="AK131" s="71">
        <v>126</v>
      </c>
      <c r="AL131" s="33">
        <f t="shared" si="51"/>
        <v>0</v>
      </c>
      <c r="AM131" s="33">
        <f t="shared" si="52"/>
        <v>0</v>
      </c>
      <c r="AN131" s="33">
        <f t="shared" si="53"/>
        <v>0</v>
      </c>
      <c r="AO131" s="33">
        <f t="shared" si="54"/>
        <v>0</v>
      </c>
      <c r="AP131" s="33">
        <f t="shared" si="55"/>
        <v>0</v>
      </c>
      <c r="AQ131" s="194">
        <f t="shared" si="56"/>
        <v>0</v>
      </c>
      <c r="AR131" s="194">
        <f t="shared" si="56"/>
        <v>0</v>
      </c>
      <c r="AS131" s="194">
        <f t="shared" si="56"/>
        <v>0</v>
      </c>
      <c r="AT131" s="194">
        <f t="shared" si="56"/>
        <v>0</v>
      </c>
      <c r="AU131" s="33"/>
      <c r="AV131" s="33"/>
      <c r="AW131" s="33"/>
      <c r="AX131" s="33"/>
      <c r="AY131" s="76"/>
    </row>
    <row r="132" spans="3:51">
      <c r="C132" s="166" t="s">
        <v>4</v>
      </c>
      <c r="D132" s="4">
        <v>0.64</v>
      </c>
      <c r="E132" s="188" t="s">
        <v>227</v>
      </c>
      <c r="F132" s="343">
        <f>IF(OR(Tableau145[[#This Row],[Type]]="Feuillus",Tableau145[[#This Row],[Type]]="Peupliers"),1.56,1.3)</f>
        <v>1.56</v>
      </c>
      <c r="I132" s="55">
        <v>127</v>
      </c>
      <c r="J132" s="33">
        <f t="shared" si="59"/>
        <v>0</v>
      </c>
      <c r="K132" s="33">
        <f t="shared" si="60"/>
        <v>0</v>
      </c>
      <c r="L132" s="33">
        <f t="shared" si="61"/>
        <v>0</v>
      </c>
      <c r="M132" s="33">
        <f t="shared" si="62"/>
        <v>0</v>
      </c>
      <c r="N132" s="33">
        <f t="shared" si="42"/>
        <v>0</v>
      </c>
      <c r="O132" s="34">
        <f t="shared" si="43"/>
        <v>0</v>
      </c>
      <c r="P132" s="55">
        <v>127</v>
      </c>
      <c r="Q132" s="33">
        <f t="shared" si="57"/>
        <v>0</v>
      </c>
      <c r="R132" s="33">
        <f t="shared" si="63"/>
        <v>0</v>
      </c>
      <c r="S132" s="33">
        <f t="shared" si="64"/>
        <v>0</v>
      </c>
      <c r="T132" s="33">
        <f t="shared" si="44"/>
        <v>0</v>
      </c>
      <c r="U132" s="33">
        <f t="shared" si="58"/>
        <v>0</v>
      </c>
      <c r="V132" s="33">
        <f t="shared" si="45"/>
        <v>0</v>
      </c>
      <c r="W132" s="33">
        <v>0</v>
      </c>
      <c r="X132" s="33">
        <f t="shared" si="46"/>
        <v>0</v>
      </c>
      <c r="Y132" s="38">
        <f t="shared" si="47"/>
        <v>0</v>
      </c>
      <c r="AA132" s="71">
        <v>127</v>
      </c>
      <c r="AB132" s="33">
        <f t="shared" si="48"/>
        <v>0</v>
      </c>
      <c r="AC132" s="305">
        <f t="shared" si="72"/>
        <v>0</v>
      </c>
      <c r="AD132" s="100">
        <f t="shared" si="49"/>
        <v>0</v>
      </c>
      <c r="AE132" s="100">
        <f t="shared" si="50"/>
        <v>0</v>
      </c>
      <c r="AF132" s="194">
        <f t="shared" si="68"/>
        <v>0</v>
      </c>
      <c r="AG132" s="194">
        <f t="shared" si="69"/>
        <v>0</v>
      </c>
      <c r="AH132" s="194">
        <f t="shared" si="70"/>
        <v>0</v>
      </c>
      <c r="AI132" s="199">
        <f t="shared" si="71"/>
        <v>0</v>
      </c>
      <c r="AK132" s="71">
        <v>127</v>
      </c>
      <c r="AL132" s="33">
        <f t="shared" si="51"/>
        <v>0</v>
      </c>
      <c r="AM132" s="33">
        <f t="shared" si="52"/>
        <v>0</v>
      </c>
      <c r="AN132" s="33">
        <f t="shared" si="53"/>
        <v>0</v>
      </c>
      <c r="AO132" s="33">
        <f t="shared" si="54"/>
        <v>0</v>
      </c>
      <c r="AP132" s="33">
        <f t="shared" si="55"/>
        <v>0</v>
      </c>
      <c r="AQ132" s="194">
        <f t="shared" si="56"/>
        <v>0</v>
      </c>
      <c r="AR132" s="194">
        <f t="shared" si="56"/>
        <v>0</v>
      </c>
      <c r="AS132" s="194">
        <f t="shared" si="56"/>
        <v>0</v>
      </c>
      <c r="AT132" s="194">
        <f t="shared" ref="AT132:AT195" si="73">IF($AK132&lt;=$F$18,$AL132*AP132,)</f>
        <v>0</v>
      </c>
      <c r="AU132" s="33"/>
      <c r="AV132" s="33"/>
      <c r="AW132" s="33"/>
      <c r="AX132" s="33"/>
      <c r="AY132" s="76"/>
    </row>
    <row r="133" spans="3:51">
      <c r="C133" s="166" t="s">
        <v>8</v>
      </c>
      <c r="D133" s="4">
        <v>0.42</v>
      </c>
      <c r="E133" s="188" t="s">
        <v>227</v>
      </c>
      <c r="F133" s="343">
        <f>IF(OR(Tableau145[[#This Row],[Type]]="Feuillus",Tableau145[[#This Row],[Type]]="Peupliers"),1.56,1.3)</f>
        <v>1.56</v>
      </c>
      <c r="I133" s="55">
        <v>128</v>
      </c>
      <c r="J133" s="33">
        <f t="shared" si="59"/>
        <v>0</v>
      </c>
      <c r="K133" s="33">
        <f t="shared" si="60"/>
        <v>0</v>
      </c>
      <c r="L133" s="33">
        <f t="shared" si="61"/>
        <v>0</v>
      </c>
      <c r="M133" s="33">
        <f t="shared" si="62"/>
        <v>0</v>
      </c>
      <c r="N133" s="33">
        <f t="shared" ref="N133:N196" si="74">IF(P134&lt;=$F$18,0,)</f>
        <v>0</v>
      </c>
      <c r="O133" s="34">
        <f t="shared" ref="O133:O196" si="75">((J133+K133)*0.475+L133+M133+N133)*44/12</f>
        <v>0</v>
      </c>
      <c r="P133" s="55">
        <v>128</v>
      </c>
      <c r="Q133" s="33">
        <f t="shared" si="57"/>
        <v>0</v>
      </c>
      <c r="R133" s="33">
        <f t="shared" si="63"/>
        <v>0</v>
      </c>
      <c r="S133" s="33">
        <f t="shared" si="64"/>
        <v>0</v>
      </c>
      <c r="T133" s="33">
        <f t="shared" ref="T133:T196" si="76">IF(S133=0,0,EXP(-1.0587+0.8836*LN(S133)+0.284))</f>
        <v>0</v>
      </c>
      <c r="U133" s="33">
        <f t="shared" si="58"/>
        <v>0</v>
      </c>
      <c r="V133" s="33">
        <f t="shared" ref="V133:V196" si="77">IF(P133&lt;=$F$18,IF(P133&lt;=30,P133*($F$16-$F$6)/30,$F$16-$F$6),)</f>
        <v>0</v>
      </c>
      <c r="W133" s="33">
        <v>0</v>
      </c>
      <c r="X133" s="33">
        <f t="shared" ref="X133:X196" si="78">((S133+T133)*0.475+U133+V133+W133)*44/12</f>
        <v>0</v>
      </c>
      <c r="Y133" s="38">
        <f t="shared" ref="Y133:Y196" si="79">IF(P133&lt;=$F$18,X133-O133,)</f>
        <v>0</v>
      </c>
      <c r="AA133" s="71">
        <v>128</v>
      </c>
      <c r="AB133" s="33">
        <f t="shared" ref="AB133:AB196" si="80">IF(AA133&lt;=$F$18,IFERROR(VLOOKUP($AA133,$B$82:$G$94,2,FALSE),0),)</f>
        <v>0</v>
      </c>
      <c r="AC133" s="305">
        <f t="shared" si="72"/>
        <v>0</v>
      </c>
      <c r="AD133" s="100">
        <f t="shared" ref="AD133:AD196" si="81">IF(AA133&lt;=$F$18,IFERROR(VLOOKUP($AA133,$B$82:$G$94,4,FALSE),0),)</f>
        <v>0</v>
      </c>
      <c r="AE133" s="100">
        <f t="shared" ref="AE133:AE196" si="82">IF(AA133&lt;=$F$18,IFERROR(VLOOKUP($AA133,$B$82:$G$94,5,FALSE),0),)</f>
        <v>0</v>
      </c>
      <c r="AF133" s="194">
        <f t="shared" si="68"/>
        <v>0</v>
      </c>
      <c r="AG133" s="194">
        <f t="shared" si="69"/>
        <v>0</v>
      </c>
      <c r="AH133" s="194">
        <f t="shared" si="70"/>
        <v>0</v>
      </c>
      <c r="AI133" s="199">
        <f t="shared" si="71"/>
        <v>0</v>
      </c>
      <c r="AK133" s="71">
        <v>128</v>
      </c>
      <c r="AL133" s="33">
        <f t="shared" ref="AL133:AL196" si="83">IF(AK133&lt;=$F$18,IFERROR(VLOOKUP($AA133,$B$82:$G$94,2,FALSE),0),)</f>
        <v>0</v>
      </c>
      <c r="AM133" s="33">
        <f t="shared" ref="AM133:AM196" si="84">IF(AK133&lt;=$F$18,IFERROR(VLOOKUP($AA133,$B$82:$G$94,3,FALSE),0),)</f>
        <v>0</v>
      </c>
      <c r="AN133" s="33">
        <f t="shared" ref="AN133:AN196" si="85">IF(AK133&lt;=$F$18,IFERROR(VLOOKUP($AA133,$B$82:$G$94,4,FALSE),0),)</f>
        <v>0</v>
      </c>
      <c r="AO133" s="33">
        <f t="shared" ref="AO133:AO196" si="86">IF(AK133&lt;=$F$18,IFERROR(VLOOKUP($AA133,$B$82:$G$94,5,FALSE),0),)</f>
        <v>0</v>
      </c>
      <c r="AP133" s="33">
        <f t="shared" ref="AP133:AP196" si="87">IF(AK133&lt;=$F$18,IFERROR(VLOOKUP($AA133,$B$82:$G$94,6,FALSE),0),)</f>
        <v>0</v>
      </c>
      <c r="AQ133" s="194">
        <f t="shared" ref="AQ133:AT196" si="88">IF($AK133&lt;=$F$18,$AL133*AM133,)</f>
        <v>0</v>
      </c>
      <c r="AR133" s="194">
        <f t="shared" si="88"/>
        <v>0</v>
      </c>
      <c r="AS133" s="194">
        <f t="shared" si="88"/>
        <v>0</v>
      </c>
      <c r="AT133" s="194">
        <f t="shared" si="73"/>
        <v>0</v>
      </c>
      <c r="AU133" s="33"/>
      <c r="AV133" s="33"/>
      <c r="AW133" s="33"/>
      <c r="AX133" s="33"/>
      <c r="AY133" s="76"/>
    </row>
    <row r="134" spans="3:51">
      <c r="C134" s="166" t="s">
        <v>9</v>
      </c>
      <c r="D134" s="4">
        <v>0.42</v>
      </c>
      <c r="E134" s="188" t="s">
        <v>227</v>
      </c>
      <c r="F134" s="343">
        <f>IF(OR(Tableau145[[#This Row],[Type]]="Feuillus",Tableau145[[#This Row],[Type]]="Peupliers"),1.56,1.3)</f>
        <v>1.56</v>
      </c>
      <c r="I134" s="55">
        <v>129</v>
      </c>
      <c r="J134" s="33">
        <f t="shared" si="59"/>
        <v>0</v>
      </c>
      <c r="K134" s="33">
        <f t="shared" si="60"/>
        <v>0</v>
      </c>
      <c r="L134" s="33">
        <f t="shared" si="61"/>
        <v>0</v>
      </c>
      <c r="M134" s="33">
        <f t="shared" si="62"/>
        <v>0</v>
      </c>
      <c r="N134" s="33">
        <f t="shared" si="74"/>
        <v>0</v>
      </c>
      <c r="O134" s="34">
        <f t="shared" si="75"/>
        <v>0</v>
      </c>
      <c r="P134" s="55">
        <v>129</v>
      </c>
      <c r="Q134" s="33">
        <f t="shared" ref="Q134:Q197" si="89">IF(P134&lt;=$F$18,LOOKUP(P134-1,$B$25:$B$78,$G$25:$G$78),)</f>
        <v>0</v>
      </c>
      <c r="R134" s="33">
        <f t="shared" si="63"/>
        <v>0</v>
      </c>
      <c r="S134" s="33">
        <f t="shared" si="64"/>
        <v>0</v>
      </c>
      <c r="T134" s="33">
        <f t="shared" si="76"/>
        <v>0</v>
      </c>
      <c r="U134" s="33">
        <f t="shared" ref="U134:U197" si="90">IF(P134&lt;=$F$18,$F$5+($F$15-$F$5)*(1-EXP(-0.0175*P134)),)</f>
        <v>0</v>
      </c>
      <c r="V134" s="33">
        <f t="shared" si="77"/>
        <v>0</v>
      </c>
      <c r="W134" s="33">
        <v>0</v>
      </c>
      <c r="X134" s="33">
        <f t="shared" si="78"/>
        <v>0</v>
      </c>
      <c r="Y134" s="38">
        <f t="shared" si="79"/>
        <v>0</v>
      </c>
      <c r="AA134" s="71">
        <v>129</v>
      </c>
      <c r="AB134" s="33">
        <f t="shared" si="80"/>
        <v>0</v>
      </c>
      <c r="AC134" s="305">
        <f t="shared" si="72"/>
        <v>0</v>
      </c>
      <c r="AD134" s="100">
        <f t="shared" si="81"/>
        <v>0</v>
      </c>
      <c r="AE134" s="100">
        <f t="shared" si="82"/>
        <v>0</v>
      </c>
      <c r="AF134" s="194">
        <f t="shared" si="68"/>
        <v>0</v>
      </c>
      <c r="AG134" s="194">
        <f t="shared" si="69"/>
        <v>0</v>
      </c>
      <c r="AH134" s="194">
        <f t="shared" si="70"/>
        <v>0</v>
      </c>
      <c r="AI134" s="199">
        <f t="shared" si="71"/>
        <v>0</v>
      </c>
      <c r="AK134" s="71">
        <v>129</v>
      </c>
      <c r="AL134" s="33">
        <f t="shared" si="83"/>
        <v>0</v>
      </c>
      <c r="AM134" s="33">
        <f t="shared" si="84"/>
        <v>0</v>
      </c>
      <c r="AN134" s="33">
        <f t="shared" si="85"/>
        <v>0</v>
      </c>
      <c r="AO134" s="33">
        <f t="shared" si="86"/>
        <v>0</v>
      </c>
      <c r="AP134" s="33">
        <f t="shared" si="87"/>
        <v>0</v>
      </c>
      <c r="AQ134" s="194">
        <f t="shared" si="88"/>
        <v>0</v>
      </c>
      <c r="AR134" s="194">
        <f t="shared" si="88"/>
        <v>0</v>
      </c>
      <c r="AS134" s="194">
        <f t="shared" si="88"/>
        <v>0</v>
      </c>
      <c r="AT134" s="194">
        <f t="shared" si="73"/>
        <v>0</v>
      </c>
      <c r="AU134" s="33"/>
      <c r="AV134" s="33"/>
      <c r="AW134" s="33"/>
      <c r="AX134" s="33"/>
      <c r="AY134" s="76"/>
    </row>
    <row r="135" spans="3:51">
      <c r="C135" s="166" t="s">
        <v>10</v>
      </c>
      <c r="D135" s="4">
        <v>0.52</v>
      </c>
      <c r="E135" s="188" t="s">
        <v>227</v>
      </c>
      <c r="F135" s="343">
        <f>IF(OR(Tableau145[[#This Row],[Type]]="Feuillus",Tableau145[[#This Row],[Type]]="Peupliers"),1.56,1.3)</f>
        <v>1.56</v>
      </c>
      <c r="I135" s="55">
        <v>130</v>
      </c>
      <c r="J135" s="33">
        <f t="shared" ref="J135:J198" si="91">IF($I135&lt;=$F$10,$F$11*$F$13+J134,)</f>
        <v>0</v>
      </c>
      <c r="K135" s="33">
        <f t="shared" ref="K135:K198" si="92">IF(J135=0,0,EXP(-1.0587+0.8836*LN(J135)+0.284))</f>
        <v>0</v>
      </c>
      <c r="L135" s="33">
        <f t="shared" ref="L135:L198" si="93">IF(I135&lt;=$F$10,$F$5+($F$8-$F$5)*(1-EXP(-0.0175*I135)),)</f>
        <v>0</v>
      </c>
      <c r="M135" s="33">
        <f t="shared" ref="M135:M198" si="94">IF(I135&lt;=$F$10,IF(I135&lt;=30,I135*($F$9-$F$6)/30,$F$9-$F$6),)</f>
        <v>0</v>
      </c>
      <c r="N135" s="33">
        <f t="shared" si="74"/>
        <v>0</v>
      </c>
      <c r="O135" s="34">
        <f t="shared" si="75"/>
        <v>0</v>
      </c>
      <c r="P135" s="55">
        <v>130</v>
      </c>
      <c r="Q135" s="33">
        <f t="shared" si="89"/>
        <v>0</v>
      </c>
      <c r="R135" s="33">
        <f t="shared" ref="R135:R198" si="95">IF(P135&lt;=$F$18,Q135+R134,)</f>
        <v>0</v>
      </c>
      <c r="S135" s="33">
        <f t="shared" ref="S135:S198" si="96">$F$19*R135</f>
        <v>0</v>
      </c>
      <c r="T135" s="33">
        <f t="shared" si="76"/>
        <v>0</v>
      </c>
      <c r="U135" s="33">
        <f t="shared" si="90"/>
        <v>0</v>
      </c>
      <c r="V135" s="33">
        <f t="shared" si="77"/>
        <v>0</v>
      </c>
      <c r="W135" s="33">
        <v>0</v>
      </c>
      <c r="X135" s="33">
        <f t="shared" si="78"/>
        <v>0</v>
      </c>
      <c r="Y135" s="38">
        <f t="shared" si="79"/>
        <v>0</v>
      </c>
      <c r="AA135" s="71">
        <v>130</v>
      </c>
      <c r="AB135" s="33">
        <f t="shared" si="80"/>
        <v>0</v>
      </c>
      <c r="AC135" s="305">
        <f t="shared" si="72"/>
        <v>0</v>
      </c>
      <c r="AD135" s="100">
        <f t="shared" si="81"/>
        <v>0</v>
      </c>
      <c r="AE135" s="100">
        <f t="shared" si="82"/>
        <v>0</v>
      </c>
      <c r="AF135" s="194">
        <f t="shared" si="68"/>
        <v>0</v>
      </c>
      <c r="AG135" s="194">
        <f t="shared" si="69"/>
        <v>0</v>
      </c>
      <c r="AH135" s="194">
        <f t="shared" si="70"/>
        <v>0</v>
      </c>
      <c r="AI135" s="199">
        <f t="shared" si="71"/>
        <v>0</v>
      </c>
      <c r="AK135" s="71">
        <v>130</v>
      </c>
      <c r="AL135" s="33">
        <f t="shared" si="83"/>
        <v>0</v>
      </c>
      <c r="AM135" s="33">
        <f t="shared" si="84"/>
        <v>0</v>
      </c>
      <c r="AN135" s="33">
        <f t="shared" si="85"/>
        <v>0</v>
      </c>
      <c r="AO135" s="33">
        <f t="shared" si="86"/>
        <v>0</v>
      </c>
      <c r="AP135" s="33">
        <f t="shared" si="87"/>
        <v>0</v>
      </c>
      <c r="AQ135" s="194">
        <f t="shared" si="88"/>
        <v>0</v>
      </c>
      <c r="AR135" s="194">
        <f t="shared" si="88"/>
        <v>0</v>
      </c>
      <c r="AS135" s="194">
        <f t="shared" si="88"/>
        <v>0</v>
      </c>
      <c r="AT135" s="194">
        <f t="shared" si="73"/>
        <v>0</v>
      </c>
      <c r="AU135" s="33"/>
      <c r="AV135" s="33"/>
      <c r="AW135" s="33"/>
      <c r="AX135" s="33"/>
      <c r="AY135" s="76"/>
    </row>
    <row r="136" spans="3:51">
      <c r="C136" s="166" t="s">
        <v>11</v>
      </c>
      <c r="D136" s="4">
        <v>0.36</v>
      </c>
      <c r="E136" s="188" t="s">
        <v>228</v>
      </c>
      <c r="F136" s="343">
        <f>IF(OR(Tableau145[[#This Row],[Type]]="Feuillus",Tableau145[[#This Row],[Type]]="Peupliers"),1.56,1.3)</f>
        <v>1.3</v>
      </c>
      <c r="I136" s="55">
        <v>131</v>
      </c>
      <c r="J136" s="33">
        <f t="shared" si="91"/>
        <v>0</v>
      </c>
      <c r="K136" s="33">
        <f t="shared" si="92"/>
        <v>0</v>
      </c>
      <c r="L136" s="33">
        <f t="shared" si="93"/>
        <v>0</v>
      </c>
      <c r="M136" s="33">
        <f t="shared" si="94"/>
        <v>0</v>
      </c>
      <c r="N136" s="33">
        <f t="shared" si="74"/>
        <v>0</v>
      </c>
      <c r="O136" s="34">
        <f t="shared" si="75"/>
        <v>0</v>
      </c>
      <c r="P136" s="55">
        <v>131</v>
      </c>
      <c r="Q136" s="33">
        <f t="shared" si="89"/>
        <v>0</v>
      </c>
      <c r="R136" s="33">
        <f t="shared" si="95"/>
        <v>0</v>
      </c>
      <c r="S136" s="33">
        <f t="shared" si="96"/>
        <v>0</v>
      </c>
      <c r="T136" s="33">
        <f t="shared" si="76"/>
        <v>0</v>
      </c>
      <c r="U136" s="33">
        <f t="shared" si="90"/>
        <v>0</v>
      </c>
      <c r="V136" s="33">
        <f t="shared" si="77"/>
        <v>0</v>
      </c>
      <c r="W136" s="33">
        <v>0</v>
      </c>
      <c r="X136" s="33">
        <f t="shared" si="78"/>
        <v>0</v>
      </c>
      <c r="Y136" s="38">
        <f t="shared" si="79"/>
        <v>0</v>
      </c>
      <c r="AA136" s="71">
        <v>131</v>
      </c>
      <c r="AB136" s="33">
        <f t="shared" si="80"/>
        <v>0</v>
      </c>
      <c r="AC136" s="305">
        <f t="shared" si="72"/>
        <v>0</v>
      </c>
      <c r="AD136" s="100">
        <f t="shared" si="81"/>
        <v>0</v>
      </c>
      <c r="AE136" s="100">
        <f t="shared" si="82"/>
        <v>0</v>
      </c>
      <c r="AF136" s="194">
        <f t="shared" si="68"/>
        <v>0</v>
      </c>
      <c r="AG136" s="194">
        <f t="shared" si="69"/>
        <v>0</v>
      </c>
      <c r="AH136" s="194">
        <f t="shared" si="70"/>
        <v>0</v>
      </c>
      <c r="AI136" s="199">
        <f t="shared" si="71"/>
        <v>0</v>
      </c>
      <c r="AK136" s="71">
        <v>131</v>
      </c>
      <c r="AL136" s="33">
        <f t="shared" si="83"/>
        <v>0</v>
      </c>
      <c r="AM136" s="33">
        <f t="shared" si="84"/>
        <v>0</v>
      </c>
      <c r="AN136" s="33">
        <f t="shared" si="85"/>
        <v>0</v>
      </c>
      <c r="AO136" s="33">
        <f t="shared" si="86"/>
        <v>0</v>
      </c>
      <c r="AP136" s="33">
        <f t="shared" si="87"/>
        <v>0</v>
      </c>
      <c r="AQ136" s="194">
        <f t="shared" si="88"/>
        <v>0</v>
      </c>
      <c r="AR136" s="194">
        <f t="shared" si="88"/>
        <v>0</v>
      </c>
      <c r="AS136" s="194">
        <f t="shared" si="88"/>
        <v>0</v>
      </c>
      <c r="AT136" s="194">
        <f t="shared" si="73"/>
        <v>0</v>
      </c>
      <c r="AU136" s="33"/>
      <c r="AV136" s="33"/>
      <c r="AW136" s="33"/>
      <c r="AX136" s="33"/>
      <c r="AY136" s="76"/>
    </row>
    <row r="137" spans="3:51">
      <c r="C137" s="166" t="s">
        <v>12</v>
      </c>
      <c r="D137" s="4">
        <v>0.61</v>
      </c>
      <c r="E137" s="188" t="s">
        <v>227</v>
      </c>
      <c r="F137" s="343">
        <f>IF(OR(Tableau145[[#This Row],[Type]]="Feuillus",Tableau145[[#This Row],[Type]]="Peupliers"),1.56,1.3)</f>
        <v>1.56</v>
      </c>
      <c r="I137" s="55">
        <v>132</v>
      </c>
      <c r="J137" s="33">
        <f t="shared" si="91"/>
        <v>0</v>
      </c>
      <c r="K137" s="33">
        <f t="shared" si="92"/>
        <v>0</v>
      </c>
      <c r="L137" s="33">
        <f t="shared" si="93"/>
        <v>0</v>
      </c>
      <c r="M137" s="33">
        <f t="shared" si="94"/>
        <v>0</v>
      </c>
      <c r="N137" s="33">
        <f t="shared" si="74"/>
        <v>0</v>
      </c>
      <c r="O137" s="34">
        <f t="shared" si="75"/>
        <v>0</v>
      </c>
      <c r="P137" s="55">
        <v>132</v>
      </c>
      <c r="Q137" s="33">
        <f t="shared" si="89"/>
        <v>0</v>
      </c>
      <c r="R137" s="33">
        <f t="shared" si="95"/>
        <v>0</v>
      </c>
      <c r="S137" s="33">
        <f t="shared" si="96"/>
        <v>0</v>
      </c>
      <c r="T137" s="33">
        <f t="shared" si="76"/>
        <v>0</v>
      </c>
      <c r="U137" s="33">
        <f t="shared" si="90"/>
        <v>0</v>
      </c>
      <c r="V137" s="33">
        <f t="shared" si="77"/>
        <v>0</v>
      </c>
      <c r="W137" s="33">
        <v>0</v>
      </c>
      <c r="X137" s="33">
        <f t="shared" si="78"/>
        <v>0</v>
      </c>
      <c r="Y137" s="38">
        <f t="shared" si="79"/>
        <v>0</v>
      </c>
      <c r="AA137" s="71">
        <v>132</v>
      </c>
      <c r="AB137" s="33">
        <f t="shared" si="80"/>
        <v>0</v>
      </c>
      <c r="AC137" s="305">
        <f t="shared" si="72"/>
        <v>0</v>
      </c>
      <c r="AD137" s="100">
        <f t="shared" si="81"/>
        <v>0</v>
      </c>
      <c r="AE137" s="100">
        <f t="shared" si="82"/>
        <v>0</v>
      </c>
      <c r="AF137" s="194">
        <f t="shared" si="68"/>
        <v>0</v>
      </c>
      <c r="AG137" s="194">
        <f t="shared" si="69"/>
        <v>0</v>
      </c>
      <c r="AH137" s="194">
        <f t="shared" si="70"/>
        <v>0</v>
      </c>
      <c r="AI137" s="199">
        <f t="shared" si="71"/>
        <v>0</v>
      </c>
      <c r="AK137" s="71">
        <v>132</v>
      </c>
      <c r="AL137" s="33">
        <f t="shared" si="83"/>
        <v>0</v>
      </c>
      <c r="AM137" s="33">
        <f t="shared" si="84"/>
        <v>0</v>
      </c>
      <c r="AN137" s="33">
        <f t="shared" si="85"/>
        <v>0</v>
      </c>
      <c r="AO137" s="33">
        <f t="shared" si="86"/>
        <v>0</v>
      </c>
      <c r="AP137" s="33">
        <f t="shared" si="87"/>
        <v>0</v>
      </c>
      <c r="AQ137" s="194">
        <f t="shared" si="88"/>
        <v>0</v>
      </c>
      <c r="AR137" s="194">
        <f t="shared" si="88"/>
        <v>0</v>
      </c>
      <c r="AS137" s="194">
        <f t="shared" si="88"/>
        <v>0</v>
      </c>
      <c r="AT137" s="194">
        <f t="shared" si="73"/>
        <v>0</v>
      </c>
      <c r="AU137" s="33"/>
      <c r="AV137" s="33"/>
      <c r="AW137" s="33"/>
      <c r="AX137" s="33"/>
      <c r="AY137" s="76"/>
    </row>
    <row r="138" spans="3:51">
      <c r="C138" s="166" t="s">
        <v>13</v>
      </c>
      <c r="D138" s="4">
        <v>0.66</v>
      </c>
      <c r="E138" s="188" t="s">
        <v>227</v>
      </c>
      <c r="F138" s="343">
        <f>IF(OR(Tableau145[[#This Row],[Type]]="Feuillus",Tableau145[[#This Row],[Type]]="Peupliers"),1.56,1.3)</f>
        <v>1.56</v>
      </c>
      <c r="I138" s="55">
        <v>133</v>
      </c>
      <c r="J138" s="33">
        <f t="shared" si="91"/>
        <v>0</v>
      </c>
      <c r="K138" s="33">
        <f t="shared" si="92"/>
        <v>0</v>
      </c>
      <c r="L138" s="33">
        <f t="shared" si="93"/>
        <v>0</v>
      </c>
      <c r="M138" s="33">
        <f t="shared" si="94"/>
        <v>0</v>
      </c>
      <c r="N138" s="33">
        <f t="shared" si="74"/>
        <v>0</v>
      </c>
      <c r="O138" s="34">
        <f t="shared" si="75"/>
        <v>0</v>
      </c>
      <c r="P138" s="55">
        <v>133</v>
      </c>
      <c r="Q138" s="33">
        <f t="shared" si="89"/>
        <v>0</v>
      </c>
      <c r="R138" s="33">
        <f t="shared" si="95"/>
        <v>0</v>
      </c>
      <c r="S138" s="33">
        <f t="shared" si="96"/>
        <v>0</v>
      </c>
      <c r="T138" s="33">
        <f t="shared" si="76"/>
        <v>0</v>
      </c>
      <c r="U138" s="33">
        <f t="shared" si="90"/>
        <v>0</v>
      </c>
      <c r="V138" s="33">
        <f t="shared" si="77"/>
        <v>0</v>
      </c>
      <c r="W138" s="33">
        <v>0</v>
      </c>
      <c r="X138" s="33">
        <f t="shared" si="78"/>
        <v>0</v>
      </c>
      <c r="Y138" s="38">
        <f t="shared" si="79"/>
        <v>0</v>
      </c>
      <c r="AA138" s="71">
        <v>133</v>
      </c>
      <c r="AB138" s="33">
        <f t="shared" si="80"/>
        <v>0</v>
      </c>
      <c r="AC138" s="305">
        <f t="shared" si="72"/>
        <v>0</v>
      </c>
      <c r="AD138" s="100">
        <f t="shared" si="81"/>
        <v>0</v>
      </c>
      <c r="AE138" s="100">
        <f t="shared" si="82"/>
        <v>0</v>
      </c>
      <c r="AF138" s="194">
        <f t="shared" si="68"/>
        <v>0</v>
      </c>
      <c r="AG138" s="194">
        <f t="shared" si="69"/>
        <v>0</v>
      </c>
      <c r="AH138" s="194">
        <f t="shared" si="70"/>
        <v>0</v>
      </c>
      <c r="AI138" s="199">
        <f t="shared" si="71"/>
        <v>0</v>
      </c>
      <c r="AK138" s="71">
        <v>133</v>
      </c>
      <c r="AL138" s="33">
        <f t="shared" si="83"/>
        <v>0</v>
      </c>
      <c r="AM138" s="33">
        <f t="shared" si="84"/>
        <v>0</v>
      </c>
      <c r="AN138" s="33">
        <f t="shared" si="85"/>
        <v>0</v>
      </c>
      <c r="AO138" s="33">
        <f t="shared" si="86"/>
        <v>0</v>
      </c>
      <c r="AP138" s="33">
        <f t="shared" si="87"/>
        <v>0</v>
      </c>
      <c r="AQ138" s="194">
        <f t="shared" si="88"/>
        <v>0</v>
      </c>
      <c r="AR138" s="194">
        <f t="shared" si="88"/>
        <v>0</v>
      </c>
      <c r="AS138" s="194">
        <f t="shared" si="88"/>
        <v>0</v>
      </c>
      <c r="AT138" s="194">
        <f t="shared" si="73"/>
        <v>0</v>
      </c>
      <c r="AU138" s="33"/>
      <c r="AV138" s="33"/>
      <c r="AW138" s="33"/>
      <c r="AX138" s="33"/>
      <c r="AY138" s="76"/>
    </row>
    <row r="139" spans="3:51">
      <c r="C139" s="167" t="s">
        <v>14</v>
      </c>
      <c r="D139" s="134">
        <v>0.47</v>
      </c>
      <c r="E139" s="188" t="s">
        <v>227</v>
      </c>
      <c r="F139" s="343">
        <f>IF(OR(Tableau145[[#This Row],[Type]]="Feuillus",Tableau145[[#This Row],[Type]]="Peupliers"),1.56,1.3)</f>
        <v>1.56</v>
      </c>
      <c r="I139" s="55">
        <v>134</v>
      </c>
      <c r="J139" s="33">
        <f t="shared" si="91"/>
        <v>0</v>
      </c>
      <c r="K139" s="33">
        <f t="shared" si="92"/>
        <v>0</v>
      </c>
      <c r="L139" s="33">
        <f t="shared" si="93"/>
        <v>0</v>
      </c>
      <c r="M139" s="33">
        <f t="shared" si="94"/>
        <v>0</v>
      </c>
      <c r="N139" s="33">
        <f t="shared" si="74"/>
        <v>0</v>
      </c>
      <c r="O139" s="34">
        <f t="shared" si="75"/>
        <v>0</v>
      </c>
      <c r="P139" s="55">
        <v>134</v>
      </c>
      <c r="Q139" s="33">
        <f t="shared" si="89"/>
        <v>0</v>
      </c>
      <c r="R139" s="33">
        <f t="shared" si="95"/>
        <v>0</v>
      </c>
      <c r="S139" s="33">
        <f t="shared" si="96"/>
        <v>0</v>
      </c>
      <c r="T139" s="33">
        <f t="shared" si="76"/>
        <v>0</v>
      </c>
      <c r="U139" s="33">
        <f t="shared" si="90"/>
        <v>0</v>
      </c>
      <c r="V139" s="33">
        <f t="shared" si="77"/>
        <v>0</v>
      </c>
      <c r="W139" s="33">
        <v>0</v>
      </c>
      <c r="X139" s="33">
        <f t="shared" si="78"/>
        <v>0</v>
      </c>
      <c r="Y139" s="38">
        <f t="shared" si="79"/>
        <v>0</v>
      </c>
      <c r="AA139" s="71">
        <v>134</v>
      </c>
      <c r="AB139" s="33">
        <f t="shared" si="80"/>
        <v>0</v>
      </c>
      <c r="AC139" s="305">
        <f t="shared" si="72"/>
        <v>0</v>
      </c>
      <c r="AD139" s="100">
        <f t="shared" si="81"/>
        <v>0</v>
      </c>
      <c r="AE139" s="100">
        <f t="shared" si="82"/>
        <v>0</v>
      </c>
      <c r="AF139" s="194">
        <f t="shared" si="68"/>
        <v>0</v>
      </c>
      <c r="AG139" s="194">
        <f t="shared" si="69"/>
        <v>0</v>
      </c>
      <c r="AH139" s="194">
        <f t="shared" si="70"/>
        <v>0</v>
      </c>
      <c r="AI139" s="199">
        <f t="shared" si="71"/>
        <v>0</v>
      </c>
      <c r="AK139" s="71">
        <v>134</v>
      </c>
      <c r="AL139" s="33">
        <f t="shared" si="83"/>
        <v>0</v>
      </c>
      <c r="AM139" s="33">
        <f t="shared" si="84"/>
        <v>0</v>
      </c>
      <c r="AN139" s="33">
        <f t="shared" si="85"/>
        <v>0</v>
      </c>
      <c r="AO139" s="33">
        <f t="shared" si="86"/>
        <v>0</v>
      </c>
      <c r="AP139" s="33">
        <f t="shared" si="87"/>
        <v>0</v>
      </c>
      <c r="AQ139" s="194">
        <f t="shared" si="88"/>
        <v>0</v>
      </c>
      <c r="AR139" s="194">
        <f t="shared" si="88"/>
        <v>0</v>
      </c>
      <c r="AS139" s="194">
        <f t="shared" si="88"/>
        <v>0</v>
      </c>
      <c r="AT139" s="194">
        <f t="shared" si="73"/>
        <v>0</v>
      </c>
      <c r="AU139" s="33"/>
      <c r="AV139" s="33"/>
      <c r="AW139" s="33"/>
      <c r="AX139" s="33"/>
      <c r="AY139" s="76"/>
    </row>
    <row r="140" spans="3:51">
      <c r="C140" s="166" t="s">
        <v>15</v>
      </c>
      <c r="D140" s="4">
        <v>0.67</v>
      </c>
      <c r="E140" s="188" t="s">
        <v>227</v>
      </c>
      <c r="F140" s="343">
        <f>IF(OR(Tableau145[[#This Row],[Type]]="Feuillus",Tableau145[[#This Row],[Type]]="Peupliers"),1.56,1.3)</f>
        <v>1.56</v>
      </c>
      <c r="I140" s="55">
        <v>135</v>
      </c>
      <c r="J140" s="33">
        <f t="shared" si="91"/>
        <v>0</v>
      </c>
      <c r="K140" s="33">
        <f t="shared" si="92"/>
        <v>0</v>
      </c>
      <c r="L140" s="33">
        <f t="shared" si="93"/>
        <v>0</v>
      </c>
      <c r="M140" s="33">
        <f t="shared" si="94"/>
        <v>0</v>
      </c>
      <c r="N140" s="33">
        <f t="shared" si="74"/>
        <v>0</v>
      </c>
      <c r="O140" s="34">
        <f t="shared" si="75"/>
        <v>0</v>
      </c>
      <c r="P140" s="55">
        <v>135</v>
      </c>
      <c r="Q140" s="33">
        <f t="shared" si="89"/>
        <v>0</v>
      </c>
      <c r="R140" s="33">
        <f t="shared" si="95"/>
        <v>0</v>
      </c>
      <c r="S140" s="33">
        <f t="shared" si="96"/>
        <v>0</v>
      </c>
      <c r="T140" s="33">
        <f t="shared" si="76"/>
        <v>0</v>
      </c>
      <c r="U140" s="33">
        <f t="shared" si="90"/>
        <v>0</v>
      </c>
      <c r="V140" s="33">
        <f t="shared" si="77"/>
        <v>0</v>
      </c>
      <c r="W140" s="33">
        <v>0</v>
      </c>
      <c r="X140" s="33">
        <f t="shared" si="78"/>
        <v>0</v>
      </c>
      <c r="Y140" s="38">
        <f t="shared" si="79"/>
        <v>0</v>
      </c>
      <c r="AA140" s="71">
        <v>135</v>
      </c>
      <c r="AB140" s="33">
        <f t="shared" si="80"/>
        <v>0</v>
      </c>
      <c r="AC140" s="305">
        <f t="shared" si="72"/>
        <v>0</v>
      </c>
      <c r="AD140" s="100">
        <f t="shared" si="81"/>
        <v>0</v>
      </c>
      <c r="AE140" s="100">
        <f t="shared" si="82"/>
        <v>0</v>
      </c>
      <c r="AF140" s="194">
        <f t="shared" si="68"/>
        <v>0</v>
      </c>
      <c r="AG140" s="194">
        <f t="shared" si="69"/>
        <v>0</v>
      </c>
      <c r="AH140" s="194">
        <f t="shared" si="70"/>
        <v>0</v>
      </c>
      <c r="AI140" s="199">
        <f t="shared" si="71"/>
        <v>0</v>
      </c>
      <c r="AK140" s="71">
        <v>135</v>
      </c>
      <c r="AL140" s="33">
        <f t="shared" si="83"/>
        <v>0</v>
      </c>
      <c r="AM140" s="33">
        <f t="shared" si="84"/>
        <v>0</v>
      </c>
      <c r="AN140" s="33">
        <f t="shared" si="85"/>
        <v>0</v>
      </c>
      <c r="AO140" s="33">
        <f t="shared" si="86"/>
        <v>0</v>
      </c>
      <c r="AP140" s="33">
        <f t="shared" si="87"/>
        <v>0</v>
      </c>
      <c r="AQ140" s="194">
        <f t="shared" si="88"/>
        <v>0</v>
      </c>
      <c r="AR140" s="194">
        <f t="shared" si="88"/>
        <v>0</v>
      </c>
      <c r="AS140" s="194">
        <f t="shared" si="88"/>
        <v>0</v>
      </c>
      <c r="AT140" s="194">
        <f t="shared" si="73"/>
        <v>0</v>
      </c>
      <c r="AU140" s="33"/>
      <c r="AV140" s="33"/>
      <c r="AW140" s="33"/>
      <c r="AX140" s="33"/>
      <c r="AY140" s="76"/>
    </row>
    <row r="141" spans="3:51">
      <c r="C141" s="166" t="s">
        <v>16</v>
      </c>
      <c r="D141" s="4">
        <v>0.7</v>
      </c>
      <c r="E141" s="188" t="s">
        <v>227</v>
      </c>
      <c r="F141" s="343">
        <f>IF(OR(Tableau145[[#This Row],[Type]]="Feuillus",Tableau145[[#This Row],[Type]]="Peupliers"),1.56,1.3)</f>
        <v>1.56</v>
      </c>
      <c r="I141" s="55">
        <v>136</v>
      </c>
      <c r="J141" s="33">
        <f t="shared" si="91"/>
        <v>0</v>
      </c>
      <c r="K141" s="33">
        <f t="shared" si="92"/>
        <v>0</v>
      </c>
      <c r="L141" s="33">
        <f t="shared" si="93"/>
        <v>0</v>
      </c>
      <c r="M141" s="33">
        <f t="shared" si="94"/>
        <v>0</v>
      </c>
      <c r="N141" s="33">
        <f t="shared" si="74"/>
        <v>0</v>
      </c>
      <c r="O141" s="34">
        <f t="shared" si="75"/>
        <v>0</v>
      </c>
      <c r="P141" s="55">
        <v>136</v>
      </c>
      <c r="Q141" s="33">
        <f t="shared" si="89"/>
        <v>0</v>
      </c>
      <c r="R141" s="33">
        <f t="shared" si="95"/>
        <v>0</v>
      </c>
      <c r="S141" s="33">
        <f t="shared" si="96"/>
        <v>0</v>
      </c>
      <c r="T141" s="33">
        <f t="shared" si="76"/>
        <v>0</v>
      </c>
      <c r="U141" s="33">
        <f t="shared" si="90"/>
        <v>0</v>
      </c>
      <c r="V141" s="33">
        <f t="shared" si="77"/>
        <v>0</v>
      </c>
      <c r="W141" s="33">
        <v>0</v>
      </c>
      <c r="X141" s="33">
        <f t="shared" si="78"/>
        <v>0</v>
      </c>
      <c r="Y141" s="38">
        <f t="shared" si="79"/>
        <v>0</v>
      </c>
      <c r="AA141" s="71">
        <v>136</v>
      </c>
      <c r="AB141" s="33">
        <f t="shared" si="80"/>
        <v>0</v>
      </c>
      <c r="AC141" s="305">
        <f t="shared" si="72"/>
        <v>0</v>
      </c>
      <c r="AD141" s="100">
        <f t="shared" si="81"/>
        <v>0</v>
      </c>
      <c r="AE141" s="100">
        <f t="shared" si="82"/>
        <v>0</v>
      </c>
      <c r="AF141" s="194">
        <f t="shared" si="68"/>
        <v>0</v>
      </c>
      <c r="AG141" s="194">
        <f t="shared" si="69"/>
        <v>0</v>
      </c>
      <c r="AH141" s="194">
        <f t="shared" si="70"/>
        <v>0</v>
      </c>
      <c r="AI141" s="199">
        <f t="shared" si="71"/>
        <v>0</v>
      </c>
      <c r="AK141" s="71">
        <v>136</v>
      </c>
      <c r="AL141" s="33">
        <f t="shared" si="83"/>
        <v>0</v>
      </c>
      <c r="AM141" s="33">
        <f t="shared" si="84"/>
        <v>0</v>
      </c>
      <c r="AN141" s="33">
        <f t="shared" si="85"/>
        <v>0</v>
      </c>
      <c r="AO141" s="33">
        <f t="shared" si="86"/>
        <v>0</v>
      </c>
      <c r="AP141" s="33">
        <f t="shared" si="87"/>
        <v>0</v>
      </c>
      <c r="AQ141" s="194">
        <f t="shared" si="88"/>
        <v>0</v>
      </c>
      <c r="AR141" s="194">
        <f t="shared" si="88"/>
        <v>0</v>
      </c>
      <c r="AS141" s="194">
        <f t="shared" si="88"/>
        <v>0</v>
      </c>
      <c r="AT141" s="194">
        <f t="shared" si="73"/>
        <v>0</v>
      </c>
      <c r="AU141" s="33"/>
      <c r="AV141" s="33"/>
      <c r="AW141" s="33"/>
      <c r="AX141" s="33"/>
      <c r="AY141" s="76"/>
    </row>
    <row r="142" spans="3:51">
      <c r="C142" s="166" t="s">
        <v>17</v>
      </c>
      <c r="D142" s="4">
        <v>0.54</v>
      </c>
      <c r="E142" s="188" t="s">
        <v>227</v>
      </c>
      <c r="F142" s="343">
        <f>IF(OR(Tableau145[[#This Row],[Type]]="Feuillus",Tableau145[[#This Row],[Type]]="Peupliers"),1.56,1.3)</f>
        <v>1.56</v>
      </c>
      <c r="I142" s="55">
        <v>137</v>
      </c>
      <c r="J142" s="33">
        <f t="shared" si="91"/>
        <v>0</v>
      </c>
      <c r="K142" s="33">
        <f t="shared" si="92"/>
        <v>0</v>
      </c>
      <c r="L142" s="33">
        <f t="shared" si="93"/>
        <v>0</v>
      </c>
      <c r="M142" s="33">
        <f t="shared" si="94"/>
        <v>0</v>
      </c>
      <c r="N142" s="33">
        <f t="shared" si="74"/>
        <v>0</v>
      </c>
      <c r="O142" s="34">
        <f t="shared" si="75"/>
        <v>0</v>
      </c>
      <c r="P142" s="55">
        <v>137</v>
      </c>
      <c r="Q142" s="33">
        <f t="shared" si="89"/>
        <v>0</v>
      </c>
      <c r="R142" s="33">
        <f t="shared" si="95"/>
        <v>0</v>
      </c>
      <c r="S142" s="33">
        <f t="shared" si="96"/>
        <v>0</v>
      </c>
      <c r="T142" s="33">
        <f t="shared" si="76"/>
        <v>0</v>
      </c>
      <c r="U142" s="33">
        <f t="shared" si="90"/>
        <v>0</v>
      </c>
      <c r="V142" s="33">
        <f t="shared" si="77"/>
        <v>0</v>
      </c>
      <c r="W142" s="33">
        <v>0</v>
      </c>
      <c r="X142" s="33">
        <f t="shared" si="78"/>
        <v>0</v>
      </c>
      <c r="Y142" s="38">
        <f t="shared" si="79"/>
        <v>0</v>
      </c>
      <c r="AA142" s="71">
        <v>137</v>
      </c>
      <c r="AB142" s="33">
        <f t="shared" si="80"/>
        <v>0</v>
      </c>
      <c r="AC142" s="305">
        <f t="shared" si="72"/>
        <v>0</v>
      </c>
      <c r="AD142" s="100">
        <f t="shared" si="81"/>
        <v>0</v>
      </c>
      <c r="AE142" s="100">
        <f t="shared" si="82"/>
        <v>0</v>
      </c>
      <c r="AF142" s="194">
        <f t="shared" si="68"/>
        <v>0</v>
      </c>
      <c r="AG142" s="194">
        <f t="shared" si="69"/>
        <v>0</v>
      </c>
      <c r="AH142" s="194">
        <f t="shared" si="70"/>
        <v>0</v>
      </c>
      <c r="AI142" s="199">
        <f t="shared" si="71"/>
        <v>0</v>
      </c>
      <c r="AK142" s="71">
        <v>137</v>
      </c>
      <c r="AL142" s="33">
        <f t="shared" si="83"/>
        <v>0</v>
      </c>
      <c r="AM142" s="33">
        <f t="shared" si="84"/>
        <v>0</v>
      </c>
      <c r="AN142" s="33">
        <f t="shared" si="85"/>
        <v>0</v>
      </c>
      <c r="AO142" s="33">
        <f t="shared" si="86"/>
        <v>0</v>
      </c>
      <c r="AP142" s="33">
        <f t="shared" si="87"/>
        <v>0</v>
      </c>
      <c r="AQ142" s="194">
        <f t="shared" si="88"/>
        <v>0</v>
      </c>
      <c r="AR142" s="194">
        <f t="shared" si="88"/>
        <v>0</v>
      </c>
      <c r="AS142" s="194">
        <f t="shared" si="88"/>
        <v>0</v>
      </c>
      <c r="AT142" s="194">
        <f t="shared" si="73"/>
        <v>0</v>
      </c>
      <c r="AU142" s="33"/>
      <c r="AV142" s="33"/>
      <c r="AW142" s="33"/>
      <c r="AX142" s="33"/>
      <c r="AY142" s="76"/>
    </row>
    <row r="143" spans="3:51">
      <c r="C143" s="166" t="s">
        <v>18</v>
      </c>
      <c r="D143" s="4">
        <v>0.65</v>
      </c>
      <c r="E143" s="188" t="s">
        <v>227</v>
      </c>
      <c r="F143" s="343">
        <f>IF(OR(Tableau145[[#This Row],[Type]]="Feuillus",Tableau145[[#This Row],[Type]]="Peupliers"),1.56,1.3)</f>
        <v>1.56</v>
      </c>
      <c r="I143" s="55">
        <v>138</v>
      </c>
      <c r="J143" s="33">
        <f t="shared" si="91"/>
        <v>0</v>
      </c>
      <c r="K143" s="33">
        <f t="shared" si="92"/>
        <v>0</v>
      </c>
      <c r="L143" s="33">
        <f t="shared" si="93"/>
        <v>0</v>
      </c>
      <c r="M143" s="33">
        <f t="shared" si="94"/>
        <v>0</v>
      </c>
      <c r="N143" s="33">
        <f t="shared" si="74"/>
        <v>0</v>
      </c>
      <c r="O143" s="34">
        <f t="shared" si="75"/>
        <v>0</v>
      </c>
      <c r="P143" s="55">
        <v>138</v>
      </c>
      <c r="Q143" s="33">
        <f t="shared" si="89"/>
        <v>0</v>
      </c>
      <c r="R143" s="33">
        <f t="shared" si="95"/>
        <v>0</v>
      </c>
      <c r="S143" s="33">
        <f t="shared" si="96"/>
        <v>0</v>
      </c>
      <c r="T143" s="33">
        <f t="shared" si="76"/>
        <v>0</v>
      </c>
      <c r="U143" s="33">
        <f t="shared" si="90"/>
        <v>0</v>
      </c>
      <c r="V143" s="33">
        <f t="shared" si="77"/>
        <v>0</v>
      </c>
      <c r="W143" s="33">
        <v>0</v>
      </c>
      <c r="X143" s="33">
        <f t="shared" si="78"/>
        <v>0</v>
      </c>
      <c r="Y143" s="38">
        <f t="shared" si="79"/>
        <v>0</v>
      </c>
      <c r="AA143" s="71">
        <v>138</v>
      </c>
      <c r="AB143" s="33">
        <f t="shared" si="80"/>
        <v>0</v>
      </c>
      <c r="AC143" s="305">
        <f t="shared" si="72"/>
        <v>0</v>
      </c>
      <c r="AD143" s="100">
        <f t="shared" si="81"/>
        <v>0</v>
      </c>
      <c r="AE143" s="100">
        <f t="shared" si="82"/>
        <v>0</v>
      </c>
      <c r="AF143" s="194">
        <f t="shared" si="68"/>
        <v>0</v>
      </c>
      <c r="AG143" s="194">
        <f t="shared" si="69"/>
        <v>0</v>
      </c>
      <c r="AH143" s="194">
        <f t="shared" si="70"/>
        <v>0</v>
      </c>
      <c r="AI143" s="199">
        <f t="shared" si="71"/>
        <v>0</v>
      </c>
      <c r="AK143" s="71">
        <v>138</v>
      </c>
      <c r="AL143" s="33">
        <f t="shared" si="83"/>
        <v>0</v>
      </c>
      <c r="AM143" s="33">
        <f t="shared" si="84"/>
        <v>0</v>
      </c>
      <c r="AN143" s="33">
        <f t="shared" si="85"/>
        <v>0</v>
      </c>
      <c r="AO143" s="33">
        <f t="shared" si="86"/>
        <v>0</v>
      </c>
      <c r="AP143" s="33">
        <f t="shared" si="87"/>
        <v>0</v>
      </c>
      <c r="AQ143" s="194">
        <f t="shared" si="88"/>
        <v>0</v>
      </c>
      <c r="AR143" s="194">
        <f t="shared" si="88"/>
        <v>0</v>
      </c>
      <c r="AS143" s="194">
        <f t="shared" si="88"/>
        <v>0</v>
      </c>
      <c r="AT143" s="194">
        <f t="shared" si="73"/>
        <v>0</v>
      </c>
      <c r="AU143" s="33"/>
      <c r="AV143" s="33"/>
      <c r="AW143" s="33"/>
      <c r="AX143" s="33"/>
      <c r="AY143" s="76"/>
    </row>
    <row r="144" spans="3:51">
      <c r="C144" s="166" t="s">
        <v>19</v>
      </c>
      <c r="D144" s="4">
        <v>0.56000000000000005</v>
      </c>
      <c r="E144" s="188" t="s">
        <v>227</v>
      </c>
      <c r="F144" s="343">
        <f>IF(OR(Tableau145[[#This Row],[Type]]="Feuillus",Tableau145[[#This Row],[Type]]="Peupliers"),1.56,1.3)</f>
        <v>1.56</v>
      </c>
      <c r="I144" s="55">
        <v>139</v>
      </c>
      <c r="J144" s="33">
        <f t="shared" si="91"/>
        <v>0</v>
      </c>
      <c r="K144" s="33">
        <f t="shared" si="92"/>
        <v>0</v>
      </c>
      <c r="L144" s="33">
        <f t="shared" si="93"/>
        <v>0</v>
      </c>
      <c r="M144" s="33">
        <f t="shared" si="94"/>
        <v>0</v>
      </c>
      <c r="N144" s="33">
        <f t="shared" si="74"/>
        <v>0</v>
      </c>
      <c r="O144" s="34">
        <f t="shared" si="75"/>
        <v>0</v>
      </c>
      <c r="P144" s="55">
        <v>139</v>
      </c>
      <c r="Q144" s="33">
        <f t="shared" si="89"/>
        <v>0</v>
      </c>
      <c r="R144" s="33">
        <f t="shared" si="95"/>
        <v>0</v>
      </c>
      <c r="S144" s="33">
        <f t="shared" si="96"/>
        <v>0</v>
      </c>
      <c r="T144" s="33">
        <f t="shared" si="76"/>
        <v>0</v>
      </c>
      <c r="U144" s="33">
        <f t="shared" si="90"/>
        <v>0</v>
      </c>
      <c r="V144" s="33">
        <f t="shared" si="77"/>
        <v>0</v>
      </c>
      <c r="W144" s="33">
        <v>0</v>
      </c>
      <c r="X144" s="33">
        <f t="shared" si="78"/>
        <v>0</v>
      </c>
      <c r="Y144" s="38">
        <f t="shared" si="79"/>
        <v>0</v>
      </c>
      <c r="AA144" s="71">
        <v>139</v>
      </c>
      <c r="AB144" s="33">
        <f t="shared" si="80"/>
        <v>0</v>
      </c>
      <c r="AC144" s="305">
        <f t="shared" si="72"/>
        <v>0</v>
      </c>
      <c r="AD144" s="100">
        <f t="shared" si="81"/>
        <v>0</v>
      </c>
      <c r="AE144" s="100">
        <f t="shared" si="82"/>
        <v>0</v>
      </c>
      <c r="AF144" s="194">
        <f t="shared" si="68"/>
        <v>0</v>
      </c>
      <c r="AG144" s="194">
        <f t="shared" si="69"/>
        <v>0</v>
      </c>
      <c r="AH144" s="194">
        <f t="shared" si="70"/>
        <v>0</v>
      </c>
      <c r="AI144" s="199">
        <f t="shared" si="71"/>
        <v>0</v>
      </c>
      <c r="AK144" s="71">
        <v>139</v>
      </c>
      <c r="AL144" s="33">
        <f t="shared" si="83"/>
        <v>0</v>
      </c>
      <c r="AM144" s="33">
        <f t="shared" si="84"/>
        <v>0</v>
      </c>
      <c r="AN144" s="33">
        <f t="shared" si="85"/>
        <v>0</v>
      </c>
      <c r="AO144" s="33">
        <f t="shared" si="86"/>
        <v>0</v>
      </c>
      <c r="AP144" s="33">
        <f t="shared" si="87"/>
        <v>0</v>
      </c>
      <c r="AQ144" s="194">
        <f t="shared" si="88"/>
        <v>0</v>
      </c>
      <c r="AR144" s="194">
        <f t="shared" si="88"/>
        <v>0</v>
      </c>
      <c r="AS144" s="194">
        <f t="shared" si="88"/>
        <v>0</v>
      </c>
      <c r="AT144" s="194">
        <f t="shared" si="73"/>
        <v>0</v>
      </c>
      <c r="AU144" s="33"/>
      <c r="AV144" s="33"/>
      <c r="AW144" s="33"/>
      <c r="AX144" s="33"/>
      <c r="AY144" s="76"/>
    </row>
    <row r="145" spans="3:51">
      <c r="C145" s="166" t="s">
        <v>20</v>
      </c>
      <c r="D145" s="4">
        <v>0.57999999999999996</v>
      </c>
      <c r="E145" s="188" t="s">
        <v>227</v>
      </c>
      <c r="F145" s="343">
        <f>IF(OR(Tableau145[[#This Row],[Type]]="Feuillus",Tableau145[[#This Row],[Type]]="Peupliers"),1.56,1.3)</f>
        <v>1.56</v>
      </c>
      <c r="I145" s="55">
        <v>140</v>
      </c>
      <c r="J145" s="33">
        <f t="shared" si="91"/>
        <v>0</v>
      </c>
      <c r="K145" s="33">
        <f t="shared" si="92"/>
        <v>0</v>
      </c>
      <c r="L145" s="33">
        <f t="shared" si="93"/>
        <v>0</v>
      </c>
      <c r="M145" s="33">
        <f t="shared" si="94"/>
        <v>0</v>
      </c>
      <c r="N145" s="33">
        <f t="shared" si="74"/>
        <v>0</v>
      </c>
      <c r="O145" s="34">
        <f t="shared" si="75"/>
        <v>0</v>
      </c>
      <c r="P145" s="55">
        <v>140</v>
      </c>
      <c r="Q145" s="33">
        <f t="shared" si="89"/>
        <v>0</v>
      </c>
      <c r="R145" s="33">
        <f t="shared" si="95"/>
        <v>0</v>
      </c>
      <c r="S145" s="33">
        <f t="shared" si="96"/>
        <v>0</v>
      </c>
      <c r="T145" s="33">
        <f t="shared" si="76"/>
        <v>0</v>
      </c>
      <c r="U145" s="33">
        <f t="shared" si="90"/>
        <v>0</v>
      </c>
      <c r="V145" s="33">
        <f t="shared" si="77"/>
        <v>0</v>
      </c>
      <c r="W145" s="33">
        <v>0</v>
      </c>
      <c r="X145" s="33">
        <f t="shared" si="78"/>
        <v>0</v>
      </c>
      <c r="Y145" s="38">
        <f t="shared" si="79"/>
        <v>0</v>
      </c>
      <c r="AA145" s="71">
        <v>140</v>
      </c>
      <c r="AB145" s="33">
        <f t="shared" si="80"/>
        <v>0</v>
      </c>
      <c r="AC145" s="305">
        <f t="shared" si="72"/>
        <v>0</v>
      </c>
      <c r="AD145" s="100">
        <f t="shared" si="81"/>
        <v>0</v>
      </c>
      <c r="AE145" s="100">
        <f t="shared" si="82"/>
        <v>0</v>
      </c>
      <c r="AF145" s="194">
        <f t="shared" si="68"/>
        <v>0</v>
      </c>
      <c r="AG145" s="194">
        <f t="shared" si="69"/>
        <v>0</v>
      </c>
      <c r="AH145" s="194">
        <f t="shared" si="70"/>
        <v>0</v>
      </c>
      <c r="AI145" s="199">
        <f t="shared" si="71"/>
        <v>0</v>
      </c>
      <c r="AK145" s="71">
        <v>140</v>
      </c>
      <c r="AL145" s="33">
        <f t="shared" si="83"/>
        <v>0</v>
      </c>
      <c r="AM145" s="33">
        <f t="shared" si="84"/>
        <v>0</v>
      </c>
      <c r="AN145" s="33">
        <f t="shared" si="85"/>
        <v>0</v>
      </c>
      <c r="AO145" s="33">
        <f t="shared" si="86"/>
        <v>0</v>
      </c>
      <c r="AP145" s="33">
        <f t="shared" si="87"/>
        <v>0</v>
      </c>
      <c r="AQ145" s="194">
        <f t="shared" si="88"/>
        <v>0</v>
      </c>
      <c r="AR145" s="194">
        <f t="shared" si="88"/>
        <v>0</v>
      </c>
      <c r="AS145" s="194">
        <f t="shared" si="88"/>
        <v>0</v>
      </c>
      <c r="AT145" s="194">
        <f t="shared" si="73"/>
        <v>0</v>
      </c>
      <c r="AU145" s="33"/>
      <c r="AV145" s="33"/>
      <c r="AW145" s="33"/>
      <c r="AX145" s="33"/>
      <c r="AY145" s="76"/>
    </row>
    <row r="146" spans="3:51">
      <c r="C146" s="166" t="s">
        <v>21</v>
      </c>
      <c r="D146" s="4">
        <v>0.64</v>
      </c>
      <c r="E146" s="188" t="s">
        <v>227</v>
      </c>
      <c r="F146" s="343">
        <f>IF(OR(Tableau145[[#This Row],[Type]]="Feuillus",Tableau145[[#This Row],[Type]]="Peupliers"),1.56,1.3)</f>
        <v>1.56</v>
      </c>
      <c r="I146" s="55">
        <v>141</v>
      </c>
      <c r="J146" s="33">
        <f t="shared" si="91"/>
        <v>0</v>
      </c>
      <c r="K146" s="33">
        <f t="shared" si="92"/>
        <v>0</v>
      </c>
      <c r="L146" s="33">
        <f t="shared" si="93"/>
        <v>0</v>
      </c>
      <c r="M146" s="33">
        <f t="shared" si="94"/>
        <v>0</v>
      </c>
      <c r="N146" s="33">
        <f t="shared" si="74"/>
        <v>0</v>
      </c>
      <c r="O146" s="34">
        <f t="shared" si="75"/>
        <v>0</v>
      </c>
      <c r="P146" s="55">
        <v>141</v>
      </c>
      <c r="Q146" s="33">
        <f t="shared" si="89"/>
        <v>0</v>
      </c>
      <c r="R146" s="33">
        <f t="shared" si="95"/>
        <v>0</v>
      </c>
      <c r="S146" s="33">
        <f t="shared" si="96"/>
        <v>0</v>
      </c>
      <c r="T146" s="33">
        <f t="shared" si="76"/>
        <v>0</v>
      </c>
      <c r="U146" s="33">
        <f t="shared" si="90"/>
        <v>0</v>
      </c>
      <c r="V146" s="33">
        <f t="shared" si="77"/>
        <v>0</v>
      </c>
      <c r="W146" s="33">
        <v>0</v>
      </c>
      <c r="X146" s="33">
        <f t="shared" si="78"/>
        <v>0</v>
      </c>
      <c r="Y146" s="38">
        <f t="shared" si="79"/>
        <v>0</v>
      </c>
      <c r="AA146" s="71">
        <v>141</v>
      </c>
      <c r="AB146" s="33">
        <f t="shared" si="80"/>
        <v>0</v>
      </c>
      <c r="AC146" s="305">
        <f t="shared" si="72"/>
        <v>0</v>
      </c>
      <c r="AD146" s="100">
        <f t="shared" si="81"/>
        <v>0</v>
      </c>
      <c r="AE146" s="100">
        <f t="shared" si="82"/>
        <v>0</v>
      </c>
      <c r="AF146" s="194">
        <f t="shared" si="68"/>
        <v>0</v>
      </c>
      <c r="AG146" s="194">
        <f t="shared" si="69"/>
        <v>0</v>
      </c>
      <c r="AH146" s="194">
        <f t="shared" si="70"/>
        <v>0</v>
      </c>
      <c r="AI146" s="199">
        <f t="shared" si="71"/>
        <v>0</v>
      </c>
      <c r="AK146" s="71">
        <v>141</v>
      </c>
      <c r="AL146" s="33">
        <f t="shared" si="83"/>
        <v>0</v>
      </c>
      <c r="AM146" s="33">
        <f t="shared" si="84"/>
        <v>0</v>
      </c>
      <c r="AN146" s="33">
        <f t="shared" si="85"/>
        <v>0</v>
      </c>
      <c r="AO146" s="33">
        <f t="shared" si="86"/>
        <v>0</v>
      </c>
      <c r="AP146" s="33">
        <f t="shared" si="87"/>
        <v>0</v>
      </c>
      <c r="AQ146" s="194">
        <f t="shared" si="88"/>
        <v>0</v>
      </c>
      <c r="AR146" s="194">
        <f t="shared" si="88"/>
        <v>0</v>
      </c>
      <c r="AS146" s="194">
        <f t="shared" si="88"/>
        <v>0</v>
      </c>
      <c r="AT146" s="194">
        <f t="shared" si="73"/>
        <v>0</v>
      </c>
      <c r="AU146" s="33"/>
      <c r="AV146" s="33"/>
      <c r="AW146" s="33"/>
      <c r="AX146" s="33"/>
      <c r="AY146" s="76"/>
    </row>
    <row r="147" spans="3:51">
      <c r="C147" s="166" t="s">
        <v>22</v>
      </c>
      <c r="D147" s="4">
        <v>0.73</v>
      </c>
      <c r="E147" s="188" t="s">
        <v>227</v>
      </c>
      <c r="F147" s="343">
        <f>IF(OR(Tableau145[[#This Row],[Type]]="Feuillus",Tableau145[[#This Row],[Type]]="Peupliers"),1.56,1.3)</f>
        <v>1.56</v>
      </c>
      <c r="I147" s="55">
        <v>142</v>
      </c>
      <c r="J147" s="33">
        <f t="shared" si="91"/>
        <v>0</v>
      </c>
      <c r="K147" s="33">
        <f t="shared" si="92"/>
        <v>0</v>
      </c>
      <c r="L147" s="33">
        <f t="shared" si="93"/>
        <v>0</v>
      </c>
      <c r="M147" s="33">
        <f t="shared" si="94"/>
        <v>0</v>
      </c>
      <c r="N147" s="33">
        <f t="shared" si="74"/>
        <v>0</v>
      </c>
      <c r="O147" s="34">
        <f t="shared" si="75"/>
        <v>0</v>
      </c>
      <c r="P147" s="55">
        <v>142</v>
      </c>
      <c r="Q147" s="33">
        <f t="shared" si="89"/>
        <v>0</v>
      </c>
      <c r="R147" s="33">
        <f t="shared" si="95"/>
        <v>0</v>
      </c>
      <c r="S147" s="33">
        <f t="shared" si="96"/>
        <v>0</v>
      </c>
      <c r="T147" s="33">
        <f t="shared" si="76"/>
        <v>0</v>
      </c>
      <c r="U147" s="33">
        <f t="shared" si="90"/>
        <v>0</v>
      </c>
      <c r="V147" s="33">
        <f t="shared" si="77"/>
        <v>0</v>
      </c>
      <c r="W147" s="33">
        <v>0</v>
      </c>
      <c r="X147" s="33">
        <f t="shared" si="78"/>
        <v>0</v>
      </c>
      <c r="Y147" s="38">
        <f t="shared" si="79"/>
        <v>0</v>
      </c>
      <c r="AA147" s="71">
        <v>142</v>
      </c>
      <c r="AB147" s="33">
        <f t="shared" si="80"/>
        <v>0</v>
      </c>
      <c r="AC147" s="305">
        <f t="shared" si="72"/>
        <v>0</v>
      </c>
      <c r="AD147" s="100">
        <f t="shared" si="81"/>
        <v>0</v>
      </c>
      <c r="AE147" s="100">
        <f t="shared" si="82"/>
        <v>0</v>
      </c>
      <c r="AF147" s="194">
        <f t="shared" si="68"/>
        <v>0</v>
      </c>
      <c r="AG147" s="194">
        <f t="shared" si="69"/>
        <v>0</v>
      </c>
      <c r="AH147" s="194">
        <f t="shared" si="70"/>
        <v>0</v>
      </c>
      <c r="AI147" s="199">
        <f t="shared" si="71"/>
        <v>0</v>
      </c>
      <c r="AK147" s="71">
        <v>142</v>
      </c>
      <c r="AL147" s="33">
        <f t="shared" si="83"/>
        <v>0</v>
      </c>
      <c r="AM147" s="33">
        <f t="shared" si="84"/>
        <v>0</v>
      </c>
      <c r="AN147" s="33">
        <f t="shared" si="85"/>
        <v>0</v>
      </c>
      <c r="AO147" s="33">
        <f t="shared" si="86"/>
        <v>0</v>
      </c>
      <c r="AP147" s="33">
        <f t="shared" si="87"/>
        <v>0</v>
      </c>
      <c r="AQ147" s="194">
        <f t="shared" si="88"/>
        <v>0</v>
      </c>
      <c r="AR147" s="194">
        <f t="shared" si="88"/>
        <v>0</v>
      </c>
      <c r="AS147" s="194">
        <f t="shared" si="88"/>
        <v>0</v>
      </c>
      <c r="AT147" s="194">
        <f t="shared" si="73"/>
        <v>0</v>
      </c>
      <c r="AU147" s="33"/>
      <c r="AV147" s="33"/>
      <c r="AW147" s="33"/>
      <c r="AX147" s="33"/>
      <c r="AY147" s="76"/>
    </row>
    <row r="148" spans="3:51">
      <c r="C148" s="166" t="s">
        <v>23</v>
      </c>
      <c r="D148" s="4">
        <v>0.56000000000000005</v>
      </c>
      <c r="E148" s="188" t="s">
        <v>227</v>
      </c>
      <c r="F148" s="343">
        <f>IF(OR(Tableau145[[#This Row],[Type]]="Feuillus",Tableau145[[#This Row],[Type]]="Peupliers"),1.56,1.3)</f>
        <v>1.56</v>
      </c>
      <c r="I148" s="55">
        <v>143</v>
      </c>
      <c r="J148" s="33">
        <f t="shared" si="91"/>
        <v>0</v>
      </c>
      <c r="K148" s="33">
        <f t="shared" si="92"/>
        <v>0</v>
      </c>
      <c r="L148" s="33">
        <f t="shared" si="93"/>
        <v>0</v>
      </c>
      <c r="M148" s="33">
        <f t="shared" si="94"/>
        <v>0</v>
      </c>
      <c r="N148" s="33">
        <f t="shared" si="74"/>
        <v>0</v>
      </c>
      <c r="O148" s="34">
        <f t="shared" si="75"/>
        <v>0</v>
      </c>
      <c r="P148" s="55">
        <v>143</v>
      </c>
      <c r="Q148" s="33">
        <f t="shared" si="89"/>
        <v>0</v>
      </c>
      <c r="R148" s="33">
        <f t="shared" si="95"/>
        <v>0</v>
      </c>
      <c r="S148" s="33">
        <f t="shared" si="96"/>
        <v>0</v>
      </c>
      <c r="T148" s="33">
        <f t="shared" si="76"/>
        <v>0</v>
      </c>
      <c r="U148" s="33">
        <f t="shared" si="90"/>
        <v>0</v>
      </c>
      <c r="V148" s="33">
        <f t="shared" si="77"/>
        <v>0</v>
      </c>
      <c r="W148" s="33">
        <v>0</v>
      </c>
      <c r="X148" s="33">
        <f t="shared" si="78"/>
        <v>0</v>
      </c>
      <c r="Y148" s="38">
        <f t="shared" si="79"/>
        <v>0</v>
      </c>
      <c r="AA148" s="71">
        <v>143</v>
      </c>
      <c r="AB148" s="33">
        <f t="shared" si="80"/>
        <v>0</v>
      </c>
      <c r="AC148" s="305">
        <f t="shared" si="72"/>
        <v>0</v>
      </c>
      <c r="AD148" s="100">
        <f t="shared" si="81"/>
        <v>0</v>
      </c>
      <c r="AE148" s="100">
        <f t="shared" si="82"/>
        <v>0</v>
      </c>
      <c r="AF148" s="194">
        <f t="shared" si="68"/>
        <v>0</v>
      </c>
      <c r="AG148" s="194">
        <f t="shared" si="69"/>
        <v>0</v>
      </c>
      <c r="AH148" s="194">
        <f t="shared" si="70"/>
        <v>0</v>
      </c>
      <c r="AI148" s="199">
        <f t="shared" si="71"/>
        <v>0</v>
      </c>
      <c r="AK148" s="71">
        <v>143</v>
      </c>
      <c r="AL148" s="33">
        <f t="shared" si="83"/>
        <v>0</v>
      </c>
      <c r="AM148" s="33">
        <f t="shared" si="84"/>
        <v>0</v>
      </c>
      <c r="AN148" s="33">
        <f t="shared" si="85"/>
        <v>0</v>
      </c>
      <c r="AO148" s="33">
        <f t="shared" si="86"/>
        <v>0</v>
      </c>
      <c r="AP148" s="33">
        <f t="shared" si="87"/>
        <v>0</v>
      </c>
      <c r="AQ148" s="194">
        <f t="shared" si="88"/>
        <v>0</v>
      </c>
      <c r="AR148" s="194">
        <f t="shared" si="88"/>
        <v>0</v>
      </c>
      <c r="AS148" s="194">
        <f t="shared" si="88"/>
        <v>0</v>
      </c>
      <c r="AT148" s="194">
        <f t="shared" si="73"/>
        <v>0</v>
      </c>
      <c r="AU148" s="33"/>
      <c r="AV148" s="33"/>
      <c r="AW148" s="33"/>
      <c r="AX148" s="33"/>
      <c r="AY148" s="76"/>
    </row>
    <row r="149" spans="3:51">
      <c r="C149" s="166" t="s">
        <v>24</v>
      </c>
      <c r="D149" s="4">
        <v>0.74</v>
      </c>
      <c r="E149" s="188" t="s">
        <v>227</v>
      </c>
      <c r="F149" s="343">
        <f>IF(OR(Tableau145[[#This Row],[Type]]="Feuillus",Tableau145[[#This Row],[Type]]="Peupliers"),1.56,1.3)</f>
        <v>1.56</v>
      </c>
      <c r="I149" s="55">
        <v>144</v>
      </c>
      <c r="J149" s="33">
        <f t="shared" si="91"/>
        <v>0</v>
      </c>
      <c r="K149" s="33">
        <f t="shared" si="92"/>
        <v>0</v>
      </c>
      <c r="L149" s="33">
        <f t="shared" si="93"/>
        <v>0</v>
      </c>
      <c r="M149" s="33">
        <f t="shared" si="94"/>
        <v>0</v>
      </c>
      <c r="N149" s="33">
        <f t="shared" si="74"/>
        <v>0</v>
      </c>
      <c r="O149" s="34">
        <f t="shared" si="75"/>
        <v>0</v>
      </c>
      <c r="P149" s="55">
        <v>144</v>
      </c>
      <c r="Q149" s="33">
        <f t="shared" si="89"/>
        <v>0</v>
      </c>
      <c r="R149" s="33">
        <f t="shared" si="95"/>
        <v>0</v>
      </c>
      <c r="S149" s="33">
        <f t="shared" si="96"/>
        <v>0</v>
      </c>
      <c r="T149" s="33">
        <f t="shared" si="76"/>
        <v>0</v>
      </c>
      <c r="U149" s="33">
        <f t="shared" si="90"/>
        <v>0</v>
      </c>
      <c r="V149" s="33">
        <f t="shared" si="77"/>
        <v>0</v>
      </c>
      <c r="W149" s="33">
        <v>0</v>
      </c>
      <c r="X149" s="33">
        <f t="shared" si="78"/>
        <v>0</v>
      </c>
      <c r="Y149" s="38">
        <f t="shared" si="79"/>
        <v>0</v>
      </c>
      <c r="AA149" s="71">
        <v>144</v>
      </c>
      <c r="AB149" s="33">
        <f t="shared" si="80"/>
        <v>0</v>
      </c>
      <c r="AC149" s="305">
        <f t="shared" si="72"/>
        <v>0</v>
      </c>
      <c r="AD149" s="100">
        <f t="shared" si="81"/>
        <v>0</v>
      </c>
      <c r="AE149" s="100">
        <f t="shared" si="82"/>
        <v>0</v>
      </c>
      <c r="AF149" s="194">
        <f t="shared" si="68"/>
        <v>0</v>
      </c>
      <c r="AG149" s="194">
        <f t="shared" si="69"/>
        <v>0</v>
      </c>
      <c r="AH149" s="194">
        <f t="shared" si="70"/>
        <v>0</v>
      </c>
      <c r="AI149" s="199">
        <f t="shared" si="71"/>
        <v>0</v>
      </c>
      <c r="AK149" s="71">
        <v>144</v>
      </c>
      <c r="AL149" s="33">
        <f t="shared" si="83"/>
        <v>0</v>
      </c>
      <c r="AM149" s="33">
        <f t="shared" si="84"/>
        <v>0</v>
      </c>
      <c r="AN149" s="33">
        <f t="shared" si="85"/>
        <v>0</v>
      </c>
      <c r="AO149" s="33">
        <f t="shared" si="86"/>
        <v>0</v>
      </c>
      <c r="AP149" s="33">
        <f t="shared" si="87"/>
        <v>0</v>
      </c>
      <c r="AQ149" s="194">
        <f t="shared" si="88"/>
        <v>0</v>
      </c>
      <c r="AR149" s="194">
        <f t="shared" si="88"/>
        <v>0</v>
      </c>
      <c r="AS149" s="194">
        <f t="shared" si="88"/>
        <v>0</v>
      </c>
      <c r="AT149" s="194">
        <f t="shared" si="73"/>
        <v>0</v>
      </c>
      <c r="AU149" s="33"/>
      <c r="AV149" s="33"/>
      <c r="AW149" s="33"/>
      <c r="AX149" s="33"/>
      <c r="AY149" s="76"/>
    </row>
    <row r="150" spans="3:51">
      <c r="C150" s="166" t="s">
        <v>25</v>
      </c>
      <c r="D150" s="4">
        <v>0.4</v>
      </c>
      <c r="E150" s="188" t="s">
        <v>228</v>
      </c>
      <c r="F150" s="343">
        <f>IF(OR(Tableau145[[#This Row],[Type]]="Feuillus",Tableau145[[#This Row],[Type]]="Peupliers"),1.56,1.3)</f>
        <v>1.3</v>
      </c>
      <c r="I150" s="55">
        <v>145</v>
      </c>
      <c r="J150" s="33">
        <f t="shared" si="91"/>
        <v>0</v>
      </c>
      <c r="K150" s="33">
        <f t="shared" si="92"/>
        <v>0</v>
      </c>
      <c r="L150" s="33">
        <f t="shared" si="93"/>
        <v>0</v>
      </c>
      <c r="M150" s="33">
        <f t="shared" si="94"/>
        <v>0</v>
      </c>
      <c r="N150" s="33">
        <f t="shared" si="74"/>
        <v>0</v>
      </c>
      <c r="O150" s="34">
        <f t="shared" si="75"/>
        <v>0</v>
      </c>
      <c r="P150" s="55">
        <v>145</v>
      </c>
      <c r="Q150" s="33">
        <f t="shared" si="89"/>
        <v>0</v>
      </c>
      <c r="R150" s="33">
        <f t="shared" si="95"/>
        <v>0</v>
      </c>
      <c r="S150" s="33">
        <f t="shared" si="96"/>
        <v>0</v>
      </c>
      <c r="T150" s="33">
        <f t="shared" si="76"/>
        <v>0</v>
      </c>
      <c r="U150" s="33">
        <f t="shared" si="90"/>
        <v>0</v>
      </c>
      <c r="V150" s="33">
        <f t="shared" si="77"/>
        <v>0</v>
      </c>
      <c r="W150" s="33">
        <v>0</v>
      </c>
      <c r="X150" s="33">
        <f t="shared" si="78"/>
        <v>0</v>
      </c>
      <c r="Y150" s="38">
        <f t="shared" si="79"/>
        <v>0</v>
      </c>
      <c r="AA150" s="71">
        <v>145</v>
      </c>
      <c r="AB150" s="33">
        <f t="shared" si="80"/>
        <v>0</v>
      </c>
      <c r="AC150" s="305">
        <f t="shared" si="72"/>
        <v>0</v>
      </c>
      <c r="AD150" s="100">
        <f t="shared" si="81"/>
        <v>0</v>
      </c>
      <c r="AE150" s="100">
        <f t="shared" si="82"/>
        <v>0</v>
      </c>
      <c r="AF150" s="194">
        <f t="shared" si="68"/>
        <v>0</v>
      </c>
      <c r="AG150" s="194">
        <f t="shared" si="69"/>
        <v>0</v>
      </c>
      <c r="AH150" s="194">
        <f t="shared" si="70"/>
        <v>0</v>
      </c>
      <c r="AI150" s="199">
        <f t="shared" si="71"/>
        <v>0</v>
      </c>
      <c r="AK150" s="71">
        <v>145</v>
      </c>
      <c r="AL150" s="33">
        <f t="shared" si="83"/>
        <v>0</v>
      </c>
      <c r="AM150" s="33">
        <f t="shared" si="84"/>
        <v>0</v>
      </c>
      <c r="AN150" s="33">
        <f t="shared" si="85"/>
        <v>0</v>
      </c>
      <c r="AO150" s="33">
        <f t="shared" si="86"/>
        <v>0</v>
      </c>
      <c r="AP150" s="33">
        <f t="shared" si="87"/>
        <v>0</v>
      </c>
      <c r="AQ150" s="194">
        <f t="shared" si="88"/>
        <v>0</v>
      </c>
      <c r="AR150" s="194">
        <f t="shared" si="88"/>
        <v>0</v>
      </c>
      <c r="AS150" s="194">
        <f t="shared" si="88"/>
        <v>0</v>
      </c>
      <c r="AT150" s="194">
        <f t="shared" si="73"/>
        <v>0</v>
      </c>
      <c r="AU150" s="33"/>
      <c r="AV150" s="33"/>
      <c r="AW150" s="33"/>
      <c r="AX150" s="33"/>
      <c r="AY150" s="76"/>
    </row>
    <row r="151" spans="3:51">
      <c r="C151" s="166" t="s">
        <v>26</v>
      </c>
      <c r="D151" s="4">
        <v>0.6</v>
      </c>
      <c r="E151" s="188" t="s">
        <v>227</v>
      </c>
      <c r="F151" s="343">
        <f>IF(OR(Tableau145[[#This Row],[Type]]="Feuillus",Tableau145[[#This Row],[Type]]="Peupliers"),1.56,1.3)</f>
        <v>1.56</v>
      </c>
      <c r="I151" s="55">
        <v>146</v>
      </c>
      <c r="J151" s="33">
        <f t="shared" si="91"/>
        <v>0</v>
      </c>
      <c r="K151" s="33">
        <f t="shared" si="92"/>
        <v>0</v>
      </c>
      <c r="L151" s="33">
        <f t="shared" si="93"/>
        <v>0</v>
      </c>
      <c r="M151" s="33">
        <f t="shared" si="94"/>
        <v>0</v>
      </c>
      <c r="N151" s="33">
        <f t="shared" si="74"/>
        <v>0</v>
      </c>
      <c r="O151" s="34">
        <f t="shared" si="75"/>
        <v>0</v>
      </c>
      <c r="P151" s="55">
        <v>146</v>
      </c>
      <c r="Q151" s="33">
        <f t="shared" si="89"/>
        <v>0</v>
      </c>
      <c r="R151" s="33">
        <f t="shared" si="95"/>
        <v>0</v>
      </c>
      <c r="S151" s="33">
        <f t="shared" si="96"/>
        <v>0</v>
      </c>
      <c r="T151" s="33">
        <f t="shared" si="76"/>
        <v>0</v>
      </c>
      <c r="U151" s="33">
        <f t="shared" si="90"/>
        <v>0</v>
      </c>
      <c r="V151" s="33">
        <f t="shared" si="77"/>
        <v>0</v>
      </c>
      <c r="W151" s="33">
        <v>0</v>
      </c>
      <c r="X151" s="33">
        <f t="shared" si="78"/>
        <v>0</v>
      </c>
      <c r="Y151" s="38">
        <f t="shared" si="79"/>
        <v>0</v>
      </c>
      <c r="AA151" s="71">
        <v>146</v>
      </c>
      <c r="AB151" s="33">
        <f t="shared" si="80"/>
        <v>0</v>
      </c>
      <c r="AC151" s="305">
        <f t="shared" si="72"/>
        <v>0</v>
      </c>
      <c r="AD151" s="100">
        <f t="shared" si="81"/>
        <v>0</v>
      </c>
      <c r="AE151" s="100">
        <f t="shared" si="82"/>
        <v>0</v>
      </c>
      <c r="AF151" s="194">
        <f t="shared" si="68"/>
        <v>0</v>
      </c>
      <c r="AG151" s="194">
        <f t="shared" si="69"/>
        <v>0</v>
      </c>
      <c r="AH151" s="194">
        <f t="shared" si="70"/>
        <v>0</v>
      </c>
      <c r="AI151" s="199">
        <f t="shared" si="71"/>
        <v>0</v>
      </c>
      <c r="AK151" s="71">
        <v>146</v>
      </c>
      <c r="AL151" s="33">
        <f t="shared" si="83"/>
        <v>0</v>
      </c>
      <c r="AM151" s="33">
        <f t="shared" si="84"/>
        <v>0</v>
      </c>
      <c r="AN151" s="33">
        <f t="shared" si="85"/>
        <v>0</v>
      </c>
      <c r="AO151" s="33">
        <f t="shared" si="86"/>
        <v>0</v>
      </c>
      <c r="AP151" s="33">
        <f t="shared" si="87"/>
        <v>0</v>
      </c>
      <c r="AQ151" s="194">
        <f t="shared" si="88"/>
        <v>0</v>
      </c>
      <c r="AR151" s="194">
        <f t="shared" si="88"/>
        <v>0</v>
      </c>
      <c r="AS151" s="194">
        <f t="shared" si="88"/>
        <v>0</v>
      </c>
      <c r="AT151" s="194">
        <f t="shared" si="73"/>
        <v>0</v>
      </c>
      <c r="AU151" s="33"/>
      <c r="AV151" s="33"/>
      <c r="AW151" s="33"/>
      <c r="AX151" s="33"/>
      <c r="AY151" s="76"/>
    </row>
    <row r="152" spans="3:51">
      <c r="C152" s="166" t="s">
        <v>27</v>
      </c>
      <c r="D152" s="4">
        <v>0.43</v>
      </c>
      <c r="E152" s="188" t="s">
        <v>228</v>
      </c>
      <c r="F152" s="343">
        <f>IF(OR(Tableau145[[#This Row],[Type]]="Feuillus",Tableau145[[#This Row],[Type]]="Peupliers"),1.56,1.3)</f>
        <v>1.3</v>
      </c>
      <c r="I152" s="55">
        <v>147</v>
      </c>
      <c r="J152" s="33">
        <f t="shared" si="91"/>
        <v>0</v>
      </c>
      <c r="K152" s="33">
        <f t="shared" si="92"/>
        <v>0</v>
      </c>
      <c r="L152" s="33">
        <f t="shared" si="93"/>
        <v>0</v>
      </c>
      <c r="M152" s="33">
        <f t="shared" si="94"/>
        <v>0</v>
      </c>
      <c r="N152" s="33">
        <f t="shared" si="74"/>
        <v>0</v>
      </c>
      <c r="O152" s="34">
        <f t="shared" si="75"/>
        <v>0</v>
      </c>
      <c r="P152" s="55">
        <v>147</v>
      </c>
      <c r="Q152" s="33">
        <f t="shared" si="89"/>
        <v>0</v>
      </c>
      <c r="R152" s="33">
        <f t="shared" si="95"/>
        <v>0</v>
      </c>
      <c r="S152" s="33">
        <f t="shared" si="96"/>
        <v>0</v>
      </c>
      <c r="T152" s="33">
        <f t="shared" si="76"/>
        <v>0</v>
      </c>
      <c r="U152" s="33">
        <f t="shared" si="90"/>
        <v>0</v>
      </c>
      <c r="V152" s="33">
        <f t="shared" si="77"/>
        <v>0</v>
      </c>
      <c r="W152" s="33">
        <v>0</v>
      </c>
      <c r="X152" s="33">
        <f t="shared" si="78"/>
        <v>0</v>
      </c>
      <c r="Y152" s="38">
        <f t="shared" si="79"/>
        <v>0</v>
      </c>
      <c r="AA152" s="71">
        <v>147</v>
      </c>
      <c r="AB152" s="33">
        <f t="shared" si="80"/>
        <v>0</v>
      </c>
      <c r="AC152" s="305">
        <f t="shared" si="72"/>
        <v>0</v>
      </c>
      <c r="AD152" s="100">
        <f t="shared" si="81"/>
        <v>0</v>
      </c>
      <c r="AE152" s="100">
        <f t="shared" si="82"/>
        <v>0</v>
      </c>
      <c r="AF152" s="194">
        <f t="shared" si="68"/>
        <v>0</v>
      </c>
      <c r="AG152" s="194">
        <f t="shared" si="69"/>
        <v>0</v>
      </c>
      <c r="AH152" s="194">
        <f t="shared" si="70"/>
        <v>0</v>
      </c>
      <c r="AI152" s="199">
        <f t="shared" si="71"/>
        <v>0</v>
      </c>
      <c r="AK152" s="71">
        <v>147</v>
      </c>
      <c r="AL152" s="33">
        <f t="shared" si="83"/>
        <v>0</v>
      </c>
      <c r="AM152" s="33">
        <f t="shared" si="84"/>
        <v>0</v>
      </c>
      <c r="AN152" s="33">
        <f t="shared" si="85"/>
        <v>0</v>
      </c>
      <c r="AO152" s="33">
        <f t="shared" si="86"/>
        <v>0</v>
      </c>
      <c r="AP152" s="33">
        <f t="shared" si="87"/>
        <v>0</v>
      </c>
      <c r="AQ152" s="194">
        <f t="shared" si="88"/>
        <v>0</v>
      </c>
      <c r="AR152" s="194">
        <f t="shared" si="88"/>
        <v>0</v>
      </c>
      <c r="AS152" s="194">
        <f t="shared" si="88"/>
        <v>0</v>
      </c>
      <c r="AT152" s="194">
        <f t="shared" si="73"/>
        <v>0</v>
      </c>
      <c r="AU152" s="33"/>
      <c r="AV152" s="33"/>
      <c r="AW152" s="33"/>
      <c r="AX152" s="33"/>
      <c r="AY152" s="76"/>
    </row>
    <row r="153" spans="3:51">
      <c r="C153" s="166" t="s">
        <v>28</v>
      </c>
      <c r="D153" s="4">
        <v>0.37</v>
      </c>
      <c r="E153" s="188" t="s">
        <v>228</v>
      </c>
      <c r="F153" s="343">
        <f>IF(OR(Tableau145[[#This Row],[Type]]="Feuillus",Tableau145[[#This Row],[Type]]="Peupliers"),1.56,1.3)</f>
        <v>1.3</v>
      </c>
      <c r="I153" s="55">
        <v>148</v>
      </c>
      <c r="J153" s="33">
        <f t="shared" si="91"/>
        <v>0</v>
      </c>
      <c r="K153" s="33">
        <f t="shared" si="92"/>
        <v>0</v>
      </c>
      <c r="L153" s="33">
        <f t="shared" si="93"/>
        <v>0</v>
      </c>
      <c r="M153" s="33">
        <f t="shared" si="94"/>
        <v>0</v>
      </c>
      <c r="N153" s="33">
        <f t="shared" si="74"/>
        <v>0</v>
      </c>
      <c r="O153" s="34">
        <f t="shared" si="75"/>
        <v>0</v>
      </c>
      <c r="P153" s="55">
        <v>148</v>
      </c>
      <c r="Q153" s="33">
        <f t="shared" si="89"/>
        <v>0</v>
      </c>
      <c r="R153" s="33">
        <f t="shared" si="95"/>
        <v>0</v>
      </c>
      <c r="S153" s="33">
        <f t="shared" si="96"/>
        <v>0</v>
      </c>
      <c r="T153" s="33">
        <f t="shared" si="76"/>
        <v>0</v>
      </c>
      <c r="U153" s="33">
        <f t="shared" si="90"/>
        <v>0</v>
      </c>
      <c r="V153" s="33">
        <f t="shared" si="77"/>
        <v>0</v>
      </c>
      <c r="W153" s="33">
        <v>0</v>
      </c>
      <c r="X153" s="33">
        <f t="shared" si="78"/>
        <v>0</v>
      </c>
      <c r="Y153" s="38">
        <f t="shared" si="79"/>
        <v>0</v>
      </c>
      <c r="AA153" s="71">
        <v>148</v>
      </c>
      <c r="AB153" s="33">
        <f t="shared" si="80"/>
        <v>0</v>
      </c>
      <c r="AC153" s="305">
        <f t="shared" si="72"/>
        <v>0</v>
      </c>
      <c r="AD153" s="100">
        <f t="shared" si="81"/>
        <v>0</v>
      </c>
      <c r="AE153" s="100">
        <f t="shared" si="82"/>
        <v>0</v>
      </c>
      <c r="AF153" s="194">
        <f t="shared" si="68"/>
        <v>0</v>
      </c>
      <c r="AG153" s="194">
        <f t="shared" si="69"/>
        <v>0</v>
      </c>
      <c r="AH153" s="194">
        <f t="shared" si="70"/>
        <v>0</v>
      </c>
      <c r="AI153" s="199">
        <f t="shared" si="71"/>
        <v>0</v>
      </c>
      <c r="AK153" s="71">
        <v>148</v>
      </c>
      <c r="AL153" s="33">
        <f t="shared" si="83"/>
        <v>0</v>
      </c>
      <c r="AM153" s="33">
        <f t="shared" si="84"/>
        <v>0</v>
      </c>
      <c r="AN153" s="33">
        <f t="shared" si="85"/>
        <v>0</v>
      </c>
      <c r="AO153" s="33">
        <f t="shared" si="86"/>
        <v>0</v>
      </c>
      <c r="AP153" s="33">
        <f t="shared" si="87"/>
        <v>0</v>
      </c>
      <c r="AQ153" s="194">
        <f t="shared" si="88"/>
        <v>0</v>
      </c>
      <c r="AR153" s="194">
        <f t="shared" si="88"/>
        <v>0</v>
      </c>
      <c r="AS153" s="194">
        <f t="shared" si="88"/>
        <v>0</v>
      </c>
      <c r="AT153" s="194">
        <f t="shared" si="73"/>
        <v>0</v>
      </c>
      <c r="AU153" s="33"/>
      <c r="AV153" s="33"/>
      <c r="AW153" s="33"/>
      <c r="AX153" s="33"/>
      <c r="AY153" s="76"/>
    </row>
    <row r="154" spans="3:51">
      <c r="C154" s="166" t="s">
        <v>29</v>
      </c>
      <c r="D154" s="4">
        <v>0.36</v>
      </c>
      <c r="E154" s="188" t="s">
        <v>228</v>
      </c>
      <c r="F154" s="343">
        <f>IF(OR(Tableau145[[#This Row],[Type]]="Feuillus",Tableau145[[#This Row],[Type]]="Peupliers"),1.56,1.3)</f>
        <v>1.3</v>
      </c>
      <c r="I154" s="55">
        <v>149</v>
      </c>
      <c r="J154" s="33">
        <f t="shared" si="91"/>
        <v>0</v>
      </c>
      <c r="K154" s="33">
        <f t="shared" si="92"/>
        <v>0</v>
      </c>
      <c r="L154" s="33">
        <f t="shared" si="93"/>
        <v>0</v>
      </c>
      <c r="M154" s="33">
        <f t="shared" si="94"/>
        <v>0</v>
      </c>
      <c r="N154" s="33">
        <f t="shared" si="74"/>
        <v>0</v>
      </c>
      <c r="O154" s="34">
        <f t="shared" si="75"/>
        <v>0</v>
      </c>
      <c r="P154" s="55">
        <v>149</v>
      </c>
      <c r="Q154" s="33">
        <f t="shared" si="89"/>
        <v>0</v>
      </c>
      <c r="R154" s="33">
        <f t="shared" si="95"/>
        <v>0</v>
      </c>
      <c r="S154" s="33">
        <f t="shared" si="96"/>
        <v>0</v>
      </c>
      <c r="T154" s="33">
        <f t="shared" si="76"/>
        <v>0</v>
      </c>
      <c r="U154" s="33">
        <f t="shared" si="90"/>
        <v>0</v>
      </c>
      <c r="V154" s="33">
        <f t="shared" si="77"/>
        <v>0</v>
      </c>
      <c r="W154" s="33">
        <v>0</v>
      </c>
      <c r="X154" s="33">
        <f t="shared" si="78"/>
        <v>0</v>
      </c>
      <c r="Y154" s="38">
        <f t="shared" si="79"/>
        <v>0</v>
      </c>
      <c r="AA154" s="71">
        <v>149</v>
      </c>
      <c r="AB154" s="33">
        <f t="shared" si="80"/>
        <v>0</v>
      </c>
      <c r="AC154" s="305">
        <f t="shared" si="72"/>
        <v>0</v>
      </c>
      <c r="AD154" s="100">
        <f t="shared" si="81"/>
        <v>0</v>
      </c>
      <c r="AE154" s="100">
        <f t="shared" si="82"/>
        <v>0</v>
      </c>
      <c r="AF154" s="194">
        <f t="shared" si="68"/>
        <v>0</v>
      </c>
      <c r="AG154" s="194">
        <f t="shared" si="69"/>
        <v>0</v>
      </c>
      <c r="AH154" s="194">
        <f t="shared" si="70"/>
        <v>0</v>
      </c>
      <c r="AI154" s="199">
        <f t="shared" si="71"/>
        <v>0</v>
      </c>
      <c r="AK154" s="71">
        <v>149</v>
      </c>
      <c r="AL154" s="33">
        <f t="shared" si="83"/>
        <v>0</v>
      </c>
      <c r="AM154" s="33">
        <f t="shared" si="84"/>
        <v>0</v>
      </c>
      <c r="AN154" s="33">
        <f t="shared" si="85"/>
        <v>0</v>
      </c>
      <c r="AO154" s="33">
        <f t="shared" si="86"/>
        <v>0</v>
      </c>
      <c r="AP154" s="33">
        <f t="shared" si="87"/>
        <v>0</v>
      </c>
      <c r="AQ154" s="194">
        <f t="shared" si="88"/>
        <v>0</v>
      </c>
      <c r="AR154" s="194">
        <f t="shared" si="88"/>
        <v>0</v>
      </c>
      <c r="AS154" s="194">
        <f t="shared" si="88"/>
        <v>0</v>
      </c>
      <c r="AT154" s="194">
        <f t="shared" si="73"/>
        <v>0</v>
      </c>
      <c r="AU154" s="33"/>
      <c r="AV154" s="33"/>
      <c r="AW154" s="33"/>
      <c r="AX154" s="33"/>
      <c r="AY154" s="76"/>
    </row>
    <row r="155" spans="3:51">
      <c r="C155" s="166" t="s">
        <v>30</v>
      </c>
      <c r="D155" s="4">
        <v>0.51</v>
      </c>
      <c r="E155" s="188" t="s">
        <v>227</v>
      </c>
      <c r="F155" s="343">
        <f>IF(OR(Tableau145[[#This Row],[Type]]="Feuillus",Tableau145[[#This Row],[Type]]="Peupliers"),1.56,1.3)</f>
        <v>1.56</v>
      </c>
      <c r="I155" s="55">
        <v>150</v>
      </c>
      <c r="J155" s="33">
        <f t="shared" si="91"/>
        <v>0</v>
      </c>
      <c r="K155" s="33">
        <f t="shared" si="92"/>
        <v>0</v>
      </c>
      <c r="L155" s="33">
        <f t="shared" si="93"/>
        <v>0</v>
      </c>
      <c r="M155" s="33">
        <f t="shared" si="94"/>
        <v>0</v>
      </c>
      <c r="N155" s="33">
        <f t="shared" si="74"/>
        <v>0</v>
      </c>
      <c r="O155" s="34">
        <f t="shared" si="75"/>
        <v>0</v>
      </c>
      <c r="P155" s="55">
        <v>150</v>
      </c>
      <c r="Q155" s="33">
        <f t="shared" si="89"/>
        <v>0</v>
      </c>
      <c r="R155" s="33">
        <f t="shared" si="95"/>
        <v>0</v>
      </c>
      <c r="S155" s="33">
        <f t="shared" si="96"/>
        <v>0</v>
      </c>
      <c r="T155" s="33">
        <f t="shared" si="76"/>
        <v>0</v>
      </c>
      <c r="U155" s="33">
        <f t="shared" si="90"/>
        <v>0</v>
      </c>
      <c r="V155" s="33">
        <f t="shared" si="77"/>
        <v>0</v>
      </c>
      <c r="W155" s="33">
        <v>0</v>
      </c>
      <c r="X155" s="33">
        <f t="shared" si="78"/>
        <v>0</v>
      </c>
      <c r="Y155" s="38">
        <f t="shared" si="79"/>
        <v>0</v>
      </c>
      <c r="AA155" s="71">
        <v>150</v>
      </c>
      <c r="AB155" s="33">
        <f t="shared" si="80"/>
        <v>0</v>
      </c>
      <c r="AC155" s="305">
        <f t="shared" si="72"/>
        <v>0</v>
      </c>
      <c r="AD155" s="100">
        <f t="shared" si="81"/>
        <v>0</v>
      </c>
      <c r="AE155" s="100">
        <f t="shared" si="82"/>
        <v>0</v>
      </c>
      <c r="AF155" s="194">
        <f t="shared" ref="AF155:AF205" si="97">IF(OR(AA155&lt;=$F$18,AA155&lt;=30),EXP(-LN(2)/$D$104)*AF154+((1-EXP(-LN(2)/$D$104))/(LN(2)/$D$104))*$AB155*AC155*0.475*$F$19*44/12,)</f>
        <v>0</v>
      </c>
      <c r="AG155" s="194">
        <f t="shared" ref="AG155:AG205" si="98">IF(OR(AA155&lt;=$F$18,AA155&lt;=30),EXP(-LN(2)/$D$106)*AG154+((1-EXP(-LN(2)/$D$106))/(LN(2)/$D$106))*$AB155*AD155*0.475*$F$19*44/12,)</f>
        <v>0</v>
      </c>
      <c r="AH155" s="194">
        <f t="shared" ref="AH155:AH205" si="99">IF(OR(AA155&lt;=$F$18,AA155&lt;=30),EXP(-LN(2)/$D$105)*AH154+((1-EXP(-LN(2)/$D$105))/(LN(2)/$D$105))*$AB155*AE155*0.475*$F$19*44/12,)</f>
        <v>0</v>
      </c>
      <c r="AI155" s="199">
        <f t="shared" ref="AI155:AI205" si="100">IF(OR(AA155&lt;=$F$18,AA155&lt;=30),SUM(AF155:AH155),)</f>
        <v>0</v>
      </c>
      <c r="AK155" s="71">
        <v>150</v>
      </c>
      <c r="AL155" s="33">
        <f t="shared" si="83"/>
        <v>0</v>
      </c>
      <c r="AM155" s="33">
        <f t="shared" si="84"/>
        <v>0</v>
      </c>
      <c r="AN155" s="33">
        <f t="shared" si="85"/>
        <v>0</v>
      </c>
      <c r="AO155" s="33">
        <f t="shared" si="86"/>
        <v>0</v>
      </c>
      <c r="AP155" s="33">
        <f t="shared" si="87"/>
        <v>0</v>
      </c>
      <c r="AQ155" s="194">
        <f t="shared" si="88"/>
        <v>0</v>
      </c>
      <c r="AR155" s="194">
        <f t="shared" si="88"/>
        <v>0</v>
      </c>
      <c r="AS155" s="194">
        <f t="shared" si="88"/>
        <v>0</v>
      </c>
      <c r="AT155" s="194">
        <f t="shared" si="73"/>
        <v>0</v>
      </c>
      <c r="AU155" s="33"/>
      <c r="AV155" s="33"/>
      <c r="AW155" s="33"/>
      <c r="AX155" s="33"/>
      <c r="AY155" s="76"/>
    </row>
    <row r="156" spans="3:51">
      <c r="C156" s="166" t="s">
        <v>31</v>
      </c>
      <c r="D156" s="4">
        <v>0.56000000000000005</v>
      </c>
      <c r="E156" s="188" t="s">
        <v>227</v>
      </c>
      <c r="F156" s="343">
        <f>IF(OR(Tableau145[[#This Row],[Type]]="Feuillus",Tableau145[[#This Row],[Type]]="Peupliers"),1.56,1.3)</f>
        <v>1.56</v>
      </c>
      <c r="I156" s="55">
        <v>151</v>
      </c>
      <c r="J156" s="33">
        <f t="shared" si="91"/>
        <v>0</v>
      </c>
      <c r="K156" s="33">
        <f t="shared" si="92"/>
        <v>0</v>
      </c>
      <c r="L156" s="33">
        <f t="shared" si="93"/>
        <v>0</v>
      </c>
      <c r="M156" s="33">
        <f t="shared" si="94"/>
        <v>0</v>
      </c>
      <c r="N156" s="33">
        <f t="shared" si="74"/>
        <v>0</v>
      </c>
      <c r="O156" s="34">
        <f t="shared" si="75"/>
        <v>0</v>
      </c>
      <c r="P156" s="55">
        <v>151</v>
      </c>
      <c r="Q156" s="33">
        <f t="shared" si="89"/>
        <v>0</v>
      </c>
      <c r="R156" s="33">
        <f t="shared" si="95"/>
        <v>0</v>
      </c>
      <c r="S156" s="33">
        <f t="shared" si="96"/>
        <v>0</v>
      </c>
      <c r="T156" s="33">
        <f t="shared" si="76"/>
        <v>0</v>
      </c>
      <c r="U156" s="33">
        <f t="shared" si="90"/>
        <v>0</v>
      </c>
      <c r="V156" s="33">
        <f t="shared" si="77"/>
        <v>0</v>
      </c>
      <c r="W156" s="33">
        <v>0</v>
      </c>
      <c r="X156" s="33">
        <f t="shared" si="78"/>
        <v>0</v>
      </c>
      <c r="Y156" s="38">
        <f t="shared" si="79"/>
        <v>0</v>
      </c>
      <c r="AA156" s="71">
        <v>151</v>
      </c>
      <c r="AB156" s="33">
        <f t="shared" si="80"/>
        <v>0</v>
      </c>
      <c r="AC156" s="305">
        <f t="shared" si="72"/>
        <v>0</v>
      </c>
      <c r="AD156" s="100">
        <f t="shared" si="81"/>
        <v>0</v>
      </c>
      <c r="AE156" s="100">
        <f t="shared" si="82"/>
        <v>0</v>
      </c>
      <c r="AF156" s="194">
        <f t="shared" si="97"/>
        <v>0</v>
      </c>
      <c r="AG156" s="194">
        <f t="shared" si="98"/>
        <v>0</v>
      </c>
      <c r="AH156" s="194">
        <f t="shared" si="99"/>
        <v>0</v>
      </c>
      <c r="AI156" s="199">
        <f t="shared" si="100"/>
        <v>0</v>
      </c>
      <c r="AK156" s="71">
        <v>151</v>
      </c>
      <c r="AL156" s="33">
        <f t="shared" si="83"/>
        <v>0</v>
      </c>
      <c r="AM156" s="33">
        <f t="shared" si="84"/>
        <v>0</v>
      </c>
      <c r="AN156" s="33">
        <f t="shared" si="85"/>
        <v>0</v>
      </c>
      <c r="AO156" s="33">
        <f t="shared" si="86"/>
        <v>0</v>
      </c>
      <c r="AP156" s="33">
        <f t="shared" si="87"/>
        <v>0</v>
      </c>
      <c r="AQ156" s="194">
        <f t="shared" si="88"/>
        <v>0</v>
      </c>
      <c r="AR156" s="194">
        <f t="shared" si="88"/>
        <v>0</v>
      </c>
      <c r="AS156" s="194">
        <f t="shared" si="88"/>
        <v>0</v>
      </c>
      <c r="AT156" s="194">
        <f t="shared" si="73"/>
        <v>0</v>
      </c>
      <c r="AU156" s="33"/>
      <c r="AV156" s="33"/>
      <c r="AW156" s="33"/>
      <c r="AX156" s="33"/>
      <c r="AY156" s="76"/>
    </row>
    <row r="157" spans="3:51">
      <c r="C157" s="166" t="s">
        <v>32</v>
      </c>
      <c r="D157" s="4">
        <v>0.56000000000000005</v>
      </c>
      <c r="E157" s="188" t="s">
        <v>227</v>
      </c>
      <c r="F157" s="343">
        <f>IF(OR(Tableau145[[#This Row],[Type]]="Feuillus",Tableau145[[#This Row],[Type]]="Peupliers"),1.56,1.3)</f>
        <v>1.56</v>
      </c>
      <c r="I157" s="55">
        <v>152</v>
      </c>
      <c r="J157" s="33">
        <f t="shared" si="91"/>
        <v>0</v>
      </c>
      <c r="K157" s="33">
        <f t="shared" si="92"/>
        <v>0</v>
      </c>
      <c r="L157" s="33">
        <f t="shared" si="93"/>
        <v>0</v>
      </c>
      <c r="M157" s="33">
        <f t="shared" si="94"/>
        <v>0</v>
      </c>
      <c r="N157" s="33">
        <f t="shared" si="74"/>
        <v>0</v>
      </c>
      <c r="O157" s="34">
        <f t="shared" si="75"/>
        <v>0</v>
      </c>
      <c r="P157" s="55">
        <v>152</v>
      </c>
      <c r="Q157" s="33">
        <f t="shared" si="89"/>
        <v>0</v>
      </c>
      <c r="R157" s="33">
        <f t="shared" si="95"/>
        <v>0</v>
      </c>
      <c r="S157" s="33">
        <f t="shared" si="96"/>
        <v>0</v>
      </c>
      <c r="T157" s="33">
        <f t="shared" si="76"/>
        <v>0</v>
      </c>
      <c r="U157" s="33">
        <f t="shared" si="90"/>
        <v>0</v>
      </c>
      <c r="V157" s="33">
        <f t="shared" si="77"/>
        <v>0</v>
      </c>
      <c r="W157" s="33">
        <v>0</v>
      </c>
      <c r="X157" s="33">
        <f t="shared" si="78"/>
        <v>0</v>
      </c>
      <c r="Y157" s="38">
        <f t="shared" si="79"/>
        <v>0</v>
      </c>
      <c r="AA157" s="71">
        <v>152</v>
      </c>
      <c r="AB157" s="33">
        <f t="shared" si="80"/>
        <v>0</v>
      </c>
      <c r="AC157" s="305">
        <f t="shared" si="72"/>
        <v>0</v>
      </c>
      <c r="AD157" s="100">
        <f t="shared" si="81"/>
        <v>0</v>
      </c>
      <c r="AE157" s="100">
        <f t="shared" si="82"/>
        <v>0</v>
      </c>
      <c r="AF157" s="194">
        <f t="shared" si="97"/>
        <v>0</v>
      </c>
      <c r="AG157" s="194">
        <f t="shared" si="98"/>
        <v>0</v>
      </c>
      <c r="AH157" s="194">
        <f t="shared" si="99"/>
        <v>0</v>
      </c>
      <c r="AI157" s="199">
        <f t="shared" si="100"/>
        <v>0</v>
      </c>
      <c r="AK157" s="71">
        <v>152</v>
      </c>
      <c r="AL157" s="33">
        <f t="shared" si="83"/>
        <v>0</v>
      </c>
      <c r="AM157" s="33">
        <f t="shared" si="84"/>
        <v>0</v>
      </c>
      <c r="AN157" s="33">
        <f t="shared" si="85"/>
        <v>0</v>
      </c>
      <c r="AO157" s="33">
        <f t="shared" si="86"/>
        <v>0</v>
      </c>
      <c r="AP157" s="33">
        <f t="shared" si="87"/>
        <v>0</v>
      </c>
      <c r="AQ157" s="194">
        <f t="shared" si="88"/>
        <v>0</v>
      </c>
      <c r="AR157" s="194">
        <f t="shared" si="88"/>
        <v>0</v>
      </c>
      <c r="AS157" s="194">
        <f t="shared" si="88"/>
        <v>0</v>
      </c>
      <c r="AT157" s="194">
        <f t="shared" si="73"/>
        <v>0</v>
      </c>
      <c r="AU157" s="33"/>
      <c r="AV157" s="33"/>
      <c r="AW157" s="33"/>
      <c r="AX157" s="33"/>
      <c r="AY157" s="76"/>
    </row>
    <row r="158" spans="3:51">
      <c r="C158" s="166" t="s">
        <v>33</v>
      </c>
      <c r="D158" s="4">
        <v>0.48</v>
      </c>
      <c r="E158" s="188" t="s">
        <v>227</v>
      </c>
      <c r="F158" s="343">
        <f>IF(OR(Tableau145[[#This Row],[Type]]="Feuillus",Tableau145[[#This Row],[Type]]="Peupliers"),1.56,1.3)</f>
        <v>1.56</v>
      </c>
      <c r="I158" s="55">
        <v>153</v>
      </c>
      <c r="J158" s="33">
        <f t="shared" si="91"/>
        <v>0</v>
      </c>
      <c r="K158" s="33">
        <f t="shared" si="92"/>
        <v>0</v>
      </c>
      <c r="L158" s="33">
        <f t="shared" si="93"/>
        <v>0</v>
      </c>
      <c r="M158" s="33">
        <f t="shared" si="94"/>
        <v>0</v>
      </c>
      <c r="N158" s="33">
        <f t="shared" si="74"/>
        <v>0</v>
      </c>
      <c r="O158" s="34">
        <f t="shared" si="75"/>
        <v>0</v>
      </c>
      <c r="P158" s="55">
        <v>153</v>
      </c>
      <c r="Q158" s="33">
        <f t="shared" si="89"/>
        <v>0</v>
      </c>
      <c r="R158" s="33">
        <f t="shared" si="95"/>
        <v>0</v>
      </c>
      <c r="S158" s="33">
        <f t="shared" si="96"/>
        <v>0</v>
      </c>
      <c r="T158" s="33">
        <f t="shared" si="76"/>
        <v>0</v>
      </c>
      <c r="U158" s="33">
        <f t="shared" si="90"/>
        <v>0</v>
      </c>
      <c r="V158" s="33">
        <f t="shared" si="77"/>
        <v>0</v>
      </c>
      <c r="W158" s="33">
        <v>0</v>
      </c>
      <c r="X158" s="33">
        <f t="shared" si="78"/>
        <v>0</v>
      </c>
      <c r="Y158" s="38">
        <f t="shared" si="79"/>
        <v>0</v>
      </c>
      <c r="AA158" s="71">
        <v>153</v>
      </c>
      <c r="AB158" s="33">
        <f t="shared" si="80"/>
        <v>0</v>
      </c>
      <c r="AC158" s="305">
        <f t="shared" si="72"/>
        <v>0</v>
      </c>
      <c r="AD158" s="100">
        <f t="shared" si="81"/>
        <v>0</v>
      </c>
      <c r="AE158" s="100">
        <f t="shared" si="82"/>
        <v>0</v>
      </c>
      <c r="AF158" s="194">
        <f t="shared" si="97"/>
        <v>0</v>
      </c>
      <c r="AG158" s="194">
        <f t="shared" si="98"/>
        <v>0</v>
      </c>
      <c r="AH158" s="194">
        <f t="shared" si="99"/>
        <v>0</v>
      </c>
      <c r="AI158" s="199">
        <f t="shared" si="100"/>
        <v>0</v>
      </c>
      <c r="AK158" s="71">
        <v>153</v>
      </c>
      <c r="AL158" s="33">
        <f t="shared" si="83"/>
        <v>0</v>
      </c>
      <c r="AM158" s="33">
        <f t="shared" si="84"/>
        <v>0</v>
      </c>
      <c r="AN158" s="33">
        <f t="shared" si="85"/>
        <v>0</v>
      </c>
      <c r="AO158" s="33">
        <f t="shared" si="86"/>
        <v>0</v>
      </c>
      <c r="AP158" s="33">
        <f t="shared" si="87"/>
        <v>0</v>
      </c>
      <c r="AQ158" s="194">
        <f t="shared" si="88"/>
        <v>0</v>
      </c>
      <c r="AR158" s="194">
        <f t="shared" si="88"/>
        <v>0</v>
      </c>
      <c r="AS158" s="194">
        <f t="shared" si="88"/>
        <v>0</v>
      </c>
      <c r="AT158" s="194">
        <f t="shared" si="73"/>
        <v>0</v>
      </c>
      <c r="AU158" s="33"/>
      <c r="AV158" s="33"/>
      <c r="AW158" s="33"/>
      <c r="AX158" s="33"/>
      <c r="AY158" s="76"/>
    </row>
    <row r="159" spans="3:51">
      <c r="C159" s="166" t="s">
        <v>34</v>
      </c>
      <c r="D159" s="4">
        <v>0.55000000000000004</v>
      </c>
      <c r="E159" s="188" t="s">
        <v>227</v>
      </c>
      <c r="F159" s="343">
        <f>IF(OR(Tableau145[[#This Row],[Type]]="Feuillus",Tableau145[[#This Row],[Type]]="Peupliers"),1.56,1.3)</f>
        <v>1.56</v>
      </c>
      <c r="I159" s="55">
        <v>154</v>
      </c>
      <c r="J159" s="33">
        <f t="shared" si="91"/>
        <v>0</v>
      </c>
      <c r="K159" s="33">
        <f t="shared" si="92"/>
        <v>0</v>
      </c>
      <c r="L159" s="33">
        <f t="shared" si="93"/>
        <v>0</v>
      </c>
      <c r="M159" s="33">
        <f t="shared" si="94"/>
        <v>0</v>
      </c>
      <c r="N159" s="33">
        <f t="shared" si="74"/>
        <v>0</v>
      </c>
      <c r="O159" s="34">
        <f t="shared" si="75"/>
        <v>0</v>
      </c>
      <c r="P159" s="55">
        <v>154</v>
      </c>
      <c r="Q159" s="33">
        <f t="shared" si="89"/>
        <v>0</v>
      </c>
      <c r="R159" s="33">
        <f t="shared" si="95"/>
        <v>0</v>
      </c>
      <c r="S159" s="33">
        <f t="shared" si="96"/>
        <v>0</v>
      </c>
      <c r="T159" s="33">
        <f t="shared" si="76"/>
        <v>0</v>
      </c>
      <c r="U159" s="33">
        <f t="shared" si="90"/>
        <v>0</v>
      </c>
      <c r="V159" s="33">
        <f t="shared" si="77"/>
        <v>0</v>
      </c>
      <c r="W159" s="33">
        <v>0</v>
      </c>
      <c r="X159" s="33">
        <f t="shared" si="78"/>
        <v>0</v>
      </c>
      <c r="Y159" s="38">
        <f t="shared" si="79"/>
        <v>0</v>
      </c>
      <c r="AA159" s="71">
        <v>154</v>
      </c>
      <c r="AB159" s="33">
        <f t="shared" si="80"/>
        <v>0</v>
      </c>
      <c r="AC159" s="305">
        <f t="shared" ref="AC159:AC205" si="101">IF(AA159&lt;=$F$18,IFERROR(VLOOKUP($AA159,$B$82:$G$94,3,FALSE),0),)*50%</f>
        <v>0</v>
      </c>
      <c r="AD159" s="100">
        <f t="shared" si="81"/>
        <v>0</v>
      </c>
      <c r="AE159" s="100">
        <f t="shared" si="82"/>
        <v>0</v>
      </c>
      <c r="AF159" s="194">
        <f t="shared" si="97"/>
        <v>0</v>
      </c>
      <c r="AG159" s="194">
        <f t="shared" si="98"/>
        <v>0</v>
      </c>
      <c r="AH159" s="194">
        <f t="shared" si="99"/>
        <v>0</v>
      </c>
      <c r="AI159" s="199">
        <f t="shared" si="100"/>
        <v>0</v>
      </c>
      <c r="AK159" s="71">
        <v>154</v>
      </c>
      <c r="AL159" s="33">
        <f t="shared" si="83"/>
        <v>0</v>
      </c>
      <c r="AM159" s="33">
        <f t="shared" si="84"/>
        <v>0</v>
      </c>
      <c r="AN159" s="33">
        <f t="shared" si="85"/>
        <v>0</v>
      </c>
      <c r="AO159" s="33">
        <f t="shared" si="86"/>
        <v>0</v>
      </c>
      <c r="AP159" s="33">
        <f t="shared" si="87"/>
        <v>0</v>
      </c>
      <c r="AQ159" s="194">
        <f t="shared" si="88"/>
        <v>0</v>
      </c>
      <c r="AR159" s="194">
        <f t="shared" si="88"/>
        <v>0</v>
      </c>
      <c r="AS159" s="194">
        <f t="shared" si="88"/>
        <v>0</v>
      </c>
      <c r="AT159" s="194">
        <f t="shared" si="73"/>
        <v>0</v>
      </c>
      <c r="AU159" s="33"/>
      <c r="AV159" s="33"/>
      <c r="AW159" s="33"/>
      <c r="AX159" s="33"/>
      <c r="AY159" s="76"/>
    </row>
    <row r="160" spans="3:51">
      <c r="C160" s="166" t="s">
        <v>35</v>
      </c>
      <c r="D160" s="4">
        <v>0.56000000000000005</v>
      </c>
      <c r="E160" s="188" t="s">
        <v>227</v>
      </c>
      <c r="F160" s="343">
        <f>IF(OR(Tableau145[[#This Row],[Type]]="Feuillus",Tableau145[[#This Row],[Type]]="Peupliers"),1.56,1.3)</f>
        <v>1.56</v>
      </c>
      <c r="I160" s="55">
        <v>155</v>
      </c>
      <c r="J160" s="33">
        <f t="shared" si="91"/>
        <v>0</v>
      </c>
      <c r="K160" s="33">
        <f t="shared" si="92"/>
        <v>0</v>
      </c>
      <c r="L160" s="33">
        <f t="shared" si="93"/>
        <v>0</v>
      </c>
      <c r="M160" s="33">
        <f t="shared" si="94"/>
        <v>0</v>
      </c>
      <c r="N160" s="33">
        <f t="shared" si="74"/>
        <v>0</v>
      </c>
      <c r="O160" s="34">
        <f t="shared" si="75"/>
        <v>0</v>
      </c>
      <c r="P160" s="55">
        <v>155</v>
      </c>
      <c r="Q160" s="33">
        <f t="shared" si="89"/>
        <v>0</v>
      </c>
      <c r="R160" s="33">
        <f t="shared" si="95"/>
        <v>0</v>
      </c>
      <c r="S160" s="33">
        <f t="shared" si="96"/>
        <v>0</v>
      </c>
      <c r="T160" s="33">
        <f t="shared" si="76"/>
        <v>0</v>
      </c>
      <c r="U160" s="33">
        <f t="shared" si="90"/>
        <v>0</v>
      </c>
      <c r="V160" s="33">
        <f t="shared" si="77"/>
        <v>0</v>
      </c>
      <c r="W160" s="33">
        <v>0</v>
      </c>
      <c r="X160" s="33">
        <f t="shared" si="78"/>
        <v>0</v>
      </c>
      <c r="Y160" s="38">
        <f t="shared" si="79"/>
        <v>0</v>
      </c>
      <c r="AA160" s="71">
        <v>155</v>
      </c>
      <c r="AB160" s="33">
        <f t="shared" si="80"/>
        <v>0</v>
      </c>
      <c r="AC160" s="305">
        <f t="shared" si="101"/>
        <v>0</v>
      </c>
      <c r="AD160" s="100">
        <f t="shared" si="81"/>
        <v>0</v>
      </c>
      <c r="AE160" s="100">
        <f t="shared" si="82"/>
        <v>0</v>
      </c>
      <c r="AF160" s="194">
        <f t="shared" si="97"/>
        <v>0</v>
      </c>
      <c r="AG160" s="194">
        <f t="shared" si="98"/>
        <v>0</v>
      </c>
      <c r="AH160" s="194">
        <f t="shared" si="99"/>
        <v>0</v>
      </c>
      <c r="AI160" s="199">
        <f t="shared" si="100"/>
        <v>0</v>
      </c>
      <c r="AK160" s="71">
        <v>155</v>
      </c>
      <c r="AL160" s="33">
        <f t="shared" si="83"/>
        <v>0</v>
      </c>
      <c r="AM160" s="33">
        <f t="shared" si="84"/>
        <v>0</v>
      </c>
      <c r="AN160" s="33">
        <f t="shared" si="85"/>
        <v>0</v>
      </c>
      <c r="AO160" s="33">
        <f t="shared" si="86"/>
        <v>0</v>
      </c>
      <c r="AP160" s="33">
        <f t="shared" si="87"/>
        <v>0</v>
      </c>
      <c r="AQ160" s="194">
        <f t="shared" si="88"/>
        <v>0</v>
      </c>
      <c r="AR160" s="194">
        <f t="shared" si="88"/>
        <v>0</v>
      </c>
      <c r="AS160" s="194">
        <f t="shared" si="88"/>
        <v>0</v>
      </c>
      <c r="AT160" s="194">
        <f t="shared" si="73"/>
        <v>0</v>
      </c>
      <c r="AU160" s="33"/>
      <c r="AV160" s="33"/>
      <c r="AW160" s="33"/>
      <c r="AX160" s="33"/>
      <c r="AY160" s="76"/>
    </row>
    <row r="161" spans="3:51">
      <c r="C161" s="166" t="s">
        <v>36</v>
      </c>
      <c r="D161" s="4">
        <v>0.57999999999999996</v>
      </c>
      <c r="E161" s="188" t="s">
        <v>227</v>
      </c>
      <c r="F161" s="343">
        <f>IF(OR(Tableau145[[#This Row],[Type]]="Feuillus",Tableau145[[#This Row],[Type]]="Peupliers"),1.56,1.3)</f>
        <v>1.56</v>
      </c>
      <c r="I161" s="55">
        <v>156</v>
      </c>
      <c r="J161" s="33">
        <f t="shared" si="91"/>
        <v>0</v>
      </c>
      <c r="K161" s="33">
        <f t="shared" si="92"/>
        <v>0</v>
      </c>
      <c r="L161" s="33">
        <f t="shared" si="93"/>
        <v>0</v>
      </c>
      <c r="M161" s="33">
        <f t="shared" si="94"/>
        <v>0</v>
      </c>
      <c r="N161" s="33">
        <f t="shared" si="74"/>
        <v>0</v>
      </c>
      <c r="O161" s="34">
        <f t="shared" si="75"/>
        <v>0</v>
      </c>
      <c r="P161" s="55">
        <v>156</v>
      </c>
      <c r="Q161" s="33">
        <f t="shared" si="89"/>
        <v>0</v>
      </c>
      <c r="R161" s="33">
        <f t="shared" si="95"/>
        <v>0</v>
      </c>
      <c r="S161" s="33">
        <f t="shared" si="96"/>
        <v>0</v>
      </c>
      <c r="T161" s="33">
        <f t="shared" si="76"/>
        <v>0</v>
      </c>
      <c r="U161" s="33">
        <f t="shared" si="90"/>
        <v>0</v>
      </c>
      <c r="V161" s="33">
        <f t="shared" si="77"/>
        <v>0</v>
      </c>
      <c r="W161" s="33">
        <v>0</v>
      </c>
      <c r="X161" s="33">
        <f t="shared" si="78"/>
        <v>0</v>
      </c>
      <c r="Y161" s="38">
        <f t="shared" si="79"/>
        <v>0</v>
      </c>
      <c r="AA161" s="71">
        <v>156</v>
      </c>
      <c r="AB161" s="33">
        <f t="shared" si="80"/>
        <v>0</v>
      </c>
      <c r="AC161" s="305">
        <f t="shared" si="101"/>
        <v>0</v>
      </c>
      <c r="AD161" s="100">
        <f t="shared" si="81"/>
        <v>0</v>
      </c>
      <c r="AE161" s="100">
        <f t="shared" si="82"/>
        <v>0</v>
      </c>
      <c r="AF161" s="194">
        <f t="shared" si="97"/>
        <v>0</v>
      </c>
      <c r="AG161" s="194">
        <f t="shared" si="98"/>
        <v>0</v>
      </c>
      <c r="AH161" s="194">
        <f t="shared" si="99"/>
        <v>0</v>
      </c>
      <c r="AI161" s="199">
        <f t="shared" si="100"/>
        <v>0</v>
      </c>
      <c r="AK161" s="71">
        <v>156</v>
      </c>
      <c r="AL161" s="33">
        <f t="shared" si="83"/>
        <v>0</v>
      </c>
      <c r="AM161" s="33">
        <f t="shared" si="84"/>
        <v>0</v>
      </c>
      <c r="AN161" s="33">
        <f t="shared" si="85"/>
        <v>0</v>
      </c>
      <c r="AO161" s="33">
        <f t="shared" si="86"/>
        <v>0</v>
      </c>
      <c r="AP161" s="33">
        <f t="shared" si="87"/>
        <v>0</v>
      </c>
      <c r="AQ161" s="194">
        <f t="shared" si="88"/>
        <v>0</v>
      </c>
      <c r="AR161" s="194">
        <f t="shared" si="88"/>
        <v>0</v>
      </c>
      <c r="AS161" s="194">
        <f t="shared" si="88"/>
        <v>0</v>
      </c>
      <c r="AT161" s="194">
        <f t="shared" si="73"/>
        <v>0</v>
      </c>
      <c r="AU161" s="33"/>
      <c r="AV161" s="33"/>
      <c r="AW161" s="33"/>
      <c r="AX161" s="33"/>
      <c r="AY161" s="76"/>
    </row>
    <row r="162" spans="3:51">
      <c r="C162" s="166" t="s">
        <v>37</v>
      </c>
      <c r="D162" s="4">
        <v>0.57999999999999996</v>
      </c>
      <c r="E162" s="188" t="s">
        <v>228</v>
      </c>
      <c r="F162" s="343">
        <f>IF(OR(Tableau145[[#This Row],[Type]]="Feuillus",Tableau145[[#This Row],[Type]]="Peupliers"),1.56,1.3)</f>
        <v>1.3</v>
      </c>
      <c r="I162" s="55">
        <v>157</v>
      </c>
      <c r="J162" s="33">
        <f t="shared" si="91"/>
        <v>0</v>
      </c>
      <c r="K162" s="33">
        <f t="shared" si="92"/>
        <v>0</v>
      </c>
      <c r="L162" s="33">
        <f t="shared" si="93"/>
        <v>0</v>
      </c>
      <c r="M162" s="33">
        <f t="shared" si="94"/>
        <v>0</v>
      </c>
      <c r="N162" s="33">
        <f t="shared" si="74"/>
        <v>0</v>
      </c>
      <c r="O162" s="34">
        <f t="shared" si="75"/>
        <v>0</v>
      </c>
      <c r="P162" s="55">
        <v>157</v>
      </c>
      <c r="Q162" s="33">
        <f t="shared" si="89"/>
        <v>0</v>
      </c>
      <c r="R162" s="33">
        <f t="shared" si="95"/>
        <v>0</v>
      </c>
      <c r="S162" s="33">
        <f t="shared" si="96"/>
        <v>0</v>
      </c>
      <c r="T162" s="33">
        <f t="shared" si="76"/>
        <v>0</v>
      </c>
      <c r="U162" s="33">
        <f t="shared" si="90"/>
        <v>0</v>
      </c>
      <c r="V162" s="33">
        <f t="shared" si="77"/>
        <v>0</v>
      </c>
      <c r="W162" s="33">
        <v>0</v>
      </c>
      <c r="X162" s="33">
        <f t="shared" si="78"/>
        <v>0</v>
      </c>
      <c r="Y162" s="38">
        <f t="shared" si="79"/>
        <v>0</v>
      </c>
      <c r="AA162" s="71">
        <v>157</v>
      </c>
      <c r="AB162" s="33">
        <f t="shared" si="80"/>
        <v>0</v>
      </c>
      <c r="AC162" s="305">
        <f t="shared" si="101"/>
        <v>0</v>
      </c>
      <c r="AD162" s="100">
        <f t="shared" si="81"/>
        <v>0</v>
      </c>
      <c r="AE162" s="100">
        <f t="shared" si="82"/>
        <v>0</v>
      </c>
      <c r="AF162" s="194">
        <f t="shared" si="97"/>
        <v>0</v>
      </c>
      <c r="AG162" s="194">
        <f t="shared" si="98"/>
        <v>0</v>
      </c>
      <c r="AH162" s="194">
        <f t="shared" si="99"/>
        <v>0</v>
      </c>
      <c r="AI162" s="199">
        <f t="shared" si="100"/>
        <v>0</v>
      </c>
      <c r="AK162" s="71">
        <v>157</v>
      </c>
      <c r="AL162" s="33">
        <f t="shared" si="83"/>
        <v>0</v>
      </c>
      <c r="AM162" s="33">
        <f t="shared" si="84"/>
        <v>0</v>
      </c>
      <c r="AN162" s="33">
        <f t="shared" si="85"/>
        <v>0</v>
      </c>
      <c r="AO162" s="33">
        <f t="shared" si="86"/>
        <v>0</v>
      </c>
      <c r="AP162" s="33">
        <f t="shared" si="87"/>
        <v>0</v>
      </c>
      <c r="AQ162" s="194">
        <f t="shared" si="88"/>
        <v>0</v>
      </c>
      <c r="AR162" s="194">
        <f t="shared" si="88"/>
        <v>0</v>
      </c>
      <c r="AS162" s="194">
        <f t="shared" si="88"/>
        <v>0</v>
      </c>
      <c r="AT162" s="194">
        <f t="shared" si="73"/>
        <v>0</v>
      </c>
      <c r="AU162" s="33"/>
      <c r="AV162" s="33"/>
      <c r="AW162" s="33"/>
      <c r="AX162" s="33"/>
      <c r="AY162" s="76"/>
    </row>
    <row r="163" spans="3:51">
      <c r="C163" s="166" t="s">
        <v>38</v>
      </c>
      <c r="D163" s="4">
        <v>0.48</v>
      </c>
      <c r="E163" s="188" t="s">
        <v>228</v>
      </c>
      <c r="F163" s="343">
        <f>IF(OR(Tableau145[[#This Row],[Type]]="Feuillus",Tableau145[[#This Row],[Type]]="Peupliers"),1.56,1.3)</f>
        <v>1.3</v>
      </c>
      <c r="I163" s="55">
        <v>158</v>
      </c>
      <c r="J163" s="33">
        <f t="shared" si="91"/>
        <v>0</v>
      </c>
      <c r="K163" s="33">
        <f t="shared" si="92"/>
        <v>0</v>
      </c>
      <c r="L163" s="33">
        <f t="shared" si="93"/>
        <v>0</v>
      </c>
      <c r="M163" s="33">
        <f t="shared" si="94"/>
        <v>0</v>
      </c>
      <c r="N163" s="33">
        <f t="shared" si="74"/>
        <v>0</v>
      </c>
      <c r="O163" s="34">
        <f t="shared" si="75"/>
        <v>0</v>
      </c>
      <c r="P163" s="55">
        <v>158</v>
      </c>
      <c r="Q163" s="33">
        <f t="shared" si="89"/>
        <v>0</v>
      </c>
      <c r="R163" s="33">
        <f t="shared" si="95"/>
        <v>0</v>
      </c>
      <c r="S163" s="33">
        <f t="shared" si="96"/>
        <v>0</v>
      </c>
      <c r="T163" s="33">
        <f t="shared" si="76"/>
        <v>0</v>
      </c>
      <c r="U163" s="33">
        <f t="shared" si="90"/>
        <v>0</v>
      </c>
      <c r="V163" s="33">
        <f t="shared" si="77"/>
        <v>0</v>
      </c>
      <c r="W163" s="33">
        <v>0</v>
      </c>
      <c r="X163" s="33">
        <f t="shared" si="78"/>
        <v>0</v>
      </c>
      <c r="Y163" s="38">
        <f t="shared" si="79"/>
        <v>0</v>
      </c>
      <c r="AA163" s="71">
        <v>158</v>
      </c>
      <c r="AB163" s="33">
        <f t="shared" si="80"/>
        <v>0</v>
      </c>
      <c r="AC163" s="305">
        <f t="shared" si="101"/>
        <v>0</v>
      </c>
      <c r="AD163" s="100">
        <f t="shared" si="81"/>
        <v>0</v>
      </c>
      <c r="AE163" s="100">
        <f t="shared" si="82"/>
        <v>0</v>
      </c>
      <c r="AF163" s="194">
        <f t="shared" si="97"/>
        <v>0</v>
      </c>
      <c r="AG163" s="194">
        <f t="shared" si="98"/>
        <v>0</v>
      </c>
      <c r="AH163" s="194">
        <f t="shared" si="99"/>
        <v>0</v>
      </c>
      <c r="AI163" s="199">
        <f t="shared" si="100"/>
        <v>0</v>
      </c>
      <c r="AK163" s="71">
        <v>158</v>
      </c>
      <c r="AL163" s="33">
        <f t="shared" si="83"/>
        <v>0</v>
      </c>
      <c r="AM163" s="33">
        <f t="shared" si="84"/>
        <v>0</v>
      </c>
      <c r="AN163" s="33">
        <f t="shared" si="85"/>
        <v>0</v>
      </c>
      <c r="AO163" s="33">
        <f t="shared" si="86"/>
        <v>0</v>
      </c>
      <c r="AP163" s="33">
        <f t="shared" si="87"/>
        <v>0</v>
      </c>
      <c r="AQ163" s="194">
        <f t="shared" si="88"/>
        <v>0</v>
      </c>
      <c r="AR163" s="194">
        <f t="shared" si="88"/>
        <v>0</v>
      </c>
      <c r="AS163" s="194">
        <f t="shared" si="88"/>
        <v>0</v>
      </c>
      <c r="AT163" s="194">
        <f t="shared" si="73"/>
        <v>0</v>
      </c>
      <c r="AU163" s="33"/>
      <c r="AV163" s="33"/>
      <c r="AW163" s="33"/>
      <c r="AX163" s="33"/>
      <c r="AY163" s="76"/>
    </row>
    <row r="164" spans="3:51">
      <c r="C164" s="166" t="s">
        <v>39</v>
      </c>
      <c r="D164" s="4">
        <v>0.42</v>
      </c>
      <c r="E164" s="188" t="s">
        <v>228</v>
      </c>
      <c r="F164" s="343">
        <f>IF(OR(Tableau145[[#This Row],[Type]]="Feuillus",Tableau145[[#This Row],[Type]]="Peupliers"),1.56,1.3)</f>
        <v>1.3</v>
      </c>
      <c r="I164" s="55">
        <v>159</v>
      </c>
      <c r="J164" s="33">
        <f t="shared" si="91"/>
        <v>0</v>
      </c>
      <c r="K164" s="33">
        <f t="shared" si="92"/>
        <v>0</v>
      </c>
      <c r="L164" s="33">
        <f t="shared" si="93"/>
        <v>0</v>
      </c>
      <c r="M164" s="33">
        <f t="shared" si="94"/>
        <v>0</v>
      </c>
      <c r="N164" s="33">
        <f t="shared" si="74"/>
        <v>0</v>
      </c>
      <c r="O164" s="34">
        <f t="shared" si="75"/>
        <v>0</v>
      </c>
      <c r="P164" s="55">
        <v>159</v>
      </c>
      <c r="Q164" s="33">
        <f t="shared" si="89"/>
        <v>0</v>
      </c>
      <c r="R164" s="33">
        <f t="shared" si="95"/>
        <v>0</v>
      </c>
      <c r="S164" s="33">
        <f t="shared" si="96"/>
        <v>0</v>
      </c>
      <c r="T164" s="33">
        <f t="shared" si="76"/>
        <v>0</v>
      </c>
      <c r="U164" s="33">
        <f t="shared" si="90"/>
        <v>0</v>
      </c>
      <c r="V164" s="33">
        <f t="shared" si="77"/>
        <v>0</v>
      </c>
      <c r="W164" s="33">
        <v>0</v>
      </c>
      <c r="X164" s="33">
        <f t="shared" si="78"/>
        <v>0</v>
      </c>
      <c r="Y164" s="38">
        <f t="shared" si="79"/>
        <v>0</v>
      </c>
      <c r="AA164" s="71">
        <v>159</v>
      </c>
      <c r="AB164" s="33">
        <f t="shared" si="80"/>
        <v>0</v>
      </c>
      <c r="AC164" s="305">
        <f t="shared" si="101"/>
        <v>0</v>
      </c>
      <c r="AD164" s="100">
        <f t="shared" si="81"/>
        <v>0</v>
      </c>
      <c r="AE164" s="100">
        <f t="shared" si="82"/>
        <v>0</v>
      </c>
      <c r="AF164" s="194">
        <f t="shared" si="97"/>
        <v>0</v>
      </c>
      <c r="AG164" s="194">
        <f t="shared" si="98"/>
        <v>0</v>
      </c>
      <c r="AH164" s="194">
        <f t="shared" si="99"/>
        <v>0</v>
      </c>
      <c r="AI164" s="199">
        <f t="shared" si="100"/>
        <v>0</v>
      </c>
      <c r="AK164" s="71">
        <v>159</v>
      </c>
      <c r="AL164" s="33">
        <f t="shared" si="83"/>
        <v>0</v>
      </c>
      <c r="AM164" s="33">
        <f t="shared" si="84"/>
        <v>0</v>
      </c>
      <c r="AN164" s="33">
        <f t="shared" si="85"/>
        <v>0</v>
      </c>
      <c r="AO164" s="33">
        <f t="shared" si="86"/>
        <v>0</v>
      </c>
      <c r="AP164" s="33">
        <f t="shared" si="87"/>
        <v>0</v>
      </c>
      <c r="AQ164" s="194">
        <f t="shared" si="88"/>
        <v>0</v>
      </c>
      <c r="AR164" s="194">
        <f t="shared" si="88"/>
        <v>0</v>
      </c>
      <c r="AS164" s="194">
        <f t="shared" si="88"/>
        <v>0</v>
      </c>
      <c r="AT164" s="194">
        <f t="shared" si="73"/>
        <v>0</v>
      </c>
      <c r="AU164" s="33"/>
      <c r="AV164" s="33"/>
      <c r="AW164" s="33"/>
      <c r="AX164" s="33"/>
      <c r="AY164" s="76"/>
    </row>
    <row r="165" spans="3:51">
      <c r="C165" s="166" t="s">
        <v>40</v>
      </c>
      <c r="D165" s="4">
        <v>0.5</v>
      </c>
      <c r="E165" s="188" t="s">
        <v>227</v>
      </c>
      <c r="F165" s="343">
        <f>IF(OR(Tableau145[[#This Row],[Type]]="Feuillus",Tableau145[[#This Row],[Type]]="Peupliers"),1.56,1.3)</f>
        <v>1.56</v>
      </c>
      <c r="I165" s="55">
        <v>160</v>
      </c>
      <c r="J165" s="33">
        <f t="shared" si="91"/>
        <v>0</v>
      </c>
      <c r="K165" s="33">
        <f t="shared" si="92"/>
        <v>0</v>
      </c>
      <c r="L165" s="33">
        <f t="shared" si="93"/>
        <v>0</v>
      </c>
      <c r="M165" s="33">
        <f t="shared" si="94"/>
        <v>0</v>
      </c>
      <c r="N165" s="33">
        <f t="shared" si="74"/>
        <v>0</v>
      </c>
      <c r="O165" s="34">
        <f t="shared" si="75"/>
        <v>0</v>
      </c>
      <c r="P165" s="55">
        <v>160</v>
      </c>
      <c r="Q165" s="33">
        <f t="shared" si="89"/>
        <v>0</v>
      </c>
      <c r="R165" s="33">
        <f t="shared" si="95"/>
        <v>0</v>
      </c>
      <c r="S165" s="33">
        <f t="shared" si="96"/>
        <v>0</v>
      </c>
      <c r="T165" s="33">
        <f t="shared" si="76"/>
        <v>0</v>
      </c>
      <c r="U165" s="33">
        <f t="shared" si="90"/>
        <v>0</v>
      </c>
      <c r="V165" s="33">
        <f t="shared" si="77"/>
        <v>0</v>
      </c>
      <c r="W165" s="33">
        <v>0</v>
      </c>
      <c r="X165" s="33">
        <f t="shared" si="78"/>
        <v>0</v>
      </c>
      <c r="Y165" s="38">
        <f t="shared" si="79"/>
        <v>0</v>
      </c>
      <c r="AA165" s="71">
        <v>160</v>
      </c>
      <c r="AB165" s="33">
        <f t="shared" si="80"/>
        <v>0</v>
      </c>
      <c r="AC165" s="305">
        <f t="shared" si="101"/>
        <v>0</v>
      </c>
      <c r="AD165" s="100">
        <f t="shared" si="81"/>
        <v>0</v>
      </c>
      <c r="AE165" s="100">
        <f t="shared" si="82"/>
        <v>0</v>
      </c>
      <c r="AF165" s="194">
        <f t="shared" si="97"/>
        <v>0</v>
      </c>
      <c r="AG165" s="194">
        <f t="shared" si="98"/>
        <v>0</v>
      </c>
      <c r="AH165" s="194">
        <f t="shared" si="99"/>
        <v>0</v>
      </c>
      <c r="AI165" s="199">
        <f t="shared" si="100"/>
        <v>0</v>
      </c>
      <c r="AK165" s="71">
        <v>160</v>
      </c>
      <c r="AL165" s="33">
        <f t="shared" si="83"/>
        <v>0</v>
      </c>
      <c r="AM165" s="33">
        <f t="shared" si="84"/>
        <v>0</v>
      </c>
      <c r="AN165" s="33">
        <f t="shared" si="85"/>
        <v>0</v>
      </c>
      <c r="AO165" s="33">
        <f t="shared" si="86"/>
        <v>0</v>
      </c>
      <c r="AP165" s="33">
        <f t="shared" si="87"/>
        <v>0</v>
      </c>
      <c r="AQ165" s="194">
        <f t="shared" si="88"/>
        <v>0</v>
      </c>
      <c r="AR165" s="194">
        <f t="shared" si="88"/>
        <v>0</v>
      </c>
      <c r="AS165" s="194">
        <f t="shared" si="88"/>
        <v>0</v>
      </c>
      <c r="AT165" s="194">
        <f t="shared" si="73"/>
        <v>0</v>
      </c>
      <c r="AU165" s="33"/>
      <c r="AV165" s="33"/>
      <c r="AW165" s="33"/>
      <c r="AX165" s="33"/>
      <c r="AY165" s="76"/>
    </row>
    <row r="166" spans="3:51">
      <c r="C166" s="166" t="s">
        <v>41</v>
      </c>
      <c r="D166" s="4">
        <v>0.55000000000000004</v>
      </c>
      <c r="E166" s="188" t="s">
        <v>227</v>
      </c>
      <c r="F166" s="343">
        <f>IF(OR(Tableau145[[#This Row],[Type]]="Feuillus",Tableau145[[#This Row],[Type]]="Peupliers"),1.56,1.3)</f>
        <v>1.56</v>
      </c>
      <c r="I166" s="55">
        <v>161</v>
      </c>
      <c r="J166" s="33">
        <f t="shared" si="91"/>
        <v>0</v>
      </c>
      <c r="K166" s="33">
        <f t="shared" si="92"/>
        <v>0</v>
      </c>
      <c r="L166" s="33">
        <f t="shared" si="93"/>
        <v>0</v>
      </c>
      <c r="M166" s="33">
        <f t="shared" si="94"/>
        <v>0</v>
      </c>
      <c r="N166" s="33">
        <f t="shared" si="74"/>
        <v>0</v>
      </c>
      <c r="O166" s="34">
        <f t="shared" si="75"/>
        <v>0</v>
      </c>
      <c r="P166" s="55">
        <v>161</v>
      </c>
      <c r="Q166" s="33">
        <f t="shared" si="89"/>
        <v>0</v>
      </c>
      <c r="R166" s="33">
        <f t="shared" si="95"/>
        <v>0</v>
      </c>
      <c r="S166" s="33">
        <f t="shared" si="96"/>
        <v>0</v>
      </c>
      <c r="T166" s="33">
        <f t="shared" si="76"/>
        <v>0</v>
      </c>
      <c r="U166" s="33">
        <f t="shared" si="90"/>
        <v>0</v>
      </c>
      <c r="V166" s="33">
        <f t="shared" si="77"/>
        <v>0</v>
      </c>
      <c r="W166" s="33">
        <v>0</v>
      </c>
      <c r="X166" s="33">
        <f t="shared" si="78"/>
        <v>0</v>
      </c>
      <c r="Y166" s="38">
        <f t="shared" si="79"/>
        <v>0</v>
      </c>
      <c r="AA166" s="71">
        <v>161</v>
      </c>
      <c r="AB166" s="33">
        <f t="shared" si="80"/>
        <v>0</v>
      </c>
      <c r="AC166" s="305">
        <f t="shared" si="101"/>
        <v>0</v>
      </c>
      <c r="AD166" s="100">
        <f t="shared" si="81"/>
        <v>0</v>
      </c>
      <c r="AE166" s="100">
        <f t="shared" si="82"/>
        <v>0</v>
      </c>
      <c r="AF166" s="194">
        <f t="shared" si="97"/>
        <v>0</v>
      </c>
      <c r="AG166" s="194">
        <f t="shared" si="98"/>
        <v>0</v>
      </c>
      <c r="AH166" s="194">
        <f t="shared" si="99"/>
        <v>0</v>
      </c>
      <c r="AI166" s="199">
        <f t="shared" si="100"/>
        <v>0</v>
      </c>
      <c r="AK166" s="71">
        <v>161</v>
      </c>
      <c r="AL166" s="33">
        <f t="shared" si="83"/>
        <v>0</v>
      </c>
      <c r="AM166" s="33">
        <f t="shared" si="84"/>
        <v>0</v>
      </c>
      <c r="AN166" s="33">
        <f t="shared" si="85"/>
        <v>0</v>
      </c>
      <c r="AO166" s="33">
        <f t="shared" si="86"/>
        <v>0</v>
      </c>
      <c r="AP166" s="33">
        <f t="shared" si="87"/>
        <v>0</v>
      </c>
      <c r="AQ166" s="194">
        <f t="shared" si="88"/>
        <v>0</v>
      </c>
      <c r="AR166" s="194">
        <f t="shared" si="88"/>
        <v>0</v>
      </c>
      <c r="AS166" s="194">
        <f t="shared" si="88"/>
        <v>0</v>
      </c>
      <c r="AT166" s="194">
        <f t="shared" si="73"/>
        <v>0</v>
      </c>
      <c r="AU166" s="33"/>
      <c r="AV166" s="33"/>
      <c r="AW166" s="33"/>
      <c r="AX166" s="33"/>
      <c r="AY166" s="76"/>
    </row>
    <row r="167" spans="3:51">
      <c r="C167" s="166" t="s">
        <v>42</v>
      </c>
      <c r="D167" s="4">
        <v>0.53</v>
      </c>
      <c r="E167" s="188" t="s">
        <v>227</v>
      </c>
      <c r="F167" s="343">
        <f>IF(OR(Tableau145[[#This Row],[Type]]="Feuillus",Tableau145[[#This Row],[Type]]="Peupliers"),1.56,1.3)</f>
        <v>1.56</v>
      </c>
      <c r="I167" s="55">
        <v>162</v>
      </c>
      <c r="J167" s="33">
        <f t="shared" si="91"/>
        <v>0</v>
      </c>
      <c r="K167" s="33">
        <f t="shared" si="92"/>
        <v>0</v>
      </c>
      <c r="L167" s="33">
        <f t="shared" si="93"/>
        <v>0</v>
      </c>
      <c r="M167" s="33">
        <f t="shared" si="94"/>
        <v>0</v>
      </c>
      <c r="N167" s="33">
        <f t="shared" si="74"/>
        <v>0</v>
      </c>
      <c r="O167" s="34">
        <f t="shared" si="75"/>
        <v>0</v>
      </c>
      <c r="P167" s="55">
        <v>162</v>
      </c>
      <c r="Q167" s="33">
        <f t="shared" si="89"/>
        <v>0</v>
      </c>
      <c r="R167" s="33">
        <f t="shared" si="95"/>
        <v>0</v>
      </c>
      <c r="S167" s="33">
        <f t="shared" si="96"/>
        <v>0</v>
      </c>
      <c r="T167" s="33">
        <f t="shared" si="76"/>
        <v>0</v>
      </c>
      <c r="U167" s="33">
        <f t="shared" si="90"/>
        <v>0</v>
      </c>
      <c r="V167" s="33">
        <f t="shared" si="77"/>
        <v>0</v>
      </c>
      <c r="W167" s="33">
        <v>0</v>
      </c>
      <c r="X167" s="33">
        <f t="shared" si="78"/>
        <v>0</v>
      </c>
      <c r="Y167" s="38">
        <f t="shared" si="79"/>
        <v>0</v>
      </c>
      <c r="AA167" s="71">
        <v>162</v>
      </c>
      <c r="AB167" s="33">
        <f t="shared" si="80"/>
        <v>0</v>
      </c>
      <c r="AC167" s="305">
        <f t="shared" si="101"/>
        <v>0</v>
      </c>
      <c r="AD167" s="100">
        <f t="shared" si="81"/>
        <v>0</v>
      </c>
      <c r="AE167" s="100">
        <f t="shared" si="82"/>
        <v>0</v>
      </c>
      <c r="AF167" s="194">
        <f t="shared" si="97"/>
        <v>0</v>
      </c>
      <c r="AG167" s="194">
        <f t="shared" si="98"/>
        <v>0</v>
      </c>
      <c r="AH167" s="194">
        <f t="shared" si="99"/>
        <v>0</v>
      </c>
      <c r="AI167" s="199">
        <f t="shared" si="100"/>
        <v>0</v>
      </c>
      <c r="AK167" s="71">
        <v>162</v>
      </c>
      <c r="AL167" s="33">
        <f t="shared" si="83"/>
        <v>0</v>
      </c>
      <c r="AM167" s="33">
        <f t="shared" si="84"/>
        <v>0</v>
      </c>
      <c r="AN167" s="33">
        <f t="shared" si="85"/>
        <v>0</v>
      </c>
      <c r="AO167" s="33">
        <f t="shared" si="86"/>
        <v>0</v>
      </c>
      <c r="AP167" s="33">
        <f t="shared" si="87"/>
        <v>0</v>
      </c>
      <c r="AQ167" s="194">
        <f t="shared" si="88"/>
        <v>0</v>
      </c>
      <c r="AR167" s="194">
        <f t="shared" si="88"/>
        <v>0</v>
      </c>
      <c r="AS167" s="194">
        <f t="shared" si="88"/>
        <v>0</v>
      </c>
      <c r="AT167" s="194">
        <f t="shared" si="73"/>
        <v>0</v>
      </c>
      <c r="AU167" s="33"/>
      <c r="AV167" s="33"/>
      <c r="AW167" s="33"/>
      <c r="AX167" s="33"/>
      <c r="AY167" s="76"/>
    </row>
    <row r="168" spans="3:51">
      <c r="C168" s="166" t="s">
        <v>43</v>
      </c>
      <c r="D168" s="4">
        <v>0.52</v>
      </c>
      <c r="E168" s="188" t="s">
        <v>227</v>
      </c>
      <c r="F168" s="343">
        <f>IF(OR(Tableau145[[#This Row],[Type]]="Feuillus",Tableau145[[#This Row],[Type]]="Peupliers"),1.56,1.3)</f>
        <v>1.56</v>
      </c>
      <c r="I168" s="55">
        <v>163</v>
      </c>
      <c r="J168" s="33">
        <f t="shared" si="91"/>
        <v>0</v>
      </c>
      <c r="K168" s="33">
        <f t="shared" si="92"/>
        <v>0</v>
      </c>
      <c r="L168" s="33">
        <f t="shared" si="93"/>
        <v>0</v>
      </c>
      <c r="M168" s="33">
        <f t="shared" si="94"/>
        <v>0</v>
      </c>
      <c r="N168" s="33">
        <f t="shared" si="74"/>
        <v>0</v>
      </c>
      <c r="O168" s="34">
        <f t="shared" si="75"/>
        <v>0</v>
      </c>
      <c r="P168" s="55">
        <v>163</v>
      </c>
      <c r="Q168" s="33">
        <f t="shared" si="89"/>
        <v>0</v>
      </c>
      <c r="R168" s="33">
        <f t="shared" si="95"/>
        <v>0</v>
      </c>
      <c r="S168" s="33">
        <f t="shared" si="96"/>
        <v>0</v>
      </c>
      <c r="T168" s="33">
        <f t="shared" si="76"/>
        <v>0</v>
      </c>
      <c r="U168" s="33">
        <f t="shared" si="90"/>
        <v>0</v>
      </c>
      <c r="V168" s="33">
        <f t="shared" si="77"/>
        <v>0</v>
      </c>
      <c r="W168" s="33">
        <v>0</v>
      </c>
      <c r="X168" s="33">
        <f t="shared" si="78"/>
        <v>0</v>
      </c>
      <c r="Y168" s="38">
        <f t="shared" si="79"/>
        <v>0</v>
      </c>
      <c r="AA168" s="71">
        <v>163</v>
      </c>
      <c r="AB168" s="33">
        <f t="shared" si="80"/>
        <v>0</v>
      </c>
      <c r="AC168" s="305">
        <f t="shared" si="101"/>
        <v>0</v>
      </c>
      <c r="AD168" s="100">
        <f t="shared" si="81"/>
        <v>0</v>
      </c>
      <c r="AE168" s="100">
        <f t="shared" si="82"/>
        <v>0</v>
      </c>
      <c r="AF168" s="194">
        <f t="shared" si="97"/>
        <v>0</v>
      </c>
      <c r="AG168" s="194">
        <f t="shared" si="98"/>
        <v>0</v>
      </c>
      <c r="AH168" s="194">
        <f t="shared" si="99"/>
        <v>0</v>
      </c>
      <c r="AI168" s="199">
        <f t="shared" si="100"/>
        <v>0</v>
      </c>
      <c r="AK168" s="71">
        <v>163</v>
      </c>
      <c r="AL168" s="33">
        <f t="shared" si="83"/>
        <v>0</v>
      </c>
      <c r="AM168" s="33">
        <f t="shared" si="84"/>
        <v>0</v>
      </c>
      <c r="AN168" s="33">
        <f t="shared" si="85"/>
        <v>0</v>
      </c>
      <c r="AO168" s="33">
        <f t="shared" si="86"/>
        <v>0</v>
      </c>
      <c r="AP168" s="33">
        <f t="shared" si="87"/>
        <v>0</v>
      </c>
      <c r="AQ168" s="194">
        <f t="shared" si="88"/>
        <v>0</v>
      </c>
      <c r="AR168" s="194">
        <f t="shared" si="88"/>
        <v>0</v>
      </c>
      <c r="AS168" s="194">
        <f t="shared" si="88"/>
        <v>0</v>
      </c>
      <c r="AT168" s="194">
        <f t="shared" si="73"/>
        <v>0</v>
      </c>
      <c r="AU168" s="33"/>
      <c r="AV168" s="33"/>
      <c r="AW168" s="33"/>
      <c r="AX168" s="33"/>
      <c r="AY168" s="76"/>
    </row>
    <row r="169" spans="3:51">
      <c r="C169" s="166" t="s">
        <v>44</v>
      </c>
      <c r="D169" s="4">
        <v>0.52</v>
      </c>
      <c r="E169" s="188" t="s">
        <v>227</v>
      </c>
      <c r="F169" s="343">
        <f>IF(OR(Tableau145[[#This Row],[Type]]="Feuillus",Tableau145[[#This Row],[Type]]="Peupliers"),1.56,1.3)</f>
        <v>1.56</v>
      </c>
      <c r="I169" s="55">
        <v>164</v>
      </c>
      <c r="J169" s="33">
        <f t="shared" si="91"/>
        <v>0</v>
      </c>
      <c r="K169" s="33">
        <f t="shared" si="92"/>
        <v>0</v>
      </c>
      <c r="L169" s="33">
        <f t="shared" si="93"/>
        <v>0</v>
      </c>
      <c r="M169" s="33">
        <f t="shared" si="94"/>
        <v>0</v>
      </c>
      <c r="N169" s="33">
        <f t="shared" si="74"/>
        <v>0</v>
      </c>
      <c r="O169" s="34">
        <f t="shared" si="75"/>
        <v>0</v>
      </c>
      <c r="P169" s="55">
        <v>164</v>
      </c>
      <c r="Q169" s="33">
        <f t="shared" si="89"/>
        <v>0</v>
      </c>
      <c r="R169" s="33">
        <f t="shared" si="95"/>
        <v>0</v>
      </c>
      <c r="S169" s="33">
        <f t="shared" si="96"/>
        <v>0</v>
      </c>
      <c r="T169" s="33">
        <f t="shared" si="76"/>
        <v>0</v>
      </c>
      <c r="U169" s="33">
        <f t="shared" si="90"/>
        <v>0</v>
      </c>
      <c r="V169" s="33">
        <f t="shared" si="77"/>
        <v>0</v>
      </c>
      <c r="W169" s="33">
        <v>0</v>
      </c>
      <c r="X169" s="33">
        <f t="shared" si="78"/>
        <v>0</v>
      </c>
      <c r="Y169" s="38">
        <f t="shared" si="79"/>
        <v>0</v>
      </c>
      <c r="AA169" s="71">
        <v>164</v>
      </c>
      <c r="AB169" s="33">
        <f t="shared" si="80"/>
        <v>0</v>
      </c>
      <c r="AC169" s="305">
        <f t="shared" si="101"/>
        <v>0</v>
      </c>
      <c r="AD169" s="100">
        <f t="shared" si="81"/>
        <v>0</v>
      </c>
      <c r="AE169" s="100">
        <f t="shared" si="82"/>
        <v>0</v>
      </c>
      <c r="AF169" s="194">
        <f t="shared" si="97"/>
        <v>0</v>
      </c>
      <c r="AG169" s="194">
        <f t="shared" si="98"/>
        <v>0</v>
      </c>
      <c r="AH169" s="194">
        <f t="shared" si="99"/>
        <v>0</v>
      </c>
      <c r="AI169" s="199">
        <f t="shared" si="100"/>
        <v>0</v>
      </c>
      <c r="AK169" s="71">
        <v>164</v>
      </c>
      <c r="AL169" s="33">
        <f t="shared" si="83"/>
        <v>0</v>
      </c>
      <c r="AM169" s="33">
        <f t="shared" si="84"/>
        <v>0</v>
      </c>
      <c r="AN169" s="33">
        <f t="shared" si="85"/>
        <v>0</v>
      </c>
      <c r="AO169" s="33">
        <f t="shared" si="86"/>
        <v>0</v>
      </c>
      <c r="AP169" s="33">
        <f t="shared" si="87"/>
        <v>0</v>
      </c>
      <c r="AQ169" s="194">
        <f t="shared" si="88"/>
        <v>0</v>
      </c>
      <c r="AR169" s="194">
        <f t="shared" si="88"/>
        <v>0</v>
      </c>
      <c r="AS169" s="194">
        <f t="shared" si="88"/>
        <v>0</v>
      </c>
      <c r="AT169" s="194">
        <f t="shared" si="73"/>
        <v>0</v>
      </c>
      <c r="AU169" s="33"/>
      <c r="AV169" s="33"/>
      <c r="AW169" s="33"/>
      <c r="AX169" s="33"/>
      <c r="AY169" s="76"/>
    </row>
    <row r="170" spans="3:51">
      <c r="C170" s="166" t="s">
        <v>45</v>
      </c>
      <c r="D170" s="4">
        <v>0.75</v>
      </c>
      <c r="E170" s="188" t="s">
        <v>227</v>
      </c>
      <c r="F170" s="343">
        <f>IF(OR(Tableau145[[#This Row],[Type]]="Feuillus",Tableau145[[#This Row],[Type]]="Peupliers"),1.56,1.3)</f>
        <v>1.56</v>
      </c>
      <c r="I170" s="55">
        <v>165</v>
      </c>
      <c r="J170" s="33">
        <f t="shared" si="91"/>
        <v>0</v>
      </c>
      <c r="K170" s="33">
        <f t="shared" si="92"/>
        <v>0</v>
      </c>
      <c r="L170" s="33">
        <f t="shared" si="93"/>
        <v>0</v>
      </c>
      <c r="M170" s="33">
        <f t="shared" si="94"/>
        <v>0</v>
      </c>
      <c r="N170" s="33">
        <f t="shared" si="74"/>
        <v>0</v>
      </c>
      <c r="O170" s="34">
        <f t="shared" si="75"/>
        <v>0</v>
      </c>
      <c r="P170" s="55">
        <v>165</v>
      </c>
      <c r="Q170" s="33">
        <f t="shared" si="89"/>
        <v>0</v>
      </c>
      <c r="R170" s="33">
        <f t="shared" si="95"/>
        <v>0</v>
      </c>
      <c r="S170" s="33">
        <f t="shared" si="96"/>
        <v>0</v>
      </c>
      <c r="T170" s="33">
        <f t="shared" si="76"/>
        <v>0</v>
      </c>
      <c r="U170" s="33">
        <f t="shared" si="90"/>
        <v>0</v>
      </c>
      <c r="V170" s="33">
        <f t="shared" si="77"/>
        <v>0</v>
      </c>
      <c r="W170" s="33">
        <v>0</v>
      </c>
      <c r="X170" s="33">
        <f t="shared" si="78"/>
        <v>0</v>
      </c>
      <c r="Y170" s="38">
        <f t="shared" si="79"/>
        <v>0</v>
      </c>
      <c r="AA170" s="71">
        <v>165</v>
      </c>
      <c r="AB170" s="33">
        <f t="shared" si="80"/>
        <v>0</v>
      </c>
      <c r="AC170" s="305">
        <f t="shared" si="101"/>
        <v>0</v>
      </c>
      <c r="AD170" s="100">
        <f t="shared" si="81"/>
        <v>0</v>
      </c>
      <c r="AE170" s="100">
        <f t="shared" si="82"/>
        <v>0</v>
      </c>
      <c r="AF170" s="194">
        <f t="shared" si="97"/>
        <v>0</v>
      </c>
      <c r="AG170" s="194">
        <f t="shared" si="98"/>
        <v>0</v>
      </c>
      <c r="AH170" s="194">
        <f t="shared" si="99"/>
        <v>0</v>
      </c>
      <c r="AI170" s="199">
        <f t="shared" si="100"/>
        <v>0</v>
      </c>
      <c r="AK170" s="71">
        <v>165</v>
      </c>
      <c r="AL170" s="33">
        <f t="shared" si="83"/>
        <v>0</v>
      </c>
      <c r="AM170" s="33">
        <f t="shared" si="84"/>
        <v>0</v>
      </c>
      <c r="AN170" s="33">
        <f t="shared" si="85"/>
        <v>0</v>
      </c>
      <c r="AO170" s="33">
        <f t="shared" si="86"/>
        <v>0</v>
      </c>
      <c r="AP170" s="33">
        <f t="shared" si="87"/>
        <v>0</v>
      </c>
      <c r="AQ170" s="194">
        <f t="shared" si="88"/>
        <v>0</v>
      </c>
      <c r="AR170" s="194">
        <f t="shared" si="88"/>
        <v>0</v>
      </c>
      <c r="AS170" s="194">
        <f t="shared" si="88"/>
        <v>0</v>
      </c>
      <c r="AT170" s="194">
        <f t="shared" si="73"/>
        <v>0</v>
      </c>
      <c r="AU170" s="33"/>
      <c r="AV170" s="33"/>
      <c r="AW170" s="33"/>
      <c r="AX170" s="33"/>
      <c r="AY170" s="76"/>
    </row>
    <row r="171" spans="3:51">
      <c r="C171" s="166" t="s">
        <v>46</v>
      </c>
      <c r="D171" s="4">
        <v>0.52</v>
      </c>
      <c r="E171" s="188" t="s">
        <v>227</v>
      </c>
      <c r="F171" s="343">
        <f>IF(OR(Tableau145[[#This Row],[Type]]="Feuillus",Tableau145[[#This Row],[Type]]="Peupliers"),1.56,1.3)</f>
        <v>1.56</v>
      </c>
      <c r="I171" s="55">
        <v>166</v>
      </c>
      <c r="J171" s="33">
        <f t="shared" si="91"/>
        <v>0</v>
      </c>
      <c r="K171" s="33">
        <f t="shared" si="92"/>
        <v>0</v>
      </c>
      <c r="L171" s="33">
        <f t="shared" si="93"/>
        <v>0</v>
      </c>
      <c r="M171" s="33">
        <f t="shared" si="94"/>
        <v>0</v>
      </c>
      <c r="N171" s="33">
        <f t="shared" si="74"/>
        <v>0</v>
      </c>
      <c r="O171" s="34">
        <f t="shared" si="75"/>
        <v>0</v>
      </c>
      <c r="P171" s="55">
        <v>166</v>
      </c>
      <c r="Q171" s="33">
        <f t="shared" si="89"/>
        <v>0</v>
      </c>
      <c r="R171" s="33">
        <f t="shared" si="95"/>
        <v>0</v>
      </c>
      <c r="S171" s="33">
        <f t="shared" si="96"/>
        <v>0</v>
      </c>
      <c r="T171" s="33">
        <f t="shared" si="76"/>
        <v>0</v>
      </c>
      <c r="U171" s="33">
        <f t="shared" si="90"/>
        <v>0</v>
      </c>
      <c r="V171" s="33">
        <f t="shared" si="77"/>
        <v>0</v>
      </c>
      <c r="W171" s="33">
        <v>0</v>
      </c>
      <c r="X171" s="33">
        <f t="shared" si="78"/>
        <v>0</v>
      </c>
      <c r="Y171" s="38">
        <f t="shared" si="79"/>
        <v>0</v>
      </c>
      <c r="AA171" s="71">
        <v>166</v>
      </c>
      <c r="AB171" s="33">
        <f t="shared" si="80"/>
        <v>0</v>
      </c>
      <c r="AC171" s="305">
        <f t="shared" si="101"/>
        <v>0</v>
      </c>
      <c r="AD171" s="100">
        <f t="shared" si="81"/>
        <v>0</v>
      </c>
      <c r="AE171" s="100">
        <f t="shared" si="82"/>
        <v>0</v>
      </c>
      <c r="AF171" s="194">
        <f t="shared" si="97"/>
        <v>0</v>
      </c>
      <c r="AG171" s="194">
        <f t="shared" si="98"/>
        <v>0</v>
      </c>
      <c r="AH171" s="194">
        <f t="shared" si="99"/>
        <v>0</v>
      </c>
      <c r="AI171" s="199">
        <f t="shared" si="100"/>
        <v>0</v>
      </c>
      <c r="AK171" s="71">
        <v>166</v>
      </c>
      <c r="AL171" s="33">
        <f t="shared" si="83"/>
        <v>0</v>
      </c>
      <c r="AM171" s="33">
        <f t="shared" si="84"/>
        <v>0</v>
      </c>
      <c r="AN171" s="33">
        <f t="shared" si="85"/>
        <v>0</v>
      </c>
      <c r="AO171" s="33">
        <f t="shared" si="86"/>
        <v>0</v>
      </c>
      <c r="AP171" s="33">
        <f t="shared" si="87"/>
        <v>0</v>
      </c>
      <c r="AQ171" s="194">
        <f t="shared" si="88"/>
        <v>0</v>
      </c>
      <c r="AR171" s="194">
        <f t="shared" si="88"/>
        <v>0</v>
      </c>
      <c r="AS171" s="194">
        <f t="shared" si="88"/>
        <v>0</v>
      </c>
      <c r="AT171" s="194">
        <f t="shared" si="73"/>
        <v>0</v>
      </c>
      <c r="AU171" s="33"/>
      <c r="AV171" s="33"/>
      <c r="AW171" s="33"/>
      <c r="AX171" s="33"/>
      <c r="AY171" s="76"/>
    </row>
    <row r="172" spans="3:51">
      <c r="C172" s="166" t="s">
        <v>47</v>
      </c>
      <c r="D172" s="4">
        <v>0.35</v>
      </c>
      <c r="E172" s="188" t="s">
        <v>229</v>
      </c>
      <c r="F172" s="343">
        <f>IF(OR(Tableau145[[#This Row],[Type]]="Feuillus",Tableau145[[#This Row],[Type]]="Peupliers"),1.56,1.3)</f>
        <v>1.56</v>
      </c>
      <c r="I172" s="55">
        <v>167</v>
      </c>
      <c r="J172" s="33">
        <f t="shared" si="91"/>
        <v>0</v>
      </c>
      <c r="K172" s="33">
        <f t="shared" si="92"/>
        <v>0</v>
      </c>
      <c r="L172" s="33">
        <f t="shared" si="93"/>
        <v>0</v>
      </c>
      <c r="M172" s="33">
        <f t="shared" si="94"/>
        <v>0</v>
      </c>
      <c r="N172" s="33">
        <f t="shared" si="74"/>
        <v>0</v>
      </c>
      <c r="O172" s="34">
        <f t="shared" si="75"/>
        <v>0</v>
      </c>
      <c r="P172" s="55">
        <v>167</v>
      </c>
      <c r="Q172" s="33">
        <f t="shared" si="89"/>
        <v>0</v>
      </c>
      <c r="R172" s="33">
        <f t="shared" si="95"/>
        <v>0</v>
      </c>
      <c r="S172" s="33">
        <f t="shared" si="96"/>
        <v>0</v>
      </c>
      <c r="T172" s="33">
        <f t="shared" si="76"/>
        <v>0</v>
      </c>
      <c r="U172" s="33">
        <f t="shared" si="90"/>
        <v>0</v>
      </c>
      <c r="V172" s="33">
        <f t="shared" si="77"/>
        <v>0</v>
      </c>
      <c r="W172" s="33">
        <v>0</v>
      </c>
      <c r="X172" s="33">
        <f t="shared" si="78"/>
        <v>0</v>
      </c>
      <c r="Y172" s="38">
        <f t="shared" si="79"/>
        <v>0</v>
      </c>
      <c r="AA172" s="71">
        <v>167</v>
      </c>
      <c r="AB172" s="33">
        <f t="shared" si="80"/>
        <v>0</v>
      </c>
      <c r="AC172" s="305">
        <f t="shared" si="101"/>
        <v>0</v>
      </c>
      <c r="AD172" s="100">
        <f t="shared" si="81"/>
        <v>0</v>
      </c>
      <c r="AE172" s="100">
        <f t="shared" si="82"/>
        <v>0</v>
      </c>
      <c r="AF172" s="194">
        <f t="shared" si="97"/>
        <v>0</v>
      </c>
      <c r="AG172" s="194">
        <f t="shared" si="98"/>
        <v>0</v>
      </c>
      <c r="AH172" s="194">
        <f t="shared" si="99"/>
        <v>0</v>
      </c>
      <c r="AI172" s="199">
        <f t="shared" si="100"/>
        <v>0</v>
      </c>
      <c r="AK172" s="71">
        <v>167</v>
      </c>
      <c r="AL172" s="33">
        <f t="shared" si="83"/>
        <v>0</v>
      </c>
      <c r="AM172" s="33">
        <f t="shared" si="84"/>
        <v>0</v>
      </c>
      <c r="AN172" s="33">
        <f t="shared" si="85"/>
        <v>0</v>
      </c>
      <c r="AO172" s="33">
        <f t="shared" si="86"/>
        <v>0</v>
      </c>
      <c r="AP172" s="33">
        <f t="shared" si="87"/>
        <v>0</v>
      </c>
      <c r="AQ172" s="194">
        <f t="shared" si="88"/>
        <v>0</v>
      </c>
      <c r="AR172" s="194">
        <f t="shared" si="88"/>
        <v>0</v>
      </c>
      <c r="AS172" s="194">
        <f t="shared" si="88"/>
        <v>0</v>
      </c>
      <c r="AT172" s="194">
        <f t="shared" si="73"/>
        <v>0</v>
      </c>
      <c r="AU172" s="33"/>
      <c r="AV172" s="33"/>
      <c r="AW172" s="33"/>
      <c r="AX172" s="33"/>
      <c r="AY172" s="76"/>
    </row>
    <row r="173" spans="3:51">
      <c r="C173" s="166" t="s">
        <v>48</v>
      </c>
      <c r="D173" s="4">
        <v>0.37</v>
      </c>
      <c r="E173" s="188" t="s">
        <v>227</v>
      </c>
      <c r="F173" s="343">
        <f>IF(OR(Tableau145[[#This Row],[Type]]="Feuillus",Tableau145[[#This Row],[Type]]="Peupliers"),1.56,1.3)</f>
        <v>1.56</v>
      </c>
      <c r="I173" s="55">
        <v>168</v>
      </c>
      <c r="J173" s="33">
        <f t="shared" si="91"/>
        <v>0</v>
      </c>
      <c r="K173" s="33">
        <f t="shared" si="92"/>
        <v>0</v>
      </c>
      <c r="L173" s="33">
        <f t="shared" si="93"/>
        <v>0</v>
      </c>
      <c r="M173" s="33">
        <f t="shared" si="94"/>
        <v>0</v>
      </c>
      <c r="N173" s="33">
        <f t="shared" si="74"/>
        <v>0</v>
      </c>
      <c r="O173" s="34">
        <f t="shared" si="75"/>
        <v>0</v>
      </c>
      <c r="P173" s="55">
        <v>168</v>
      </c>
      <c r="Q173" s="33">
        <f t="shared" si="89"/>
        <v>0</v>
      </c>
      <c r="R173" s="33">
        <f t="shared" si="95"/>
        <v>0</v>
      </c>
      <c r="S173" s="33">
        <f t="shared" si="96"/>
        <v>0</v>
      </c>
      <c r="T173" s="33">
        <f t="shared" si="76"/>
        <v>0</v>
      </c>
      <c r="U173" s="33">
        <f t="shared" si="90"/>
        <v>0</v>
      </c>
      <c r="V173" s="33">
        <f t="shared" si="77"/>
        <v>0</v>
      </c>
      <c r="W173" s="33">
        <v>0</v>
      </c>
      <c r="X173" s="33">
        <f t="shared" si="78"/>
        <v>0</v>
      </c>
      <c r="Y173" s="38">
        <f t="shared" si="79"/>
        <v>0</v>
      </c>
      <c r="AA173" s="71">
        <v>168</v>
      </c>
      <c r="AB173" s="33">
        <f t="shared" si="80"/>
        <v>0</v>
      </c>
      <c r="AC173" s="305">
        <f t="shared" si="101"/>
        <v>0</v>
      </c>
      <c r="AD173" s="100">
        <f t="shared" si="81"/>
        <v>0</v>
      </c>
      <c r="AE173" s="100">
        <f t="shared" si="82"/>
        <v>0</v>
      </c>
      <c r="AF173" s="194">
        <f t="shared" si="97"/>
        <v>0</v>
      </c>
      <c r="AG173" s="194">
        <f t="shared" si="98"/>
        <v>0</v>
      </c>
      <c r="AH173" s="194">
        <f t="shared" si="99"/>
        <v>0</v>
      </c>
      <c r="AI173" s="199">
        <f t="shared" si="100"/>
        <v>0</v>
      </c>
      <c r="AK173" s="71">
        <v>168</v>
      </c>
      <c r="AL173" s="33">
        <f t="shared" si="83"/>
        <v>0</v>
      </c>
      <c r="AM173" s="33">
        <f t="shared" si="84"/>
        <v>0</v>
      </c>
      <c r="AN173" s="33">
        <f t="shared" si="85"/>
        <v>0</v>
      </c>
      <c r="AO173" s="33">
        <f t="shared" si="86"/>
        <v>0</v>
      </c>
      <c r="AP173" s="33">
        <f t="shared" si="87"/>
        <v>0</v>
      </c>
      <c r="AQ173" s="194">
        <f t="shared" si="88"/>
        <v>0</v>
      </c>
      <c r="AR173" s="194">
        <f t="shared" si="88"/>
        <v>0</v>
      </c>
      <c r="AS173" s="194">
        <f t="shared" si="88"/>
        <v>0</v>
      </c>
      <c r="AT173" s="194">
        <f t="shared" si="73"/>
        <v>0</v>
      </c>
      <c r="AU173" s="33"/>
      <c r="AV173" s="33"/>
      <c r="AW173" s="33"/>
      <c r="AX173" s="33"/>
      <c r="AY173" s="76"/>
    </row>
    <row r="174" spans="3:51">
      <c r="C174" s="166" t="s">
        <v>49</v>
      </c>
      <c r="D174" s="4">
        <v>0.45</v>
      </c>
      <c r="E174" s="188" t="s">
        <v>228</v>
      </c>
      <c r="F174" s="343">
        <f>IF(OR(Tableau145[[#This Row],[Type]]="Feuillus",Tableau145[[#This Row],[Type]]="Peupliers"),1.56,1.3)</f>
        <v>1.3</v>
      </c>
      <c r="I174" s="55">
        <v>169</v>
      </c>
      <c r="J174" s="33">
        <f t="shared" si="91"/>
        <v>0</v>
      </c>
      <c r="K174" s="33">
        <f t="shared" si="92"/>
        <v>0</v>
      </c>
      <c r="L174" s="33">
        <f t="shared" si="93"/>
        <v>0</v>
      </c>
      <c r="M174" s="33">
        <f t="shared" si="94"/>
        <v>0</v>
      </c>
      <c r="N174" s="33">
        <f t="shared" si="74"/>
        <v>0</v>
      </c>
      <c r="O174" s="34">
        <f t="shared" si="75"/>
        <v>0</v>
      </c>
      <c r="P174" s="55">
        <v>169</v>
      </c>
      <c r="Q174" s="33">
        <f t="shared" si="89"/>
        <v>0</v>
      </c>
      <c r="R174" s="33">
        <f t="shared" si="95"/>
        <v>0</v>
      </c>
      <c r="S174" s="33">
        <f t="shared" si="96"/>
        <v>0</v>
      </c>
      <c r="T174" s="33">
        <f t="shared" si="76"/>
        <v>0</v>
      </c>
      <c r="U174" s="33">
        <f t="shared" si="90"/>
        <v>0</v>
      </c>
      <c r="V174" s="33">
        <f t="shared" si="77"/>
        <v>0</v>
      </c>
      <c r="W174" s="33">
        <v>0</v>
      </c>
      <c r="X174" s="33">
        <f t="shared" si="78"/>
        <v>0</v>
      </c>
      <c r="Y174" s="38">
        <f t="shared" si="79"/>
        <v>0</v>
      </c>
      <c r="AA174" s="71">
        <v>169</v>
      </c>
      <c r="AB174" s="33">
        <f t="shared" si="80"/>
        <v>0</v>
      </c>
      <c r="AC174" s="305">
        <f t="shared" si="101"/>
        <v>0</v>
      </c>
      <c r="AD174" s="100">
        <f t="shared" si="81"/>
        <v>0</v>
      </c>
      <c r="AE174" s="100">
        <f t="shared" si="82"/>
        <v>0</v>
      </c>
      <c r="AF174" s="194">
        <f t="shared" si="97"/>
        <v>0</v>
      </c>
      <c r="AG174" s="194">
        <f t="shared" si="98"/>
        <v>0</v>
      </c>
      <c r="AH174" s="194">
        <f t="shared" si="99"/>
        <v>0</v>
      </c>
      <c r="AI174" s="199">
        <f t="shared" si="100"/>
        <v>0</v>
      </c>
      <c r="AK174" s="71">
        <v>169</v>
      </c>
      <c r="AL174" s="33">
        <f t="shared" si="83"/>
        <v>0</v>
      </c>
      <c r="AM174" s="33">
        <f t="shared" si="84"/>
        <v>0</v>
      </c>
      <c r="AN174" s="33">
        <f t="shared" si="85"/>
        <v>0</v>
      </c>
      <c r="AO174" s="33">
        <f t="shared" si="86"/>
        <v>0</v>
      </c>
      <c r="AP174" s="33">
        <f t="shared" si="87"/>
        <v>0</v>
      </c>
      <c r="AQ174" s="194">
        <f t="shared" si="88"/>
        <v>0</v>
      </c>
      <c r="AR174" s="194">
        <f t="shared" si="88"/>
        <v>0</v>
      </c>
      <c r="AS174" s="194">
        <f t="shared" si="88"/>
        <v>0</v>
      </c>
      <c r="AT174" s="194">
        <f t="shared" si="73"/>
        <v>0</v>
      </c>
      <c r="AU174" s="33"/>
      <c r="AV174" s="33"/>
      <c r="AW174" s="33"/>
      <c r="AX174" s="33"/>
      <c r="AY174" s="76"/>
    </row>
    <row r="175" spans="3:51">
      <c r="C175" s="166" t="s">
        <v>50</v>
      </c>
      <c r="D175" s="4">
        <v>0.39</v>
      </c>
      <c r="E175" s="188" t="s">
        <v>228</v>
      </c>
      <c r="F175" s="343">
        <f>IF(OR(Tableau145[[#This Row],[Type]]="Feuillus",Tableau145[[#This Row],[Type]]="Peupliers"),1.56,1.3)</f>
        <v>1.3</v>
      </c>
      <c r="I175" s="55">
        <v>170</v>
      </c>
      <c r="J175" s="33">
        <f t="shared" si="91"/>
        <v>0</v>
      </c>
      <c r="K175" s="33">
        <f t="shared" si="92"/>
        <v>0</v>
      </c>
      <c r="L175" s="33">
        <f t="shared" si="93"/>
        <v>0</v>
      </c>
      <c r="M175" s="33">
        <f t="shared" si="94"/>
        <v>0</v>
      </c>
      <c r="N175" s="33">
        <f t="shared" si="74"/>
        <v>0</v>
      </c>
      <c r="O175" s="34">
        <f t="shared" si="75"/>
        <v>0</v>
      </c>
      <c r="P175" s="55">
        <v>170</v>
      </c>
      <c r="Q175" s="33">
        <f t="shared" si="89"/>
        <v>0</v>
      </c>
      <c r="R175" s="33">
        <f t="shared" si="95"/>
        <v>0</v>
      </c>
      <c r="S175" s="33">
        <f t="shared" si="96"/>
        <v>0</v>
      </c>
      <c r="T175" s="33">
        <f t="shared" si="76"/>
        <v>0</v>
      </c>
      <c r="U175" s="33">
        <f t="shared" si="90"/>
        <v>0</v>
      </c>
      <c r="V175" s="33">
        <f t="shared" si="77"/>
        <v>0</v>
      </c>
      <c r="W175" s="33">
        <v>0</v>
      </c>
      <c r="X175" s="33">
        <f t="shared" si="78"/>
        <v>0</v>
      </c>
      <c r="Y175" s="38">
        <f t="shared" si="79"/>
        <v>0</v>
      </c>
      <c r="AA175" s="71">
        <v>170</v>
      </c>
      <c r="AB175" s="33">
        <f t="shared" si="80"/>
        <v>0</v>
      </c>
      <c r="AC175" s="305">
        <f t="shared" si="101"/>
        <v>0</v>
      </c>
      <c r="AD175" s="100">
        <f t="shared" si="81"/>
        <v>0</v>
      </c>
      <c r="AE175" s="100">
        <f t="shared" si="82"/>
        <v>0</v>
      </c>
      <c r="AF175" s="194">
        <f t="shared" si="97"/>
        <v>0</v>
      </c>
      <c r="AG175" s="194">
        <f t="shared" si="98"/>
        <v>0</v>
      </c>
      <c r="AH175" s="194">
        <f t="shared" si="99"/>
        <v>0</v>
      </c>
      <c r="AI175" s="199">
        <f t="shared" si="100"/>
        <v>0</v>
      </c>
      <c r="AK175" s="71">
        <v>170</v>
      </c>
      <c r="AL175" s="33">
        <f t="shared" si="83"/>
        <v>0</v>
      </c>
      <c r="AM175" s="33">
        <f t="shared" si="84"/>
        <v>0</v>
      </c>
      <c r="AN175" s="33">
        <f t="shared" si="85"/>
        <v>0</v>
      </c>
      <c r="AO175" s="33">
        <f t="shared" si="86"/>
        <v>0</v>
      </c>
      <c r="AP175" s="33">
        <f t="shared" si="87"/>
        <v>0</v>
      </c>
      <c r="AQ175" s="194">
        <f t="shared" si="88"/>
        <v>0</v>
      </c>
      <c r="AR175" s="194">
        <f t="shared" si="88"/>
        <v>0</v>
      </c>
      <c r="AS175" s="194">
        <f t="shared" si="88"/>
        <v>0</v>
      </c>
      <c r="AT175" s="194">
        <f t="shared" si="73"/>
        <v>0</v>
      </c>
      <c r="AU175" s="33"/>
      <c r="AV175" s="33"/>
      <c r="AW175" s="33"/>
      <c r="AX175" s="33"/>
      <c r="AY175" s="76"/>
    </row>
    <row r="176" spans="3:51">
      <c r="C176" s="166" t="s">
        <v>51</v>
      </c>
      <c r="D176" s="4">
        <v>0.44</v>
      </c>
      <c r="E176" s="188" t="s">
        <v>228</v>
      </c>
      <c r="F176" s="343">
        <f>IF(OR(Tableau145[[#This Row],[Type]]="Feuillus",Tableau145[[#This Row],[Type]]="Peupliers"),1.56,1.3)</f>
        <v>1.3</v>
      </c>
      <c r="I176" s="55">
        <v>171</v>
      </c>
      <c r="J176" s="33">
        <f t="shared" si="91"/>
        <v>0</v>
      </c>
      <c r="K176" s="33">
        <f t="shared" si="92"/>
        <v>0</v>
      </c>
      <c r="L176" s="33">
        <f t="shared" si="93"/>
        <v>0</v>
      </c>
      <c r="M176" s="33">
        <f t="shared" si="94"/>
        <v>0</v>
      </c>
      <c r="N176" s="33">
        <f t="shared" si="74"/>
        <v>0</v>
      </c>
      <c r="O176" s="34">
        <f t="shared" si="75"/>
        <v>0</v>
      </c>
      <c r="P176" s="55">
        <v>171</v>
      </c>
      <c r="Q176" s="33">
        <f t="shared" si="89"/>
        <v>0</v>
      </c>
      <c r="R176" s="33">
        <f t="shared" si="95"/>
        <v>0</v>
      </c>
      <c r="S176" s="33">
        <f t="shared" si="96"/>
        <v>0</v>
      </c>
      <c r="T176" s="33">
        <f t="shared" si="76"/>
        <v>0</v>
      </c>
      <c r="U176" s="33">
        <f t="shared" si="90"/>
        <v>0</v>
      </c>
      <c r="V176" s="33">
        <f t="shared" si="77"/>
        <v>0</v>
      </c>
      <c r="W176" s="33">
        <v>0</v>
      </c>
      <c r="X176" s="33">
        <f t="shared" si="78"/>
        <v>0</v>
      </c>
      <c r="Y176" s="38">
        <f t="shared" si="79"/>
        <v>0</v>
      </c>
      <c r="AA176" s="71">
        <v>171</v>
      </c>
      <c r="AB176" s="33">
        <f t="shared" si="80"/>
        <v>0</v>
      </c>
      <c r="AC176" s="305">
        <f t="shared" si="101"/>
        <v>0</v>
      </c>
      <c r="AD176" s="100">
        <f t="shared" si="81"/>
        <v>0</v>
      </c>
      <c r="AE176" s="100">
        <f t="shared" si="82"/>
        <v>0</v>
      </c>
      <c r="AF176" s="194">
        <f t="shared" si="97"/>
        <v>0</v>
      </c>
      <c r="AG176" s="194">
        <f t="shared" si="98"/>
        <v>0</v>
      </c>
      <c r="AH176" s="194">
        <f t="shared" si="99"/>
        <v>0</v>
      </c>
      <c r="AI176" s="199">
        <f t="shared" si="100"/>
        <v>0</v>
      </c>
      <c r="AK176" s="71">
        <v>171</v>
      </c>
      <c r="AL176" s="33">
        <f t="shared" si="83"/>
        <v>0</v>
      </c>
      <c r="AM176" s="33">
        <f t="shared" si="84"/>
        <v>0</v>
      </c>
      <c r="AN176" s="33">
        <f t="shared" si="85"/>
        <v>0</v>
      </c>
      <c r="AO176" s="33">
        <f t="shared" si="86"/>
        <v>0</v>
      </c>
      <c r="AP176" s="33">
        <f t="shared" si="87"/>
        <v>0</v>
      </c>
      <c r="AQ176" s="194">
        <f t="shared" si="88"/>
        <v>0</v>
      </c>
      <c r="AR176" s="194">
        <f t="shared" si="88"/>
        <v>0</v>
      </c>
      <c r="AS176" s="194">
        <f t="shared" si="88"/>
        <v>0</v>
      </c>
      <c r="AT176" s="194">
        <f t="shared" si="73"/>
        <v>0</v>
      </c>
      <c r="AU176" s="33"/>
      <c r="AV176" s="33"/>
      <c r="AW176" s="33"/>
      <c r="AX176" s="33"/>
      <c r="AY176" s="76"/>
    </row>
    <row r="177" spans="3:51">
      <c r="C177" s="166" t="s">
        <v>52</v>
      </c>
      <c r="D177" s="4">
        <v>0.46</v>
      </c>
      <c r="E177" s="188" t="s">
        <v>228</v>
      </c>
      <c r="F177" s="343">
        <f>IF(OR(Tableau145[[#This Row],[Type]]="Feuillus",Tableau145[[#This Row],[Type]]="Peupliers"),1.56,1.3)</f>
        <v>1.3</v>
      </c>
      <c r="I177" s="55">
        <v>172</v>
      </c>
      <c r="J177" s="33">
        <f t="shared" si="91"/>
        <v>0</v>
      </c>
      <c r="K177" s="33">
        <f t="shared" si="92"/>
        <v>0</v>
      </c>
      <c r="L177" s="33">
        <f t="shared" si="93"/>
        <v>0</v>
      </c>
      <c r="M177" s="33">
        <f t="shared" si="94"/>
        <v>0</v>
      </c>
      <c r="N177" s="33">
        <f t="shared" si="74"/>
        <v>0</v>
      </c>
      <c r="O177" s="34">
        <f t="shared" si="75"/>
        <v>0</v>
      </c>
      <c r="P177" s="55">
        <v>172</v>
      </c>
      <c r="Q177" s="33">
        <f t="shared" si="89"/>
        <v>0</v>
      </c>
      <c r="R177" s="33">
        <f t="shared" si="95"/>
        <v>0</v>
      </c>
      <c r="S177" s="33">
        <f t="shared" si="96"/>
        <v>0</v>
      </c>
      <c r="T177" s="33">
        <f t="shared" si="76"/>
        <v>0</v>
      </c>
      <c r="U177" s="33">
        <f t="shared" si="90"/>
        <v>0</v>
      </c>
      <c r="V177" s="33">
        <f t="shared" si="77"/>
        <v>0</v>
      </c>
      <c r="W177" s="33">
        <v>0</v>
      </c>
      <c r="X177" s="33">
        <f t="shared" si="78"/>
        <v>0</v>
      </c>
      <c r="Y177" s="38">
        <f t="shared" si="79"/>
        <v>0</v>
      </c>
      <c r="AA177" s="71">
        <v>172</v>
      </c>
      <c r="AB177" s="33">
        <f t="shared" si="80"/>
        <v>0</v>
      </c>
      <c r="AC177" s="305">
        <f t="shared" si="101"/>
        <v>0</v>
      </c>
      <c r="AD177" s="100">
        <f t="shared" si="81"/>
        <v>0</v>
      </c>
      <c r="AE177" s="100">
        <f t="shared" si="82"/>
        <v>0</v>
      </c>
      <c r="AF177" s="194">
        <f t="shared" si="97"/>
        <v>0</v>
      </c>
      <c r="AG177" s="194">
        <f t="shared" si="98"/>
        <v>0</v>
      </c>
      <c r="AH177" s="194">
        <f t="shared" si="99"/>
        <v>0</v>
      </c>
      <c r="AI177" s="199">
        <f t="shared" si="100"/>
        <v>0</v>
      </c>
      <c r="AK177" s="71">
        <v>172</v>
      </c>
      <c r="AL177" s="33">
        <f t="shared" si="83"/>
        <v>0</v>
      </c>
      <c r="AM177" s="33">
        <f t="shared" si="84"/>
        <v>0</v>
      </c>
      <c r="AN177" s="33">
        <f t="shared" si="85"/>
        <v>0</v>
      </c>
      <c r="AO177" s="33">
        <f t="shared" si="86"/>
        <v>0</v>
      </c>
      <c r="AP177" s="33">
        <f t="shared" si="87"/>
        <v>0</v>
      </c>
      <c r="AQ177" s="194">
        <f t="shared" si="88"/>
        <v>0</v>
      </c>
      <c r="AR177" s="194">
        <f t="shared" si="88"/>
        <v>0</v>
      </c>
      <c r="AS177" s="194">
        <f t="shared" si="88"/>
        <v>0</v>
      </c>
      <c r="AT177" s="194">
        <f t="shared" si="73"/>
        <v>0</v>
      </c>
      <c r="AU177" s="33"/>
      <c r="AV177" s="33"/>
      <c r="AW177" s="33"/>
      <c r="AX177" s="33"/>
      <c r="AY177" s="76"/>
    </row>
    <row r="178" spans="3:51" ht="30">
      <c r="C178" s="166" t="s">
        <v>53</v>
      </c>
      <c r="D178" s="4">
        <v>0.46</v>
      </c>
      <c r="E178" s="188" t="s">
        <v>230</v>
      </c>
      <c r="F178" s="343">
        <f>IF(OR(Tableau145[[#This Row],[Type]]="Feuillus",Tableau145[[#This Row],[Type]]="Peupliers"),1.56,1.3)</f>
        <v>1.3</v>
      </c>
      <c r="I178" s="55">
        <v>173</v>
      </c>
      <c r="J178" s="33">
        <f t="shared" si="91"/>
        <v>0</v>
      </c>
      <c r="K178" s="33">
        <f t="shared" si="92"/>
        <v>0</v>
      </c>
      <c r="L178" s="33">
        <f t="shared" si="93"/>
        <v>0</v>
      </c>
      <c r="M178" s="33">
        <f t="shared" si="94"/>
        <v>0</v>
      </c>
      <c r="N178" s="33">
        <f t="shared" si="74"/>
        <v>0</v>
      </c>
      <c r="O178" s="34">
        <f t="shared" si="75"/>
        <v>0</v>
      </c>
      <c r="P178" s="55">
        <v>173</v>
      </c>
      <c r="Q178" s="33">
        <f t="shared" si="89"/>
        <v>0</v>
      </c>
      <c r="R178" s="33">
        <f t="shared" si="95"/>
        <v>0</v>
      </c>
      <c r="S178" s="33">
        <f t="shared" si="96"/>
        <v>0</v>
      </c>
      <c r="T178" s="33">
        <f t="shared" si="76"/>
        <v>0</v>
      </c>
      <c r="U178" s="33">
        <f t="shared" si="90"/>
        <v>0</v>
      </c>
      <c r="V178" s="33">
        <f t="shared" si="77"/>
        <v>0</v>
      </c>
      <c r="W178" s="33">
        <v>0</v>
      </c>
      <c r="X178" s="33">
        <f t="shared" si="78"/>
        <v>0</v>
      </c>
      <c r="Y178" s="38">
        <f t="shared" si="79"/>
        <v>0</v>
      </c>
      <c r="AA178" s="71">
        <v>173</v>
      </c>
      <c r="AB178" s="33">
        <f t="shared" si="80"/>
        <v>0</v>
      </c>
      <c r="AC178" s="305">
        <f t="shared" si="101"/>
        <v>0</v>
      </c>
      <c r="AD178" s="100">
        <f t="shared" si="81"/>
        <v>0</v>
      </c>
      <c r="AE178" s="100">
        <f t="shared" si="82"/>
        <v>0</v>
      </c>
      <c r="AF178" s="194">
        <f t="shared" si="97"/>
        <v>0</v>
      </c>
      <c r="AG178" s="194">
        <f t="shared" si="98"/>
        <v>0</v>
      </c>
      <c r="AH178" s="194">
        <f t="shared" si="99"/>
        <v>0</v>
      </c>
      <c r="AI178" s="199">
        <f t="shared" si="100"/>
        <v>0</v>
      </c>
      <c r="AK178" s="71">
        <v>173</v>
      </c>
      <c r="AL178" s="33">
        <f t="shared" si="83"/>
        <v>0</v>
      </c>
      <c r="AM178" s="33">
        <f t="shared" si="84"/>
        <v>0</v>
      </c>
      <c r="AN178" s="33">
        <f t="shared" si="85"/>
        <v>0</v>
      </c>
      <c r="AO178" s="33">
        <f t="shared" si="86"/>
        <v>0</v>
      </c>
      <c r="AP178" s="33">
        <f t="shared" si="87"/>
        <v>0</v>
      </c>
      <c r="AQ178" s="194">
        <f t="shared" si="88"/>
        <v>0</v>
      </c>
      <c r="AR178" s="194">
        <f t="shared" si="88"/>
        <v>0</v>
      </c>
      <c r="AS178" s="194">
        <f t="shared" si="88"/>
        <v>0</v>
      </c>
      <c r="AT178" s="194">
        <f t="shared" si="73"/>
        <v>0</v>
      </c>
      <c r="AU178" s="33"/>
      <c r="AV178" s="33"/>
      <c r="AW178" s="33"/>
      <c r="AX178" s="33"/>
      <c r="AY178" s="76"/>
    </row>
    <row r="179" spans="3:51">
      <c r="C179" s="166" t="s">
        <v>54</v>
      </c>
      <c r="D179" s="4">
        <v>0.44</v>
      </c>
      <c r="E179" s="188" t="s">
        <v>228</v>
      </c>
      <c r="F179" s="343">
        <f>IF(OR(Tableau145[[#This Row],[Type]]="Feuillus",Tableau145[[#This Row],[Type]]="Peupliers"),1.56,1.3)</f>
        <v>1.3</v>
      </c>
      <c r="I179" s="55">
        <v>174</v>
      </c>
      <c r="J179" s="33">
        <f t="shared" si="91"/>
        <v>0</v>
      </c>
      <c r="K179" s="33">
        <f t="shared" si="92"/>
        <v>0</v>
      </c>
      <c r="L179" s="33">
        <f t="shared" si="93"/>
        <v>0</v>
      </c>
      <c r="M179" s="33">
        <f t="shared" si="94"/>
        <v>0</v>
      </c>
      <c r="N179" s="33">
        <f t="shared" si="74"/>
        <v>0</v>
      </c>
      <c r="O179" s="34">
        <f t="shared" si="75"/>
        <v>0</v>
      </c>
      <c r="P179" s="55">
        <v>174</v>
      </c>
      <c r="Q179" s="33">
        <f t="shared" si="89"/>
        <v>0</v>
      </c>
      <c r="R179" s="33">
        <f t="shared" si="95"/>
        <v>0</v>
      </c>
      <c r="S179" s="33">
        <f t="shared" si="96"/>
        <v>0</v>
      </c>
      <c r="T179" s="33">
        <f t="shared" si="76"/>
        <v>0</v>
      </c>
      <c r="U179" s="33">
        <f t="shared" si="90"/>
        <v>0</v>
      </c>
      <c r="V179" s="33">
        <f t="shared" si="77"/>
        <v>0</v>
      </c>
      <c r="W179" s="33">
        <v>0</v>
      </c>
      <c r="X179" s="33">
        <f t="shared" si="78"/>
        <v>0</v>
      </c>
      <c r="Y179" s="38">
        <f t="shared" si="79"/>
        <v>0</v>
      </c>
      <c r="AA179" s="71">
        <v>174</v>
      </c>
      <c r="AB179" s="33">
        <f t="shared" si="80"/>
        <v>0</v>
      </c>
      <c r="AC179" s="305">
        <f t="shared" si="101"/>
        <v>0</v>
      </c>
      <c r="AD179" s="100">
        <f t="shared" si="81"/>
        <v>0</v>
      </c>
      <c r="AE179" s="100">
        <f t="shared" si="82"/>
        <v>0</v>
      </c>
      <c r="AF179" s="194">
        <f t="shared" si="97"/>
        <v>0</v>
      </c>
      <c r="AG179" s="194">
        <f t="shared" si="98"/>
        <v>0</v>
      </c>
      <c r="AH179" s="194">
        <f t="shared" si="99"/>
        <v>0</v>
      </c>
      <c r="AI179" s="199">
        <f t="shared" si="100"/>
        <v>0</v>
      </c>
      <c r="AK179" s="71">
        <v>174</v>
      </c>
      <c r="AL179" s="33">
        <f t="shared" si="83"/>
        <v>0</v>
      </c>
      <c r="AM179" s="33">
        <f t="shared" si="84"/>
        <v>0</v>
      </c>
      <c r="AN179" s="33">
        <f t="shared" si="85"/>
        <v>0</v>
      </c>
      <c r="AO179" s="33">
        <f t="shared" si="86"/>
        <v>0</v>
      </c>
      <c r="AP179" s="33">
        <f t="shared" si="87"/>
        <v>0</v>
      </c>
      <c r="AQ179" s="194">
        <f t="shared" si="88"/>
        <v>0</v>
      </c>
      <c r="AR179" s="194">
        <f t="shared" si="88"/>
        <v>0</v>
      </c>
      <c r="AS179" s="194">
        <f t="shared" si="88"/>
        <v>0</v>
      </c>
      <c r="AT179" s="194">
        <f t="shared" si="73"/>
        <v>0</v>
      </c>
      <c r="AU179" s="33"/>
      <c r="AV179" s="33"/>
      <c r="AW179" s="33"/>
      <c r="AX179" s="33"/>
      <c r="AY179" s="76"/>
    </row>
    <row r="180" spans="3:51">
      <c r="C180" s="166" t="s">
        <v>55</v>
      </c>
      <c r="D180" s="4">
        <v>0.46</v>
      </c>
      <c r="E180" s="188" t="s">
        <v>228</v>
      </c>
      <c r="F180" s="343">
        <f>IF(OR(Tableau145[[#This Row],[Type]]="Feuillus",Tableau145[[#This Row],[Type]]="Peupliers"),1.56,1.3)</f>
        <v>1.3</v>
      </c>
      <c r="I180" s="55">
        <v>175</v>
      </c>
      <c r="J180" s="33">
        <f t="shared" si="91"/>
        <v>0</v>
      </c>
      <c r="K180" s="33">
        <f t="shared" si="92"/>
        <v>0</v>
      </c>
      <c r="L180" s="33">
        <f t="shared" si="93"/>
        <v>0</v>
      </c>
      <c r="M180" s="33">
        <f t="shared" si="94"/>
        <v>0</v>
      </c>
      <c r="N180" s="33">
        <f t="shared" si="74"/>
        <v>0</v>
      </c>
      <c r="O180" s="34">
        <f t="shared" si="75"/>
        <v>0</v>
      </c>
      <c r="P180" s="55">
        <v>175</v>
      </c>
      <c r="Q180" s="33">
        <f t="shared" si="89"/>
        <v>0</v>
      </c>
      <c r="R180" s="33">
        <f t="shared" si="95"/>
        <v>0</v>
      </c>
      <c r="S180" s="33">
        <f t="shared" si="96"/>
        <v>0</v>
      </c>
      <c r="T180" s="33">
        <f t="shared" si="76"/>
        <v>0</v>
      </c>
      <c r="U180" s="33">
        <f t="shared" si="90"/>
        <v>0</v>
      </c>
      <c r="V180" s="33">
        <f t="shared" si="77"/>
        <v>0</v>
      </c>
      <c r="W180" s="33">
        <v>0</v>
      </c>
      <c r="X180" s="33">
        <f t="shared" si="78"/>
        <v>0</v>
      </c>
      <c r="Y180" s="38">
        <f t="shared" si="79"/>
        <v>0</v>
      </c>
      <c r="AA180" s="71">
        <v>175</v>
      </c>
      <c r="AB180" s="33">
        <f t="shared" si="80"/>
        <v>0</v>
      </c>
      <c r="AC180" s="305">
        <f t="shared" si="101"/>
        <v>0</v>
      </c>
      <c r="AD180" s="100">
        <f t="shared" si="81"/>
        <v>0</v>
      </c>
      <c r="AE180" s="100">
        <f t="shared" si="82"/>
        <v>0</v>
      </c>
      <c r="AF180" s="194">
        <f t="shared" si="97"/>
        <v>0</v>
      </c>
      <c r="AG180" s="194">
        <f t="shared" si="98"/>
        <v>0</v>
      </c>
      <c r="AH180" s="194">
        <f t="shared" si="99"/>
        <v>0</v>
      </c>
      <c r="AI180" s="199">
        <f t="shared" si="100"/>
        <v>0</v>
      </c>
      <c r="AK180" s="71">
        <v>175</v>
      </c>
      <c r="AL180" s="33">
        <f t="shared" si="83"/>
        <v>0</v>
      </c>
      <c r="AM180" s="33">
        <f t="shared" si="84"/>
        <v>0</v>
      </c>
      <c r="AN180" s="33">
        <f t="shared" si="85"/>
        <v>0</v>
      </c>
      <c r="AO180" s="33">
        <f t="shared" si="86"/>
        <v>0</v>
      </c>
      <c r="AP180" s="33">
        <f t="shared" si="87"/>
        <v>0</v>
      </c>
      <c r="AQ180" s="194">
        <f t="shared" si="88"/>
        <v>0</v>
      </c>
      <c r="AR180" s="194">
        <f t="shared" si="88"/>
        <v>0</v>
      </c>
      <c r="AS180" s="194">
        <f t="shared" si="88"/>
        <v>0</v>
      </c>
      <c r="AT180" s="194">
        <f t="shared" si="73"/>
        <v>0</v>
      </c>
      <c r="AU180" s="33"/>
      <c r="AV180" s="33"/>
      <c r="AW180" s="33"/>
      <c r="AX180" s="33"/>
      <c r="AY180" s="76"/>
    </row>
    <row r="181" spans="3:51">
      <c r="C181" s="166" t="s">
        <v>56</v>
      </c>
      <c r="D181" s="4">
        <v>0.48</v>
      </c>
      <c r="E181" s="188" t="s">
        <v>228</v>
      </c>
      <c r="F181" s="343">
        <f>IF(OR(Tableau145[[#This Row],[Type]]="Feuillus",Tableau145[[#This Row],[Type]]="Peupliers"),1.56,1.3)</f>
        <v>1.3</v>
      </c>
      <c r="I181" s="55">
        <v>176</v>
      </c>
      <c r="J181" s="33">
        <f t="shared" si="91"/>
        <v>0</v>
      </c>
      <c r="K181" s="33">
        <f t="shared" si="92"/>
        <v>0</v>
      </c>
      <c r="L181" s="33">
        <f t="shared" si="93"/>
        <v>0</v>
      </c>
      <c r="M181" s="33">
        <f t="shared" si="94"/>
        <v>0</v>
      </c>
      <c r="N181" s="33">
        <f t="shared" si="74"/>
        <v>0</v>
      </c>
      <c r="O181" s="34">
        <f t="shared" si="75"/>
        <v>0</v>
      </c>
      <c r="P181" s="55">
        <v>176</v>
      </c>
      <c r="Q181" s="33">
        <f t="shared" si="89"/>
        <v>0</v>
      </c>
      <c r="R181" s="33">
        <f t="shared" si="95"/>
        <v>0</v>
      </c>
      <c r="S181" s="33">
        <f t="shared" si="96"/>
        <v>0</v>
      </c>
      <c r="T181" s="33">
        <f t="shared" si="76"/>
        <v>0</v>
      </c>
      <c r="U181" s="33">
        <f t="shared" si="90"/>
        <v>0</v>
      </c>
      <c r="V181" s="33">
        <f t="shared" si="77"/>
        <v>0</v>
      </c>
      <c r="W181" s="33">
        <v>0</v>
      </c>
      <c r="X181" s="33">
        <f t="shared" si="78"/>
        <v>0</v>
      </c>
      <c r="Y181" s="38">
        <f t="shared" si="79"/>
        <v>0</v>
      </c>
      <c r="AA181" s="71">
        <v>176</v>
      </c>
      <c r="AB181" s="33">
        <f t="shared" si="80"/>
        <v>0</v>
      </c>
      <c r="AC181" s="305">
        <f t="shared" si="101"/>
        <v>0</v>
      </c>
      <c r="AD181" s="100">
        <f t="shared" si="81"/>
        <v>0</v>
      </c>
      <c r="AE181" s="100">
        <f t="shared" si="82"/>
        <v>0</v>
      </c>
      <c r="AF181" s="194">
        <f t="shared" si="97"/>
        <v>0</v>
      </c>
      <c r="AG181" s="194">
        <f t="shared" si="98"/>
        <v>0</v>
      </c>
      <c r="AH181" s="194">
        <f t="shared" si="99"/>
        <v>0</v>
      </c>
      <c r="AI181" s="199">
        <f t="shared" si="100"/>
        <v>0</v>
      </c>
      <c r="AK181" s="71">
        <v>176</v>
      </c>
      <c r="AL181" s="33">
        <f t="shared" si="83"/>
        <v>0</v>
      </c>
      <c r="AM181" s="33">
        <f t="shared" si="84"/>
        <v>0</v>
      </c>
      <c r="AN181" s="33">
        <f t="shared" si="85"/>
        <v>0</v>
      </c>
      <c r="AO181" s="33">
        <f t="shared" si="86"/>
        <v>0</v>
      </c>
      <c r="AP181" s="33">
        <f t="shared" si="87"/>
        <v>0</v>
      </c>
      <c r="AQ181" s="194">
        <f t="shared" si="88"/>
        <v>0</v>
      </c>
      <c r="AR181" s="194">
        <f t="shared" si="88"/>
        <v>0</v>
      </c>
      <c r="AS181" s="194">
        <f t="shared" si="88"/>
        <v>0</v>
      </c>
      <c r="AT181" s="194">
        <f t="shared" si="73"/>
        <v>0</v>
      </c>
      <c r="AU181" s="33"/>
      <c r="AV181" s="33"/>
      <c r="AW181" s="33"/>
      <c r="AX181" s="33"/>
      <c r="AY181" s="76"/>
    </row>
    <row r="182" spans="3:51">
      <c r="C182" s="166" t="s">
        <v>57</v>
      </c>
      <c r="D182" s="4">
        <v>0.44</v>
      </c>
      <c r="E182" s="188" t="s">
        <v>228</v>
      </c>
      <c r="F182" s="343">
        <f>IF(OR(Tableau145[[#This Row],[Type]]="Feuillus",Tableau145[[#This Row],[Type]]="Peupliers"),1.56,1.3)</f>
        <v>1.3</v>
      </c>
      <c r="I182" s="55">
        <v>177</v>
      </c>
      <c r="J182" s="33">
        <f t="shared" si="91"/>
        <v>0</v>
      </c>
      <c r="K182" s="33">
        <f t="shared" si="92"/>
        <v>0</v>
      </c>
      <c r="L182" s="33">
        <f t="shared" si="93"/>
        <v>0</v>
      </c>
      <c r="M182" s="33">
        <f t="shared" si="94"/>
        <v>0</v>
      </c>
      <c r="N182" s="33">
        <f t="shared" si="74"/>
        <v>0</v>
      </c>
      <c r="O182" s="34">
        <f t="shared" si="75"/>
        <v>0</v>
      </c>
      <c r="P182" s="55">
        <v>177</v>
      </c>
      <c r="Q182" s="33">
        <f t="shared" si="89"/>
        <v>0</v>
      </c>
      <c r="R182" s="33">
        <f t="shared" si="95"/>
        <v>0</v>
      </c>
      <c r="S182" s="33">
        <f t="shared" si="96"/>
        <v>0</v>
      </c>
      <c r="T182" s="33">
        <f t="shared" si="76"/>
        <v>0</v>
      </c>
      <c r="U182" s="33">
        <f t="shared" si="90"/>
        <v>0</v>
      </c>
      <c r="V182" s="33">
        <f t="shared" si="77"/>
        <v>0</v>
      </c>
      <c r="W182" s="33">
        <v>0</v>
      </c>
      <c r="X182" s="33">
        <f t="shared" si="78"/>
        <v>0</v>
      </c>
      <c r="Y182" s="38">
        <f t="shared" si="79"/>
        <v>0</v>
      </c>
      <c r="AA182" s="71">
        <v>177</v>
      </c>
      <c r="AB182" s="33">
        <f t="shared" si="80"/>
        <v>0</v>
      </c>
      <c r="AC182" s="305">
        <f t="shared" si="101"/>
        <v>0</v>
      </c>
      <c r="AD182" s="100">
        <f t="shared" si="81"/>
        <v>0</v>
      </c>
      <c r="AE182" s="100">
        <f t="shared" si="82"/>
        <v>0</v>
      </c>
      <c r="AF182" s="194">
        <f t="shared" si="97"/>
        <v>0</v>
      </c>
      <c r="AG182" s="194">
        <f t="shared" si="98"/>
        <v>0</v>
      </c>
      <c r="AH182" s="194">
        <f t="shared" si="99"/>
        <v>0</v>
      </c>
      <c r="AI182" s="199">
        <f t="shared" si="100"/>
        <v>0</v>
      </c>
      <c r="AK182" s="71">
        <v>177</v>
      </c>
      <c r="AL182" s="33">
        <f t="shared" si="83"/>
        <v>0</v>
      </c>
      <c r="AM182" s="33">
        <f t="shared" si="84"/>
        <v>0</v>
      </c>
      <c r="AN182" s="33">
        <f t="shared" si="85"/>
        <v>0</v>
      </c>
      <c r="AO182" s="33">
        <f t="shared" si="86"/>
        <v>0</v>
      </c>
      <c r="AP182" s="33">
        <f t="shared" si="87"/>
        <v>0</v>
      </c>
      <c r="AQ182" s="194">
        <f t="shared" si="88"/>
        <v>0</v>
      </c>
      <c r="AR182" s="194">
        <f t="shared" si="88"/>
        <v>0</v>
      </c>
      <c r="AS182" s="194">
        <f t="shared" si="88"/>
        <v>0</v>
      </c>
      <c r="AT182" s="194">
        <f t="shared" si="73"/>
        <v>0</v>
      </c>
      <c r="AU182" s="33"/>
      <c r="AV182" s="33"/>
      <c r="AW182" s="33"/>
      <c r="AX182" s="33"/>
      <c r="AY182" s="76"/>
    </row>
    <row r="183" spans="3:51">
      <c r="C183" s="166" t="s">
        <v>58</v>
      </c>
      <c r="D183" s="4">
        <v>0.34</v>
      </c>
      <c r="E183" s="188" t="s">
        <v>228</v>
      </c>
      <c r="F183" s="343">
        <f>IF(OR(Tableau145[[#This Row],[Type]]="Feuillus",Tableau145[[#This Row],[Type]]="Peupliers"),1.56,1.3)</f>
        <v>1.3</v>
      </c>
      <c r="I183" s="55">
        <v>178</v>
      </c>
      <c r="J183" s="33">
        <f t="shared" si="91"/>
        <v>0</v>
      </c>
      <c r="K183" s="33">
        <f t="shared" si="92"/>
        <v>0</v>
      </c>
      <c r="L183" s="33">
        <f t="shared" si="93"/>
        <v>0</v>
      </c>
      <c r="M183" s="33">
        <f t="shared" si="94"/>
        <v>0</v>
      </c>
      <c r="N183" s="33">
        <f t="shared" si="74"/>
        <v>0</v>
      </c>
      <c r="O183" s="34">
        <f t="shared" si="75"/>
        <v>0</v>
      </c>
      <c r="P183" s="55">
        <v>178</v>
      </c>
      <c r="Q183" s="33">
        <f t="shared" si="89"/>
        <v>0</v>
      </c>
      <c r="R183" s="33">
        <f t="shared" si="95"/>
        <v>0</v>
      </c>
      <c r="S183" s="33">
        <f t="shared" si="96"/>
        <v>0</v>
      </c>
      <c r="T183" s="33">
        <f t="shared" si="76"/>
        <v>0</v>
      </c>
      <c r="U183" s="33">
        <f t="shared" si="90"/>
        <v>0</v>
      </c>
      <c r="V183" s="33">
        <f t="shared" si="77"/>
        <v>0</v>
      </c>
      <c r="W183" s="33">
        <v>0</v>
      </c>
      <c r="X183" s="33">
        <f t="shared" si="78"/>
        <v>0</v>
      </c>
      <c r="Y183" s="38">
        <f t="shared" si="79"/>
        <v>0</v>
      </c>
      <c r="AA183" s="71">
        <v>178</v>
      </c>
      <c r="AB183" s="33">
        <f t="shared" si="80"/>
        <v>0</v>
      </c>
      <c r="AC183" s="305">
        <f t="shared" si="101"/>
        <v>0</v>
      </c>
      <c r="AD183" s="100">
        <f t="shared" si="81"/>
        <v>0</v>
      </c>
      <c r="AE183" s="100">
        <f t="shared" si="82"/>
        <v>0</v>
      </c>
      <c r="AF183" s="194">
        <f t="shared" si="97"/>
        <v>0</v>
      </c>
      <c r="AG183" s="194">
        <f t="shared" si="98"/>
        <v>0</v>
      </c>
      <c r="AH183" s="194">
        <f t="shared" si="99"/>
        <v>0</v>
      </c>
      <c r="AI183" s="199">
        <f t="shared" si="100"/>
        <v>0</v>
      </c>
      <c r="AK183" s="71">
        <v>178</v>
      </c>
      <c r="AL183" s="33">
        <f t="shared" si="83"/>
        <v>0</v>
      </c>
      <c r="AM183" s="33">
        <f t="shared" si="84"/>
        <v>0</v>
      </c>
      <c r="AN183" s="33">
        <f t="shared" si="85"/>
        <v>0</v>
      </c>
      <c r="AO183" s="33">
        <f t="shared" si="86"/>
        <v>0</v>
      </c>
      <c r="AP183" s="33">
        <f t="shared" si="87"/>
        <v>0</v>
      </c>
      <c r="AQ183" s="194">
        <f t="shared" si="88"/>
        <v>0</v>
      </c>
      <c r="AR183" s="194">
        <f t="shared" si="88"/>
        <v>0</v>
      </c>
      <c r="AS183" s="194">
        <f t="shared" si="88"/>
        <v>0</v>
      </c>
      <c r="AT183" s="194">
        <f t="shared" si="73"/>
        <v>0</v>
      </c>
      <c r="AU183" s="33"/>
      <c r="AV183" s="33"/>
      <c r="AW183" s="33"/>
      <c r="AX183" s="33"/>
      <c r="AY183" s="76"/>
    </row>
    <row r="184" spans="3:51">
      <c r="C184" s="166" t="s">
        <v>59</v>
      </c>
      <c r="D184" s="4">
        <v>0.5</v>
      </c>
      <c r="E184" s="188" t="s">
        <v>227</v>
      </c>
      <c r="F184" s="343">
        <f>IF(OR(Tableau145[[#This Row],[Type]]="Feuillus",Tableau145[[#This Row],[Type]]="Peupliers"),1.56,1.3)</f>
        <v>1.56</v>
      </c>
      <c r="I184" s="55">
        <v>179</v>
      </c>
      <c r="J184" s="33">
        <f t="shared" si="91"/>
        <v>0</v>
      </c>
      <c r="K184" s="33">
        <f t="shared" si="92"/>
        <v>0</v>
      </c>
      <c r="L184" s="33">
        <f t="shared" si="93"/>
        <v>0</v>
      </c>
      <c r="M184" s="33">
        <f t="shared" si="94"/>
        <v>0</v>
      </c>
      <c r="N184" s="33">
        <f t="shared" si="74"/>
        <v>0</v>
      </c>
      <c r="O184" s="34">
        <f t="shared" si="75"/>
        <v>0</v>
      </c>
      <c r="P184" s="55">
        <v>179</v>
      </c>
      <c r="Q184" s="33">
        <f t="shared" si="89"/>
        <v>0</v>
      </c>
      <c r="R184" s="33">
        <f t="shared" si="95"/>
        <v>0</v>
      </c>
      <c r="S184" s="33">
        <f t="shared" si="96"/>
        <v>0</v>
      </c>
      <c r="T184" s="33">
        <f t="shared" si="76"/>
        <v>0</v>
      </c>
      <c r="U184" s="33">
        <f t="shared" si="90"/>
        <v>0</v>
      </c>
      <c r="V184" s="33">
        <f t="shared" si="77"/>
        <v>0</v>
      </c>
      <c r="W184" s="33">
        <v>0</v>
      </c>
      <c r="X184" s="33">
        <f t="shared" si="78"/>
        <v>0</v>
      </c>
      <c r="Y184" s="38">
        <f t="shared" si="79"/>
        <v>0</v>
      </c>
      <c r="AA184" s="71">
        <v>179</v>
      </c>
      <c r="AB184" s="33">
        <f t="shared" si="80"/>
        <v>0</v>
      </c>
      <c r="AC184" s="305">
        <f t="shared" si="101"/>
        <v>0</v>
      </c>
      <c r="AD184" s="100">
        <f t="shared" si="81"/>
        <v>0</v>
      </c>
      <c r="AE184" s="100">
        <f t="shared" si="82"/>
        <v>0</v>
      </c>
      <c r="AF184" s="194">
        <f t="shared" si="97"/>
        <v>0</v>
      </c>
      <c r="AG184" s="194">
        <f t="shared" si="98"/>
        <v>0</v>
      </c>
      <c r="AH184" s="194">
        <f t="shared" si="99"/>
        <v>0</v>
      </c>
      <c r="AI184" s="199">
        <f t="shared" si="100"/>
        <v>0</v>
      </c>
      <c r="AK184" s="71">
        <v>179</v>
      </c>
      <c r="AL184" s="33">
        <f t="shared" si="83"/>
        <v>0</v>
      </c>
      <c r="AM184" s="33">
        <f t="shared" si="84"/>
        <v>0</v>
      </c>
      <c r="AN184" s="33">
        <f t="shared" si="85"/>
        <v>0</v>
      </c>
      <c r="AO184" s="33">
        <f t="shared" si="86"/>
        <v>0</v>
      </c>
      <c r="AP184" s="33">
        <f t="shared" si="87"/>
        <v>0</v>
      </c>
      <c r="AQ184" s="194">
        <f t="shared" si="88"/>
        <v>0</v>
      </c>
      <c r="AR184" s="194">
        <f t="shared" si="88"/>
        <v>0</v>
      </c>
      <c r="AS184" s="194">
        <f t="shared" si="88"/>
        <v>0</v>
      </c>
      <c r="AT184" s="194">
        <f t="shared" si="73"/>
        <v>0</v>
      </c>
      <c r="AU184" s="33"/>
      <c r="AV184" s="33"/>
      <c r="AW184" s="33"/>
      <c r="AX184" s="33"/>
      <c r="AY184" s="76"/>
    </row>
    <row r="185" spans="3:51">
      <c r="C185" s="166" t="s">
        <v>60</v>
      </c>
      <c r="D185" s="4">
        <v>0.57999999999999996</v>
      </c>
      <c r="E185" s="188" t="s">
        <v>227</v>
      </c>
      <c r="F185" s="343">
        <f>IF(OR(Tableau145[[#This Row],[Type]]="Feuillus",Tableau145[[#This Row],[Type]]="Peupliers"),1.56,1.3)</f>
        <v>1.56</v>
      </c>
      <c r="I185" s="55">
        <v>180</v>
      </c>
      <c r="J185" s="33">
        <f t="shared" si="91"/>
        <v>0</v>
      </c>
      <c r="K185" s="33">
        <f t="shared" si="92"/>
        <v>0</v>
      </c>
      <c r="L185" s="33">
        <f t="shared" si="93"/>
        <v>0</v>
      </c>
      <c r="M185" s="33">
        <f t="shared" si="94"/>
        <v>0</v>
      </c>
      <c r="N185" s="33">
        <f t="shared" si="74"/>
        <v>0</v>
      </c>
      <c r="O185" s="34">
        <f t="shared" si="75"/>
        <v>0</v>
      </c>
      <c r="P185" s="55">
        <v>180</v>
      </c>
      <c r="Q185" s="33">
        <f t="shared" si="89"/>
        <v>0</v>
      </c>
      <c r="R185" s="33">
        <f t="shared" si="95"/>
        <v>0</v>
      </c>
      <c r="S185" s="33">
        <f t="shared" si="96"/>
        <v>0</v>
      </c>
      <c r="T185" s="33">
        <f t="shared" si="76"/>
        <v>0</v>
      </c>
      <c r="U185" s="33">
        <f t="shared" si="90"/>
        <v>0</v>
      </c>
      <c r="V185" s="33">
        <f t="shared" si="77"/>
        <v>0</v>
      </c>
      <c r="W185" s="33">
        <v>0</v>
      </c>
      <c r="X185" s="33">
        <f t="shared" si="78"/>
        <v>0</v>
      </c>
      <c r="Y185" s="38">
        <f t="shared" si="79"/>
        <v>0</v>
      </c>
      <c r="AA185" s="71">
        <v>180</v>
      </c>
      <c r="AB185" s="33">
        <f t="shared" si="80"/>
        <v>0</v>
      </c>
      <c r="AC185" s="305">
        <f t="shared" si="101"/>
        <v>0</v>
      </c>
      <c r="AD185" s="100">
        <f t="shared" si="81"/>
        <v>0</v>
      </c>
      <c r="AE185" s="100">
        <f t="shared" si="82"/>
        <v>0</v>
      </c>
      <c r="AF185" s="194">
        <f t="shared" si="97"/>
        <v>0</v>
      </c>
      <c r="AG185" s="194">
        <f t="shared" si="98"/>
        <v>0</v>
      </c>
      <c r="AH185" s="194">
        <f t="shared" si="99"/>
        <v>0</v>
      </c>
      <c r="AI185" s="199">
        <f t="shared" si="100"/>
        <v>0</v>
      </c>
      <c r="AK185" s="71">
        <v>180</v>
      </c>
      <c r="AL185" s="33">
        <f t="shared" si="83"/>
        <v>0</v>
      </c>
      <c r="AM185" s="33">
        <f t="shared" si="84"/>
        <v>0</v>
      </c>
      <c r="AN185" s="33">
        <f t="shared" si="85"/>
        <v>0</v>
      </c>
      <c r="AO185" s="33">
        <f t="shared" si="86"/>
        <v>0</v>
      </c>
      <c r="AP185" s="33">
        <f t="shared" si="87"/>
        <v>0</v>
      </c>
      <c r="AQ185" s="194">
        <f t="shared" si="88"/>
        <v>0</v>
      </c>
      <c r="AR185" s="194">
        <f t="shared" si="88"/>
        <v>0</v>
      </c>
      <c r="AS185" s="194">
        <f t="shared" si="88"/>
        <v>0</v>
      </c>
      <c r="AT185" s="194">
        <f t="shared" si="73"/>
        <v>0</v>
      </c>
      <c r="AU185" s="33"/>
      <c r="AV185" s="33"/>
      <c r="AW185" s="33"/>
      <c r="AX185" s="33"/>
      <c r="AY185" s="76"/>
    </row>
    <row r="186" spans="3:51">
      <c r="C186" s="166" t="s">
        <v>61</v>
      </c>
      <c r="D186" s="4">
        <v>0.37</v>
      </c>
      <c r="E186" s="188" t="s">
        <v>228</v>
      </c>
      <c r="F186" s="343">
        <f>IF(OR(Tableau145[[#This Row],[Type]]="Feuillus",Tableau145[[#This Row],[Type]]="Peupliers"),1.56,1.3)</f>
        <v>1.3</v>
      </c>
      <c r="I186" s="55">
        <v>181</v>
      </c>
      <c r="J186" s="33">
        <f t="shared" si="91"/>
        <v>0</v>
      </c>
      <c r="K186" s="33">
        <f t="shared" si="92"/>
        <v>0</v>
      </c>
      <c r="L186" s="33">
        <f t="shared" si="93"/>
        <v>0</v>
      </c>
      <c r="M186" s="33">
        <f t="shared" si="94"/>
        <v>0</v>
      </c>
      <c r="N186" s="33">
        <f t="shared" si="74"/>
        <v>0</v>
      </c>
      <c r="O186" s="34">
        <f t="shared" si="75"/>
        <v>0</v>
      </c>
      <c r="P186" s="55">
        <v>181</v>
      </c>
      <c r="Q186" s="33">
        <f t="shared" si="89"/>
        <v>0</v>
      </c>
      <c r="R186" s="33">
        <f t="shared" si="95"/>
        <v>0</v>
      </c>
      <c r="S186" s="33">
        <f t="shared" si="96"/>
        <v>0</v>
      </c>
      <c r="T186" s="33">
        <f t="shared" si="76"/>
        <v>0</v>
      </c>
      <c r="U186" s="33">
        <f t="shared" si="90"/>
        <v>0</v>
      </c>
      <c r="V186" s="33">
        <f t="shared" si="77"/>
        <v>0</v>
      </c>
      <c r="W186" s="33">
        <v>0</v>
      </c>
      <c r="X186" s="33">
        <f t="shared" si="78"/>
        <v>0</v>
      </c>
      <c r="Y186" s="38">
        <f t="shared" si="79"/>
        <v>0</v>
      </c>
      <c r="AA186" s="71">
        <v>181</v>
      </c>
      <c r="AB186" s="33">
        <f t="shared" si="80"/>
        <v>0</v>
      </c>
      <c r="AC186" s="305">
        <f t="shared" si="101"/>
        <v>0</v>
      </c>
      <c r="AD186" s="100">
        <f t="shared" si="81"/>
        <v>0</v>
      </c>
      <c r="AE186" s="100">
        <f t="shared" si="82"/>
        <v>0</v>
      </c>
      <c r="AF186" s="194">
        <f t="shared" si="97"/>
        <v>0</v>
      </c>
      <c r="AG186" s="194">
        <f t="shared" si="98"/>
        <v>0</v>
      </c>
      <c r="AH186" s="194">
        <f t="shared" si="99"/>
        <v>0</v>
      </c>
      <c r="AI186" s="199">
        <f t="shared" si="100"/>
        <v>0</v>
      </c>
      <c r="AK186" s="71">
        <v>181</v>
      </c>
      <c r="AL186" s="33">
        <f t="shared" si="83"/>
        <v>0</v>
      </c>
      <c r="AM186" s="33">
        <f t="shared" si="84"/>
        <v>0</v>
      </c>
      <c r="AN186" s="33">
        <f t="shared" si="85"/>
        <v>0</v>
      </c>
      <c r="AO186" s="33">
        <f t="shared" si="86"/>
        <v>0</v>
      </c>
      <c r="AP186" s="33">
        <f t="shared" si="87"/>
        <v>0</v>
      </c>
      <c r="AQ186" s="194">
        <f t="shared" si="88"/>
        <v>0</v>
      </c>
      <c r="AR186" s="194">
        <f t="shared" si="88"/>
        <v>0</v>
      </c>
      <c r="AS186" s="194">
        <f t="shared" si="88"/>
        <v>0</v>
      </c>
      <c r="AT186" s="194">
        <f t="shared" si="73"/>
        <v>0</v>
      </c>
      <c r="AU186" s="33"/>
      <c r="AV186" s="33"/>
      <c r="AW186" s="33"/>
      <c r="AX186" s="33"/>
      <c r="AY186" s="76"/>
    </row>
    <row r="187" spans="3:51">
      <c r="C187" s="166" t="s">
        <v>62</v>
      </c>
      <c r="D187" s="4">
        <v>0.37</v>
      </c>
      <c r="E187" s="188" t="s">
        <v>228</v>
      </c>
      <c r="F187" s="343">
        <f>IF(OR(Tableau145[[#This Row],[Type]]="Feuillus",Tableau145[[#This Row],[Type]]="Peupliers"),1.56,1.3)</f>
        <v>1.3</v>
      </c>
      <c r="I187" s="55">
        <v>182</v>
      </c>
      <c r="J187" s="33">
        <f t="shared" si="91"/>
        <v>0</v>
      </c>
      <c r="K187" s="33">
        <f t="shared" si="92"/>
        <v>0</v>
      </c>
      <c r="L187" s="33">
        <f t="shared" si="93"/>
        <v>0</v>
      </c>
      <c r="M187" s="33">
        <f t="shared" si="94"/>
        <v>0</v>
      </c>
      <c r="N187" s="33">
        <f t="shared" si="74"/>
        <v>0</v>
      </c>
      <c r="O187" s="34">
        <f t="shared" si="75"/>
        <v>0</v>
      </c>
      <c r="P187" s="55">
        <v>182</v>
      </c>
      <c r="Q187" s="33">
        <f t="shared" si="89"/>
        <v>0</v>
      </c>
      <c r="R187" s="33">
        <f t="shared" si="95"/>
        <v>0</v>
      </c>
      <c r="S187" s="33">
        <f t="shared" si="96"/>
        <v>0</v>
      </c>
      <c r="T187" s="33">
        <f t="shared" si="76"/>
        <v>0</v>
      </c>
      <c r="U187" s="33">
        <f t="shared" si="90"/>
        <v>0</v>
      </c>
      <c r="V187" s="33">
        <f t="shared" si="77"/>
        <v>0</v>
      </c>
      <c r="W187" s="33">
        <v>0</v>
      </c>
      <c r="X187" s="33">
        <f t="shared" si="78"/>
        <v>0</v>
      </c>
      <c r="Y187" s="38">
        <f t="shared" si="79"/>
        <v>0</v>
      </c>
      <c r="AA187" s="71">
        <v>182</v>
      </c>
      <c r="AB187" s="33">
        <f t="shared" si="80"/>
        <v>0</v>
      </c>
      <c r="AC187" s="305">
        <f t="shared" si="101"/>
        <v>0</v>
      </c>
      <c r="AD187" s="100">
        <f t="shared" si="81"/>
        <v>0</v>
      </c>
      <c r="AE187" s="100">
        <f t="shared" si="82"/>
        <v>0</v>
      </c>
      <c r="AF187" s="194">
        <f t="shared" si="97"/>
        <v>0</v>
      </c>
      <c r="AG187" s="194">
        <f t="shared" si="98"/>
        <v>0</v>
      </c>
      <c r="AH187" s="194">
        <f t="shared" si="99"/>
        <v>0</v>
      </c>
      <c r="AI187" s="199">
        <f t="shared" si="100"/>
        <v>0</v>
      </c>
      <c r="AK187" s="71">
        <v>182</v>
      </c>
      <c r="AL187" s="33">
        <f t="shared" si="83"/>
        <v>0</v>
      </c>
      <c r="AM187" s="33">
        <f t="shared" si="84"/>
        <v>0</v>
      </c>
      <c r="AN187" s="33">
        <f t="shared" si="85"/>
        <v>0</v>
      </c>
      <c r="AO187" s="33">
        <f t="shared" si="86"/>
        <v>0</v>
      </c>
      <c r="AP187" s="33">
        <f t="shared" si="87"/>
        <v>0</v>
      </c>
      <c r="AQ187" s="194">
        <f t="shared" si="88"/>
        <v>0</v>
      </c>
      <c r="AR187" s="194">
        <f t="shared" si="88"/>
        <v>0</v>
      </c>
      <c r="AS187" s="194">
        <f t="shared" si="88"/>
        <v>0</v>
      </c>
      <c r="AT187" s="194">
        <f t="shared" si="73"/>
        <v>0</v>
      </c>
      <c r="AU187" s="33"/>
      <c r="AV187" s="33"/>
      <c r="AW187" s="33"/>
      <c r="AX187" s="33"/>
      <c r="AY187" s="76"/>
    </row>
    <row r="188" spans="3:51">
      <c r="C188" s="166" t="s">
        <v>63</v>
      </c>
      <c r="D188" s="4">
        <v>0.38</v>
      </c>
      <c r="E188" s="188" t="s">
        <v>228</v>
      </c>
      <c r="F188" s="343">
        <f>IF(OR(Tableau145[[#This Row],[Type]]="Feuillus",Tableau145[[#This Row],[Type]]="Peupliers"),1.56,1.3)</f>
        <v>1.3</v>
      </c>
      <c r="I188" s="55">
        <v>183</v>
      </c>
      <c r="J188" s="33">
        <f t="shared" si="91"/>
        <v>0</v>
      </c>
      <c r="K188" s="33">
        <f t="shared" si="92"/>
        <v>0</v>
      </c>
      <c r="L188" s="33">
        <f t="shared" si="93"/>
        <v>0</v>
      </c>
      <c r="M188" s="33">
        <f t="shared" si="94"/>
        <v>0</v>
      </c>
      <c r="N188" s="33">
        <f t="shared" si="74"/>
        <v>0</v>
      </c>
      <c r="O188" s="34">
        <f t="shared" si="75"/>
        <v>0</v>
      </c>
      <c r="P188" s="55">
        <v>183</v>
      </c>
      <c r="Q188" s="33">
        <f t="shared" si="89"/>
        <v>0</v>
      </c>
      <c r="R188" s="33">
        <f t="shared" si="95"/>
        <v>0</v>
      </c>
      <c r="S188" s="33">
        <f t="shared" si="96"/>
        <v>0</v>
      </c>
      <c r="T188" s="33">
        <f t="shared" si="76"/>
        <v>0</v>
      </c>
      <c r="U188" s="33">
        <f t="shared" si="90"/>
        <v>0</v>
      </c>
      <c r="V188" s="33">
        <f t="shared" si="77"/>
        <v>0</v>
      </c>
      <c r="W188" s="33">
        <v>0</v>
      </c>
      <c r="X188" s="33">
        <f t="shared" si="78"/>
        <v>0</v>
      </c>
      <c r="Y188" s="38">
        <f t="shared" si="79"/>
        <v>0</v>
      </c>
      <c r="AA188" s="71">
        <v>183</v>
      </c>
      <c r="AB188" s="33">
        <f t="shared" si="80"/>
        <v>0</v>
      </c>
      <c r="AC188" s="305">
        <f t="shared" si="101"/>
        <v>0</v>
      </c>
      <c r="AD188" s="100">
        <f t="shared" si="81"/>
        <v>0</v>
      </c>
      <c r="AE188" s="100">
        <f t="shared" si="82"/>
        <v>0</v>
      </c>
      <c r="AF188" s="194">
        <f t="shared" si="97"/>
        <v>0</v>
      </c>
      <c r="AG188" s="194">
        <f t="shared" si="98"/>
        <v>0</v>
      </c>
      <c r="AH188" s="194">
        <f t="shared" si="99"/>
        <v>0</v>
      </c>
      <c r="AI188" s="199">
        <f t="shared" si="100"/>
        <v>0</v>
      </c>
      <c r="AK188" s="71">
        <v>183</v>
      </c>
      <c r="AL188" s="33">
        <f t="shared" si="83"/>
        <v>0</v>
      </c>
      <c r="AM188" s="33">
        <f t="shared" si="84"/>
        <v>0</v>
      </c>
      <c r="AN188" s="33">
        <f t="shared" si="85"/>
        <v>0</v>
      </c>
      <c r="AO188" s="33">
        <f t="shared" si="86"/>
        <v>0</v>
      </c>
      <c r="AP188" s="33">
        <f t="shared" si="87"/>
        <v>0</v>
      </c>
      <c r="AQ188" s="194">
        <f t="shared" si="88"/>
        <v>0</v>
      </c>
      <c r="AR188" s="194">
        <f t="shared" si="88"/>
        <v>0</v>
      </c>
      <c r="AS188" s="194">
        <f t="shared" si="88"/>
        <v>0</v>
      </c>
      <c r="AT188" s="194">
        <f t="shared" si="73"/>
        <v>0</v>
      </c>
      <c r="AU188" s="33"/>
      <c r="AV188" s="33"/>
      <c r="AW188" s="33"/>
      <c r="AX188" s="33"/>
      <c r="AY188" s="76"/>
    </row>
    <row r="189" spans="3:51">
      <c r="C189" s="166" t="s">
        <v>64</v>
      </c>
      <c r="D189" s="4">
        <v>0.36</v>
      </c>
      <c r="E189" s="188" t="s">
        <v>228</v>
      </c>
      <c r="F189" s="343">
        <f>IF(OR(Tableau145[[#This Row],[Type]]="Feuillus",Tableau145[[#This Row],[Type]]="Peupliers"),1.56,1.3)</f>
        <v>1.3</v>
      </c>
      <c r="I189" s="55">
        <v>184</v>
      </c>
      <c r="J189" s="33">
        <f t="shared" si="91"/>
        <v>0</v>
      </c>
      <c r="K189" s="33">
        <f t="shared" si="92"/>
        <v>0</v>
      </c>
      <c r="L189" s="33">
        <f t="shared" si="93"/>
        <v>0</v>
      </c>
      <c r="M189" s="33">
        <f t="shared" si="94"/>
        <v>0</v>
      </c>
      <c r="N189" s="33">
        <f t="shared" si="74"/>
        <v>0</v>
      </c>
      <c r="O189" s="34">
        <f t="shared" si="75"/>
        <v>0</v>
      </c>
      <c r="P189" s="55">
        <v>184</v>
      </c>
      <c r="Q189" s="33">
        <f t="shared" si="89"/>
        <v>0</v>
      </c>
      <c r="R189" s="33">
        <f t="shared" si="95"/>
        <v>0</v>
      </c>
      <c r="S189" s="33">
        <f t="shared" si="96"/>
        <v>0</v>
      </c>
      <c r="T189" s="33">
        <f t="shared" si="76"/>
        <v>0</v>
      </c>
      <c r="U189" s="33">
        <f t="shared" si="90"/>
        <v>0</v>
      </c>
      <c r="V189" s="33">
        <f t="shared" si="77"/>
        <v>0</v>
      </c>
      <c r="W189" s="33">
        <v>0</v>
      </c>
      <c r="X189" s="33">
        <f t="shared" si="78"/>
        <v>0</v>
      </c>
      <c r="Y189" s="38">
        <f t="shared" si="79"/>
        <v>0</v>
      </c>
      <c r="AA189" s="71">
        <v>184</v>
      </c>
      <c r="AB189" s="33">
        <f t="shared" si="80"/>
        <v>0</v>
      </c>
      <c r="AC189" s="305">
        <f t="shared" si="101"/>
        <v>0</v>
      </c>
      <c r="AD189" s="100">
        <f t="shared" si="81"/>
        <v>0</v>
      </c>
      <c r="AE189" s="100">
        <f t="shared" si="82"/>
        <v>0</v>
      </c>
      <c r="AF189" s="194">
        <f t="shared" si="97"/>
        <v>0</v>
      </c>
      <c r="AG189" s="194">
        <f t="shared" si="98"/>
        <v>0</v>
      </c>
      <c r="AH189" s="194">
        <f t="shared" si="99"/>
        <v>0</v>
      </c>
      <c r="AI189" s="199">
        <f t="shared" si="100"/>
        <v>0</v>
      </c>
      <c r="AK189" s="71">
        <v>184</v>
      </c>
      <c r="AL189" s="33">
        <f t="shared" si="83"/>
        <v>0</v>
      </c>
      <c r="AM189" s="33">
        <f t="shared" si="84"/>
        <v>0</v>
      </c>
      <c r="AN189" s="33">
        <f t="shared" si="85"/>
        <v>0</v>
      </c>
      <c r="AO189" s="33">
        <f t="shared" si="86"/>
        <v>0</v>
      </c>
      <c r="AP189" s="33">
        <f t="shared" si="87"/>
        <v>0</v>
      </c>
      <c r="AQ189" s="194">
        <f t="shared" si="88"/>
        <v>0</v>
      </c>
      <c r="AR189" s="194">
        <f t="shared" si="88"/>
        <v>0</v>
      </c>
      <c r="AS189" s="194">
        <f t="shared" si="88"/>
        <v>0</v>
      </c>
      <c r="AT189" s="194">
        <f t="shared" si="73"/>
        <v>0</v>
      </c>
      <c r="AU189" s="33"/>
      <c r="AV189" s="33"/>
      <c r="AW189" s="33"/>
      <c r="AX189" s="33"/>
      <c r="AY189" s="76"/>
    </row>
    <row r="190" spans="3:51">
      <c r="C190" s="166" t="s">
        <v>65</v>
      </c>
      <c r="D190" s="4">
        <v>0.37</v>
      </c>
      <c r="E190" s="188" t="s">
        <v>227</v>
      </c>
      <c r="F190" s="343">
        <f>IF(OR(Tableau145[[#This Row],[Type]]="Feuillus",Tableau145[[#This Row],[Type]]="Peupliers"),1.56,1.3)</f>
        <v>1.56</v>
      </c>
      <c r="I190" s="55">
        <v>185</v>
      </c>
      <c r="J190" s="33">
        <f t="shared" si="91"/>
        <v>0</v>
      </c>
      <c r="K190" s="33">
        <f t="shared" si="92"/>
        <v>0</v>
      </c>
      <c r="L190" s="33">
        <f t="shared" si="93"/>
        <v>0</v>
      </c>
      <c r="M190" s="33">
        <f t="shared" si="94"/>
        <v>0</v>
      </c>
      <c r="N190" s="33">
        <f t="shared" si="74"/>
        <v>0</v>
      </c>
      <c r="O190" s="34">
        <f t="shared" si="75"/>
        <v>0</v>
      </c>
      <c r="P190" s="55">
        <v>185</v>
      </c>
      <c r="Q190" s="33">
        <f t="shared" si="89"/>
        <v>0</v>
      </c>
      <c r="R190" s="33">
        <f t="shared" si="95"/>
        <v>0</v>
      </c>
      <c r="S190" s="33">
        <f t="shared" si="96"/>
        <v>0</v>
      </c>
      <c r="T190" s="33">
        <f t="shared" si="76"/>
        <v>0</v>
      </c>
      <c r="U190" s="33">
        <f t="shared" si="90"/>
        <v>0</v>
      </c>
      <c r="V190" s="33">
        <f t="shared" si="77"/>
        <v>0</v>
      </c>
      <c r="W190" s="33">
        <v>0</v>
      </c>
      <c r="X190" s="33">
        <f t="shared" si="78"/>
        <v>0</v>
      </c>
      <c r="Y190" s="38">
        <f t="shared" si="79"/>
        <v>0</v>
      </c>
      <c r="AA190" s="71">
        <v>185</v>
      </c>
      <c r="AB190" s="33">
        <f t="shared" si="80"/>
        <v>0</v>
      </c>
      <c r="AC190" s="305">
        <f t="shared" si="101"/>
        <v>0</v>
      </c>
      <c r="AD190" s="100">
        <f t="shared" si="81"/>
        <v>0</v>
      </c>
      <c r="AE190" s="100">
        <f t="shared" si="82"/>
        <v>0</v>
      </c>
      <c r="AF190" s="194">
        <f t="shared" si="97"/>
        <v>0</v>
      </c>
      <c r="AG190" s="194">
        <f t="shared" si="98"/>
        <v>0</v>
      </c>
      <c r="AH190" s="194">
        <f t="shared" si="99"/>
        <v>0</v>
      </c>
      <c r="AI190" s="199">
        <f t="shared" si="100"/>
        <v>0</v>
      </c>
      <c r="AK190" s="71">
        <v>185</v>
      </c>
      <c r="AL190" s="33">
        <f t="shared" si="83"/>
        <v>0</v>
      </c>
      <c r="AM190" s="33">
        <f t="shared" si="84"/>
        <v>0</v>
      </c>
      <c r="AN190" s="33">
        <f t="shared" si="85"/>
        <v>0</v>
      </c>
      <c r="AO190" s="33">
        <f t="shared" si="86"/>
        <v>0</v>
      </c>
      <c r="AP190" s="33">
        <f t="shared" si="87"/>
        <v>0</v>
      </c>
      <c r="AQ190" s="194">
        <f t="shared" si="88"/>
        <v>0</v>
      </c>
      <c r="AR190" s="194">
        <f t="shared" si="88"/>
        <v>0</v>
      </c>
      <c r="AS190" s="194">
        <f t="shared" si="88"/>
        <v>0</v>
      </c>
      <c r="AT190" s="194">
        <f t="shared" si="73"/>
        <v>0</v>
      </c>
      <c r="AU190" s="33"/>
      <c r="AV190" s="33"/>
      <c r="AW190" s="33"/>
      <c r="AX190" s="33"/>
      <c r="AY190" s="76"/>
    </row>
    <row r="191" spans="3:51">
      <c r="C191" s="166" t="s">
        <v>66</v>
      </c>
      <c r="D191" s="4">
        <v>0.53</v>
      </c>
      <c r="E191" s="188" t="s">
        <v>227</v>
      </c>
      <c r="F191" s="343">
        <f>IF(OR(Tableau145[[#This Row],[Type]]="Feuillus",Tableau145[[#This Row],[Type]]="Peupliers"),1.56,1.3)</f>
        <v>1.56</v>
      </c>
      <c r="I191" s="55">
        <v>186</v>
      </c>
      <c r="J191" s="33">
        <f t="shared" si="91"/>
        <v>0</v>
      </c>
      <c r="K191" s="33">
        <f t="shared" si="92"/>
        <v>0</v>
      </c>
      <c r="L191" s="33">
        <f t="shared" si="93"/>
        <v>0</v>
      </c>
      <c r="M191" s="33">
        <f t="shared" si="94"/>
        <v>0</v>
      </c>
      <c r="N191" s="33">
        <f t="shared" si="74"/>
        <v>0</v>
      </c>
      <c r="O191" s="34">
        <f t="shared" si="75"/>
        <v>0</v>
      </c>
      <c r="P191" s="55">
        <v>186</v>
      </c>
      <c r="Q191" s="33">
        <f t="shared" si="89"/>
        <v>0</v>
      </c>
      <c r="R191" s="33">
        <f t="shared" si="95"/>
        <v>0</v>
      </c>
      <c r="S191" s="33">
        <f t="shared" si="96"/>
        <v>0</v>
      </c>
      <c r="T191" s="33">
        <f t="shared" si="76"/>
        <v>0</v>
      </c>
      <c r="U191" s="33">
        <f t="shared" si="90"/>
        <v>0</v>
      </c>
      <c r="V191" s="33">
        <f t="shared" si="77"/>
        <v>0</v>
      </c>
      <c r="W191" s="33">
        <v>0</v>
      </c>
      <c r="X191" s="33">
        <f t="shared" si="78"/>
        <v>0</v>
      </c>
      <c r="Y191" s="38">
        <f t="shared" si="79"/>
        <v>0</v>
      </c>
      <c r="AA191" s="71">
        <v>186</v>
      </c>
      <c r="AB191" s="33">
        <f t="shared" si="80"/>
        <v>0</v>
      </c>
      <c r="AC191" s="305">
        <f t="shared" si="101"/>
        <v>0</v>
      </c>
      <c r="AD191" s="100">
        <f t="shared" si="81"/>
        <v>0</v>
      </c>
      <c r="AE191" s="100">
        <f t="shared" si="82"/>
        <v>0</v>
      </c>
      <c r="AF191" s="194">
        <f t="shared" si="97"/>
        <v>0</v>
      </c>
      <c r="AG191" s="194">
        <f t="shared" si="98"/>
        <v>0</v>
      </c>
      <c r="AH191" s="194">
        <f t="shared" si="99"/>
        <v>0</v>
      </c>
      <c r="AI191" s="199">
        <f t="shared" si="100"/>
        <v>0</v>
      </c>
      <c r="AK191" s="71">
        <v>186</v>
      </c>
      <c r="AL191" s="33">
        <f t="shared" si="83"/>
        <v>0</v>
      </c>
      <c r="AM191" s="33">
        <f t="shared" si="84"/>
        <v>0</v>
      </c>
      <c r="AN191" s="33">
        <f t="shared" si="85"/>
        <v>0</v>
      </c>
      <c r="AO191" s="33">
        <f t="shared" si="86"/>
        <v>0</v>
      </c>
      <c r="AP191" s="33">
        <f t="shared" si="87"/>
        <v>0</v>
      </c>
      <c r="AQ191" s="194">
        <f t="shared" si="88"/>
        <v>0</v>
      </c>
      <c r="AR191" s="194">
        <f t="shared" si="88"/>
        <v>0</v>
      </c>
      <c r="AS191" s="194">
        <f t="shared" si="88"/>
        <v>0</v>
      </c>
      <c r="AT191" s="194">
        <f t="shared" si="73"/>
        <v>0</v>
      </c>
      <c r="AU191" s="33"/>
      <c r="AV191" s="33"/>
      <c r="AW191" s="33"/>
      <c r="AX191" s="33"/>
      <c r="AY191" s="76"/>
    </row>
    <row r="192" spans="3:51">
      <c r="C192" s="166" t="s">
        <v>67</v>
      </c>
      <c r="D192" s="4">
        <v>0.43</v>
      </c>
      <c r="E192" s="188" t="s">
        <v>227</v>
      </c>
      <c r="F192" s="343">
        <f>IF(OR(Tableau145[[#This Row],[Type]]="Feuillus",Tableau145[[#This Row],[Type]]="Peupliers"),1.56,1.3)</f>
        <v>1.56</v>
      </c>
      <c r="I192" s="55">
        <v>187</v>
      </c>
      <c r="J192" s="33">
        <f t="shared" si="91"/>
        <v>0</v>
      </c>
      <c r="K192" s="33">
        <f t="shared" si="92"/>
        <v>0</v>
      </c>
      <c r="L192" s="33">
        <f t="shared" si="93"/>
        <v>0</v>
      </c>
      <c r="M192" s="33">
        <f t="shared" si="94"/>
        <v>0</v>
      </c>
      <c r="N192" s="33">
        <f t="shared" si="74"/>
        <v>0</v>
      </c>
      <c r="O192" s="34">
        <f t="shared" si="75"/>
        <v>0</v>
      </c>
      <c r="P192" s="55">
        <v>187</v>
      </c>
      <c r="Q192" s="33">
        <f t="shared" si="89"/>
        <v>0</v>
      </c>
      <c r="R192" s="33">
        <f t="shared" si="95"/>
        <v>0</v>
      </c>
      <c r="S192" s="33">
        <f t="shared" si="96"/>
        <v>0</v>
      </c>
      <c r="T192" s="33">
        <f t="shared" si="76"/>
        <v>0</v>
      </c>
      <c r="U192" s="33">
        <f t="shared" si="90"/>
        <v>0</v>
      </c>
      <c r="V192" s="33">
        <f t="shared" si="77"/>
        <v>0</v>
      </c>
      <c r="W192" s="33">
        <v>0</v>
      </c>
      <c r="X192" s="33">
        <f t="shared" si="78"/>
        <v>0</v>
      </c>
      <c r="Y192" s="38">
        <f t="shared" si="79"/>
        <v>0</v>
      </c>
      <c r="AA192" s="71">
        <v>187</v>
      </c>
      <c r="AB192" s="33">
        <f t="shared" si="80"/>
        <v>0</v>
      </c>
      <c r="AC192" s="305">
        <f t="shared" si="101"/>
        <v>0</v>
      </c>
      <c r="AD192" s="100">
        <f t="shared" si="81"/>
        <v>0</v>
      </c>
      <c r="AE192" s="100">
        <f t="shared" si="82"/>
        <v>0</v>
      </c>
      <c r="AF192" s="194">
        <f t="shared" si="97"/>
        <v>0</v>
      </c>
      <c r="AG192" s="194">
        <f t="shared" si="98"/>
        <v>0</v>
      </c>
      <c r="AH192" s="194">
        <f t="shared" si="99"/>
        <v>0</v>
      </c>
      <c r="AI192" s="199">
        <f t="shared" si="100"/>
        <v>0</v>
      </c>
      <c r="AK192" s="71">
        <v>187</v>
      </c>
      <c r="AL192" s="33">
        <f t="shared" si="83"/>
        <v>0</v>
      </c>
      <c r="AM192" s="33">
        <f t="shared" si="84"/>
        <v>0</v>
      </c>
      <c r="AN192" s="33">
        <f t="shared" si="85"/>
        <v>0</v>
      </c>
      <c r="AO192" s="33">
        <f t="shared" si="86"/>
        <v>0</v>
      </c>
      <c r="AP192" s="33">
        <f t="shared" si="87"/>
        <v>0</v>
      </c>
      <c r="AQ192" s="194">
        <f t="shared" si="88"/>
        <v>0</v>
      </c>
      <c r="AR192" s="194">
        <f t="shared" si="88"/>
        <v>0</v>
      </c>
      <c r="AS192" s="194">
        <f t="shared" si="88"/>
        <v>0</v>
      </c>
      <c r="AT192" s="194">
        <f t="shared" si="73"/>
        <v>0</v>
      </c>
      <c r="AU192" s="33"/>
      <c r="AV192" s="33"/>
      <c r="AW192" s="33"/>
      <c r="AX192" s="33"/>
      <c r="AY192" s="76"/>
    </row>
    <row r="193" spans="3:51">
      <c r="C193" s="166" t="s">
        <v>68</v>
      </c>
      <c r="D193" s="4">
        <v>0.38</v>
      </c>
      <c r="E193" s="188" t="s">
        <v>227</v>
      </c>
      <c r="F193" s="343">
        <f>IF(OR(Tableau145[[#This Row],[Type]]="Feuillus",Tableau145[[#This Row],[Type]]="Peupliers"),1.56,1.3)</f>
        <v>1.56</v>
      </c>
      <c r="I193" s="55">
        <v>188</v>
      </c>
      <c r="J193" s="33">
        <f t="shared" si="91"/>
        <v>0</v>
      </c>
      <c r="K193" s="33">
        <f t="shared" si="92"/>
        <v>0</v>
      </c>
      <c r="L193" s="33">
        <f t="shared" si="93"/>
        <v>0</v>
      </c>
      <c r="M193" s="33">
        <f t="shared" si="94"/>
        <v>0</v>
      </c>
      <c r="N193" s="33">
        <f t="shared" si="74"/>
        <v>0</v>
      </c>
      <c r="O193" s="34">
        <f t="shared" si="75"/>
        <v>0</v>
      </c>
      <c r="P193" s="55">
        <v>188</v>
      </c>
      <c r="Q193" s="33">
        <f t="shared" si="89"/>
        <v>0</v>
      </c>
      <c r="R193" s="33">
        <f t="shared" si="95"/>
        <v>0</v>
      </c>
      <c r="S193" s="33">
        <f t="shared" si="96"/>
        <v>0</v>
      </c>
      <c r="T193" s="33">
        <f t="shared" si="76"/>
        <v>0</v>
      </c>
      <c r="U193" s="33">
        <f t="shared" si="90"/>
        <v>0</v>
      </c>
      <c r="V193" s="33">
        <f t="shared" si="77"/>
        <v>0</v>
      </c>
      <c r="W193" s="33">
        <v>0</v>
      </c>
      <c r="X193" s="33">
        <f t="shared" si="78"/>
        <v>0</v>
      </c>
      <c r="Y193" s="38">
        <f t="shared" si="79"/>
        <v>0</v>
      </c>
      <c r="AA193" s="71">
        <v>188</v>
      </c>
      <c r="AB193" s="33">
        <f t="shared" si="80"/>
        <v>0</v>
      </c>
      <c r="AC193" s="305">
        <f t="shared" si="101"/>
        <v>0</v>
      </c>
      <c r="AD193" s="100">
        <f t="shared" si="81"/>
        <v>0</v>
      </c>
      <c r="AE193" s="100">
        <f t="shared" si="82"/>
        <v>0</v>
      </c>
      <c r="AF193" s="194">
        <f t="shared" si="97"/>
        <v>0</v>
      </c>
      <c r="AG193" s="194">
        <f t="shared" si="98"/>
        <v>0</v>
      </c>
      <c r="AH193" s="194">
        <f t="shared" si="99"/>
        <v>0</v>
      </c>
      <c r="AI193" s="199">
        <f t="shared" si="100"/>
        <v>0</v>
      </c>
      <c r="AK193" s="71">
        <v>188</v>
      </c>
      <c r="AL193" s="33">
        <f t="shared" si="83"/>
        <v>0</v>
      </c>
      <c r="AM193" s="33">
        <f t="shared" si="84"/>
        <v>0</v>
      </c>
      <c r="AN193" s="33">
        <f t="shared" si="85"/>
        <v>0</v>
      </c>
      <c r="AO193" s="33">
        <f t="shared" si="86"/>
        <v>0</v>
      </c>
      <c r="AP193" s="33">
        <f t="shared" si="87"/>
        <v>0</v>
      </c>
      <c r="AQ193" s="194">
        <f t="shared" si="88"/>
        <v>0</v>
      </c>
      <c r="AR193" s="194">
        <f t="shared" si="88"/>
        <v>0</v>
      </c>
      <c r="AS193" s="194">
        <f t="shared" si="88"/>
        <v>0</v>
      </c>
      <c r="AT193" s="194">
        <f t="shared" si="73"/>
        <v>0</v>
      </c>
      <c r="AU193" s="33"/>
      <c r="AV193" s="33"/>
      <c r="AW193" s="33"/>
      <c r="AX193" s="33"/>
      <c r="AY193" s="76"/>
    </row>
    <row r="194" spans="3:51">
      <c r="C194" s="166" t="s">
        <v>69</v>
      </c>
      <c r="D194" s="4">
        <v>0.42</v>
      </c>
      <c r="E194" s="188" t="s">
        <v>228</v>
      </c>
      <c r="F194" s="343">
        <f>IF(OR(Tableau145[[#This Row],[Type]]="Feuillus",Tableau145[[#This Row],[Type]]="Peupliers"),1.56,1.3)</f>
        <v>1.3</v>
      </c>
      <c r="I194" s="55">
        <v>189</v>
      </c>
      <c r="J194" s="33">
        <f t="shared" si="91"/>
        <v>0</v>
      </c>
      <c r="K194" s="33">
        <f t="shared" si="92"/>
        <v>0</v>
      </c>
      <c r="L194" s="33">
        <f t="shared" si="93"/>
        <v>0</v>
      </c>
      <c r="M194" s="33">
        <f t="shared" si="94"/>
        <v>0</v>
      </c>
      <c r="N194" s="33">
        <f t="shared" si="74"/>
        <v>0</v>
      </c>
      <c r="O194" s="34">
        <f t="shared" si="75"/>
        <v>0</v>
      </c>
      <c r="P194" s="55">
        <v>189</v>
      </c>
      <c r="Q194" s="33">
        <f t="shared" si="89"/>
        <v>0</v>
      </c>
      <c r="R194" s="33">
        <f t="shared" si="95"/>
        <v>0</v>
      </c>
      <c r="S194" s="33">
        <f t="shared" si="96"/>
        <v>0</v>
      </c>
      <c r="T194" s="33">
        <f t="shared" si="76"/>
        <v>0</v>
      </c>
      <c r="U194" s="33">
        <f t="shared" si="90"/>
        <v>0</v>
      </c>
      <c r="V194" s="33">
        <f t="shared" si="77"/>
        <v>0</v>
      </c>
      <c r="W194" s="33">
        <v>0</v>
      </c>
      <c r="X194" s="33">
        <f t="shared" si="78"/>
        <v>0</v>
      </c>
      <c r="Y194" s="38">
        <f t="shared" si="79"/>
        <v>0</v>
      </c>
      <c r="AA194" s="71">
        <v>189</v>
      </c>
      <c r="AB194" s="33">
        <f t="shared" si="80"/>
        <v>0</v>
      </c>
      <c r="AC194" s="305">
        <f t="shared" si="101"/>
        <v>0</v>
      </c>
      <c r="AD194" s="100">
        <f t="shared" si="81"/>
        <v>0</v>
      </c>
      <c r="AE194" s="100">
        <f t="shared" si="82"/>
        <v>0</v>
      </c>
      <c r="AF194" s="194">
        <f t="shared" si="97"/>
        <v>0</v>
      </c>
      <c r="AG194" s="194">
        <f t="shared" si="98"/>
        <v>0</v>
      </c>
      <c r="AH194" s="194">
        <f t="shared" si="99"/>
        <v>0</v>
      </c>
      <c r="AI194" s="199">
        <f t="shared" si="100"/>
        <v>0</v>
      </c>
      <c r="AK194" s="71">
        <v>189</v>
      </c>
      <c r="AL194" s="33">
        <f t="shared" si="83"/>
        <v>0</v>
      </c>
      <c r="AM194" s="33">
        <f t="shared" si="84"/>
        <v>0</v>
      </c>
      <c r="AN194" s="33">
        <f t="shared" si="85"/>
        <v>0</v>
      </c>
      <c r="AO194" s="33">
        <f t="shared" si="86"/>
        <v>0</v>
      </c>
      <c r="AP194" s="33">
        <f t="shared" si="87"/>
        <v>0</v>
      </c>
      <c r="AQ194" s="194">
        <f t="shared" si="88"/>
        <v>0</v>
      </c>
      <c r="AR194" s="194">
        <f t="shared" si="88"/>
        <v>0</v>
      </c>
      <c r="AS194" s="194">
        <f t="shared" si="88"/>
        <v>0</v>
      </c>
      <c r="AT194" s="194">
        <f t="shared" si="73"/>
        <v>0</v>
      </c>
      <c r="AU194" s="33"/>
      <c r="AV194" s="33"/>
      <c r="AW194" s="33"/>
      <c r="AX194" s="33"/>
      <c r="AY194" s="76"/>
    </row>
    <row r="195" spans="3:51">
      <c r="C195" s="166" t="s">
        <v>70</v>
      </c>
      <c r="D195" s="4">
        <v>0.56999999999999995</v>
      </c>
      <c r="E195" s="188" t="s">
        <v>227</v>
      </c>
      <c r="F195" s="343">
        <f>IF(OR(Tableau145[[#This Row],[Type]]="Feuillus",Tableau145[[#This Row],[Type]]="Peupliers"),1.56,1.3)</f>
        <v>1.56</v>
      </c>
      <c r="I195" s="55">
        <v>190</v>
      </c>
      <c r="J195" s="33">
        <f t="shared" si="91"/>
        <v>0</v>
      </c>
      <c r="K195" s="33">
        <f t="shared" si="92"/>
        <v>0</v>
      </c>
      <c r="L195" s="33">
        <f t="shared" si="93"/>
        <v>0</v>
      </c>
      <c r="M195" s="33">
        <f t="shared" si="94"/>
        <v>0</v>
      </c>
      <c r="N195" s="33">
        <f t="shared" si="74"/>
        <v>0</v>
      </c>
      <c r="O195" s="34">
        <f t="shared" si="75"/>
        <v>0</v>
      </c>
      <c r="P195" s="55">
        <v>190</v>
      </c>
      <c r="Q195" s="33">
        <f t="shared" si="89"/>
        <v>0</v>
      </c>
      <c r="R195" s="33">
        <f t="shared" si="95"/>
        <v>0</v>
      </c>
      <c r="S195" s="33">
        <f t="shared" si="96"/>
        <v>0</v>
      </c>
      <c r="T195" s="33">
        <f t="shared" si="76"/>
        <v>0</v>
      </c>
      <c r="U195" s="33">
        <f t="shared" si="90"/>
        <v>0</v>
      </c>
      <c r="V195" s="33">
        <f t="shared" si="77"/>
        <v>0</v>
      </c>
      <c r="W195" s="33">
        <v>0</v>
      </c>
      <c r="X195" s="33">
        <f t="shared" si="78"/>
        <v>0</v>
      </c>
      <c r="Y195" s="38">
        <f t="shared" si="79"/>
        <v>0</v>
      </c>
      <c r="AA195" s="71">
        <v>190</v>
      </c>
      <c r="AB195" s="33">
        <f t="shared" si="80"/>
        <v>0</v>
      </c>
      <c r="AC195" s="305">
        <f t="shared" si="101"/>
        <v>0</v>
      </c>
      <c r="AD195" s="100">
        <f t="shared" si="81"/>
        <v>0</v>
      </c>
      <c r="AE195" s="100">
        <f t="shared" si="82"/>
        <v>0</v>
      </c>
      <c r="AF195" s="194">
        <f t="shared" si="97"/>
        <v>0</v>
      </c>
      <c r="AG195" s="194">
        <f t="shared" si="98"/>
        <v>0</v>
      </c>
      <c r="AH195" s="194">
        <f t="shared" si="99"/>
        <v>0</v>
      </c>
      <c r="AI195" s="199">
        <f t="shared" si="100"/>
        <v>0</v>
      </c>
      <c r="AK195" s="71">
        <v>190</v>
      </c>
      <c r="AL195" s="33">
        <f t="shared" si="83"/>
        <v>0</v>
      </c>
      <c r="AM195" s="33">
        <f t="shared" si="84"/>
        <v>0</v>
      </c>
      <c r="AN195" s="33">
        <f t="shared" si="85"/>
        <v>0</v>
      </c>
      <c r="AO195" s="33">
        <f t="shared" si="86"/>
        <v>0</v>
      </c>
      <c r="AP195" s="33">
        <f t="shared" si="87"/>
        <v>0</v>
      </c>
      <c r="AQ195" s="194">
        <f t="shared" si="88"/>
        <v>0</v>
      </c>
      <c r="AR195" s="194">
        <f t="shared" si="88"/>
        <v>0</v>
      </c>
      <c r="AS195" s="194">
        <f t="shared" si="88"/>
        <v>0</v>
      </c>
      <c r="AT195" s="194">
        <f t="shared" si="73"/>
        <v>0</v>
      </c>
      <c r="AU195" s="33"/>
      <c r="AV195" s="33"/>
      <c r="AW195" s="33"/>
      <c r="AX195" s="33"/>
      <c r="AY195" s="76"/>
    </row>
    <row r="196" spans="3:51">
      <c r="C196" s="168" t="s">
        <v>71</v>
      </c>
      <c r="D196" s="3">
        <v>0.54</v>
      </c>
      <c r="E196" s="188"/>
      <c r="F196" s="343">
        <f>IF(OR(Tableau145[[#This Row],[Type]]="Feuillus",Tableau145[[#This Row],[Type]]="Peupliers"),1.56,1.3)</f>
        <v>1.3</v>
      </c>
      <c r="I196" s="55">
        <v>191</v>
      </c>
      <c r="J196" s="33">
        <f t="shared" si="91"/>
        <v>0</v>
      </c>
      <c r="K196" s="33">
        <f t="shared" si="92"/>
        <v>0</v>
      </c>
      <c r="L196" s="33">
        <f t="shared" si="93"/>
        <v>0</v>
      </c>
      <c r="M196" s="33">
        <f t="shared" si="94"/>
        <v>0</v>
      </c>
      <c r="N196" s="33">
        <f t="shared" si="74"/>
        <v>0</v>
      </c>
      <c r="O196" s="34">
        <f t="shared" si="75"/>
        <v>0</v>
      </c>
      <c r="P196" s="55">
        <v>191</v>
      </c>
      <c r="Q196" s="33">
        <f t="shared" si="89"/>
        <v>0</v>
      </c>
      <c r="R196" s="33">
        <f t="shared" si="95"/>
        <v>0</v>
      </c>
      <c r="S196" s="33">
        <f t="shared" si="96"/>
        <v>0</v>
      </c>
      <c r="T196" s="33">
        <f t="shared" si="76"/>
        <v>0</v>
      </c>
      <c r="U196" s="33">
        <f t="shared" si="90"/>
        <v>0</v>
      </c>
      <c r="V196" s="33">
        <f t="shared" si="77"/>
        <v>0</v>
      </c>
      <c r="W196" s="33">
        <v>0</v>
      </c>
      <c r="X196" s="33">
        <f t="shared" si="78"/>
        <v>0</v>
      </c>
      <c r="Y196" s="38">
        <f t="shared" si="79"/>
        <v>0</v>
      </c>
      <c r="AA196" s="71">
        <v>191</v>
      </c>
      <c r="AB196" s="33">
        <f t="shared" si="80"/>
        <v>0</v>
      </c>
      <c r="AC196" s="305">
        <f t="shared" si="101"/>
        <v>0</v>
      </c>
      <c r="AD196" s="100">
        <f t="shared" si="81"/>
        <v>0</v>
      </c>
      <c r="AE196" s="100">
        <f t="shared" si="82"/>
        <v>0</v>
      </c>
      <c r="AF196" s="194">
        <f t="shared" si="97"/>
        <v>0</v>
      </c>
      <c r="AG196" s="194">
        <f t="shared" si="98"/>
        <v>0</v>
      </c>
      <c r="AH196" s="194">
        <f t="shared" si="99"/>
        <v>0</v>
      </c>
      <c r="AI196" s="199">
        <f t="shared" si="100"/>
        <v>0</v>
      </c>
      <c r="AK196" s="71">
        <v>191</v>
      </c>
      <c r="AL196" s="33">
        <f t="shared" si="83"/>
        <v>0</v>
      </c>
      <c r="AM196" s="33">
        <f t="shared" si="84"/>
        <v>0</v>
      </c>
      <c r="AN196" s="33">
        <f t="shared" si="85"/>
        <v>0</v>
      </c>
      <c r="AO196" s="33">
        <f t="shared" si="86"/>
        <v>0</v>
      </c>
      <c r="AP196" s="33">
        <f t="shared" si="87"/>
        <v>0</v>
      </c>
      <c r="AQ196" s="194">
        <f t="shared" si="88"/>
        <v>0</v>
      </c>
      <c r="AR196" s="194">
        <f t="shared" si="88"/>
        <v>0</v>
      </c>
      <c r="AS196" s="194">
        <f t="shared" si="88"/>
        <v>0</v>
      </c>
      <c r="AT196" s="194">
        <f t="shared" si="88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1"/>
        <v>0</v>
      </c>
      <c r="K197" s="33">
        <f t="shared" si="92"/>
        <v>0</v>
      </c>
      <c r="L197" s="33">
        <f t="shared" si="93"/>
        <v>0</v>
      </c>
      <c r="M197" s="33">
        <f t="shared" si="94"/>
        <v>0</v>
      </c>
      <c r="N197" s="33">
        <f t="shared" ref="N197:N204" si="102">IF(P198&lt;=$F$18,0,)</f>
        <v>0</v>
      </c>
      <c r="O197" s="34">
        <f t="shared" ref="O197:O205" si="103">((J197+K197)*0.475+L197+M197+N197)*44/12</f>
        <v>0</v>
      </c>
      <c r="P197" s="55">
        <v>192</v>
      </c>
      <c r="Q197" s="33">
        <f t="shared" si="89"/>
        <v>0</v>
      </c>
      <c r="R197" s="33">
        <f t="shared" si="95"/>
        <v>0</v>
      </c>
      <c r="S197" s="33">
        <f t="shared" si="96"/>
        <v>0</v>
      </c>
      <c r="T197" s="33">
        <f t="shared" ref="T197:T205" si="104">IF(S197=0,0,EXP(-1.0587+0.8836*LN(S197)+0.284))</f>
        <v>0</v>
      </c>
      <c r="U197" s="33">
        <f t="shared" si="90"/>
        <v>0</v>
      </c>
      <c r="V197" s="33">
        <f t="shared" ref="V197:V205" si="105">IF(P197&lt;=$F$18,IF(P197&lt;=30,P197*($F$16-$F$6)/30,$F$16-$F$6),)</f>
        <v>0</v>
      </c>
      <c r="W197" s="33">
        <v>0</v>
      </c>
      <c r="X197" s="33">
        <f t="shared" ref="X197:X205" si="106">((S197+T197)*0.475+U197+V197+W197)*44/12</f>
        <v>0</v>
      </c>
      <c r="Y197" s="38">
        <f t="shared" ref="Y197:Y205" si="107">IF(P197&lt;=$F$18,X197-O197,)</f>
        <v>0</v>
      </c>
      <c r="AA197" s="71">
        <v>192</v>
      </c>
      <c r="AB197" s="33">
        <f t="shared" ref="AB197:AB205" si="108">IF(AA197&lt;=$F$18,IFERROR(VLOOKUP($AA197,$B$82:$G$94,2,FALSE),0),)</f>
        <v>0</v>
      </c>
      <c r="AC197" s="305">
        <f t="shared" si="101"/>
        <v>0</v>
      </c>
      <c r="AD197" s="100">
        <f t="shared" ref="AD197:AD205" si="109">IF(AA197&lt;=$F$18,IFERROR(VLOOKUP($AA197,$B$82:$G$94,4,FALSE),0),)</f>
        <v>0</v>
      </c>
      <c r="AE197" s="100">
        <f t="shared" ref="AE197:AE205" si="110">IF(AA197&lt;=$F$18,IFERROR(VLOOKUP($AA197,$B$82:$G$94,5,FALSE),0),)</f>
        <v>0</v>
      </c>
      <c r="AF197" s="194">
        <f t="shared" si="97"/>
        <v>0</v>
      </c>
      <c r="AG197" s="194">
        <f t="shared" si="98"/>
        <v>0</v>
      </c>
      <c r="AH197" s="194">
        <f t="shared" si="99"/>
        <v>0</v>
      </c>
      <c r="AI197" s="199">
        <f t="shared" si="100"/>
        <v>0</v>
      </c>
      <c r="AK197" s="71">
        <v>192</v>
      </c>
      <c r="AL197" s="33">
        <f t="shared" ref="AL197:AL205" si="111">IF(AK197&lt;=$F$18,IFERROR(VLOOKUP($AA197,$B$82:$G$94,2,FALSE),0),)</f>
        <v>0</v>
      </c>
      <c r="AM197" s="33">
        <f t="shared" ref="AM197:AM205" si="112">IF(AK197&lt;=$F$18,IFERROR(VLOOKUP($AA197,$B$82:$G$94,3,FALSE),0),)</f>
        <v>0</v>
      </c>
      <c r="AN197" s="33">
        <f t="shared" ref="AN197:AN205" si="113">IF(AK197&lt;=$F$18,IFERROR(VLOOKUP($AA197,$B$82:$G$94,4,FALSE),0),)</f>
        <v>0</v>
      </c>
      <c r="AO197" s="33">
        <f t="shared" ref="AO197:AO205" si="114">IF(AK197&lt;=$F$18,IFERROR(VLOOKUP($AA197,$B$82:$G$94,5,FALSE),0),)</f>
        <v>0</v>
      </c>
      <c r="AP197" s="33">
        <f t="shared" ref="AP197:AP205" si="115">IF(AK197&lt;=$F$18,IFERROR(VLOOKUP($AA197,$B$82:$G$94,6,FALSE),0),)</f>
        <v>0</v>
      </c>
      <c r="AQ197" s="194">
        <f t="shared" ref="AQ197:AT205" si="116">IF($AK197&lt;=$F$18,$AL197*AM197,)</f>
        <v>0</v>
      </c>
      <c r="AR197" s="194">
        <f t="shared" si="116"/>
        <v>0</v>
      </c>
      <c r="AS197" s="194">
        <f t="shared" si="116"/>
        <v>0</v>
      </c>
      <c r="AT197" s="194">
        <f t="shared" si="116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1"/>
        <v>0</v>
      </c>
      <c r="K198" s="33">
        <f t="shared" si="92"/>
        <v>0</v>
      </c>
      <c r="L198" s="33">
        <f t="shared" si="93"/>
        <v>0</v>
      </c>
      <c r="M198" s="33">
        <f t="shared" si="94"/>
        <v>0</v>
      </c>
      <c r="N198" s="33">
        <f t="shared" si="102"/>
        <v>0</v>
      </c>
      <c r="O198" s="34">
        <f t="shared" si="103"/>
        <v>0</v>
      </c>
      <c r="P198" s="55">
        <v>193</v>
      </c>
      <c r="Q198" s="33">
        <f t="shared" ref="Q198:Q205" si="117">IF(P198&lt;=$F$18,LOOKUP(P198-1,$B$25:$B$78,$G$25:$G$78),)</f>
        <v>0</v>
      </c>
      <c r="R198" s="33">
        <f t="shared" si="95"/>
        <v>0</v>
      </c>
      <c r="S198" s="33">
        <f t="shared" si="96"/>
        <v>0</v>
      </c>
      <c r="T198" s="33">
        <f t="shared" si="104"/>
        <v>0</v>
      </c>
      <c r="U198" s="33">
        <f t="shared" ref="U198:U205" si="118">IF(P198&lt;=$F$18,$F$5+($F$15-$F$5)*(1-EXP(-0.0175*P198)),)</f>
        <v>0</v>
      </c>
      <c r="V198" s="33">
        <f t="shared" si="105"/>
        <v>0</v>
      </c>
      <c r="W198" s="33">
        <v>0</v>
      </c>
      <c r="X198" s="33">
        <f t="shared" si="106"/>
        <v>0</v>
      </c>
      <c r="Y198" s="38">
        <f t="shared" si="107"/>
        <v>0</v>
      </c>
      <c r="AA198" s="71">
        <v>193</v>
      </c>
      <c r="AB198" s="33">
        <f t="shared" si="108"/>
        <v>0</v>
      </c>
      <c r="AC198" s="305">
        <f t="shared" si="101"/>
        <v>0</v>
      </c>
      <c r="AD198" s="100">
        <f t="shared" si="109"/>
        <v>0</v>
      </c>
      <c r="AE198" s="100">
        <f t="shared" si="110"/>
        <v>0</v>
      </c>
      <c r="AF198" s="194">
        <f t="shared" si="97"/>
        <v>0</v>
      </c>
      <c r="AG198" s="194">
        <f t="shared" si="98"/>
        <v>0</v>
      </c>
      <c r="AH198" s="194">
        <f t="shared" si="99"/>
        <v>0</v>
      </c>
      <c r="AI198" s="199">
        <f t="shared" si="100"/>
        <v>0</v>
      </c>
      <c r="AK198" s="71">
        <v>193</v>
      </c>
      <c r="AL198" s="33">
        <f t="shared" si="111"/>
        <v>0</v>
      </c>
      <c r="AM198" s="33">
        <f t="shared" si="112"/>
        <v>0</v>
      </c>
      <c r="AN198" s="33">
        <f t="shared" si="113"/>
        <v>0</v>
      </c>
      <c r="AO198" s="33">
        <f t="shared" si="114"/>
        <v>0</v>
      </c>
      <c r="AP198" s="33">
        <f t="shared" si="115"/>
        <v>0</v>
      </c>
      <c r="AQ198" s="194">
        <f t="shared" si="116"/>
        <v>0</v>
      </c>
      <c r="AR198" s="194">
        <f t="shared" si="116"/>
        <v>0</v>
      </c>
      <c r="AS198" s="194">
        <f t="shared" si="116"/>
        <v>0</v>
      </c>
      <c r="AT198" s="194">
        <f t="shared" si="116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19">IF($I199&lt;=$F$10,$F$11*$F$13+J198,)</f>
        <v>0</v>
      </c>
      <c r="K199" s="33">
        <f t="shared" ref="K199:K205" si="120">IF(J199=0,0,EXP(-1.0587+0.8836*LN(J199)+0.284))</f>
        <v>0</v>
      </c>
      <c r="L199" s="33">
        <f t="shared" ref="L199:L205" si="121">IF(I199&lt;=$F$10,$F$5+($F$8-$F$5)*(1-EXP(-0.0175*I199)),)</f>
        <v>0</v>
      </c>
      <c r="M199" s="33">
        <f t="shared" ref="M199:M205" si="122">IF(I199&lt;=$F$10,IF(I199&lt;=30,I199*($F$9-$F$6)/30,$F$9-$F$6),)</f>
        <v>0</v>
      </c>
      <c r="N199" s="33">
        <f t="shared" si="102"/>
        <v>0</v>
      </c>
      <c r="O199" s="34">
        <f t="shared" si="103"/>
        <v>0</v>
      </c>
      <c r="P199" s="55">
        <v>194</v>
      </c>
      <c r="Q199" s="33">
        <f t="shared" si="117"/>
        <v>0</v>
      </c>
      <c r="R199" s="33">
        <f t="shared" ref="R199:R205" si="123">IF(P199&lt;=$F$18,Q199+R198,)</f>
        <v>0</v>
      </c>
      <c r="S199" s="33">
        <f t="shared" ref="S199:S205" si="124">$F$19*R199</f>
        <v>0</v>
      </c>
      <c r="T199" s="33">
        <f t="shared" si="104"/>
        <v>0</v>
      </c>
      <c r="U199" s="33">
        <f t="shared" si="118"/>
        <v>0</v>
      </c>
      <c r="V199" s="33">
        <f t="shared" si="105"/>
        <v>0</v>
      </c>
      <c r="W199" s="33">
        <v>0</v>
      </c>
      <c r="X199" s="33">
        <f t="shared" si="106"/>
        <v>0</v>
      </c>
      <c r="Y199" s="38">
        <f t="shared" si="107"/>
        <v>0</v>
      </c>
      <c r="AA199" s="71">
        <v>194</v>
      </c>
      <c r="AB199" s="33">
        <f t="shared" si="108"/>
        <v>0</v>
      </c>
      <c r="AC199" s="305">
        <f t="shared" si="101"/>
        <v>0</v>
      </c>
      <c r="AD199" s="100">
        <f t="shared" si="109"/>
        <v>0</v>
      </c>
      <c r="AE199" s="100">
        <f t="shared" si="110"/>
        <v>0</v>
      </c>
      <c r="AF199" s="194">
        <f t="shared" si="97"/>
        <v>0</v>
      </c>
      <c r="AG199" s="194">
        <f t="shared" si="98"/>
        <v>0</v>
      </c>
      <c r="AH199" s="194">
        <f t="shared" si="99"/>
        <v>0</v>
      </c>
      <c r="AI199" s="199">
        <f t="shared" si="100"/>
        <v>0</v>
      </c>
      <c r="AK199" s="71">
        <v>194</v>
      </c>
      <c r="AL199" s="33">
        <f t="shared" si="111"/>
        <v>0</v>
      </c>
      <c r="AM199" s="33">
        <f t="shared" si="112"/>
        <v>0</v>
      </c>
      <c r="AN199" s="33">
        <f t="shared" si="113"/>
        <v>0</v>
      </c>
      <c r="AO199" s="33">
        <f t="shared" si="114"/>
        <v>0</v>
      </c>
      <c r="AP199" s="33">
        <f t="shared" si="115"/>
        <v>0</v>
      </c>
      <c r="AQ199" s="194">
        <f t="shared" si="116"/>
        <v>0</v>
      </c>
      <c r="AR199" s="194">
        <f t="shared" si="116"/>
        <v>0</v>
      </c>
      <c r="AS199" s="194">
        <f t="shared" si="116"/>
        <v>0</v>
      </c>
      <c r="AT199" s="194">
        <f t="shared" si="116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19"/>
        <v>0</v>
      </c>
      <c r="K200" s="33">
        <f t="shared" si="120"/>
        <v>0</v>
      </c>
      <c r="L200" s="33">
        <f t="shared" si="121"/>
        <v>0</v>
      </c>
      <c r="M200" s="33">
        <f t="shared" si="122"/>
        <v>0</v>
      </c>
      <c r="N200" s="33">
        <f t="shared" si="102"/>
        <v>0</v>
      </c>
      <c r="O200" s="34">
        <f t="shared" si="103"/>
        <v>0</v>
      </c>
      <c r="P200" s="55">
        <v>195</v>
      </c>
      <c r="Q200" s="33">
        <f t="shared" si="117"/>
        <v>0</v>
      </c>
      <c r="R200" s="33">
        <f t="shared" si="123"/>
        <v>0</v>
      </c>
      <c r="S200" s="33">
        <f t="shared" si="124"/>
        <v>0</v>
      </c>
      <c r="T200" s="33">
        <f t="shared" si="104"/>
        <v>0</v>
      </c>
      <c r="U200" s="33">
        <f t="shared" si="118"/>
        <v>0</v>
      </c>
      <c r="V200" s="33">
        <f t="shared" si="105"/>
        <v>0</v>
      </c>
      <c r="W200" s="33">
        <v>0</v>
      </c>
      <c r="X200" s="33">
        <f t="shared" si="106"/>
        <v>0</v>
      </c>
      <c r="Y200" s="38">
        <f t="shared" si="107"/>
        <v>0</v>
      </c>
      <c r="AA200" s="71">
        <v>195</v>
      </c>
      <c r="AB200" s="33">
        <f t="shared" si="108"/>
        <v>0</v>
      </c>
      <c r="AC200" s="305">
        <f t="shared" si="101"/>
        <v>0</v>
      </c>
      <c r="AD200" s="100">
        <f t="shared" si="109"/>
        <v>0</v>
      </c>
      <c r="AE200" s="100">
        <f t="shared" si="110"/>
        <v>0</v>
      </c>
      <c r="AF200" s="194">
        <f t="shared" si="97"/>
        <v>0</v>
      </c>
      <c r="AG200" s="194">
        <f t="shared" si="98"/>
        <v>0</v>
      </c>
      <c r="AH200" s="194">
        <f t="shared" si="99"/>
        <v>0</v>
      </c>
      <c r="AI200" s="199">
        <f t="shared" si="100"/>
        <v>0</v>
      </c>
      <c r="AK200" s="71">
        <v>195</v>
      </c>
      <c r="AL200" s="33">
        <f t="shared" si="111"/>
        <v>0</v>
      </c>
      <c r="AM200" s="33">
        <f t="shared" si="112"/>
        <v>0</v>
      </c>
      <c r="AN200" s="33">
        <f t="shared" si="113"/>
        <v>0</v>
      </c>
      <c r="AO200" s="33">
        <f t="shared" si="114"/>
        <v>0</v>
      </c>
      <c r="AP200" s="33">
        <f t="shared" si="115"/>
        <v>0</v>
      </c>
      <c r="AQ200" s="194">
        <f t="shared" si="116"/>
        <v>0</v>
      </c>
      <c r="AR200" s="194">
        <f t="shared" si="116"/>
        <v>0</v>
      </c>
      <c r="AS200" s="194">
        <f t="shared" si="116"/>
        <v>0</v>
      </c>
      <c r="AT200" s="194">
        <f t="shared" si="116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19"/>
        <v>0</v>
      </c>
      <c r="K201" s="33">
        <f t="shared" si="120"/>
        <v>0</v>
      </c>
      <c r="L201" s="33">
        <f t="shared" si="121"/>
        <v>0</v>
      </c>
      <c r="M201" s="33">
        <f t="shared" si="122"/>
        <v>0</v>
      </c>
      <c r="N201" s="33">
        <f t="shared" si="102"/>
        <v>0</v>
      </c>
      <c r="O201" s="34">
        <f t="shared" si="103"/>
        <v>0</v>
      </c>
      <c r="P201" s="55">
        <v>196</v>
      </c>
      <c r="Q201" s="33">
        <f t="shared" si="117"/>
        <v>0</v>
      </c>
      <c r="R201" s="33">
        <f t="shared" si="123"/>
        <v>0</v>
      </c>
      <c r="S201" s="33">
        <f t="shared" si="124"/>
        <v>0</v>
      </c>
      <c r="T201" s="33">
        <f t="shared" si="104"/>
        <v>0</v>
      </c>
      <c r="U201" s="33">
        <f t="shared" si="118"/>
        <v>0</v>
      </c>
      <c r="V201" s="33">
        <f t="shared" si="105"/>
        <v>0</v>
      </c>
      <c r="W201" s="33">
        <v>0</v>
      </c>
      <c r="X201" s="33">
        <f t="shared" si="106"/>
        <v>0</v>
      </c>
      <c r="Y201" s="38">
        <f t="shared" si="107"/>
        <v>0</v>
      </c>
      <c r="AA201" s="71">
        <v>196</v>
      </c>
      <c r="AB201" s="33">
        <f t="shared" si="108"/>
        <v>0</v>
      </c>
      <c r="AC201" s="305">
        <f t="shared" si="101"/>
        <v>0</v>
      </c>
      <c r="AD201" s="100">
        <f t="shared" si="109"/>
        <v>0</v>
      </c>
      <c r="AE201" s="100">
        <f t="shared" si="110"/>
        <v>0</v>
      </c>
      <c r="AF201" s="194">
        <f t="shared" si="97"/>
        <v>0</v>
      </c>
      <c r="AG201" s="194">
        <f t="shared" si="98"/>
        <v>0</v>
      </c>
      <c r="AH201" s="194">
        <f t="shared" si="99"/>
        <v>0</v>
      </c>
      <c r="AI201" s="199">
        <f t="shared" si="100"/>
        <v>0</v>
      </c>
      <c r="AK201" s="71">
        <v>196</v>
      </c>
      <c r="AL201" s="33">
        <f t="shared" si="111"/>
        <v>0</v>
      </c>
      <c r="AM201" s="33">
        <f t="shared" si="112"/>
        <v>0</v>
      </c>
      <c r="AN201" s="33">
        <f t="shared" si="113"/>
        <v>0</v>
      </c>
      <c r="AO201" s="33">
        <f t="shared" si="114"/>
        <v>0</v>
      </c>
      <c r="AP201" s="33">
        <f t="shared" si="115"/>
        <v>0</v>
      </c>
      <c r="AQ201" s="194">
        <f t="shared" si="116"/>
        <v>0</v>
      </c>
      <c r="AR201" s="194">
        <f t="shared" si="116"/>
        <v>0</v>
      </c>
      <c r="AS201" s="194">
        <f t="shared" si="116"/>
        <v>0</v>
      </c>
      <c r="AT201" s="194">
        <f t="shared" si="116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19"/>
        <v>0</v>
      </c>
      <c r="K202" s="33">
        <f t="shared" si="120"/>
        <v>0</v>
      </c>
      <c r="L202" s="33">
        <f t="shared" si="121"/>
        <v>0</v>
      </c>
      <c r="M202" s="33">
        <f t="shared" si="122"/>
        <v>0</v>
      </c>
      <c r="N202" s="33">
        <f t="shared" si="102"/>
        <v>0</v>
      </c>
      <c r="O202" s="34">
        <f t="shared" si="103"/>
        <v>0</v>
      </c>
      <c r="P202" s="55">
        <v>197</v>
      </c>
      <c r="Q202" s="33">
        <f t="shared" si="117"/>
        <v>0</v>
      </c>
      <c r="R202" s="33">
        <f t="shared" si="123"/>
        <v>0</v>
      </c>
      <c r="S202" s="33">
        <f t="shared" si="124"/>
        <v>0</v>
      </c>
      <c r="T202" s="33">
        <f t="shared" si="104"/>
        <v>0</v>
      </c>
      <c r="U202" s="33">
        <f t="shared" si="118"/>
        <v>0</v>
      </c>
      <c r="V202" s="33">
        <f t="shared" si="105"/>
        <v>0</v>
      </c>
      <c r="W202" s="33">
        <v>0</v>
      </c>
      <c r="X202" s="33">
        <f t="shared" si="106"/>
        <v>0</v>
      </c>
      <c r="Y202" s="38">
        <f t="shared" si="107"/>
        <v>0</v>
      </c>
      <c r="AA202" s="71">
        <v>197</v>
      </c>
      <c r="AB202" s="33">
        <f t="shared" si="108"/>
        <v>0</v>
      </c>
      <c r="AC202" s="305">
        <f t="shared" si="101"/>
        <v>0</v>
      </c>
      <c r="AD202" s="100">
        <f t="shared" si="109"/>
        <v>0</v>
      </c>
      <c r="AE202" s="100">
        <f t="shared" si="110"/>
        <v>0</v>
      </c>
      <c r="AF202" s="194">
        <f t="shared" si="97"/>
        <v>0</v>
      </c>
      <c r="AG202" s="194">
        <f t="shared" si="98"/>
        <v>0</v>
      </c>
      <c r="AH202" s="194">
        <f t="shared" si="99"/>
        <v>0</v>
      </c>
      <c r="AI202" s="199">
        <f t="shared" si="100"/>
        <v>0</v>
      </c>
      <c r="AK202" s="71">
        <v>197</v>
      </c>
      <c r="AL202" s="33">
        <f t="shared" si="111"/>
        <v>0</v>
      </c>
      <c r="AM202" s="33">
        <f t="shared" si="112"/>
        <v>0</v>
      </c>
      <c r="AN202" s="33">
        <f t="shared" si="113"/>
        <v>0</v>
      </c>
      <c r="AO202" s="33">
        <f t="shared" si="114"/>
        <v>0</v>
      </c>
      <c r="AP202" s="33">
        <f t="shared" si="115"/>
        <v>0</v>
      </c>
      <c r="AQ202" s="194">
        <f t="shared" si="116"/>
        <v>0</v>
      </c>
      <c r="AR202" s="194">
        <f t="shared" si="116"/>
        <v>0</v>
      </c>
      <c r="AS202" s="194">
        <f t="shared" si="116"/>
        <v>0</v>
      </c>
      <c r="AT202" s="194">
        <f t="shared" si="116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19"/>
        <v>0</v>
      </c>
      <c r="K203" s="33">
        <f t="shared" si="120"/>
        <v>0</v>
      </c>
      <c r="L203" s="33">
        <f t="shared" si="121"/>
        <v>0</v>
      </c>
      <c r="M203" s="33">
        <f t="shared" si="122"/>
        <v>0</v>
      </c>
      <c r="N203" s="33">
        <f t="shared" si="102"/>
        <v>0</v>
      </c>
      <c r="O203" s="34">
        <f t="shared" si="103"/>
        <v>0</v>
      </c>
      <c r="P203" s="55">
        <v>198</v>
      </c>
      <c r="Q203" s="33">
        <f t="shared" si="117"/>
        <v>0</v>
      </c>
      <c r="R203" s="33">
        <f t="shared" si="123"/>
        <v>0</v>
      </c>
      <c r="S203" s="33">
        <f t="shared" si="124"/>
        <v>0</v>
      </c>
      <c r="T203" s="33">
        <f t="shared" si="104"/>
        <v>0</v>
      </c>
      <c r="U203" s="33">
        <f t="shared" si="118"/>
        <v>0</v>
      </c>
      <c r="V203" s="33">
        <f t="shared" si="105"/>
        <v>0</v>
      </c>
      <c r="W203" s="33">
        <v>0</v>
      </c>
      <c r="X203" s="33">
        <f t="shared" si="106"/>
        <v>0</v>
      </c>
      <c r="Y203" s="38">
        <f t="shared" si="107"/>
        <v>0</v>
      </c>
      <c r="AA203" s="71">
        <v>198</v>
      </c>
      <c r="AB203" s="33">
        <f t="shared" si="108"/>
        <v>0</v>
      </c>
      <c r="AC203" s="305">
        <f t="shared" si="101"/>
        <v>0</v>
      </c>
      <c r="AD203" s="100">
        <f t="shared" si="109"/>
        <v>0</v>
      </c>
      <c r="AE203" s="100">
        <f t="shared" si="110"/>
        <v>0</v>
      </c>
      <c r="AF203" s="194">
        <f t="shared" si="97"/>
        <v>0</v>
      </c>
      <c r="AG203" s="194">
        <f t="shared" si="98"/>
        <v>0</v>
      </c>
      <c r="AH203" s="194">
        <f t="shared" si="99"/>
        <v>0</v>
      </c>
      <c r="AI203" s="199">
        <f t="shared" si="100"/>
        <v>0</v>
      </c>
      <c r="AK203" s="71">
        <v>198</v>
      </c>
      <c r="AL203" s="33">
        <f t="shared" si="111"/>
        <v>0</v>
      </c>
      <c r="AM203" s="33">
        <f t="shared" si="112"/>
        <v>0</v>
      </c>
      <c r="AN203" s="33">
        <f t="shared" si="113"/>
        <v>0</v>
      </c>
      <c r="AO203" s="33">
        <f t="shared" si="114"/>
        <v>0</v>
      </c>
      <c r="AP203" s="33">
        <f t="shared" si="115"/>
        <v>0</v>
      </c>
      <c r="AQ203" s="194">
        <f t="shared" si="116"/>
        <v>0</v>
      </c>
      <c r="AR203" s="194">
        <f t="shared" si="116"/>
        <v>0</v>
      </c>
      <c r="AS203" s="194">
        <f t="shared" si="116"/>
        <v>0</v>
      </c>
      <c r="AT203" s="194">
        <f t="shared" si="116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19"/>
        <v>0</v>
      </c>
      <c r="K204" s="33">
        <f t="shared" si="120"/>
        <v>0</v>
      </c>
      <c r="L204" s="33">
        <f t="shared" si="121"/>
        <v>0</v>
      </c>
      <c r="M204" s="33">
        <f t="shared" si="122"/>
        <v>0</v>
      </c>
      <c r="N204" s="33">
        <f t="shared" si="102"/>
        <v>0</v>
      </c>
      <c r="O204" s="34">
        <f t="shared" si="103"/>
        <v>0</v>
      </c>
      <c r="P204" s="55">
        <v>199</v>
      </c>
      <c r="Q204" s="33">
        <f t="shared" si="117"/>
        <v>0</v>
      </c>
      <c r="R204" s="33">
        <f t="shared" si="123"/>
        <v>0</v>
      </c>
      <c r="S204" s="33">
        <f t="shared" si="124"/>
        <v>0</v>
      </c>
      <c r="T204" s="33">
        <f t="shared" si="104"/>
        <v>0</v>
      </c>
      <c r="U204" s="33">
        <f t="shared" si="118"/>
        <v>0</v>
      </c>
      <c r="V204" s="33">
        <f t="shared" si="105"/>
        <v>0</v>
      </c>
      <c r="W204" s="33">
        <v>0</v>
      </c>
      <c r="X204" s="33">
        <f t="shared" si="106"/>
        <v>0</v>
      </c>
      <c r="Y204" s="38">
        <f t="shared" si="107"/>
        <v>0</v>
      </c>
      <c r="AA204" s="71">
        <v>199</v>
      </c>
      <c r="AB204" s="33">
        <f t="shared" si="108"/>
        <v>0</v>
      </c>
      <c r="AC204" s="305">
        <f t="shared" si="101"/>
        <v>0</v>
      </c>
      <c r="AD204" s="100">
        <f t="shared" si="109"/>
        <v>0</v>
      </c>
      <c r="AE204" s="100">
        <f t="shared" si="110"/>
        <v>0</v>
      </c>
      <c r="AF204" s="194">
        <f t="shared" si="97"/>
        <v>0</v>
      </c>
      <c r="AG204" s="194">
        <f t="shared" si="98"/>
        <v>0</v>
      </c>
      <c r="AH204" s="194">
        <f t="shared" si="99"/>
        <v>0</v>
      </c>
      <c r="AI204" s="199">
        <f t="shared" si="100"/>
        <v>0</v>
      </c>
      <c r="AK204" s="71">
        <v>199</v>
      </c>
      <c r="AL204" s="33">
        <f t="shared" si="111"/>
        <v>0</v>
      </c>
      <c r="AM204" s="33">
        <f t="shared" si="112"/>
        <v>0</v>
      </c>
      <c r="AN204" s="33">
        <f t="shared" si="113"/>
        <v>0</v>
      </c>
      <c r="AO204" s="33">
        <f t="shared" si="114"/>
        <v>0</v>
      </c>
      <c r="AP204" s="33">
        <f t="shared" si="115"/>
        <v>0</v>
      </c>
      <c r="AQ204" s="194">
        <f t="shared" si="116"/>
        <v>0</v>
      </c>
      <c r="AR204" s="194">
        <f t="shared" si="116"/>
        <v>0</v>
      </c>
      <c r="AS204" s="194">
        <f t="shared" si="116"/>
        <v>0</v>
      </c>
      <c r="AT204" s="194">
        <f t="shared" si="116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19"/>
        <v>0</v>
      </c>
      <c r="K205" s="33">
        <f t="shared" si="120"/>
        <v>0</v>
      </c>
      <c r="L205" s="33">
        <f t="shared" si="121"/>
        <v>0</v>
      </c>
      <c r="M205" s="33">
        <f t="shared" si="122"/>
        <v>0</v>
      </c>
      <c r="N205" s="35">
        <f>IF(F208&lt;=$F$18,0,)</f>
        <v>0</v>
      </c>
      <c r="O205" s="34">
        <f t="shared" si="103"/>
        <v>0</v>
      </c>
      <c r="P205" s="56">
        <v>200</v>
      </c>
      <c r="Q205" s="35">
        <f t="shared" si="117"/>
        <v>0</v>
      </c>
      <c r="R205" s="35">
        <f t="shared" si="123"/>
        <v>0</v>
      </c>
      <c r="S205" s="35">
        <f t="shared" si="124"/>
        <v>0</v>
      </c>
      <c r="T205" s="35">
        <f t="shared" si="104"/>
        <v>0</v>
      </c>
      <c r="U205" s="35">
        <f t="shared" si="118"/>
        <v>0</v>
      </c>
      <c r="V205" s="35">
        <f t="shared" si="105"/>
        <v>0</v>
      </c>
      <c r="W205" s="35">
        <v>0</v>
      </c>
      <c r="X205" s="155">
        <f t="shared" si="106"/>
        <v>0</v>
      </c>
      <c r="Y205" s="39">
        <f t="shared" si="107"/>
        <v>0</v>
      </c>
      <c r="AA205" s="72">
        <v>200</v>
      </c>
      <c r="AB205" s="143">
        <f t="shared" si="108"/>
        <v>0</v>
      </c>
      <c r="AC205" s="305">
        <f t="shared" si="101"/>
        <v>0</v>
      </c>
      <c r="AD205" s="101">
        <f t="shared" si="109"/>
        <v>0</v>
      </c>
      <c r="AE205" s="101">
        <f t="shared" si="110"/>
        <v>0</v>
      </c>
      <c r="AF205" s="196">
        <f t="shared" si="97"/>
        <v>0</v>
      </c>
      <c r="AG205" s="196">
        <f t="shared" si="98"/>
        <v>0</v>
      </c>
      <c r="AH205" s="196">
        <f t="shared" si="99"/>
        <v>0</v>
      </c>
      <c r="AI205" s="203">
        <f t="shared" si="100"/>
        <v>0</v>
      </c>
      <c r="AK205" s="72">
        <v>200</v>
      </c>
      <c r="AL205" s="143">
        <f t="shared" si="111"/>
        <v>0</v>
      </c>
      <c r="AM205" s="35">
        <f t="shared" si="112"/>
        <v>0</v>
      </c>
      <c r="AN205" s="35">
        <f t="shared" si="113"/>
        <v>0</v>
      </c>
      <c r="AO205" s="35">
        <f t="shared" si="114"/>
        <v>0</v>
      </c>
      <c r="AP205" s="35">
        <f t="shared" si="115"/>
        <v>0</v>
      </c>
      <c r="AQ205" s="196">
        <f t="shared" si="116"/>
        <v>0</v>
      </c>
      <c r="AR205" s="196">
        <f t="shared" si="116"/>
        <v>0</v>
      </c>
      <c r="AS205" s="196">
        <f t="shared" si="116"/>
        <v>0</v>
      </c>
      <c r="AT205" s="196">
        <f t="shared" si="116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D81:G81" xr:uid="{00000000-0002-0000-0300-000000000000}">
      <formula1>$B$104:$B$108</formula1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F12" xr:uid="{00000000-0002-0000-0300-000002000000}">
      <formula1>$C$194:$C$195</formula1>
    </dataValidation>
    <dataValidation type="list" allowBlank="1" showInputMessage="1" showErrorMessage="1" sqref="F17" xr:uid="{00000000-0002-0000-0300-000003000000}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BC207"/>
  <sheetViews>
    <sheetView topLeftCell="N14" zoomScale="85" zoomScaleNormal="85" workbookViewId="0">
      <selection activeCell="D25" sqref="D25:D26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2" max="52" width="11.5" style="160"/>
    <col min="54" max="54" width="19.33203125" customWidth="1"/>
  </cols>
  <sheetData>
    <row r="3" spans="2:52" ht="16">
      <c r="I3" s="401" t="s">
        <v>171</v>
      </c>
      <c r="J3" s="402"/>
      <c r="K3" s="402"/>
      <c r="L3" s="402"/>
      <c r="M3" s="402"/>
      <c r="N3" s="402"/>
      <c r="O3" s="403"/>
      <c r="P3" s="404" t="s">
        <v>143</v>
      </c>
      <c r="Q3" s="405"/>
      <c r="R3" s="405"/>
      <c r="S3" s="405"/>
      <c r="T3" s="405"/>
      <c r="U3" s="405"/>
      <c r="V3" s="405"/>
      <c r="W3" s="405"/>
      <c r="X3" s="406"/>
      <c r="Y3" s="90"/>
      <c r="Z3" s="90"/>
      <c r="AA3" s="392" t="s">
        <v>158</v>
      </c>
      <c r="AB3" s="393"/>
      <c r="AC3" s="393"/>
      <c r="AD3" s="393"/>
      <c r="AE3" s="393"/>
      <c r="AF3" s="393"/>
      <c r="AG3" s="393"/>
      <c r="AH3" s="393"/>
      <c r="AI3" s="394"/>
      <c r="AJ3" s="90"/>
      <c r="AK3" s="392" t="s">
        <v>170</v>
      </c>
      <c r="AL3" s="393"/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4"/>
    </row>
    <row r="4" spans="2:52" ht="45" customHeight="1">
      <c r="B4" s="396" t="s">
        <v>172</v>
      </c>
      <c r="C4" s="396"/>
      <c r="D4" s="396"/>
      <c r="E4" s="396"/>
      <c r="F4" s="396"/>
      <c r="I4" s="59" t="s">
        <v>76</v>
      </c>
      <c r="J4" s="60" t="s">
        <v>107</v>
      </c>
      <c r="K4" s="60" t="s">
        <v>108</v>
      </c>
      <c r="L4" s="60" t="s">
        <v>72</v>
      </c>
      <c r="M4" s="60" t="s">
        <v>109</v>
      </c>
      <c r="N4" s="60" t="s">
        <v>110</v>
      </c>
      <c r="O4" s="88" t="s">
        <v>112</v>
      </c>
      <c r="P4" s="59" t="s">
        <v>76</v>
      </c>
      <c r="Q4" s="61" t="s">
        <v>117</v>
      </c>
      <c r="R4" s="61" t="s">
        <v>118</v>
      </c>
      <c r="S4" s="62" t="s">
        <v>104</v>
      </c>
      <c r="T4" s="63" t="s">
        <v>103</v>
      </c>
      <c r="U4" s="60" t="s">
        <v>3</v>
      </c>
      <c r="V4" s="60" t="s">
        <v>105</v>
      </c>
      <c r="W4" s="60" t="s">
        <v>106</v>
      </c>
      <c r="X4" s="89" t="s">
        <v>111</v>
      </c>
      <c r="Y4" s="66" t="s">
        <v>119</v>
      </c>
      <c r="AA4" s="70" t="s">
        <v>76</v>
      </c>
      <c r="AB4" s="61" t="s">
        <v>145</v>
      </c>
      <c r="AC4" s="62" t="s">
        <v>146</v>
      </c>
      <c r="AD4" s="68" t="s">
        <v>147</v>
      </c>
      <c r="AE4" s="64" t="s">
        <v>148</v>
      </c>
      <c r="AF4" s="64" t="s">
        <v>149</v>
      </c>
      <c r="AG4" s="64" t="s">
        <v>150</v>
      </c>
      <c r="AH4" s="64" t="s">
        <v>151</v>
      </c>
      <c r="AI4" s="75" t="s">
        <v>152</v>
      </c>
      <c r="AK4" s="70" t="s">
        <v>76</v>
      </c>
      <c r="AL4" s="61" t="s">
        <v>145</v>
      </c>
      <c r="AM4" s="62" t="s">
        <v>146</v>
      </c>
      <c r="AN4" s="68" t="s">
        <v>147</v>
      </c>
      <c r="AO4" s="64" t="s">
        <v>148</v>
      </c>
      <c r="AP4" s="64" t="s">
        <v>160</v>
      </c>
      <c r="AQ4" s="193" t="s">
        <v>186</v>
      </c>
      <c r="AR4" s="193" t="s">
        <v>187</v>
      </c>
      <c r="AS4" s="193" t="s">
        <v>188</v>
      </c>
      <c r="AT4" s="193" t="s">
        <v>189</v>
      </c>
      <c r="AU4" s="64" t="s">
        <v>161</v>
      </c>
      <c r="AV4" s="64" t="s">
        <v>162</v>
      </c>
      <c r="AW4" s="64" t="s">
        <v>163</v>
      </c>
      <c r="AX4" s="64" t="s">
        <v>164</v>
      </c>
      <c r="AY4" s="75" t="s">
        <v>152</v>
      </c>
      <c r="AZ4" s="197"/>
    </row>
    <row r="5" spans="2:52">
      <c r="B5" s="385" t="s">
        <v>132</v>
      </c>
      <c r="C5" s="91" t="s">
        <v>73</v>
      </c>
      <c r="D5" s="397" t="s">
        <v>1</v>
      </c>
      <c r="E5" s="39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5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4">
        <v>0</v>
      </c>
      <c r="AR5" s="194">
        <v>0</v>
      </c>
      <c r="AS5" s="194">
        <v>0</v>
      </c>
      <c r="AT5" s="194">
        <v>0</v>
      </c>
      <c r="AU5" s="33"/>
      <c r="AV5" s="33"/>
      <c r="AW5" s="33"/>
      <c r="AX5" s="33"/>
      <c r="AY5" s="164">
        <v>0</v>
      </c>
    </row>
    <row r="6" spans="2:52">
      <c r="B6" s="386"/>
      <c r="C6" s="98" t="s">
        <v>74</v>
      </c>
      <c r="D6" s="388" t="s">
        <v>259</v>
      </c>
      <c r="E6" s="388"/>
      <c r="F6" s="99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8.4499999999999993</v>
      </c>
      <c r="R6" s="33">
        <f>IF(P6&lt;=$F$18,Q6+R5,)</f>
        <v>8.4499999999999993</v>
      </c>
      <c r="S6" s="33">
        <f>$F$19*R6</f>
        <v>3.0419999999999998</v>
      </c>
      <c r="T6" s="33">
        <f t="shared" si="2"/>
        <v>1.2316052813661464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175.25562981796989</v>
      </c>
      <c r="Y6" s="38">
        <f t="shared" si="5"/>
        <v>-1.7802719871082218</v>
      </c>
      <c r="AA6" s="71">
        <v>1</v>
      </c>
      <c r="AB6" s="33">
        <f t="shared" si="6"/>
        <v>0</v>
      </c>
      <c r="AC6" s="305">
        <f t="shared" si="7"/>
        <v>0.45</v>
      </c>
      <c r="AD6" s="100">
        <f t="shared" si="8"/>
        <v>5.5999999999999994E-2</v>
      </c>
      <c r="AE6" s="100">
        <f t="shared" si="9"/>
        <v>4.3999999999999991E-2</v>
      </c>
      <c r="AF6" s="194">
        <f>IF(OR(AA6&lt;=$F$18,AA6&lt;=30),EXP(-LN(2)/$D$104)*AF5+((1-EXP(-LN(2)/$D$104))/(LN(2)/$D$104))*$AB6*AC6*0.475*$F$19*44/12,)</f>
        <v>0</v>
      </c>
      <c r="AG6" s="194">
        <f>IF(OR(AA6&lt;=$F$18,AA6&lt;=30),EXP(-LN(2)/$D$106)*AG5+((1-EXP(-LN(2)/$D$106))/(LN(2)/$D$106))*$AB6*AD6*0.475*$F$19*44/12,)</f>
        <v>0</v>
      </c>
      <c r="AH6" s="194">
        <f>IF(OR(AA6&lt;=$F$18,AA6&lt;=30),EXP(-LN(2)/$D$105)*AH5+((1-EXP(-LN(2)/$D$105))/(LN(2)/$D$105))*$AB6*AE6*0.475*$F$19*44/12,)</f>
        <v>0</v>
      </c>
      <c r="AI6" s="199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0.9</v>
      </c>
      <c r="AN6" s="33">
        <f t="shared" si="12"/>
        <v>5.5999999999999994E-2</v>
      </c>
      <c r="AO6" s="33">
        <f t="shared" si="13"/>
        <v>4.3999999999999991E-2</v>
      </c>
      <c r="AP6" s="33">
        <f t="shared" si="14"/>
        <v>0</v>
      </c>
      <c r="AQ6" s="194">
        <f t="shared" ref="AQ6:AT24" si="17">IF($AK6&lt;=$F$18,$AL6*AM6,)</f>
        <v>0</v>
      </c>
      <c r="AR6" s="194">
        <f t="shared" si="17"/>
        <v>0</v>
      </c>
      <c r="AS6" s="194">
        <f t="shared" si="17"/>
        <v>0</v>
      </c>
      <c r="AT6" s="194">
        <f t="shared" si="17"/>
        <v>0</v>
      </c>
      <c r="AU6" s="33"/>
      <c r="AV6" s="33"/>
      <c r="AW6" s="33"/>
      <c r="AX6" s="33"/>
      <c r="AY6" s="164">
        <f>IF(AK6&lt;=$F$18,AL6*$G$108+AY5,)</f>
        <v>0</v>
      </c>
      <c r="AZ6" s="198"/>
    </row>
    <row r="7" spans="2:52">
      <c r="B7" s="385" t="s">
        <v>133</v>
      </c>
      <c r="C7" s="398"/>
      <c r="D7" s="399"/>
      <c r="E7" s="399"/>
      <c r="F7" s="40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8.4499999999999993</v>
      </c>
      <c r="R7" s="33">
        <f t="shared" ref="R7:R70" si="22">IF(P7&lt;=$F$18,Q7+R6,)</f>
        <v>16.899999999999999</v>
      </c>
      <c r="S7" s="33">
        <f t="shared" ref="S7:S70" si="23">$F$19*R7</f>
        <v>6.0839999999999996</v>
      </c>
      <c r="T7" s="33">
        <f t="shared" si="2"/>
        <v>2.2722789577396263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185.151133805564</v>
      </c>
      <c r="Y7" s="38">
        <f t="shared" si="5"/>
        <v>8.1152320004858893</v>
      </c>
      <c r="AA7" s="71">
        <v>2</v>
      </c>
      <c r="AB7" s="33">
        <f t="shared" si="6"/>
        <v>0</v>
      </c>
      <c r="AC7" s="305">
        <f t="shared" si="7"/>
        <v>0</v>
      </c>
      <c r="AD7" s="100">
        <f t="shared" si="8"/>
        <v>0</v>
      </c>
      <c r="AE7" s="100">
        <f t="shared" si="9"/>
        <v>0</v>
      </c>
      <c r="AF7" s="194">
        <f>IF(OR(AA7&lt;=$F$18,AA7&lt;=30),EXP(-LN(2)/$D$104)*AF6+((1-EXP(-LN(2)/$D$104))/(LN(2)/$D$104))*$AB7*AC7*0.475*$F$19*44/12,)</f>
        <v>0</v>
      </c>
      <c r="AG7" s="194">
        <f>IF(OR(AA7&lt;=$F$18,AA7&lt;=30),EXP(-LN(2)/$D$106)*AG6+((1-EXP(-LN(2)/$D$106))/(LN(2)/$D$106))*$AB7*AD7*0.475*$F$19*44/12,)</f>
        <v>0</v>
      </c>
      <c r="AH7" s="194">
        <f>IF(OR(AA7&lt;=$F$18,AA7&lt;=30),EXP(-LN(2)/$D$105)*AH6+((1-EXP(-LN(2)/$D$105))/(LN(2)/$D$105))*$AB7*AE7*0.475*$F$19*44/12,)</f>
        <v>0</v>
      </c>
      <c r="AI7" s="199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4">
        <f t="shared" si="17"/>
        <v>0</v>
      </c>
      <c r="AR7" s="194">
        <f t="shared" si="17"/>
        <v>0</v>
      </c>
      <c r="AS7" s="194">
        <f t="shared" si="17"/>
        <v>0</v>
      </c>
      <c r="AT7" s="194">
        <f t="shared" si="17"/>
        <v>0</v>
      </c>
      <c r="AU7" s="33"/>
      <c r="AV7" s="33"/>
      <c r="AW7" s="33"/>
      <c r="AX7" s="33"/>
      <c r="AY7" s="164">
        <f t="shared" ref="AY7:AY35" si="24">IF(AK7&lt;=$F$18,AL7*$G$108+AY6,)</f>
        <v>0</v>
      </c>
      <c r="AZ7" s="198"/>
    </row>
    <row r="8" spans="2:52">
      <c r="B8" s="395"/>
      <c r="C8" s="93" t="s">
        <v>73</v>
      </c>
      <c r="D8" s="391" t="s">
        <v>1</v>
      </c>
      <c r="E8" s="39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8.4499999999999993</v>
      </c>
      <c r="R8" s="33">
        <f t="shared" si="22"/>
        <v>25.349999999999998</v>
      </c>
      <c r="S8" s="33">
        <f t="shared" si="23"/>
        <v>9.1259999999999994</v>
      </c>
      <c r="T8" s="33">
        <f t="shared" si="2"/>
        <v>3.2512913098674976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194.91213626790409</v>
      </c>
      <c r="Y8" s="38">
        <f t="shared" si="5"/>
        <v>17.876234462825977</v>
      </c>
      <c r="AA8" s="71">
        <v>3</v>
      </c>
      <c r="AB8" s="33">
        <f t="shared" si="6"/>
        <v>0</v>
      </c>
      <c r="AC8" s="305">
        <f t="shared" si="7"/>
        <v>0</v>
      </c>
      <c r="AD8" s="100">
        <f t="shared" si="8"/>
        <v>0</v>
      </c>
      <c r="AE8" s="100">
        <f t="shared" si="9"/>
        <v>0</v>
      </c>
      <c r="AF8" s="194">
        <f>IF(OR(AA8&lt;=$F$18,AA8&lt;=30),EXP(-LN(2)/$D$104)*AF7+((1-EXP(-LN(2)/$D$104))/(LN(2)/$D$104))*$AB8*AC8*0.475*$F$19*44/12,)</f>
        <v>0</v>
      </c>
      <c r="AG8" s="194">
        <f>IF(OR(AA8&lt;=$F$18,AA8&lt;=30),EXP(-LN(2)/$D$106)*AG7+((1-EXP(-LN(2)/$D$106))/(LN(2)/$D$106))*$AB8*AD8*0.475*$F$19*44/12,)</f>
        <v>0</v>
      </c>
      <c r="AH8" s="194">
        <f>IF(OR(AA8&lt;=$F$18,AA8&lt;=30),EXP(-LN(2)/$D$105)*AH7+((1-EXP(-LN(2)/$D$105))/(LN(2)/$D$105))*$AB8*AE8*0.475*$F$19*44/12,)</f>
        <v>0</v>
      </c>
      <c r="AI8" s="199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4">
        <f t="shared" si="17"/>
        <v>0</v>
      </c>
      <c r="AR8" s="194">
        <f t="shared" si="17"/>
        <v>0</v>
      </c>
      <c r="AS8" s="194">
        <f t="shared" si="17"/>
        <v>0</v>
      </c>
      <c r="AT8" s="194">
        <f t="shared" si="17"/>
        <v>0</v>
      </c>
      <c r="AU8" s="33"/>
      <c r="AV8" s="33"/>
      <c r="AW8" s="33"/>
      <c r="AX8" s="33"/>
      <c r="AY8" s="164">
        <f t="shared" si="24"/>
        <v>0</v>
      </c>
      <c r="AZ8" s="198"/>
    </row>
    <row r="9" spans="2:52">
      <c r="B9" s="395"/>
      <c r="C9" s="93" t="s">
        <v>74</v>
      </c>
      <c r="D9" s="387" t="str">
        <f>IF(D8=$B$100,"totale","néant")</f>
        <v>néant</v>
      </c>
      <c r="E9" s="38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8.4499999999999993</v>
      </c>
      <c r="R9" s="33">
        <f t="shared" si="22"/>
        <v>33.799999999999997</v>
      </c>
      <c r="S9" s="33">
        <f t="shared" si="23"/>
        <v>12.167999999999999</v>
      </c>
      <c r="T9" s="33">
        <f t="shared" si="2"/>
        <v>4.1922941870296242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204.58030110658686</v>
      </c>
      <c r="Y9" s="38">
        <f t="shared" si="5"/>
        <v>27.544399301508747</v>
      </c>
      <c r="AA9" s="71">
        <v>4</v>
      </c>
      <c r="AB9" s="33">
        <f t="shared" si="6"/>
        <v>0</v>
      </c>
      <c r="AC9" s="305">
        <f t="shared" si="7"/>
        <v>0</v>
      </c>
      <c r="AD9" s="100">
        <f t="shared" si="8"/>
        <v>0</v>
      </c>
      <c r="AE9" s="100">
        <f t="shared" si="9"/>
        <v>0</v>
      </c>
      <c r="AF9" s="194">
        <f>IF(OR(AA9&lt;=$F$18,AA9&lt;=30),EXP(-LN(2)/$D$104)*AF8+((1-EXP(-LN(2)/$D$104))/(LN(2)/$D$104))*$AB9*AC9*0.475*$F$19*44/12,)</f>
        <v>0</v>
      </c>
      <c r="AG9" s="194">
        <f>IF(OR(AA9&lt;=$F$18,AA9&lt;=30),EXP(-LN(2)/$D$106)*AG8+((1-EXP(-LN(2)/$D$106))/(LN(2)/$D$106))*$AB9*AD9*0.475*$F$19*44/12,)</f>
        <v>0</v>
      </c>
      <c r="AH9" s="194">
        <f>IF(OR(AA9&lt;=$F$18,AA9&lt;=30),EXP(-LN(2)/$D$105)*AH8+((1-EXP(-LN(2)/$D$105))/(LN(2)/$D$105))*$AB9*AE9*0.475*$F$19*44/12,)</f>
        <v>0</v>
      </c>
      <c r="AI9" s="199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4">
        <f t="shared" si="17"/>
        <v>0</v>
      </c>
      <c r="AR9" s="194">
        <f t="shared" si="17"/>
        <v>0</v>
      </c>
      <c r="AS9" s="194">
        <f t="shared" si="17"/>
        <v>0</v>
      </c>
      <c r="AT9" s="194">
        <f t="shared" si="17"/>
        <v>0</v>
      </c>
      <c r="AU9" s="33"/>
      <c r="AV9" s="33"/>
      <c r="AW9" s="33"/>
      <c r="AX9" s="33"/>
      <c r="AY9" s="164">
        <f t="shared" si="24"/>
        <v>0</v>
      </c>
      <c r="AZ9" s="198"/>
    </row>
    <row r="10" spans="2:52">
      <c r="B10" s="395"/>
      <c r="C10" s="389" t="s">
        <v>123</v>
      </c>
      <c r="D10" s="384" t="s">
        <v>135</v>
      </c>
      <c r="E10" s="384"/>
      <c r="F10" s="95">
        <f>F18</f>
        <v>65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8.4499999999999993</v>
      </c>
      <c r="R10" s="33">
        <f t="shared" si="22"/>
        <v>42.25</v>
      </c>
      <c r="S10" s="33">
        <f t="shared" si="23"/>
        <v>15.209999999999999</v>
      </c>
      <c r="T10" s="33">
        <f t="shared" si="2"/>
        <v>5.1060073826785306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214.17476073461242</v>
      </c>
      <c r="Y10" s="38">
        <f t="shared" si="5"/>
        <v>37.138858929534308</v>
      </c>
      <c r="AA10" s="71">
        <v>5</v>
      </c>
      <c r="AB10" s="33">
        <f t="shared" si="6"/>
        <v>0</v>
      </c>
      <c r="AC10" s="305">
        <f t="shared" si="7"/>
        <v>0</v>
      </c>
      <c r="AD10" s="100">
        <f t="shared" si="8"/>
        <v>0</v>
      </c>
      <c r="AE10" s="100">
        <f t="shared" si="9"/>
        <v>0</v>
      </c>
      <c r="AF10" s="194">
        <f t="shared" ref="AF10:AF24" si="25">IF(OR(AA10&lt;=$F$18,AA10&lt;=30),EXP(-LN(2)/$D$104)*AF9+((1-EXP(-LN(2)/$D$104))/(LN(2)/$D$104))*$AB10*AC10*0.475*$F$19*44/12,)</f>
        <v>0</v>
      </c>
      <c r="AG10" s="194">
        <f t="shared" ref="AG10:AG24" si="26">IF(OR(AA10&lt;=$F$18,AA10&lt;=30),EXP(-LN(2)/$D$106)*AG9+((1-EXP(-LN(2)/$D$106))/(LN(2)/$D$106))*$AB10*AD10*0.475*$F$19*44/12,)</f>
        <v>0</v>
      </c>
      <c r="AH10" s="194">
        <f t="shared" ref="AH10:AH24" si="27">IF(OR(AA10&lt;=$F$18,AA10&lt;=30),EXP(-LN(2)/$D$105)*AH9+((1-EXP(-LN(2)/$D$105))/(LN(2)/$D$105))*$AB10*AE10*0.475*$F$19*44/12,)</f>
        <v>0</v>
      </c>
      <c r="AI10" s="199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4">
        <f t="shared" si="17"/>
        <v>0</v>
      </c>
      <c r="AR10" s="194">
        <f t="shared" si="17"/>
        <v>0</v>
      </c>
      <c r="AS10" s="194">
        <f t="shared" si="17"/>
        <v>0</v>
      </c>
      <c r="AT10" s="194">
        <f t="shared" si="17"/>
        <v>0</v>
      </c>
      <c r="AU10" s="33"/>
      <c r="AV10" s="33"/>
      <c r="AW10" s="33"/>
      <c r="AX10" s="33"/>
      <c r="AY10" s="164">
        <f t="shared" si="24"/>
        <v>0</v>
      </c>
      <c r="AZ10" s="198"/>
    </row>
    <row r="11" spans="2:52">
      <c r="B11" s="395"/>
      <c r="C11" s="389"/>
      <c r="D11" s="387" t="s">
        <v>138</v>
      </c>
      <c r="E11" s="38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8.4499999999999993</v>
      </c>
      <c r="R11" s="33">
        <f t="shared" si="22"/>
        <v>50.7</v>
      </c>
      <c r="S11" s="33">
        <f t="shared" si="23"/>
        <v>18.251999999999999</v>
      </c>
      <c r="T11" s="33">
        <f t="shared" si="2"/>
        <v>5.9985459145634135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223.70661956412357</v>
      </c>
      <c r="Y11" s="38">
        <f t="shared" si="5"/>
        <v>46.670717759045459</v>
      </c>
      <c r="AA11" s="71">
        <v>6</v>
      </c>
      <c r="AB11" s="33">
        <f t="shared" si="6"/>
        <v>0</v>
      </c>
      <c r="AC11" s="305">
        <f t="shared" si="7"/>
        <v>0</v>
      </c>
      <c r="AD11" s="100">
        <f t="shared" si="8"/>
        <v>0</v>
      </c>
      <c r="AE11" s="100">
        <f t="shared" si="9"/>
        <v>0</v>
      </c>
      <c r="AF11" s="194">
        <f t="shared" si="25"/>
        <v>0</v>
      </c>
      <c r="AG11" s="194">
        <f t="shared" si="26"/>
        <v>0</v>
      </c>
      <c r="AH11" s="194">
        <f t="shared" si="27"/>
        <v>0</v>
      </c>
      <c r="AI11" s="199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4">
        <f t="shared" si="17"/>
        <v>0</v>
      </c>
      <c r="AR11" s="194">
        <f t="shared" si="17"/>
        <v>0</v>
      </c>
      <c r="AS11" s="194">
        <f t="shared" si="17"/>
        <v>0</v>
      </c>
      <c r="AT11" s="194">
        <f t="shared" si="17"/>
        <v>0</v>
      </c>
      <c r="AU11" s="33"/>
      <c r="AV11" s="33"/>
      <c r="AW11" s="33"/>
      <c r="AX11" s="33"/>
      <c r="AY11" s="164">
        <f t="shared" si="24"/>
        <v>0</v>
      </c>
      <c r="AZ11" s="198"/>
    </row>
    <row r="12" spans="2:52" ht="16">
      <c r="B12" s="395"/>
      <c r="C12" s="389"/>
      <c r="D12" s="384" t="s">
        <v>130</v>
      </c>
      <c r="E12" s="38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8.4499999999999993</v>
      </c>
      <c r="R12" s="33">
        <f t="shared" si="22"/>
        <v>59.150000000000006</v>
      </c>
      <c r="S12" s="33">
        <f t="shared" si="23"/>
        <v>21.294</v>
      </c>
      <c r="T12" s="33">
        <f t="shared" si="2"/>
        <v>6.8738518981865706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233.18318965841118</v>
      </c>
      <c r="Y12" s="38">
        <f t="shared" si="5"/>
        <v>56.147287853333069</v>
      </c>
      <c r="AA12" s="71">
        <v>7</v>
      </c>
      <c r="AB12" s="33">
        <f t="shared" si="6"/>
        <v>0</v>
      </c>
      <c r="AC12" s="305">
        <f t="shared" si="7"/>
        <v>0</v>
      </c>
      <c r="AD12" s="100">
        <f t="shared" si="8"/>
        <v>0</v>
      </c>
      <c r="AE12" s="100">
        <f t="shared" si="9"/>
        <v>0</v>
      </c>
      <c r="AF12" s="194">
        <f t="shared" si="25"/>
        <v>0</v>
      </c>
      <c r="AG12" s="194">
        <f t="shared" si="26"/>
        <v>0</v>
      </c>
      <c r="AH12" s="194">
        <f t="shared" si="27"/>
        <v>0</v>
      </c>
      <c r="AI12" s="199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4">
        <f t="shared" si="17"/>
        <v>0</v>
      </c>
      <c r="AR12" s="194">
        <f t="shared" si="17"/>
        <v>0</v>
      </c>
      <c r="AS12" s="194">
        <f t="shared" si="17"/>
        <v>0</v>
      </c>
      <c r="AT12" s="194">
        <f t="shared" si="17"/>
        <v>0</v>
      </c>
      <c r="AU12" s="33"/>
      <c r="AV12" s="33"/>
      <c r="AW12" s="33"/>
      <c r="AX12" s="33"/>
      <c r="AY12" s="164">
        <f t="shared" si="24"/>
        <v>0</v>
      </c>
      <c r="AZ12" s="198"/>
    </row>
    <row r="13" spans="2:52">
      <c r="B13" s="386"/>
      <c r="C13" s="390"/>
      <c r="D13" s="388" t="s">
        <v>154</v>
      </c>
      <c r="E13" s="38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8.4499999999999993</v>
      </c>
      <c r="R13" s="33">
        <f t="shared" si="22"/>
        <v>67.600000000000009</v>
      </c>
      <c r="S13" s="33">
        <f t="shared" si="23"/>
        <v>24.336000000000002</v>
      </c>
      <c r="T13" s="33">
        <f t="shared" si="2"/>
        <v>7.7346711726299766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242.60969182521777</v>
      </c>
      <c r="Y13" s="38">
        <f t="shared" si="5"/>
        <v>65.573790020139654</v>
      </c>
      <c r="AA13" s="71">
        <v>8</v>
      </c>
      <c r="AB13" s="33">
        <f t="shared" si="6"/>
        <v>0</v>
      </c>
      <c r="AC13" s="305">
        <f t="shared" si="7"/>
        <v>0</v>
      </c>
      <c r="AD13" s="100">
        <f t="shared" si="8"/>
        <v>0</v>
      </c>
      <c r="AE13" s="100">
        <f t="shared" si="9"/>
        <v>0</v>
      </c>
      <c r="AF13" s="194">
        <f t="shared" si="25"/>
        <v>0</v>
      </c>
      <c r="AG13" s="194">
        <f t="shared" si="26"/>
        <v>0</v>
      </c>
      <c r="AH13" s="194">
        <f t="shared" si="27"/>
        <v>0</v>
      </c>
      <c r="AI13" s="199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4">
        <f t="shared" si="17"/>
        <v>0</v>
      </c>
      <c r="AR13" s="194">
        <f t="shared" si="17"/>
        <v>0</v>
      </c>
      <c r="AS13" s="194">
        <f t="shared" si="17"/>
        <v>0</v>
      </c>
      <c r="AT13" s="194">
        <f t="shared" si="17"/>
        <v>0</v>
      </c>
      <c r="AU13" s="33"/>
      <c r="AV13" s="33"/>
      <c r="AW13" s="33"/>
      <c r="AX13" s="33"/>
      <c r="AY13" s="164">
        <f t="shared" si="24"/>
        <v>0</v>
      </c>
      <c r="AZ13" s="198"/>
    </row>
    <row r="14" spans="2:52">
      <c r="B14" s="385" t="s">
        <v>131</v>
      </c>
      <c r="C14" s="381"/>
      <c r="D14" s="382"/>
      <c r="E14" s="382"/>
      <c r="F14" s="38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8.4499999999999993</v>
      </c>
      <c r="R14" s="33">
        <f t="shared" si="22"/>
        <v>76.050000000000011</v>
      </c>
      <c r="S14" s="33">
        <f t="shared" si="23"/>
        <v>27.378000000000004</v>
      </c>
      <c r="T14" s="33">
        <f t="shared" si="2"/>
        <v>8.5830219645487738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251.99007200747849</v>
      </c>
      <c r="Y14" s="38">
        <f t="shared" si="5"/>
        <v>74.954170202400377</v>
      </c>
      <c r="AA14" s="71">
        <v>9</v>
      </c>
      <c r="AB14" s="33">
        <f t="shared" si="6"/>
        <v>0</v>
      </c>
      <c r="AC14" s="305">
        <f t="shared" si="7"/>
        <v>0</v>
      </c>
      <c r="AD14" s="100">
        <f t="shared" si="8"/>
        <v>0</v>
      </c>
      <c r="AE14" s="100">
        <f t="shared" si="9"/>
        <v>0</v>
      </c>
      <c r="AF14" s="194">
        <f t="shared" si="25"/>
        <v>0</v>
      </c>
      <c r="AG14" s="194">
        <f t="shared" si="26"/>
        <v>0</v>
      </c>
      <c r="AH14" s="194">
        <f t="shared" si="27"/>
        <v>0</v>
      </c>
      <c r="AI14" s="199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4">
        <f t="shared" si="17"/>
        <v>0</v>
      </c>
      <c r="AR14" s="194">
        <f t="shared" si="17"/>
        <v>0</v>
      </c>
      <c r="AS14" s="194">
        <f t="shared" si="17"/>
        <v>0</v>
      </c>
      <c r="AT14" s="194">
        <f t="shared" si="17"/>
        <v>0</v>
      </c>
      <c r="AU14" s="33"/>
      <c r="AV14" s="33"/>
      <c r="AW14" s="33"/>
      <c r="AX14" s="33"/>
      <c r="AY14" s="164">
        <f t="shared" si="24"/>
        <v>0</v>
      </c>
      <c r="AZ14" s="198"/>
    </row>
    <row r="15" spans="2:52">
      <c r="B15" s="395"/>
      <c r="C15" s="93" t="s">
        <v>73</v>
      </c>
      <c r="D15" s="391" t="s">
        <v>134</v>
      </c>
      <c r="E15" s="39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8.4499999999999993</v>
      </c>
      <c r="R15" s="33">
        <f t="shared" si="22"/>
        <v>84.500000000000014</v>
      </c>
      <c r="S15" s="33">
        <f t="shared" si="23"/>
        <v>30.420000000000005</v>
      </c>
      <c r="T15" s="33">
        <f t="shared" si="2"/>
        <v>9.420447694779206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261.32744172011866</v>
      </c>
      <c r="Y15" s="38">
        <f t="shared" si="5"/>
        <v>84.291539915040545</v>
      </c>
      <c r="AA15" s="71">
        <v>10</v>
      </c>
      <c r="AB15" s="33">
        <f t="shared" si="6"/>
        <v>0</v>
      </c>
      <c r="AC15" s="305">
        <f t="shared" si="7"/>
        <v>0</v>
      </c>
      <c r="AD15" s="100">
        <f t="shared" si="8"/>
        <v>0</v>
      </c>
      <c r="AE15" s="100">
        <f t="shared" si="9"/>
        <v>0</v>
      </c>
      <c r="AF15" s="194">
        <f t="shared" si="25"/>
        <v>0</v>
      </c>
      <c r="AG15" s="194">
        <f t="shared" si="26"/>
        <v>0</v>
      </c>
      <c r="AH15" s="194">
        <f t="shared" si="27"/>
        <v>0</v>
      </c>
      <c r="AI15" s="199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4">
        <f t="shared" si="17"/>
        <v>0</v>
      </c>
      <c r="AR15" s="194">
        <f t="shared" si="17"/>
        <v>0</v>
      </c>
      <c r="AS15" s="194">
        <f t="shared" si="17"/>
        <v>0</v>
      </c>
      <c r="AT15" s="194">
        <f t="shared" si="17"/>
        <v>0</v>
      </c>
      <c r="AU15" s="33"/>
      <c r="AV15" s="33"/>
      <c r="AW15" s="33"/>
      <c r="AX15" s="33"/>
      <c r="AY15" s="164">
        <f t="shared" si="24"/>
        <v>0</v>
      </c>
      <c r="AZ15" s="198"/>
    </row>
    <row r="16" spans="2:52">
      <c r="B16" s="395"/>
      <c r="C16" s="93" t="s">
        <v>74</v>
      </c>
      <c r="D16" s="387" t="s">
        <v>137</v>
      </c>
      <c r="E16" s="38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8.4499999999999993</v>
      </c>
      <c r="R16" s="33">
        <f t="shared" si="22"/>
        <v>92.950000000000017</v>
      </c>
      <c r="S16" s="33">
        <f t="shared" si="23"/>
        <v>33.462000000000003</v>
      </c>
      <c r="T16" s="33">
        <f t="shared" si="2"/>
        <v>10.248165237262533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270.62433639734644</v>
      </c>
      <c r="Y16" s="38">
        <f t="shared" si="5"/>
        <v>93.588434592268328</v>
      </c>
      <c r="AA16" s="71">
        <v>11</v>
      </c>
      <c r="AB16" s="33">
        <f t="shared" si="6"/>
        <v>0</v>
      </c>
      <c r="AC16" s="305">
        <f t="shared" si="7"/>
        <v>0</v>
      </c>
      <c r="AD16" s="100">
        <f t="shared" si="8"/>
        <v>0</v>
      </c>
      <c r="AE16" s="100">
        <f t="shared" si="9"/>
        <v>0</v>
      </c>
      <c r="AF16" s="194">
        <f t="shared" si="25"/>
        <v>0</v>
      </c>
      <c r="AG16" s="194">
        <f t="shared" si="26"/>
        <v>0</v>
      </c>
      <c r="AH16" s="194">
        <f t="shared" si="27"/>
        <v>0</v>
      </c>
      <c r="AI16" s="199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4">
        <f t="shared" si="17"/>
        <v>0</v>
      </c>
      <c r="AR16" s="194">
        <f t="shared" si="17"/>
        <v>0</v>
      </c>
      <c r="AS16" s="194">
        <f t="shared" si="17"/>
        <v>0</v>
      </c>
      <c r="AT16" s="194">
        <f t="shared" si="17"/>
        <v>0</v>
      </c>
      <c r="AU16" s="33"/>
      <c r="AV16" s="33"/>
      <c r="AW16" s="33"/>
      <c r="AX16" s="33"/>
      <c r="AY16" s="164">
        <f t="shared" si="24"/>
        <v>0</v>
      </c>
      <c r="AZ16" s="198"/>
    </row>
    <row r="17" spans="2:55" ht="16">
      <c r="B17" s="395"/>
      <c r="C17" s="389" t="s">
        <v>123</v>
      </c>
      <c r="D17" s="384" t="s">
        <v>130</v>
      </c>
      <c r="E17" s="384"/>
      <c r="F17" s="96" t="s">
        <v>11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8.4499999999999993</v>
      </c>
      <c r="R17" s="33">
        <f t="shared" si="22"/>
        <v>101.40000000000002</v>
      </c>
      <c r="S17" s="33">
        <f t="shared" si="23"/>
        <v>36.504000000000005</v>
      </c>
      <c r="T17" s="33">
        <f t="shared" si="2"/>
        <v>11.067157525971377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279.88287681046637</v>
      </c>
      <c r="Y17" s="38">
        <f t="shared" si="5"/>
        <v>102.84697500538826</v>
      </c>
      <c r="AA17" s="71">
        <v>12</v>
      </c>
      <c r="AB17" s="33">
        <f t="shared" si="6"/>
        <v>0</v>
      </c>
      <c r="AC17" s="305">
        <f t="shared" si="7"/>
        <v>0</v>
      </c>
      <c r="AD17" s="100">
        <f t="shared" si="8"/>
        <v>0</v>
      </c>
      <c r="AE17" s="100">
        <f t="shared" si="9"/>
        <v>0</v>
      </c>
      <c r="AF17" s="194">
        <f t="shared" si="25"/>
        <v>0</v>
      </c>
      <c r="AG17" s="194">
        <f t="shared" si="26"/>
        <v>0</v>
      </c>
      <c r="AH17" s="194">
        <f t="shared" si="27"/>
        <v>0</v>
      </c>
      <c r="AI17" s="199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4">
        <f t="shared" si="17"/>
        <v>0</v>
      </c>
      <c r="AR17" s="194">
        <f t="shared" si="17"/>
        <v>0</v>
      </c>
      <c r="AS17" s="194">
        <f t="shared" si="17"/>
        <v>0</v>
      </c>
      <c r="AT17" s="194">
        <f t="shared" si="17"/>
        <v>0</v>
      </c>
      <c r="AU17" s="33"/>
      <c r="AV17" s="33"/>
      <c r="AW17" s="33"/>
      <c r="AX17" s="33"/>
      <c r="AY17" s="164">
        <f t="shared" si="24"/>
        <v>0</v>
      </c>
      <c r="AZ17" s="198"/>
    </row>
    <row r="18" spans="2:55">
      <c r="B18" s="395"/>
      <c r="C18" s="389"/>
      <c r="D18" s="384" t="s">
        <v>135</v>
      </c>
      <c r="E18" s="384"/>
      <c r="F18" s="97">
        <v>65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8.4499999999999993</v>
      </c>
      <c r="R18" s="33">
        <f t="shared" si="22"/>
        <v>109.85000000000002</v>
      </c>
      <c r="S18" s="33">
        <f t="shared" si="23"/>
        <v>39.546000000000006</v>
      </c>
      <c r="T18" s="33">
        <f t="shared" si="2"/>
        <v>11.878234330709192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289.10487504427061</v>
      </c>
      <c r="Y18" s="38">
        <f t="shared" si="5"/>
        <v>112.0689732391925</v>
      </c>
      <c r="AA18" s="71">
        <v>13</v>
      </c>
      <c r="AB18" s="33">
        <f t="shared" si="6"/>
        <v>0</v>
      </c>
      <c r="AC18" s="305">
        <f t="shared" si="7"/>
        <v>0</v>
      </c>
      <c r="AD18" s="100">
        <f t="shared" si="8"/>
        <v>0</v>
      </c>
      <c r="AE18" s="100">
        <f t="shared" si="9"/>
        <v>0</v>
      </c>
      <c r="AF18" s="194">
        <f t="shared" si="25"/>
        <v>0</v>
      </c>
      <c r="AG18" s="194">
        <f t="shared" si="26"/>
        <v>0</v>
      </c>
      <c r="AH18" s="194">
        <f t="shared" si="27"/>
        <v>0</v>
      </c>
      <c r="AI18" s="199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4">
        <f t="shared" si="17"/>
        <v>0</v>
      </c>
      <c r="AR18" s="194">
        <f t="shared" si="17"/>
        <v>0</v>
      </c>
      <c r="AS18" s="194">
        <f t="shared" si="17"/>
        <v>0</v>
      </c>
      <c r="AT18" s="194">
        <f t="shared" si="17"/>
        <v>0</v>
      </c>
      <c r="AU18" s="33"/>
      <c r="AV18" s="33"/>
      <c r="AW18" s="33"/>
      <c r="AX18" s="33"/>
      <c r="AY18" s="164">
        <f t="shared" si="24"/>
        <v>0</v>
      </c>
      <c r="AZ18" s="198"/>
    </row>
    <row r="19" spans="2:55">
      <c r="B19" s="395"/>
      <c r="C19" s="389"/>
      <c r="D19" s="387" t="s">
        <v>154</v>
      </c>
      <c r="E19" s="387"/>
      <c r="F19" s="36">
        <f>IF(ISBLANK(F$17),,VLOOKUP(F$17,C131:D195,2,FALSE))</f>
        <v>0.36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8.4499999999999993</v>
      </c>
      <c r="R19" s="33">
        <f t="shared" si="22"/>
        <v>118.30000000000003</v>
      </c>
      <c r="S19" s="33">
        <f t="shared" si="23"/>
        <v>42.588000000000008</v>
      </c>
      <c r="T19" s="33">
        <f t="shared" si="2"/>
        <v>12.68207376436577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298.29190691187694</v>
      </c>
      <c r="Y19" s="38">
        <f t="shared" si="5"/>
        <v>121.25600510679882</v>
      </c>
      <c r="AA19" s="71">
        <v>14</v>
      </c>
      <c r="AB19" s="33">
        <f t="shared" si="6"/>
        <v>0</v>
      </c>
      <c r="AC19" s="305">
        <f t="shared" si="7"/>
        <v>0</v>
      </c>
      <c r="AD19" s="100">
        <f t="shared" si="8"/>
        <v>0</v>
      </c>
      <c r="AE19" s="100">
        <f t="shared" si="9"/>
        <v>0</v>
      </c>
      <c r="AF19" s="194">
        <f t="shared" si="25"/>
        <v>0</v>
      </c>
      <c r="AG19" s="194">
        <f t="shared" si="26"/>
        <v>0</v>
      </c>
      <c r="AH19" s="194">
        <f t="shared" si="27"/>
        <v>0</v>
      </c>
      <c r="AI19" s="199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4">
        <f t="shared" si="17"/>
        <v>0</v>
      </c>
      <c r="AR19" s="194">
        <f t="shared" si="17"/>
        <v>0</v>
      </c>
      <c r="AS19" s="194">
        <f t="shared" si="17"/>
        <v>0</v>
      </c>
      <c r="AT19" s="194">
        <f t="shared" si="17"/>
        <v>0</v>
      </c>
      <c r="AU19" s="33"/>
      <c r="AV19" s="33"/>
      <c r="AW19" s="33"/>
      <c r="AX19" s="33"/>
      <c r="AY19" s="164">
        <f t="shared" si="24"/>
        <v>0</v>
      </c>
      <c r="AZ19" s="198"/>
    </row>
    <row r="20" spans="2:55">
      <c r="B20" s="395"/>
      <c r="C20" s="389"/>
      <c r="D20" s="387" t="s">
        <v>139</v>
      </c>
      <c r="E20" s="387"/>
      <c r="F20" s="36">
        <f>IF(ISBLANK(F$17),,VLOOKUP(F17,Tableau1457[#All],4,FALSE))</f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8.4499999999999993</v>
      </c>
      <c r="R20" s="33">
        <f t="shared" si="22"/>
        <v>126.75000000000003</v>
      </c>
      <c r="S20" s="33">
        <f t="shared" si="23"/>
        <v>45.63000000000001</v>
      </c>
      <c r="T20" s="33">
        <f t="shared" si="2"/>
        <v>13.479251577264561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307.44536309661686</v>
      </c>
      <c r="Y20" s="38">
        <f t="shared" si="5"/>
        <v>130.40946129153875</v>
      </c>
      <c r="AA20" s="71">
        <v>15</v>
      </c>
      <c r="AB20" s="33">
        <f t="shared" si="6"/>
        <v>0</v>
      </c>
      <c r="AC20" s="305">
        <f t="shared" si="7"/>
        <v>0</v>
      </c>
      <c r="AD20" s="100">
        <f t="shared" si="8"/>
        <v>0</v>
      </c>
      <c r="AE20" s="100">
        <f t="shared" si="9"/>
        <v>0</v>
      </c>
      <c r="AF20" s="194">
        <f t="shared" si="25"/>
        <v>0</v>
      </c>
      <c r="AG20" s="194">
        <f t="shared" si="26"/>
        <v>0</v>
      </c>
      <c r="AH20" s="194">
        <f t="shared" si="27"/>
        <v>0</v>
      </c>
      <c r="AI20" s="199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4">
        <f t="shared" si="17"/>
        <v>0</v>
      </c>
      <c r="AR20" s="194">
        <f t="shared" si="17"/>
        <v>0</v>
      </c>
      <c r="AS20" s="194">
        <f t="shared" si="17"/>
        <v>0</v>
      </c>
      <c r="AT20" s="194">
        <f t="shared" si="17"/>
        <v>0</v>
      </c>
      <c r="AU20" s="33"/>
      <c r="AV20" s="33"/>
      <c r="AW20" s="33"/>
      <c r="AX20" s="33"/>
      <c r="AY20" s="164">
        <f t="shared" si="24"/>
        <v>0</v>
      </c>
      <c r="AZ20" s="198"/>
    </row>
    <row r="21" spans="2:55">
      <c r="B21" s="386"/>
      <c r="C21" s="390"/>
      <c r="D21" s="388" t="s">
        <v>142</v>
      </c>
      <c r="E21" s="388"/>
      <c r="F21" s="102">
        <f>20.5*10%</f>
        <v>2.0500000000000003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8.4499999999999993</v>
      </c>
      <c r="R21" s="33">
        <f t="shared" si="22"/>
        <v>135.20000000000002</v>
      </c>
      <c r="S21" s="33">
        <f t="shared" si="23"/>
        <v>48.672000000000004</v>
      </c>
      <c r="T21" s="33">
        <f t="shared" si="2"/>
        <v>14.270262409972053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316.56648628614869</v>
      </c>
      <c r="Y21" s="38">
        <f t="shared" si="5"/>
        <v>139.53058448107058</v>
      </c>
      <c r="AA21" s="71">
        <v>16</v>
      </c>
      <c r="AB21" s="33">
        <f t="shared" si="6"/>
        <v>0</v>
      </c>
      <c r="AC21" s="305">
        <f t="shared" si="7"/>
        <v>0</v>
      </c>
      <c r="AD21" s="100">
        <f t="shared" si="8"/>
        <v>0</v>
      </c>
      <c r="AE21" s="100">
        <f t="shared" si="9"/>
        <v>0</v>
      </c>
      <c r="AF21" s="194">
        <f t="shared" si="25"/>
        <v>0</v>
      </c>
      <c r="AG21" s="194">
        <f t="shared" si="26"/>
        <v>0</v>
      </c>
      <c r="AH21" s="194">
        <f t="shared" si="27"/>
        <v>0</v>
      </c>
      <c r="AI21" s="199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4">
        <f t="shared" si="17"/>
        <v>0</v>
      </c>
      <c r="AR21" s="194">
        <f t="shared" si="17"/>
        <v>0</v>
      </c>
      <c r="AS21" s="194">
        <f t="shared" si="17"/>
        <v>0</v>
      </c>
      <c r="AT21" s="194">
        <f t="shared" si="17"/>
        <v>0</v>
      </c>
      <c r="AU21" s="33"/>
      <c r="AV21" s="33"/>
      <c r="AW21" s="33"/>
      <c r="AX21" s="33"/>
      <c r="AY21" s="164">
        <f t="shared" si="24"/>
        <v>0</v>
      </c>
      <c r="AZ21" s="198"/>
    </row>
    <row r="22" spans="2:55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8.4499999999999993</v>
      </c>
      <c r="R22" s="33">
        <f t="shared" si="22"/>
        <v>143.65</v>
      </c>
      <c r="S22" s="33">
        <f t="shared" si="23"/>
        <v>51.713999999999999</v>
      </c>
      <c r="T22" s="33">
        <f t="shared" si="2"/>
        <v>15.055535578337075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325.65639878147653</v>
      </c>
      <c r="Y22" s="38">
        <f t="shared" si="5"/>
        <v>148.62049697639841</v>
      </c>
      <c r="AA22" s="71">
        <v>17</v>
      </c>
      <c r="AB22" s="33">
        <f t="shared" si="6"/>
        <v>0</v>
      </c>
      <c r="AC22" s="305">
        <f t="shared" si="7"/>
        <v>0</v>
      </c>
      <c r="AD22" s="100">
        <f t="shared" si="8"/>
        <v>0</v>
      </c>
      <c r="AE22" s="100">
        <f t="shared" si="9"/>
        <v>0</v>
      </c>
      <c r="AF22" s="194">
        <f t="shared" si="25"/>
        <v>0</v>
      </c>
      <c r="AG22" s="194">
        <f t="shared" si="26"/>
        <v>0</v>
      </c>
      <c r="AH22" s="194">
        <f t="shared" si="27"/>
        <v>0</v>
      </c>
      <c r="AI22" s="199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4">
        <f t="shared" si="17"/>
        <v>0</v>
      </c>
      <c r="AR22" s="194">
        <f t="shared" si="17"/>
        <v>0</v>
      </c>
      <c r="AS22" s="194">
        <f t="shared" si="17"/>
        <v>0</v>
      </c>
      <c r="AT22" s="194">
        <f t="shared" si="17"/>
        <v>0</v>
      </c>
      <c r="AU22" s="33"/>
      <c r="AV22" s="33"/>
      <c r="AW22" s="33"/>
      <c r="AX22" s="33"/>
      <c r="AY22" s="164">
        <f t="shared" si="24"/>
        <v>0</v>
      </c>
      <c r="AZ22" s="198"/>
    </row>
    <row r="23" spans="2:55">
      <c r="B23" s="407" t="s">
        <v>141</v>
      </c>
      <c r="C23" s="408"/>
      <c r="D23" s="408"/>
      <c r="E23" s="408"/>
      <c r="F23" s="408"/>
      <c r="G23" s="40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8.4499999999999993</v>
      </c>
      <c r="R23" s="33">
        <f t="shared" si="22"/>
        <v>152.1</v>
      </c>
      <c r="S23" s="33">
        <f t="shared" si="23"/>
        <v>54.755999999999993</v>
      </c>
      <c r="T23" s="33">
        <f t="shared" si="2"/>
        <v>15.835447037242044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334.71612344853298</v>
      </c>
      <c r="Y23" s="38">
        <f t="shared" si="5"/>
        <v>157.68022164345487</v>
      </c>
      <c r="AA23" s="71">
        <v>18</v>
      </c>
      <c r="AB23" s="33">
        <f t="shared" si="6"/>
        <v>0</v>
      </c>
      <c r="AC23" s="305">
        <f t="shared" si="7"/>
        <v>0</v>
      </c>
      <c r="AD23" s="100">
        <f t="shared" si="8"/>
        <v>0</v>
      </c>
      <c r="AE23" s="100">
        <f t="shared" si="9"/>
        <v>0</v>
      </c>
      <c r="AF23" s="194">
        <f t="shared" si="25"/>
        <v>0</v>
      </c>
      <c r="AG23" s="194">
        <f t="shared" si="26"/>
        <v>0</v>
      </c>
      <c r="AH23" s="194">
        <f t="shared" si="27"/>
        <v>0</v>
      </c>
      <c r="AI23" s="199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4">
        <f t="shared" si="17"/>
        <v>0</v>
      </c>
      <c r="AR23" s="194">
        <f t="shared" si="17"/>
        <v>0</v>
      </c>
      <c r="AS23" s="194">
        <f t="shared" si="17"/>
        <v>0</v>
      </c>
      <c r="AT23" s="194">
        <f t="shared" si="17"/>
        <v>0</v>
      </c>
      <c r="AU23" s="33"/>
      <c r="AV23" s="33"/>
      <c r="AW23" s="33"/>
      <c r="AX23" s="33"/>
      <c r="AY23" s="164">
        <f t="shared" si="24"/>
        <v>0</v>
      </c>
      <c r="AZ23" s="198"/>
    </row>
    <row r="24" spans="2:55">
      <c r="B24" s="47" t="s">
        <v>113</v>
      </c>
      <c r="C24" s="48" t="s">
        <v>114</v>
      </c>
      <c r="D24" s="48" t="s">
        <v>83</v>
      </c>
      <c r="E24" s="48" t="s">
        <v>116</v>
      </c>
      <c r="F24" s="48" t="s">
        <v>115</v>
      </c>
      <c r="G24" s="49" t="s">
        <v>140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8.4499999999999993</v>
      </c>
      <c r="R24" s="33">
        <f t="shared" si="22"/>
        <v>160.54999999999998</v>
      </c>
      <c r="S24" s="33">
        <f t="shared" si="23"/>
        <v>57.797999999999995</v>
      </c>
      <c r="T24" s="33">
        <f t="shared" si="2"/>
        <v>16.610328609522991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343.74659990460941</v>
      </c>
      <c r="Y24" s="38">
        <f t="shared" si="5"/>
        <v>166.7106980995313</v>
      </c>
      <c r="AA24" s="71">
        <v>19</v>
      </c>
      <c r="AB24" s="33">
        <f t="shared" si="6"/>
        <v>0</v>
      </c>
      <c r="AC24" s="305">
        <f t="shared" si="7"/>
        <v>0</v>
      </c>
      <c r="AD24" s="100">
        <f t="shared" si="8"/>
        <v>0</v>
      </c>
      <c r="AE24" s="100">
        <f t="shared" si="9"/>
        <v>0</v>
      </c>
      <c r="AF24" s="194">
        <f t="shared" si="25"/>
        <v>0</v>
      </c>
      <c r="AG24" s="194">
        <f t="shared" si="26"/>
        <v>0</v>
      </c>
      <c r="AH24" s="194">
        <f t="shared" si="27"/>
        <v>0</v>
      </c>
      <c r="AI24" s="199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4">
        <f t="shared" si="17"/>
        <v>0</v>
      </c>
      <c r="AR24" s="194">
        <f t="shared" si="17"/>
        <v>0</v>
      </c>
      <c r="AS24" s="194">
        <f t="shared" si="17"/>
        <v>0</v>
      </c>
      <c r="AT24" s="194">
        <f t="shared" si="17"/>
        <v>0</v>
      </c>
      <c r="AU24" s="33"/>
      <c r="AV24" s="33"/>
      <c r="AW24" s="33"/>
      <c r="AX24" s="33"/>
      <c r="AY24" s="164">
        <f t="shared" si="24"/>
        <v>0</v>
      </c>
      <c r="AZ24" s="198"/>
      <c r="BA24" s="5"/>
      <c r="BB24" s="5"/>
      <c r="BC24" s="5"/>
    </row>
    <row r="25" spans="2:55">
      <c r="B25" s="45">
        <v>0</v>
      </c>
      <c r="C25" s="334">
        <v>20</v>
      </c>
      <c r="D25" s="360">
        <v>130</v>
      </c>
      <c r="E25" s="140">
        <f t="shared" ref="E25:E44" si="29">$F$20</f>
        <v>1.3</v>
      </c>
      <c r="F25" s="46">
        <f t="shared" ref="F25:F32" si="30">D25*E25</f>
        <v>169</v>
      </c>
      <c r="G25" s="50">
        <f>F25/(C25-B25)</f>
        <v>8.4499999999999993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8.4499999999999993</v>
      </c>
      <c r="R25" s="33">
        <f t="shared" si="22"/>
        <v>168.99999999999997</v>
      </c>
      <c r="S25" s="33">
        <f t="shared" si="23"/>
        <v>60.839999999999989</v>
      </c>
      <c r="T25" s="33">
        <f t="shared" si="2"/>
        <v>17.38047521653144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352.74869722235462</v>
      </c>
      <c r="Y25" s="38">
        <f t="shared" si="5"/>
        <v>175.71279541727651</v>
      </c>
      <c r="AA25" s="71">
        <v>20</v>
      </c>
      <c r="AB25" s="33">
        <f t="shared" si="6"/>
        <v>0</v>
      </c>
      <c r="AC25" s="305">
        <f t="shared" si="7"/>
        <v>0</v>
      </c>
      <c r="AD25" s="100">
        <f t="shared" si="8"/>
        <v>0</v>
      </c>
      <c r="AE25" s="100">
        <f t="shared" si="9"/>
        <v>0</v>
      </c>
      <c r="AF25" s="194">
        <f>IF(OR(AA25&lt;=$F$18,AA25&lt;=30),EXP(-LN(2)/$D$104)*AF24+((1-EXP(-LN(2)/$D$104))/(LN(2)/$D$104))*$AB25*AC25*0.475*$F$19*44/12,)</f>
        <v>0</v>
      </c>
      <c r="AG25" s="194">
        <f>IF(OR(AA25&lt;=$F$18,AA25&lt;=30),EXP(-LN(2)/$D$106)*AG24+((1-EXP(-LN(2)/$D$106))/(LN(2)/$D$106))*$AB25*AD25*0.475*$F$19*44/12,)</f>
        <v>0</v>
      </c>
      <c r="AH25" s="194">
        <f>IF(OR(AA25&lt;=$F$18,AA25&lt;=30),EXP(-LN(2)/$D$105)*AH24+((1-EXP(-LN(2)/$D$105))/(LN(2)/$D$105))*$AB25*AE25*0.475*$F$19*44/12,)</f>
        <v>0</v>
      </c>
      <c r="AI25" s="199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4">
        <f>IF($AK25&lt;=$F$18,$AL25*AM25,)</f>
        <v>0</v>
      </c>
      <c r="AR25" s="194">
        <f>IF($AK25&lt;=$F$18,$AL25*AN25,)</f>
        <v>0</v>
      </c>
      <c r="AS25" s="194">
        <f>IF($AK25&lt;=$F$18,$AL25*AO25,)</f>
        <v>0</v>
      </c>
      <c r="AT25" s="194">
        <f>IF($AK25&lt;=$F$18,$AL25*AP25,)</f>
        <v>0</v>
      </c>
      <c r="AU25" s="33"/>
      <c r="AV25" s="33"/>
      <c r="AW25" s="33"/>
      <c r="AX25" s="33"/>
      <c r="AY25" s="164">
        <f t="shared" si="24"/>
        <v>0</v>
      </c>
      <c r="AZ25" s="198"/>
      <c r="BA25" s="5"/>
      <c r="BB25" s="5"/>
      <c r="BC25" s="5"/>
    </row>
    <row r="26" spans="2:55">
      <c r="B26" s="40">
        <v>20</v>
      </c>
      <c r="C26" s="41">
        <v>21</v>
      </c>
      <c r="D26" s="360">
        <v>90</v>
      </c>
      <c r="E26" s="141">
        <f t="shared" si="29"/>
        <v>1.3</v>
      </c>
      <c r="F26" s="42">
        <f t="shared" si="30"/>
        <v>117</v>
      </c>
      <c r="G26" s="142">
        <f>(F26-F25)/(C26-B26)</f>
        <v>-52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-52</v>
      </c>
      <c r="R26" s="33">
        <f t="shared" si="22"/>
        <v>116.99999999999997</v>
      </c>
      <c r="S26" s="33">
        <f t="shared" si="23"/>
        <v>42.11999999999999</v>
      </c>
      <c r="T26" s="33">
        <f t="shared" si="2"/>
        <v>12.558853141338753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314.08986426370598</v>
      </c>
      <c r="Y26" s="38">
        <f t="shared" si="5"/>
        <v>137.05396245862786</v>
      </c>
      <c r="AA26" s="71">
        <v>21</v>
      </c>
      <c r="AB26" s="33">
        <f t="shared" si="6"/>
        <v>40</v>
      </c>
      <c r="AC26" s="305">
        <f t="shared" si="7"/>
        <v>0</v>
      </c>
      <c r="AD26" s="100">
        <f t="shared" si="8"/>
        <v>0.56000000000000005</v>
      </c>
      <c r="AE26" s="100">
        <f t="shared" si="9"/>
        <v>0.44</v>
      </c>
      <c r="AF26" s="194">
        <f>IF(OR(AA26&lt;=$F$18,AA26&lt;=30),EXP(-LN(2)/$D$104)*AF25+((1-EXP(-LN(2)/$D$104))/(LN(2)/$D$104))*$AB26*AC26*0.475*$F$19*44/12,)</f>
        <v>0</v>
      </c>
      <c r="AG26" s="194">
        <f>IF(OR(AA26&lt;=$F$18,AA26&lt;=30),EXP(-LN(2)/$D$106)*AG25+((1-EXP(-LN(2)/$D$106))/(LN(2)/$D$106))*$AB26*AD26*0.475*$F$19*44/12,)</f>
        <v>13.851884756772733</v>
      </c>
      <c r="AH26" s="194">
        <f>IF(OR(AA26&lt;=$F$18,AA26&lt;=30),EXP(-LN(2)/$D$105)*AH25+((1-EXP(-LN(2)/$D$105))/(LN(2)/$D$105))*$AB26*AE26*0.475*$F$19*44/12,)</f>
        <v>9.3259709882659934</v>
      </c>
      <c r="AI26" s="199">
        <f>IF(OR(AA26&lt;=$F$18,AA26&lt;=30),SUM(AF26:AH26),)</f>
        <v>23.177855745038727</v>
      </c>
      <c r="AK26" s="71">
        <v>21</v>
      </c>
      <c r="AL26" s="33">
        <f t="shared" si="10"/>
        <v>40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4">
        <f t="shared" ref="AQ26:AT41" si="31">IF($AK26&lt;=$F$18,$AL26*AM26,)</f>
        <v>0</v>
      </c>
      <c r="AR26" s="194">
        <f t="shared" si="31"/>
        <v>22.400000000000002</v>
      </c>
      <c r="AS26" s="194">
        <f t="shared" si="31"/>
        <v>17.600000000000001</v>
      </c>
      <c r="AT26" s="194">
        <f t="shared" si="31"/>
        <v>0</v>
      </c>
      <c r="AU26" s="33"/>
      <c r="AV26" s="33"/>
      <c r="AW26" s="33"/>
      <c r="AX26" s="33"/>
      <c r="AY26" s="164">
        <f t="shared" si="24"/>
        <v>17.2</v>
      </c>
      <c r="AZ26" s="198"/>
      <c r="BA26" s="5"/>
      <c r="BB26" s="5"/>
      <c r="BC26" s="158"/>
    </row>
    <row r="27" spans="2:55">
      <c r="B27" s="40">
        <v>21</v>
      </c>
      <c r="C27" s="152">
        <v>30</v>
      </c>
      <c r="D27" s="137">
        <v>210</v>
      </c>
      <c r="E27" s="141">
        <f t="shared" si="29"/>
        <v>1.3</v>
      </c>
      <c r="F27" s="42">
        <f t="shared" si="30"/>
        <v>273</v>
      </c>
      <c r="G27" s="51">
        <f t="shared" ref="G27:G32" si="32">(F27-F26)/(C27-B27)</f>
        <v>17.333333333333332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17.333333333333332</v>
      </c>
      <c r="R27" s="33">
        <f t="shared" si="22"/>
        <v>134.33333333333331</v>
      </c>
      <c r="S27" s="33">
        <f t="shared" si="23"/>
        <v>48.359999999999992</v>
      </c>
      <c r="T27" s="33">
        <f t="shared" si="2"/>
        <v>14.189403952738846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330.12112578782182</v>
      </c>
      <c r="Y27" s="38">
        <f t="shared" si="5"/>
        <v>153.08522398274371</v>
      </c>
      <c r="AA27" s="71">
        <v>22</v>
      </c>
      <c r="AB27" s="33">
        <f t="shared" si="6"/>
        <v>0</v>
      </c>
      <c r="AC27" s="305">
        <f t="shared" si="7"/>
        <v>0</v>
      </c>
      <c r="AD27" s="100">
        <f t="shared" si="8"/>
        <v>0</v>
      </c>
      <c r="AE27" s="100">
        <f t="shared" si="9"/>
        <v>0</v>
      </c>
      <c r="AF27" s="194">
        <f t="shared" ref="AF27:AF90" si="33">IF(OR(AA27&lt;=$F$18,AA27&lt;=30),EXP(-LN(2)/$D$104)*AF26+((1-EXP(-LN(2)/$D$104))/(LN(2)/$D$104))*$AB27*AC27*0.475*$F$19*44/12,)</f>
        <v>0</v>
      </c>
      <c r="AG27" s="194">
        <f t="shared" ref="AG27:AG90" si="34">IF(OR(AA27&lt;=$F$18,AA27&lt;=30),EXP(-LN(2)/$D$106)*AG26+((1-EXP(-LN(2)/$D$106))/(LN(2)/$D$106))*$AB27*AD27*0.475*$F$19*44/12,)</f>
        <v>13.473104239659822</v>
      </c>
      <c r="AH27" s="194">
        <f t="shared" ref="AH27:AH90" si="35">IF(OR(AA27&lt;=$F$18,AA27&lt;=30),EXP(-LN(2)/$D$105)*AH26+((1-EXP(-LN(2)/$D$105))/(LN(2)/$D$105))*$AB27*AE27*0.475*$F$19*44/12,)</f>
        <v>6.5944573269518925</v>
      </c>
      <c r="AI27" s="199">
        <f t="shared" ref="AI27:AI90" si="36">IF(OR(AA27&lt;=$F$18,AA27&lt;=30),SUM(AF27:AH27),)</f>
        <v>20.067561566611715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4">
        <f t="shared" si="31"/>
        <v>0</v>
      </c>
      <c r="AR27" s="194">
        <f t="shared" si="31"/>
        <v>0</v>
      </c>
      <c r="AS27" s="194">
        <f t="shared" si="31"/>
        <v>0</v>
      </c>
      <c r="AT27" s="194">
        <f t="shared" si="31"/>
        <v>0</v>
      </c>
      <c r="AU27" s="33"/>
      <c r="AV27" s="33"/>
      <c r="AW27" s="33"/>
      <c r="AX27" s="33"/>
      <c r="AY27" s="164">
        <f t="shared" si="24"/>
        <v>17.2</v>
      </c>
      <c r="AZ27" s="198"/>
    </row>
    <row r="28" spans="2:55">
      <c r="B28" s="40">
        <v>30</v>
      </c>
      <c r="C28" s="41">
        <v>31</v>
      </c>
      <c r="D28" s="137">
        <v>160</v>
      </c>
      <c r="E28" s="141">
        <f t="shared" si="29"/>
        <v>1.3</v>
      </c>
      <c r="F28" s="42">
        <f t="shared" si="30"/>
        <v>208</v>
      </c>
      <c r="G28" s="51">
        <f t="shared" si="32"/>
        <v>-65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17.333333333333332</v>
      </c>
      <c r="R28" s="33">
        <f t="shared" si="22"/>
        <v>151.66666666666666</v>
      </c>
      <c r="S28" s="33">
        <f t="shared" si="23"/>
        <v>54.599999999999994</v>
      </c>
      <c r="T28" s="33">
        <f t="shared" si="2"/>
        <v>15.795576599806321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346.09082595420915</v>
      </c>
      <c r="Y28" s="38">
        <f t="shared" si="5"/>
        <v>169.05492414913104</v>
      </c>
      <c r="AA28" s="71">
        <v>23</v>
      </c>
      <c r="AB28" s="33">
        <f t="shared" si="6"/>
        <v>0</v>
      </c>
      <c r="AC28" s="305">
        <f t="shared" si="7"/>
        <v>0</v>
      </c>
      <c r="AD28" s="100">
        <f t="shared" si="8"/>
        <v>0</v>
      </c>
      <c r="AE28" s="100">
        <f t="shared" si="9"/>
        <v>0</v>
      </c>
      <c r="AF28" s="194">
        <f t="shared" si="33"/>
        <v>0</v>
      </c>
      <c r="AG28" s="194">
        <f t="shared" si="34"/>
        <v>13.104681495706565</v>
      </c>
      <c r="AH28" s="194">
        <f t="shared" si="35"/>
        <v>4.6629854941329976</v>
      </c>
      <c r="AI28" s="199">
        <f t="shared" si="36"/>
        <v>17.767666989839562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4">
        <f t="shared" si="31"/>
        <v>0</v>
      </c>
      <c r="AR28" s="194">
        <f t="shared" si="31"/>
        <v>0</v>
      </c>
      <c r="AS28" s="194">
        <f t="shared" si="31"/>
        <v>0</v>
      </c>
      <c r="AT28" s="194">
        <f t="shared" si="31"/>
        <v>0</v>
      </c>
      <c r="AU28" s="33"/>
      <c r="AV28" s="33"/>
      <c r="AW28" s="33"/>
      <c r="AX28" s="33"/>
      <c r="AY28" s="164">
        <f t="shared" si="24"/>
        <v>17.2</v>
      </c>
      <c r="AZ28" s="198"/>
    </row>
    <row r="29" spans="2:55">
      <c r="B29" s="40">
        <v>31</v>
      </c>
      <c r="C29" s="152">
        <v>40</v>
      </c>
      <c r="D29" s="137">
        <v>300</v>
      </c>
      <c r="E29" s="141">
        <f t="shared" si="29"/>
        <v>1.3</v>
      </c>
      <c r="F29" s="42">
        <f t="shared" si="30"/>
        <v>390</v>
      </c>
      <c r="G29" s="51">
        <f t="shared" si="32"/>
        <v>20.222222222222221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17.333333333333332</v>
      </c>
      <c r="R29" s="33">
        <f t="shared" si="22"/>
        <v>169</v>
      </c>
      <c r="S29" s="33">
        <f t="shared" si="23"/>
        <v>60.839999999999996</v>
      </c>
      <c r="T29" s="33">
        <f t="shared" si="2"/>
        <v>17.380475216531455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362.00470251907876</v>
      </c>
      <c r="Y29" s="38">
        <f t="shared" si="5"/>
        <v>184.96880071400065</v>
      </c>
      <c r="AA29" s="71">
        <v>24</v>
      </c>
      <c r="AB29" s="33">
        <f t="shared" si="6"/>
        <v>0</v>
      </c>
      <c r="AC29" s="305">
        <f t="shared" si="7"/>
        <v>0</v>
      </c>
      <c r="AD29" s="100">
        <f t="shared" si="8"/>
        <v>0</v>
      </c>
      <c r="AE29" s="100">
        <f t="shared" si="9"/>
        <v>0</v>
      </c>
      <c r="AF29" s="194">
        <f t="shared" si="33"/>
        <v>0</v>
      </c>
      <c r="AG29" s="194">
        <f t="shared" si="34"/>
        <v>12.746333291061219</v>
      </c>
      <c r="AH29" s="194">
        <f t="shared" si="35"/>
        <v>3.2972286634759471</v>
      </c>
      <c r="AI29" s="199">
        <f t="shared" si="36"/>
        <v>16.043561954537168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4">
        <f t="shared" si="31"/>
        <v>0</v>
      </c>
      <c r="AR29" s="194">
        <f t="shared" si="31"/>
        <v>0</v>
      </c>
      <c r="AS29" s="194">
        <f t="shared" si="31"/>
        <v>0</v>
      </c>
      <c r="AT29" s="194">
        <f t="shared" si="31"/>
        <v>0</v>
      </c>
      <c r="AU29" s="33"/>
      <c r="AV29" s="33"/>
      <c r="AW29" s="33"/>
      <c r="AX29" s="33"/>
      <c r="AY29" s="164">
        <f t="shared" si="24"/>
        <v>17.2</v>
      </c>
      <c r="AZ29" s="198"/>
    </row>
    <row r="30" spans="2:55">
      <c r="B30" s="40">
        <v>40</v>
      </c>
      <c r="C30" s="41">
        <v>41</v>
      </c>
      <c r="D30" s="137">
        <v>250</v>
      </c>
      <c r="E30" s="141">
        <f t="shared" si="29"/>
        <v>1.3</v>
      </c>
      <c r="F30" s="42">
        <f t="shared" si="30"/>
        <v>325</v>
      </c>
      <c r="G30" s="51">
        <f t="shared" si="32"/>
        <v>-65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17.333333333333332</v>
      </c>
      <c r="R30" s="33">
        <f t="shared" si="22"/>
        <v>186.33333333333334</v>
      </c>
      <c r="S30" s="33">
        <f t="shared" si="23"/>
        <v>67.08</v>
      </c>
      <c r="T30" s="33">
        <f t="shared" si="2"/>
        <v>18.946530238513894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377.86731413174374</v>
      </c>
      <c r="Y30" s="38">
        <f t="shared" si="5"/>
        <v>200.83141232666563</v>
      </c>
      <c r="AA30" s="71">
        <v>25</v>
      </c>
      <c r="AB30" s="33">
        <f t="shared" si="6"/>
        <v>0</v>
      </c>
      <c r="AC30" s="305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4">
        <f t="shared" si="33"/>
        <v>0</v>
      </c>
      <c r="AG30" s="194">
        <f t="shared" si="34"/>
        <v>12.397784136916615</v>
      </c>
      <c r="AH30" s="194">
        <f t="shared" si="35"/>
        <v>2.3314927470664992</v>
      </c>
      <c r="AI30" s="199">
        <f t="shared" si="36"/>
        <v>14.729276883983115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4">
        <f t="shared" si="31"/>
        <v>0</v>
      </c>
      <c r="AR30" s="194">
        <f t="shared" si="31"/>
        <v>0</v>
      </c>
      <c r="AS30" s="194">
        <f t="shared" si="31"/>
        <v>0</v>
      </c>
      <c r="AT30" s="194">
        <f t="shared" si="31"/>
        <v>0</v>
      </c>
      <c r="AU30" s="33"/>
      <c r="AV30" s="33"/>
      <c r="AW30" s="33"/>
      <c r="AX30" s="33"/>
      <c r="AY30" s="164">
        <f t="shared" si="24"/>
        <v>17.2</v>
      </c>
      <c r="AZ30" s="198"/>
    </row>
    <row r="31" spans="2:55">
      <c r="B31" s="40">
        <v>41</v>
      </c>
      <c r="C31" s="152">
        <v>50</v>
      </c>
      <c r="D31" s="137">
        <v>390</v>
      </c>
      <c r="E31" s="141">
        <f t="shared" si="29"/>
        <v>1.3</v>
      </c>
      <c r="F31" s="42">
        <f t="shared" si="30"/>
        <v>507</v>
      </c>
      <c r="G31" s="51">
        <f t="shared" si="32"/>
        <v>20.222222222222221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17.333333333333332</v>
      </c>
      <c r="R31" s="33">
        <f t="shared" si="22"/>
        <v>203.66666666666669</v>
      </c>
      <c r="S31" s="33">
        <f t="shared" si="23"/>
        <v>73.320000000000007</v>
      </c>
      <c r="T31" s="33">
        <f t="shared" si="2"/>
        <v>20.495693943372068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393.68238100056328</v>
      </c>
      <c r="Y31" s="38">
        <f t="shared" si="5"/>
        <v>216.64647919548517</v>
      </c>
      <c r="AA31" s="71">
        <v>26</v>
      </c>
      <c r="AB31" s="33">
        <f t="shared" si="6"/>
        <v>0</v>
      </c>
      <c r="AC31" s="305">
        <f t="shared" ref="AC31:AC94" si="37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4">
        <f t="shared" si="33"/>
        <v>0</v>
      </c>
      <c r="AG31" s="194">
        <f t="shared" si="34"/>
        <v>12.058766077721497</v>
      </c>
      <c r="AH31" s="194">
        <f t="shared" si="35"/>
        <v>1.6486143317379738</v>
      </c>
      <c r="AI31" s="199">
        <f t="shared" si="36"/>
        <v>13.707380409459471</v>
      </c>
      <c r="AK31" s="71">
        <v>26</v>
      </c>
      <c r="AL31" s="33">
        <f t="shared" si="10"/>
        <v>0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0</v>
      </c>
      <c r="AQ31" s="194">
        <f t="shared" si="31"/>
        <v>0</v>
      </c>
      <c r="AR31" s="194">
        <f t="shared" si="31"/>
        <v>0</v>
      </c>
      <c r="AS31" s="194">
        <f t="shared" si="31"/>
        <v>0</v>
      </c>
      <c r="AT31" s="194">
        <f t="shared" si="31"/>
        <v>0</v>
      </c>
      <c r="AU31" s="33"/>
      <c r="AV31" s="33"/>
      <c r="AW31" s="33"/>
      <c r="AX31" s="33"/>
      <c r="AY31" s="164">
        <f t="shared" si="24"/>
        <v>17.2</v>
      </c>
      <c r="AZ31" s="198"/>
    </row>
    <row r="32" spans="2:55">
      <c r="B32" s="40">
        <v>50</v>
      </c>
      <c r="C32" s="41">
        <v>51</v>
      </c>
      <c r="D32" s="137">
        <v>340</v>
      </c>
      <c r="E32" s="141">
        <f t="shared" si="29"/>
        <v>1.3</v>
      </c>
      <c r="F32" s="42">
        <f t="shared" si="30"/>
        <v>442</v>
      </c>
      <c r="G32" s="51">
        <f t="shared" si="32"/>
        <v>-65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17.333333333333332</v>
      </c>
      <c r="R32" s="33">
        <f t="shared" si="22"/>
        <v>221.00000000000003</v>
      </c>
      <c r="S32" s="33">
        <f t="shared" si="23"/>
        <v>79.56</v>
      </c>
      <c r="T32" s="33">
        <f t="shared" si="2"/>
        <v>22.029567333453311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409.45300597832801</v>
      </c>
      <c r="Y32" s="38">
        <f t="shared" si="5"/>
        <v>232.4171041732499</v>
      </c>
      <c r="AA32" s="71">
        <v>27</v>
      </c>
      <c r="AB32" s="33">
        <f t="shared" si="6"/>
        <v>0</v>
      </c>
      <c r="AC32" s="305">
        <f t="shared" si="37"/>
        <v>0</v>
      </c>
      <c r="AD32" s="100">
        <f t="shared" si="8"/>
        <v>0</v>
      </c>
      <c r="AE32" s="100">
        <f t="shared" si="9"/>
        <v>0</v>
      </c>
      <c r="AF32" s="194">
        <f t="shared" si="33"/>
        <v>0</v>
      </c>
      <c r="AG32" s="194">
        <f t="shared" si="34"/>
        <v>11.729018485183255</v>
      </c>
      <c r="AH32" s="194">
        <f t="shared" si="35"/>
        <v>1.1657463735332498</v>
      </c>
      <c r="AI32" s="199">
        <f t="shared" si="36"/>
        <v>12.894764858716504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4">
        <f t="shared" si="31"/>
        <v>0</v>
      </c>
      <c r="AR32" s="194">
        <f t="shared" si="31"/>
        <v>0</v>
      </c>
      <c r="AS32" s="194">
        <f t="shared" si="31"/>
        <v>0</v>
      </c>
      <c r="AT32" s="194">
        <f t="shared" si="31"/>
        <v>0</v>
      </c>
      <c r="AU32" s="33"/>
      <c r="AV32" s="33"/>
      <c r="AW32" s="33"/>
      <c r="AX32" s="33"/>
      <c r="AY32" s="164">
        <f t="shared" si="24"/>
        <v>17.2</v>
      </c>
      <c r="AZ32" s="198"/>
    </row>
    <row r="33" spans="2:52">
      <c r="B33" s="40">
        <v>51</v>
      </c>
      <c r="C33" s="152">
        <v>60</v>
      </c>
      <c r="D33" s="137">
        <v>470</v>
      </c>
      <c r="E33" s="141">
        <f t="shared" si="29"/>
        <v>1.3</v>
      </c>
      <c r="F33" s="42">
        <f t="shared" ref="F33:F44" si="38">D33*E33</f>
        <v>611</v>
      </c>
      <c r="G33" s="51">
        <f t="shared" ref="G33:G44" si="39">(F33-F32)/(C33-B33)</f>
        <v>18.777777777777779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17.333333333333332</v>
      </c>
      <c r="R33" s="33">
        <f t="shared" si="22"/>
        <v>238.33333333333337</v>
      </c>
      <c r="S33" s="33">
        <f t="shared" si="23"/>
        <v>85.800000000000011</v>
      </c>
      <c r="T33" s="33">
        <f t="shared" si="2"/>
        <v>23.549485995669766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425.1818241977756</v>
      </c>
      <c r="Y33" s="38">
        <f t="shared" si="5"/>
        <v>248.14592239269749</v>
      </c>
      <c r="AA33" s="71">
        <v>28</v>
      </c>
      <c r="AB33" s="33">
        <f t="shared" si="6"/>
        <v>0</v>
      </c>
      <c r="AC33" s="305">
        <f t="shared" si="37"/>
        <v>0</v>
      </c>
      <c r="AD33" s="100">
        <f t="shared" si="8"/>
        <v>0</v>
      </c>
      <c r="AE33" s="100">
        <f t="shared" si="9"/>
        <v>0</v>
      </c>
      <c r="AF33" s="194">
        <f t="shared" si="33"/>
        <v>0</v>
      </c>
      <c r="AG33" s="194">
        <f t="shared" si="34"/>
        <v>11.408287857903645</v>
      </c>
      <c r="AH33" s="194">
        <f t="shared" si="35"/>
        <v>0.824307165868987</v>
      </c>
      <c r="AI33" s="199">
        <f t="shared" si="36"/>
        <v>12.232595023772632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4">
        <f t="shared" si="31"/>
        <v>0</v>
      </c>
      <c r="AR33" s="194">
        <f t="shared" si="31"/>
        <v>0</v>
      </c>
      <c r="AS33" s="194">
        <f t="shared" si="31"/>
        <v>0</v>
      </c>
      <c r="AT33" s="194">
        <f t="shared" si="31"/>
        <v>0</v>
      </c>
      <c r="AU33" s="33"/>
      <c r="AV33" s="33"/>
      <c r="AW33" s="33"/>
      <c r="AX33" s="33"/>
      <c r="AY33" s="164">
        <f t="shared" si="24"/>
        <v>17.2</v>
      </c>
      <c r="AZ33" s="198"/>
    </row>
    <row r="34" spans="2:52" ht="16" thickBot="1">
      <c r="B34" s="40">
        <v>60</v>
      </c>
      <c r="C34" s="41">
        <v>61</v>
      </c>
      <c r="D34" s="137">
        <v>430</v>
      </c>
      <c r="E34" s="141">
        <f t="shared" si="29"/>
        <v>1.3</v>
      </c>
      <c r="F34" s="42">
        <f t="shared" si="38"/>
        <v>559</v>
      </c>
      <c r="G34" s="51">
        <f t="shared" si="39"/>
        <v>-52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17.333333333333332</v>
      </c>
      <c r="R34" s="33">
        <f t="shared" si="22"/>
        <v>255.66666666666671</v>
      </c>
      <c r="S34" s="33">
        <f t="shared" si="23"/>
        <v>92.04000000000002</v>
      </c>
      <c r="T34" s="33">
        <f t="shared" si="2"/>
        <v>25.056580235859606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440.87110790023138</v>
      </c>
      <c r="Y34" s="38">
        <f t="shared" si="5"/>
        <v>263.83520609515324</v>
      </c>
      <c r="AA34" s="71">
        <v>29</v>
      </c>
      <c r="AB34" s="143">
        <f t="shared" si="6"/>
        <v>0</v>
      </c>
      <c r="AC34" s="305">
        <f t="shared" si="37"/>
        <v>0</v>
      </c>
      <c r="AD34" s="101">
        <f t="shared" si="8"/>
        <v>0</v>
      </c>
      <c r="AE34" s="101">
        <f t="shared" si="9"/>
        <v>0</v>
      </c>
      <c r="AF34" s="196">
        <f t="shared" si="33"/>
        <v>0</v>
      </c>
      <c r="AG34" s="196">
        <f t="shared" si="34"/>
        <v>11.096327626493485</v>
      </c>
      <c r="AH34" s="194">
        <f t="shared" si="35"/>
        <v>0.58287318676662492</v>
      </c>
      <c r="AI34" s="199">
        <f t="shared" si="36"/>
        <v>11.67920081326011</v>
      </c>
      <c r="AK34" s="71">
        <v>29</v>
      </c>
      <c r="AL34" s="143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4">
        <f t="shared" si="31"/>
        <v>0</v>
      </c>
      <c r="AR34" s="194">
        <f t="shared" si="31"/>
        <v>0</v>
      </c>
      <c r="AS34" s="194">
        <f t="shared" si="31"/>
        <v>0</v>
      </c>
      <c r="AT34" s="194">
        <f t="shared" si="31"/>
        <v>0</v>
      </c>
      <c r="AU34" s="33"/>
      <c r="AV34" s="33"/>
      <c r="AW34" s="33"/>
      <c r="AX34" s="33"/>
      <c r="AY34" s="164">
        <f t="shared" si="24"/>
        <v>17.2</v>
      </c>
      <c r="AZ34" s="198"/>
    </row>
    <row r="35" spans="2:52" ht="16" thickBot="1">
      <c r="B35" s="40">
        <v>61</v>
      </c>
      <c r="C35" s="152">
        <v>70</v>
      </c>
      <c r="D35" s="137">
        <v>540</v>
      </c>
      <c r="E35" s="141">
        <f t="shared" si="29"/>
        <v>1.3</v>
      </c>
      <c r="F35" s="42">
        <f t="shared" si="38"/>
        <v>702</v>
      </c>
      <c r="G35" s="51">
        <f t="shared" si="39"/>
        <v>15.888888888888889</v>
      </c>
      <c r="I35" s="87">
        <v>30</v>
      </c>
      <c r="J35" s="159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17.333333333333332</v>
      </c>
      <c r="R35" s="54">
        <f t="shared" si="22"/>
        <v>273.00000000000006</v>
      </c>
      <c r="S35" s="53">
        <f t="shared" si="23"/>
        <v>98.280000000000015</v>
      </c>
      <c r="T35" s="54">
        <f t="shared" si="2"/>
        <v>26.551818424463473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456.5228420223159</v>
      </c>
      <c r="Y35" s="65">
        <f t="shared" si="5"/>
        <v>279.48694021723782</v>
      </c>
      <c r="AA35" s="73">
        <v>30</v>
      </c>
      <c r="AB35" s="143">
        <f t="shared" si="6"/>
        <v>0</v>
      </c>
      <c r="AC35" s="305">
        <f t="shared" si="37"/>
        <v>0</v>
      </c>
      <c r="AD35" s="101">
        <f t="shared" si="8"/>
        <v>0</v>
      </c>
      <c r="AE35" s="101">
        <f t="shared" si="9"/>
        <v>0</v>
      </c>
      <c r="AF35" s="200">
        <f t="shared" si="33"/>
        <v>0</v>
      </c>
      <c r="AG35" s="195">
        <f t="shared" si="34"/>
        <v>10.792897964016511</v>
      </c>
      <c r="AH35" s="201">
        <f t="shared" si="35"/>
        <v>0.4121535829344935</v>
      </c>
      <c r="AI35" s="202">
        <f t="shared" si="36"/>
        <v>11.205051546951005</v>
      </c>
      <c r="AJ35" s="8"/>
      <c r="AK35" s="73">
        <v>30</v>
      </c>
      <c r="AL35" s="143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5">
        <f t="shared" si="31"/>
        <v>0</v>
      </c>
      <c r="AR35" s="195">
        <f t="shared" si="31"/>
        <v>0</v>
      </c>
      <c r="AS35" s="195">
        <f t="shared" si="31"/>
        <v>0</v>
      </c>
      <c r="AT35" s="195">
        <f t="shared" si="31"/>
        <v>0</v>
      </c>
      <c r="AU35" s="53"/>
      <c r="AV35" s="53"/>
      <c r="AW35" s="53"/>
      <c r="AX35" s="53"/>
      <c r="AY35" s="165">
        <f t="shared" si="24"/>
        <v>17.2</v>
      </c>
      <c r="AZ35" s="198"/>
    </row>
    <row r="36" spans="2:52">
      <c r="B36" s="40">
        <v>70</v>
      </c>
      <c r="C36" s="41">
        <v>71</v>
      </c>
      <c r="D36" s="137">
        <v>500</v>
      </c>
      <c r="E36" s="141">
        <f t="shared" si="29"/>
        <v>1.3</v>
      </c>
      <c r="F36" s="42">
        <f t="shared" si="38"/>
        <v>650</v>
      </c>
      <c r="G36" s="51">
        <f t="shared" si="39"/>
        <v>-52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-65</v>
      </c>
      <c r="R36" s="33">
        <f t="shared" si="22"/>
        <v>208.00000000000006</v>
      </c>
      <c r="S36" s="33">
        <f t="shared" si="23"/>
        <v>74.880000000000024</v>
      </c>
      <c r="T36" s="33">
        <f t="shared" si="2"/>
        <v>20.880539585643231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406.83106299114615</v>
      </c>
      <c r="Y36" s="38">
        <f t="shared" si="5"/>
        <v>229.79516118606804</v>
      </c>
      <c r="AA36" s="71">
        <v>31</v>
      </c>
      <c r="AB36" s="33">
        <f t="shared" si="6"/>
        <v>50</v>
      </c>
      <c r="AC36" s="305">
        <f t="shared" si="37"/>
        <v>0.1</v>
      </c>
      <c r="AD36" s="100">
        <f t="shared" si="8"/>
        <v>0.44800000000000006</v>
      </c>
      <c r="AE36" s="100">
        <f t="shared" si="9"/>
        <v>0.35200000000000004</v>
      </c>
      <c r="AF36" s="194">
        <f t="shared" si="33"/>
        <v>3.1041608257285245</v>
      </c>
      <c r="AG36" s="194">
        <f t="shared" si="34"/>
        <v>24.349650358389376</v>
      </c>
      <c r="AH36" s="194">
        <f t="shared" si="35"/>
        <v>9.6174075816493065</v>
      </c>
      <c r="AI36" s="199">
        <f t="shared" si="36"/>
        <v>37.071218765767206</v>
      </c>
      <c r="AK36" s="71">
        <v>31</v>
      </c>
      <c r="AL36" s="33">
        <f t="shared" si="10"/>
        <v>50</v>
      </c>
      <c r="AM36" s="33">
        <f t="shared" si="11"/>
        <v>0.2</v>
      </c>
      <c r="AN36" s="33">
        <f t="shared" si="12"/>
        <v>0.44800000000000006</v>
      </c>
      <c r="AO36" s="33">
        <f t="shared" si="13"/>
        <v>0.35200000000000004</v>
      </c>
      <c r="AP36" s="33">
        <f t="shared" si="14"/>
        <v>0</v>
      </c>
      <c r="AQ36" s="194">
        <f t="shared" si="31"/>
        <v>10</v>
      </c>
      <c r="AR36" s="194">
        <f t="shared" si="31"/>
        <v>22.400000000000002</v>
      </c>
      <c r="AS36" s="194">
        <f t="shared" si="31"/>
        <v>17.600000000000001</v>
      </c>
      <c r="AT36" s="194">
        <f t="shared" si="31"/>
        <v>0</v>
      </c>
      <c r="AU36" s="33"/>
      <c r="AV36" s="33"/>
      <c r="AW36" s="33"/>
      <c r="AX36" s="33"/>
      <c r="AY36" s="76"/>
    </row>
    <row r="37" spans="2:52">
      <c r="B37" s="40">
        <v>71</v>
      </c>
      <c r="C37" s="152">
        <v>80</v>
      </c>
      <c r="D37" s="137">
        <v>610</v>
      </c>
      <c r="E37" s="141">
        <f t="shared" si="29"/>
        <v>1.3</v>
      </c>
      <c r="F37" s="42">
        <f t="shared" si="38"/>
        <v>793</v>
      </c>
      <c r="G37" s="51">
        <f t="shared" si="39"/>
        <v>15.888888888888889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20.222222222222221</v>
      </c>
      <c r="R37" s="33">
        <f t="shared" si="22"/>
        <v>228.22222222222229</v>
      </c>
      <c r="S37" s="33">
        <f t="shared" si="23"/>
        <v>82.160000000000025</v>
      </c>
      <c r="T37" s="33">
        <f t="shared" si="2"/>
        <v>22.664493673845829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423.54182896247352</v>
      </c>
      <c r="Y37" s="38">
        <f t="shared" si="5"/>
        <v>246.5059271573954</v>
      </c>
      <c r="AA37" s="71">
        <v>32</v>
      </c>
      <c r="AB37" s="33">
        <f t="shared" si="6"/>
        <v>0</v>
      </c>
      <c r="AC37" s="305">
        <f t="shared" si="37"/>
        <v>0</v>
      </c>
      <c r="AD37" s="100">
        <f t="shared" si="8"/>
        <v>0</v>
      </c>
      <c r="AE37" s="100">
        <f t="shared" si="9"/>
        <v>0</v>
      </c>
      <c r="AF37" s="194">
        <f t="shared" si="33"/>
        <v>3.0432901252871387</v>
      </c>
      <c r="AG37" s="194">
        <f t="shared" si="34"/>
        <v>23.683807888846758</v>
      </c>
      <c r="AH37" s="194">
        <f t="shared" si="35"/>
        <v>6.8005341184191401</v>
      </c>
      <c r="AI37" s="199">
        <f t="shared" si="36"/>
        <v>33.527632132553038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4">
        <f t="shared" si="31"/>
        <v>0</v>
      </c>
      <c r="AR37" s="194">
        <f t="shared" si="31"/>
        <v>0</v>
      </c>
      <c r="AS37" s="194">
        <f t="shared" si="31"/>
        <v>0</v>
      </c>
      <c r="AT37" s="194">
        <f t="shared" si="31"/>
        <v>0</v>
      </c>
      <c r="AU37" s="33"/>
      <c r="AV37" s="33"/>
      <c r="AW37" s="33"/>
      <c r="AX37" s="33"/>
      <c r="AY37" s="76"/>
    </row>
    <row r="38" spans="2:52">
      <c r="B38" s="40">
        <v>80</v>
      </c>
      <c r="C38" s="41">
        <v>81</v>
      </c>
      <c r="D38" s="137">
        <v>580</v>
      </c>
      <c r="E38" s="141">
        <f t="shared" si="29"/>
        <v>1.3</v>
      </c>
      <c r="F38" s="42">
        <f t="shared" si="38"/>
        <v>754</v>
      </c>
      <c r="G38" s="51">
        <f t="shared" si="39"/>
        <v>-39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20.222222222222221</v>
      </c>
      <c r="R38" s="33">
        <f t="shared" si="22"/>
        <v>248.44444444444451</v>
      </c>
      <c r="S38" s="33">
        <f t="shared" si="23"/>
        <v>89.440000000000026</v>
      </c>
      <c r="T38" s="33">
        <f t="shared" si="2"/>
        <v>24.430117455867048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440.2046337368426</v>
      </c>
      <c r="Y38" s="38">
        <f t="shared" si="5"/>
        <v>263.16873193176446</v>
      </c>
      <c r="AA38" s="71">
        <v>33</v>
      </c>
      <c r="AB38" s="33">
        <f t="shared" si="6"/>
        <v>0</v>
      </c>
      <c r="AC38" s="305">
        <f t="shared" si="37"/>
        <v>0</v>
      </c>
      <c r="AD38" s="100">
        <f t="shared" si="8"/>
        <v>0</v>
      </c>
      <c r="AE38" s="100">
        <f t="shared" si="9"/>
        <v>0</v>
      </c>
      <c r="AF38" s="194">
        <f t="shared" si="33"/>
        <v>2.9836130621539474</v>
      </c>
      <c r="AG38" s="194">
        <f t="shared" si="34"/>
        <v>23.036172916648916</v>
      </c>
      <c r="AH38" s="194">
        <f t="shared" si="35"/>
        <v>4.8087037908246542</v>
      </c>
      <c r="AI38" s="199">
        <f t="shared" si="36"/>
        <v>30.828489769627517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4">
        <f t="shared" si="31"/>
        <v>0</v>
      </c>
      <c r="AR38" s="194">
        <f t="shared" si="31"/>
        <v>0</v>
      </c>
      <c r="AS38" s="194">
        <f t="shared" si="31"/>
        <v>0</v>
      </c>
      <c r="AT38" s="194">
        <f t="shared" si="31"/>
        <v>0</v>
      </c>
      <c r="AU38" s="33"/>
      <c r="AV38" s="33"/>
      <c r="AW38" s="33"/>
      <c r="AX38" s="33"/>
      <c r="AY38" s="76"/>
    </row>
    <row r="39" spans="2:52">
      <c r="B39" s="40">
        <v>81</v>
      </c>
      <c r="C39" s="152">
        <v>90</v>
      </c>
      <c r="D39" s="137">
        <v>640</v>
      </c>
      <c r="E39" s="141">
        <f t="shared" si="29"/>
        <v>1.3</v>
      </c>
      <c r="F39" s="42">
        <f t="shared" si="38"/>
        <v>832</v>
      </c>
      <c r="G39" s="51">
        <f t="shared" si="39"/>
        <v>8.6666666666666661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20.222222222222221</v>
      </c>
      <c r="R39" s="33">
        <f t="shared" si="22"/>
        <v>268.66666666666674</v>
      </c>
      <c r="S39" s="33">
        <f t="shared" si="23"/>
        <v>96.720000000000027</v>
      </c>
      <c r="T39" s="33">
        <f t="shared" si="2"/>
        <v>26.179072558792161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456.82264950201198</v>
      </c>
      <c r="Y39" s="38">
        <f t="shared" si="5"/>
        <v>279.78674769693384</v>
      </c>
      <c r="AA39" s="71">
        <v>34</v>
      </c>
      <c r="AB39" s="33">
        <f t="shared" si="6"/>
        <v>0</v>
      </c>
      <c r="AC39" s="305">
        <f t="shared" si="37"/>
        <v>0</v>
      </c>
      <c r="AD39" s="100">
        <f t="shared" si="8"/>
        <v>0</v>
      </c>
      <c r="AE39" s="100">
        <f t="shared" si="9"/>
        <v>0</v>
      </c>
      <c r="AF39" s="194">
        <f t="shared" si="33"/>
        <v>2.9251062298293835</v>
      </c>
      <c r="AG39" s="194">
        <f t="shared" si="34"/>
        <v>22.406247556823466</v>
      </c>
      <c r="AH39" s="194">
        <f t="shared" si="35"/>
        <v>3.4002670592095705</v>
      </c>
      <c r="AI39" s="199">
        <f t="shared" si="36"/>
        <v>28.73162084586242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4">
        <f t="shared" si="31"/>
        <v>0</v>
      </c>
      <c r="AR39" s="194">
        <f t="shared" si="31"/>
        <v>0</v>
      </c>
      <c r="AS39" s="194">
        <f t="shared" si="31"/>
        <v>0</v>
      </c>
      <c r="AT39" s="194">
        <f t="shared" si="31"/>
        <v>0</v>
      </c>
      <c r="AU39" s="33"/>
      <c r="AV39" s="33"/>
      <c r="AW39" s="33"/>
      <c r="AX39" s="33"/>
      <c r="AY39" s="76"/>
    </row>
    <row r="40" spans="2:52">
      <c r="B40" s="40">
        <v>90</v>
      </c>
      <c r="C40" s="41">
        <v>91</v>
      </c>
      <c r="D40" s="137">
        <v>610</v>
      </c>
      <c r="E40" s="141">
        <f t="shared" si="29"/>
        <v>1.3</v>
      </c>
      <c r="F40" s="42">
        <f t="shared" si="38"/>
        <v>793</v>
      </c>
      <c r="G40" s="51">
        <f t="shared" si="39"/>
        <v>-39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20.222222222222221</v>
      </c>
      <c r="R40" s="33">
        <f t="shared" si="22"/>
        <v>288.88888888888897</v>
      </c>
      <c r="S40" s="33">
        <f t="shared" si="23"/>
        <v>104.00000000000003</v>
      </c>
      <c r="T40" s="33">
        <f t="shared" si="2"/>
        <v>27.912756274632549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473.39858323622622</v>
      </c>
      <c r="Y40" s="38">
        <f t="shared" si="5"/>
        <v>296.36268143114808</v>
      </c>
      <c r="AA40" s="71">
        <v>35</v>
      </c>
      <c r="AB40" s="33">
        <f t="shared" si="6"/>
        <v>0</v>
      </c>
      <c r="AC40" s="305">
        <f t="shared" si="37"/>
        <v>0</v>
      </c>
      <c r="AD40" s="100">
        <f t="shared" si="8"/>
        <v>0</v>
      </c>
      <c r="AE40" s="100">
        <f t="shared" si="9"/>
        <v>0</v>
      </c>
      <c r="AF40" s="194">
        <f t="shared" si="33"/>
        <v>2.8677466808010603</v>
      </c>
      <c r="AG40" s="194">
        <f t="shared" si="34"/>
        <v>21.793547539088781</v>
      </c>
      <c r="AH40" s="194">
        <f t="shared" si="35"/>
        <v>2.4043518954123275</v>
      </c>
      <c r="AI40" s="199">
        <f t="shared" si="36"/>
        <v>27.065646115302165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4">
        <f t="shared" si="31"/>
        <v>0</v>
      </c>
      <c r="AR40" s="194">
        <f t="shared" si="31"/>
        <v>0</v>
      </c>
      <c r="AS40" s="194">
        <f t="shared" si="31"/>
        <v>0</v>
      </c>
      <c r="AT40" s="194">
        <f t="shared" si="31"/>
        <v>0</v>
      </c>
      <c r="AU40" s="33"/>
      <c r="AV40" s="33"/>
      <c r="AW40" s="33"/>
      <c r="AX40" s="33"/>
      <c r="AY40" s="76"/>
    </row>
    <row r="41" spans="2:52">
      <c r="B41" s="40">
        <v>91</v>
      </c>
      <c r="C41" s="152">
        <v>100</v>
      </c>
      <c r="D41" s="137">
        <v>660</v>
      </c>
      <c r="E41" s="141">
        <f t="shared" si="29"/>
        <v>1.3</v>
      </c>
      <c r="F41" s="42">
        <f t="shared" si="38"/>
        <v>858</v>
      </c>
      <c r="G41" s="51">
        <f t="shared" si="39"/>
        <v>7.2222222222222223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20.222222222222221</v>
      </c>
      <c r="R41" s="33">
        <f t="shared" si="22"/>
        <v>309.1111111111112</v>
      </c>
      <c r="S41" s="33">
        <f t="shared" si="23"/>
        <v>111.28000000000003</v>
      </c>
      <c r="T41" s="33">
        <f t="shared" si="2"/>
        <v>29.63235919562165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489.93477717340892</v>
      </c>
      <c r="Y41" s="38">
        <f t="shared" si="5"/>
        <v>312.89887536833078</v>
      </c>
      <c r="AA41" s="71">
        <v>36</v>
      </c>
      <c r="AB41" s="33">
        <f t="shared" si="6"/>
        <v>0</v>
      </c>
      <c r="AC41" s="305">
        <f t="shared" si="37"/>
        <v>0</v>
      </c>
      <c r="AD41" s="100">
        <f t="shared" si="8"/>
        <v>0</v>
      </c>
      <c r="AE41" s="100">
        <f t="shared" si="9"/>
        <v>0</v>
      </c>
      <c r="AF41" s="194">
        <f t="shared" si="33"/>
        <v>2.8115119175433123</v>
      </c>
      <c r="AG41" s="194">
        <f t="shared" si="34"/>
        <v>21.197601835559542</v>
      </c>
      <c r="AH41" s="194">
        <f t="shared" si="35"/>
        <v>1.7001335296047857</v>
      </c>
      <c r="AI41" s="199">
        <f t="shared" si="36"/>
        <v>25.70924728270764</v>
      </c>
      <c r="AK41" s="71">
        <v>36</v>
      </c>
      <c r="AL41" s="33">
        <f t="shared" si="10"/>
        <v>0</v>
      </c>
      <c r="AM41" s="33">
        <f t="shared" si="11"/>
        <v>0</v>
      </c>
      <c r="AN41" s="33">
        <f t="shared" si="12"/>
        <v>0</v>
      </c>
      <c r="AO41" s="33">
        <f t="shared" si="13"/>
        <v>0</v>
      </c>
      <c r="AP41" s="33">
        <f t="shared" si="14"/>
        <v>0</v>
      </c>
      <c r="AQ41" s="194">
        <f t="shared" si="31"/>
        <v>0</v>
      </c>
      <c r="AR41" s="194">
        <f t="shared" si="31"/>
        <v>0</v>
      </c>
      <c r="AS41" s="194">
        <f t="shared" si="31"/>
        <v>0</v>
      </c>
      <c r="AT41" s="194">
        <f t="shared" si="31"/>
        <v>0</v>
      </c>
      <c r="AU41" s="33"/>
      <c r="AV41" s="33"/>
      <c r="AW41" s="33"/>
      <c r="AX41" s="33"/>
      <c r="AY41" s="76"/>
    </row>
    <row r="42" spans="2:52">
      <c r="B42" s="40">
        <v>100</v>
      </c>
      <c r="C42" s="41">
        <v>101</v>
      </c>
      <c r="D42" s="137">
        <v>640</v>
      </c>
      <c r="E42" s="141">
        <f t="shared" si="29"/>
        <v>1.3</v>
      </c>
      <c r="F42" s="42">
        <f t="shared" si="38"/>
        <v>832</v>
      </c>
      <c r="G42" s="51">
        <f t="shared" si="39"/>
        <v>-26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20.222222222222221</v>
      </c>
      <c r="R42" s="33">
        <f t="shared" si="22"/>
        <v>329.33333333333343</v>
      </c>
      <c r="S42" s="33">
        <f t="shared" si="23"/>
        <v>118.56000000000003</v>
      </c>
      <c r="T42" s="33">
        <f t="shared" si="2"/>
        <v>31.33890732536991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506.43328222902369</v>
      </c>
      <c r="Y42" s="38">
        <f t="shared" si="5"/>
        <v>329.39738042394561</v>
      </c>
      <c r="AA42" s="71">
        <v>37</v>
      </c>
      <c r="AB42" s="33">
        <f t="shared" si="6"/>
        <v>0</v>
      </c>
      <c r="AC42" s="305">
        <f t="shared" si="37"/>
        <v>0</v>
      </c>
      <c r="AD42" s="100">
        <f t="shared" si="8"/>
        <v>0</v>
      </c>
      <c r="AE42" s="100">
        <f t="shared" si="9"/>
        <v>0</v>
      </c>
      <c r="AF42" s="194">
        <f t="shared" si="33"/>
        <v>2.7563798836932301</v>
      </c>
      <c r="AG42" s="194">
        <f t="shared" si="34"/>
        <v>20.617952298632733</v>
      </c>
      <c r="AH42" s="194">
        <f t="shared" si="35"/>
        <v>1.202175947706164</v>
      </c>
      <c r="AI42" s="199">
        <f t="shared" si="36"/>
        <v>24.576508130032128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4">
        <f t="shared" ref="AQ42:AT105" si="40">IF($AK42&lt;=$F$18,$AL42*AM42,)</f>
        <v>0</v>
      </c>
      <c r="AR42" s="194">
        <f t="shared" si="40"/>
        <v>0</v>
      </c>
      <c r="AS42" s="194">
        <f t="shared" si="40"/>
        <v>0</v>
      </c>
      <c r="AT42" s="194">
        <f t="shared" si="40"/>
        <v>0</v>
      </c>
      <c r="AU42" s="33"/>
      <c r="AV42" s="33"/>
      <c r="AW42" s="33"/>
      <c r="AX42" s="33"/>
      <c r="AY42" s="76"/>
    </row>
    <row r="43" spans="2:52">
      <c r="B43" s="40">
        <v>101</v>
      </c>
      <c r="C43" s="152">
        <v>110</v>
      </c>
      <c r="D43" s="137">
        <v>660</v>
      </c>
      <c r="E43" s="141">
        <f t="shared" si="29"/>
        <v>1.3</v>
      </c>
      <c r="F43" s="42">
        <f t="shared" si="38"/>
        <v>858</v>
      </c>
      <c r="G43" s="51">
        <f t="shared" si="39"/>
        <v>2.8888888888888888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20.222222222222221</v>
      </c>
      <c r="R43" s="33">
        <f t="shared" si="22"/>
        <v>349.55555555555566</v>
      </c>
      <c r="S43" s="33">
        <f t="shared" si="23"/>
        <v>125.84000000000003</v>
      </c>
      <c r="T43" s="33">
        <f t="shared" si="2"/>
        <v>33.033293546811095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522.895912887588</v>
      </c>
      <c r="Y43" s="38">
        <f t="shared" si="5"/>
        <v>345.86001108250991</v>
      </c>
      <c r="AA43" s="71">
        <v>38</v>
      </c>
      <c r="AB43" s="33">
        <f t="shared" si="6"/>
        <v>0</v>
      </c>
      <c r="AC43" s="305">
        <f t="shared" si="37"/>
        <v>0</v>
      </c>
      <c r="AD43" s="100">
        <f t="shared" si="8"/>
        <v>0</v>
      </c>
      <c r="AE43" s="100">
        <f t="shared" si="9"/>
        <v>0</v>
      </c>
      <c r="AF43" s="194">
        <f t="shared" si="33"/>
        <v>2.7023289553997278</v>
      </c>
      <c r="AG43" s="194">
        <f t="shared" si="34"/>
        <v>20.054153308775632</v>
      </c>
      <c r="AH43" s="194">
        <f t="shared" si="35"/>
        <v>0.85006676480239296</v>
      </c>
      <c r="AI43" s="199">
        <f t="shared" si="36"/>
        <v>23.606549028977753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4">
        <f t="shared" si="40"/>
        <v>0</v>
      </c>
      <c r="AR43" s="194">
        <f t="shared" si="40"/>
        <v>0</v>
      </c>
      <c r="AS43" s="194">
        <f t="shared" si="40"/>
        <v>0</v>
      </c>
      <c r="AT43" s="194">
        <f t="shared" si="40"/>
        <v>0</v>
      </c>
      <c r="AU43" s="33"/>
      <c r="AV43" s="33"/>
      <c r="AW43" s="33"/>
      <c r="AX43" s="33"/>
      <c r="AY43" s="76"/>
    </row>
    <row r="44" spans="2:52">
      <c r="B44" s="40">
        <v>110</v>
      </c>
      <c r="C44" s="41">
        <v>111</v>
      </c>
      <c r="D44" s="137">
        <v>640</v>
      </c>
      <c r="E44" s="141">
        <f t="shared" si="29"/>
        <v>1.3</v>
      </c>
      <c r="F44" s="42">
        <f t="shared" si="38"/>
        <v>832</v>
      </c>
      <c r="G44" s="51">
        <f t="shared" si="39"/>
        <v>-26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20.222222222222221</v>
      </c>
      <c r="R44" s="33">
        <f t="shared" si="22"/>
        <v>369.77777777777789</v>
      </c>
      <c r="S44" s="33">
        <f t="shared" si="23"/>
        <v>133.12000000000003</v>
      </c>
      <c r="T44" s="33">
        <f t="shared" si="2"/>
        <v>34.71630159862967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539.32428904105393</v>
      </c>
      <c r="Y44" s="38">
        <f t="shared" si="5"/>
        <v>362.28838723597585</v>
      </c>
      <c r="AA44" s="71">
        <v>39</v>
      </c>
      <c r="AB44" s="33">
        <f t="shared" si="6"/>
        <v>0</v>
      </c>
      <c r="AC44" s="305">
        <f t="shared" si="37"/>
        <v>0</v>
      </c>
      <c r="AD44" s="100">
        <f t="shared" si="8"/>
        <v>0</v>
      </c>
      <c r="AE44" s="100">
        <f t="shared" si="9"/>
        <v>0</v>
      </c>
      <c r="AF44" s="194">
        <f t="shared" si="33"/>
        <v>2.6493379328422502</v>
      </c>
      <c r="AG44" s="194">
        <f t="shared" si="34"/>
        <v>19.505771431945075</v>
      </c>
      <c r="AH44" s="194">
        <f t="shared" si="35"/>
        <v>0.6010879738530821</v>
      </c>
      <c r="AI44" s="199">
        <f t="shared" si="36"/>
        <v>22.756197338640408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4">
        <f t="shared" si="40"/>
        <v>0</v>
      </c>
      <c r="AR44" s="194">
        <f t="shared" si="40"/>
        <v>0</v>
      </c>
      <c r="AS44" s="194">
        <f t="shared" si="40"/>
        <v>0</v>
      </c>
      <c r="AT44" s="194">
        <f t="shared" si="40"/>
        <v>0</v>
      </c>
      <c r="AU44" s="33"/>
      <c r="AV44" s="33"/>
      <c r="AW44" s="33"/>
      <c r="AX44" s="33"/>
      <c r="AY44" s="76"/>
    </row>
    <row r="45" spans="2:52">
      <c r="B45" s="40"/>
      <c r="C45" s="152"/>
      <c r="D45" s="137"/>
      <c r="E45" s="141"/>
      <c r="F45" s="42"/>
      <c r="G45" s="51"/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20.222222222222221</v>
      </c>
      <c r="R45" s="33">
        <f t="shared" si="22"/>
        <v>390.00000000000011</v>
      </c>
      <c r="S45" s="33">
        <f t="shared" si="23"/>
        <v>140.40000000000003</v>
      </c>
      <c r="T45" s="33">
        <f t="shared" si="2"/>
        <v>36.388624656711201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555.7198684295596</v>
      </c>
      <c r="Y45" s="38">
        <f t="shared" si="5"/>
        <v>378.68396662448151</v>
      </c>
      <c r="AA45" s="71">
        <v>40</v>
      </c>
      <c r="AB45" s="33">
        <f t="shared" si="6"/>
        <v>0</v>
      </c>
      <c r="AC45" s="305">
        <f t="shared" si="37"/>
        <v>0</v>
      </c>
      <c r="AD45" s="100">
        <f t="shared" si="8"/>
        <v>0</v>
      </c>
      <c r="AE45" s="100">
        <f t="shared" si="9"/>
        <v>0</v>
      </c>
      <c r="AF45" s="194">
        <f t="shared" si="33"/>
        <v>2.597386031915792</v>
      </c>
      <c r="AG45" s="194">
        <f t="shared" si="34"/>
        <v>18.972385086374597</v>
      </c>
      <c r="AH45" s="194">
        <f t="shared" si="35"/>
        <v>0.42503338240119654</v>
      </c>
      <c r="AI45" s="199">
        <f t="shared" si="36"/>
        <v>21.994804500691586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4">
        <f t="shared" si="40"/>
        <v>0</v>
      </c>
      <c r="AR45" s="194">
        <f t="shared" si="40"/>
        <v>0</v>
      </c>
      <c r="AS45" s="194">
        <f t="shared" si="40"/>
        <v>0</v>
      </c>
      <c r="AT45" s="194">
        <f t="shared" si="40"/>
        <v>0</v>
      </c>
      <c r="AU45" s="33"/>
      <c r="AV45" s="33"/>
      <c r="AW45" s="33"/>
      <c r="AX45" s="33"/>
      <c r="AY45" s="76"/>
    </row>
    <row r="46" spans="2:52">
      <c r="B46" s="40"/>
      <c r="C46" s="41"/>
      <c r="D46" s="137"/>
      <c r="E46" s="141"/>
      <c r="F46" s="42"/>
      <c r="G46" s="51"/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-65</v>
      </c>
      <c r="R46" s="33">
        <f t="shared" si="22"/>
        <v>325.00000000000011</v>
      </c>
      <c r="S46" s="33">
        <f t="shared" si="23"/>
        <v>117.00000000000004</v>
      </c>
      <c r="T46" s="33">
        <f t="shared" si="2"/>
        <v>30.974270896484146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506.32454473921393</v>
      </c>
      <c r="Y46" s="38">
        <f t="shared" si="5"/>
        <v>329.28864293413585</v>
      </c>
      <c r="AA46" s="71">
        <v>41</v>
      </c>
      <c r="AB46" s="33">
        <f t="shared" si="6"/>
        <v>50</v>
      </c>
      <c r="AC46" s="305">
        <f t="shared" si="37"/>
        <v>0.2</v>
      </c>
      <c r="AD46" s="100">
        <f t="shared" si="8"/>
        <v>0.33600000000000002</v>
      </c>
      <c r="AE46" s="100">
        <f t="shared" si="9"/>
        <v>0.26400000000000001</v>
      </c>
      <c r="AF46" s="194">
        <f t="shared" si="33"/>
        <v>8.7547745275360196</v>
      </c>
      <c r="AG46" s="194">
        <f t="shared" si="34"/>
        <v>28.842497786052864</v>
      </c>
      <c r="AH46" s="194">
        <f t="shared" si="35"/>
        <v>7.2950222281260357</v>
      </c>
      <c r="AI46" s="199">
        <f t="shared" si="36"/>
        <v>44.892294541714918</v>
      </c>
      <c r="AK46" s="71">
        <v>41</v>
      </c>
      <c r="AL46" s="33">
        <f t="shared" si="10"/>
        <v>50</v>
      </c>
      <c r="AM46" s="33">
        <f t="shared" si="11"/>
        <v>0.4</v>
      </c>
      <c r="AN46" s="33">
        <f t="shared" si="12"/>
        <v>0.33600000000000002</v>
      </c>
      <c r="AO46" s="33">
        <f t="shared" si="13"/>
        <v>0.26400000000000001</v>
      </c>
      <c r="AP46" s="33">
        <f t="shared" si="14"/>
        <v>0</v>
      </c>
      <c r="AQ46" s="194">
        <f t="shared" si="40"/>
        <v>20</v>
      </c>
      <c r="AR46" s="194">
        <f t="shared" si="40"/>
        <v>16.8</v>
      </c>
      <c r="AS46" s="194">
        <f t="shared" si="40"/>
        <v>13.200000000000001</v>
      </c>
      <c r="AT46" s="194">
        <f t="shared" si="40"/>
        <v>0</v>
      </c>
      <c r="AU46" s="33"/>
      <c r="AV46" s="33"/>
      <c r="AW46" s="33"/>
      <c r="AX46" s="33"/>
      <c r="AY46" s="76"/>
    </row>
    <row r="47" spans="2:52">
      <c r="B47" s="40"/>
      <c r="C47" s="152"/>
      <c r="D47" s="137"/>
      <c r="E47" s="141"/>
      <c r="F47" s="42"/>
      <c r="G47" s="51"/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20.222222222222221</v>
      </c>
      <c r="R47" s="33">
        <f t="shared" si="22"/>
        <v>345.22222222222234</v>
      </c>
      <c r="S47" s="33">
        <f t="shared" si="23"/>
        <v>124.28000000000004</v>
      </c>
      <c r="T47" s="33">
        <f t="shared" si="2"/>
        <v>32.671193857877675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522.73532889643832</v>
      </c>
      <c r="Y47" s="38">
        <f t="shared" si="5"/>
        <v>345.69942709136023</v>
      </c>
      <c r="AA47" s="71">
        <v>42</v>
      </c>
      <c r="AB47" s="33">
        <f t="shared" si="6"/>
        <v>0</v>
      </c>
      <c r="AC47" s="305">
        <f t="shared" si="37"/>
        <v>0</v>
      </c>
      <c r="AD47" s="100">
        <f t="shared" si="8"/>
        <v>0</v>
      </c>
      <c r="AE47" s="100">
        <f t="shared" si="9"/>
        <v>0</v>
      </c>
      <c r="AF47" s="194">
        <f t="shared" si="33"/>
        <v>8.583098738936231</v>
      </c>
      <c r="AG47" s="194">
        <f t="shared" si="34"/>
        <v>28.053798167332211</v>
      </c>
      <c r="AH47" s="194">
        <f t="shared" si="35"/>
        <v>5.1583596864145171</v>
      </c>
      <c r="AI47" s="199">
        <f t="shared" si="36"/>
        <v>41.795256592682961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4">
        <f t="shared" si="40"/>
        <v>0</v>
      </c>
      <c r="AR47" s="194">
        <f t="shared" si="40"/>
        <v>0</v>
      </c>
      <c r="AS47" s="194">
        <f t="shared" si="40"/>
        <v>0</v>
      </c>
      <c r="AT47" s="194">
        <f t="shared" si="40"/>
        <v>0</v>
      </c>
      <c r="AU47" s="33"/>
      <c r="AV47" s="33"/>
      <c r="AW47" s="33"/>
      <c r="AX47" s="33"/>
      <c r="AY47" s="76"/>
    </row>
    <row r="48" spans="2:52">
      <c r="B48" s="40"/>
      <c r="C48" s="152"/>
      <c r="D48" s="137"/>
      <c r="E48" s="141"/>
      <c r="F48" s="42"/>
      <c r="G48" s="51"/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20.222222222222221</v>
      </c>
      <c r="R48" s="33">
        <f t="shared" si="22"/>
        <v>365.44444444444457</v>
      </c>
      <c r="S48" s="33">
        <f t="shared" si="23"/>
        <v>131.56000000000003</v>
      </c>
      <c r="T48" s="33">
        <f t="shared" si="2"/>
        <v>34.356578894377229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539.1125563741391</v>
      </c>
      <c r="Y48" s="38">
        <f t="shared" si="5"/>
        <v>362.07665456906102</v>
      </c>
      <c r="AA48" s="71">
        <v>43</v>
      </c>
      <c r="AB48" s="33">
        <f t="shared" si="6"/>
        <v>0</v>
      </c>
      <c r="AC48" s="305">
        <f t="shared" si="37"/>
        <v>0</v>
      </c>
      <c r="AD48" s="100">
        <f t="shared" si="8"/>
        <v>0</v>
      </c>
      <c r="AE48" s="100">
        <f t="shared" si="9"/>
        <v>0</v>
      </c>
      <c r="AF48" s="194">
        <f t="shared" si="33"/>
        <v>8.4147894078389918</v>
      </c>
      <c r="AG48" s="194">
        <f t="shared" si="34"/>
        <v>27.286665581161383</v>
      </c>
      <c r="AH48" s="194">
        <f t="shared" si="35"/>
        <v>3.6475111140630183</v>
      </c>
      <c r="AI48" s="199">
        <f t="shared" si="36"/>
        <v>39.34896610306339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4">
        <f t="shared" si="40"/>
        <v>0</v>
      </c>
      <c r="AR48" s="194">
        <f t="shared" si="40"/>
        <v>0</v>
      </c>
      <c r="AS48" s="194">
        <f t="shared" si="40"/>
        <v>0</v>
      </c>
      <c r="AT48" s="194">
        <f t="shared" si="40"/>
        <v>0</v>
      </c>
      <c r="AU48" s="33"/>
      <c r="AV48" s="33"/>
      <c r="AW48" s="33"/>
      <c r="AX48" s="33"/>
      <c r="AY48" s="76"/>
    </row>
    <row r="49" spans="2:51">
      <c r="B49" s="40"/>
      <c r="C49" s="152"/>
      <c r="D49" s="137"/>
      <c r="E49" s="141"/>
      <c r="F49" s="42"/>
      <c r="G49" s="51"/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20.222222222222221</v>
      </c>
      <c r="R49" s="33">
        <f t="shared" si="22"/>
        <v>385.6666666666668</v>
      </c>
      <c r="S49" s="33">
        <f t="shared" si="23"/>
        <v>138.84000000000003</v>
      </c>
      <c r="T49" s="33">
        <f t="shared" si="2"/>
        <v>36.031137240112955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555.45769943133416</v>
      </c>
      <c r="Y49" s="38">
        <f t="shared" si="5"/>
        <v>378.42179762625608</v>
      </c>
      <c r="AA49" s="71">
        <v>44</v>
      </c>
      <c r="AB49" s="33">
        <f t="shared" si="6"/>
        <v>0</v>
      </c>
      <c r="AC49" s="305">
        <f t="shared" si="37"/>
        <v>0</v>
      </c>
      <c r="AD49" s="100">
        <f t="shared" si="8"/>
        <v>0</v>
      </c>
      <c r="AE49" s="100">
        <f t="shared" si="9"/>
        <v>0</v>
      </c>
      <c r="AF49" s="194">
        <f t="shared" si="33"/>
        <v>8.2497805200660146</v>
      </c>
      <c r="AG49" s="194">
        <f t="shared" si="34"/>
        <v>26.540510275901148</v>
      </c>
      <c r="AH49" s="194">
        <f t="shared" si="35"/>
        <v>2.579179843207259</v>
      </c>
      <c r="AI49" s="199">
        <f t="shared" si="36"/>
        <v>37.369470639174423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4">
        <f t="shared" si="40"/>
        <v>0</v>
      </c>
      <c r="AR49" s="194">
        <f t="shared" si="40"/>
        <v>0</v>
      </c>
      <c r="AS49" s="194">
        <f t="shared" si="40"/>
        <v>0</v>
      </c>
      <c r="AT49" s="194">
        <f t="shared" si="40"/>
        <v>0</v>
      </c>
      <c r="AU49" s="33"/>
      <c r="AV49" s="33"/>
      <c r="AW49" s="33"/>
      <c r="AX49" s="33"/>
      <c r="AY49" s="76"/>
    </row>
    <row r="50" spans="2:51">
      <c r="B50" s="40"/>
      <c r="C50" s="152"/>
      <c r="D50" s="137"/>
      <c r="E50" s="141"/>
      <c r="F50" s="42"/>
      <c r="G50" s="51"/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20.222222222222221</v>
      </c>
      <c r="R50" s="33">
        <f t="shared" si="22"/>
        <v>405.88888888888903</v>
      </c>
      <c r="S50" s="33">
        <f t="shared" si="23"/>
        <v>146.12000000000003</v>
      </c>
      <c r="T50" s="33">
        <f t="shared" si="2"/>
        <v>37.695501330214164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571.77208903429039</v>
      </c>
      <c r="Y50" s="38">
        <f t="shared" si="5"/>
        <v>394.73618722921231</v>
      </c>
      <c r="AA50" s="71">
        <v>45</v>
      </c>
      <c r="AB50" s="33">
        <f t="shared" si="6"/>
        <v>0</v>
      </c>
      <c r="AC50" s="305">
        <f t="shared" si="37"/>
        <v>0</v>
      </c>
      <c r="AD50" s="100">
        <f t="shared" si="8"/>
        <v>0</v>
      </c>
      <c r="AE50" s="100">
        <f t="shared" si="9"/>
        <v>0</v>
      </c>
      <c r="AF50" s="194">
        <f t="shared" si="33"/>
        <v>8.0880073559367816</v>
      </c>
      <c r="AG50" s="194">
        <f t="shared" si="34"/>
        <v>25.814758626701856</v>
      </c>
      <c r="AH50" s="194">
        <f t="shared" si="35"/>
        <v>1.8237555570315094</v>
      </c>
      <c r="AI50" s="199">
        <f t="shared" si="36"/>
        <v>35.726521539670152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4">
        <f t="shared" si="40"/>
        <v>0</v>
      </c>
      <c r="AR50" s="194">
        <f t="shared" si="40"/>
        <v>0</v>
      </c>
      <c r="AS50" s="194">
        <f t="shared" si="40"/>
        <v>0</v>
      </c>
      <c r="AT50" s="194">
        <f t="shared" si="40"/>
        <v>0</v>
      </c>
      <c r="AU50" s="33"/>
      <c r="AV50" s="33"/>
      <c r="AW50" s="33"/>
      <c r="AX50" s="33"/>
      <c r="AY50" s="76"/>
    </row>
    <row r="51" spans="2:51">
      <c r="B51" s="40"/>
      <c r="C51" s="152"/>
      <c r="D51" s="137"/>
      <c r="E51" s="141"/>
      <c r="F51" s="42"/>
      <c r="G51" s="51"/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20.222222222222221</v>
      </c>
      <c r="R51" s="33">
        <f t="shared" si="22"/>
        <v>426.11111111111126</v>
      </c>
      <c r="S51" s="33">
        <f t="shared" si="23"/>
        <v>153.40000000000003</v>
      </c>
      <c r="T51" s="33">
        <f t="shared" si="2"/>
        <v>39.350237021422181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588.05693621103603</v>
      </c>
      <c r="Y51" s="38">
        <f t="shared" si="5"/>
        <v>411.02103440595795</v>
      </c>
      <c r="AA51" s="71">
        <v>46</v>
      </c>
      <c r="AB51" s="33">
        <f t="shared" si="6"/>
        <v>0</v>
      </c>
      <c r="AC51" s="305">
        <f t="shared" si="37"/>
        <v>0</v>
      </c>
      <c r="AD51" s="100">
        <f t="shared" si="8"/>
        <v>0</v>
      </c>
      <c r="AE51" s="100">
        <f t="shared" si="9"/>
        <v>0</v>
      </c>
      <c r="AF51" s="194">
        <f t="shared" si="33"/>
        <v>7.9294064648842353</v>
      </c>
      <c r="AG51" s="194">
        <f t="shared" si="34"/>
        <v>25.108852694515537</v>
      </c>
      <c r="AH51" s="194">
        <f t="shared" si="35"/>
        <v>1.2895899216036297</v>
      </c>
      <c r="AI51" s="199">
        <f t="shared" si="36"/>
        <v>34.3278490810034</v>
      </c>
      <c r="AK51" s="71">
        <v>46</v>
      </c>
      <c r="AL51" s="33">
        <f t="shared" si="10"/>
        <v>0</v>
      </c>
      <c r="AM51" s="33">
        <f t="shared" si="11"/>
        <v>0</v>
      </c>
      <c r="AN51" s="33">
        <f t="shared" si="12"/>
        <v>0</v>
      </c>
      <c r="AO51" s="33">
        <f t="shared" si="13"/>
        <v>0</v>
      </c>
      <c r="AP51" s="33">
        <f t="shared" si="14"/>
        <v>0</v>
      </c>
      <c r="AQ51" s="194">
        <f t="shared" si="40"/>
        <v>0</v>
      </c>
      <c r="AR51" s="194">
        <f t="shared" si="40"/>
        <v>0</v>
      </c>
      <c r="AS51" s="194">
        <f t="shared" si="40"/>
        <v>0</v>
      </c>
      <c r="AT51" s="194">
        <f t="shared" si="40"/>
        <v>0</v>
      </c>
      <c r="AU51" s="33"/>
      <c r="AV51" s="33"/>
      <c r="AW51" s="33"/>
      <c r="AX51" s="33"/>
      <c r="AY51" s="76"/>
    </row>
    <row r="52" spans="2:51">
      <c r="B52" s="40"/>
      <c r="C52" s="152"/>
      <c r="D52" s="137"/>
      <c r="E52" s="141"/>
      <c r="F52" s="42"/>
      <c r="G52" s="51"/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20.222222222222221</v>
      </c>
      <c r="R52" s="33">
        <f t="shared" si="22"/>
        <v>446.33333333333348</v>
      </c>
      <c r="S52" s="33">
        <f t="shared" si="23"/>
        <v>160.68000000000004</v>
      </c>
      <c r="T52" s="33">
        <f t="shared" si="2"/>
        <v>40.995853427140396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604.31334924979831</v>
      </c>
      <c r="Y52" s="38">
        <f t="shared" si="5"/>
        <v>427.27744744472022</v>
      </c>
      <c r="AA52" s="71">
        <v>47</v>
      </c>
      <c r="AB52" s="33">
        <f t="shared" si="6"/>
        <v>0</v>
      </c>
      <c r="AC52" s="305">
        <f t="shared" si="37"/>
        <v>0</v>
      </c>
      <c r="AD52" s="100">
        <f t="shared" si="8"/>
        <v>0</v>
      </c>
      <c r="AE52" s="100">
        <f t="shared" si="9"/>
        <v>0</v>
      </c>
      <c r="AF52" s="194">
        <f t="shared" si="33"/>
        <v>7.7739156405682381</v>
      </c>
      <c r="AG52" s="194">
        <f t="shared" si="34"/>
        <v>24.422249797166835</v>
      </c>
      <c r="AH52" s="194">
        <f t="shared" si="35"/>
        <v>0.9118777785157548</v>
      </c>
      <c r="AI52" s="199">
        <f t="shared" si="36"/>
        <v>33.108043216250827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4">
        <f t="shared" si="40"/>
        <v>0</v>
      </c>
      <c r="AR52" s="194">
        <f t="shared" si="40"/>
        <v>0</v>
      </c>
      <c r="AS52" s="194">
        <f t="shared" si="40"/>
        <v>0</v>
      </c>
      <c r="AT52" s="194">
        <f t="shared" si="40"/>
        <v>0</v>
      </c>
      <c r="AU52" s="33"/>
      <c r="AV52" s="33"/>
      <c r="AW52" s="33"/>
      <c r="AX52" s="33"/>
      <c r="AY52" s="76"/>
    </row>
    <row r="53" spans="2:51">
      <c r="B53" s="40"/>
      <c r="C53" s="152"/>
      <c r="D53" s="137"/>
      <c r="E53" s="141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20.222222222222221</v>
      </c>
      <c r="R53" s="33">
        <f t="shared" si="22"/>
        <v>466.55555555555571</v>
      </c>
      <c r="S53" s="33">
        <f t="shared" si="23"/>
        <v>167.96000000000006</v>
      </c>
      <c r="T53" s="33">
        <f t="shared" si="2"/>
        <v>42.632810919703829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620.54234770415189</v>
      </c>
      <c r="Y53" s="38">
        <f t="shared" si="5"/>
        <v>443.50644589907381</v>
      </c>
      <c r="AA53" s="71">
        <v>48</v>
      </c>
      <c r="AB53" s="33">
        <f t="shared" si="6"/>
        <v>0</v>
      </c>
      <c r="AC53" s="305">
        <f t="shared" si="37"/>
        <v>0</v>
      </c>
      <c r="AD53" s="100">
        <f t="shared" si="8"/>
        <v>0</v>
      </c>
      <c r="AE53" s="100">
        <f t="shared" si="9"/>
        <v>0</v>
      </c>
      <c r="AF53" s="194">
        <f t="shared" si="33"/>
        <v>7.6214738964770392</v>
      </c>
      <c r="AG53" s="194">
        <f t="shared" si="34"/>
        <v>23.754422092153007</v>
      </c>
      <c r="AH53" s="194">
        <f t="shared" si="35"/>
        <v>0.64479496080181498</v>
      </c>
      <c r="AI53" s="199">
        <f t="shared" si="36"/>
        <v>32.020690949431859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4">
        <f t="shared" si="40"/>
        <v>0</v>
      </c>
      <c r="AR53" s="194">
        <f t="shared" si="40"/>
        <v>0</v>
      </c>
      <c r="AS53" s="194">
        <f t="shared" si="40"/>
        <v>0</v>
      </c>
      <c r="AT53" s="194">
        <f t="shared" si="40"/>
        <v>0</v>
      </c>
      <c r="AU53" s="33"/>
      <c r="AV53" s="33"/>
      <c r="AW53" s="33"/>
      <c r="AX53" s="33"/>
      <c r="AY53" s="76"/>
    </row>
    <row r="54" spans="2:51">
      <c r="B54" s="40"/>
      <c r="C54" s="152"/>
      <c r="D54" s="137"/>
      <c r="E54" s="141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20.222222222222221</v>
      </c>
      <c r="R54" s="33">
        <f t="shared" si="22"/>
        <v>486.77777777777794</v>
      </c>
      <c r="S54" s="33">
        <f t="shared" si="23"/>
        <v>175.24000000000007</v>
      </c>
      <c r="T54" s="33">
        <f t="shared" si="2"/>
        <v>44.261527706114649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636.74487391244168</v>
      </c>
      <c r="Y54" s="38">
        <f t="shared" si="5"/>
        <v>459.70897210736359</v>
      </c>
      <c r="AA54" s="71">
        <v>49</v>
      </c>
      <c r="AB54" s="33">
        <f t="shared" si="6"/>
        <v>0</v>
      </c>
      <c r="AC54" s="305">
        <f t="shared" si="37"/>
        <v>0</v>
      </c>
      <c r="AD54" s="100">
        <f t="shared" si="8"/>
        <v>0</v>
      </c>
      <c r="AE54" s="100">
        <f t="shared" si="9"/>
        <v>0</v>
      </c>
      <c r="AF54" s="194">
        <f t="shared" si="33"/>
        <v>7.4720214420071862</v>
      </c>
      <c r="AG54" s="194">
        <f t="shared" si="34"/>
        <v>23.104856170852315</v>
      </c>
      <c r="AH54" s="194">
        <f t="shared" si="35"/>
        <v>0.45593888925787751</v>
      </c>
      <c r="AI54" s="199">
        <f t="shared" si="36"/>
        <v>31.032816502117377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4">
        <f t="shared" si="40"/>
        <v>0</v>
      </c>
      <c r="AR54" s="194">
        <f t="shared" si="40"/>
        <v>0</v>
      </c>
      <c r="AS54" s="194">
        <f t="shared" si="40"/>
        <v>0</v>
      </c>
      <c r="AT54" s="194">
        <f t="shared" si="40"/>
        <v>0</v>
      </c>
      <c r="AU54" s="33"/>
      <c r="AV54" s="33"/>
      <c r="AW54" s="33"/>
      <c r="AX54" s="33"/>
      <c r="AY54" s="76"/>
    </row>
    <row r="55" spans="2:51">
      <c r="B55" s="40"/>
      <c r="C55" s="152"/>
      <c r="D55" s="137"/>
      <c r="E55" s="141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20.222222222222221</v>
      </c>
      <c r="R55" s="33">
        <f t="shared" si="22"/>
        <v>507.00000000000017</v>
      </c>
      <c r="S55" s="33">
        <f t="shared" si="23"/>
        <v>182.52000000000007</v>
      </c>
      <c r="T55" s="33">
        <f t="shared" si="2"/>
        <v>45.882385280285632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652.921802559301</v>
      </c>
      <c r="Y55" s="38">
        <f t="shared" si="5"/>
        <v>475.88590075422292</v>
      </c>
      <c r="AA55" s="71">
        <v>50</v>
      </c>
      <c r="AB55" s="33">
        <f t="shared" si="6"/>
        <v>0</v>
      </c>
      <c r="AC55" s="305">
        <f t="shared" si="37"/>
        <v>0</v>
      </c>
      <c r="AD55" s="100">
        <f t="shared" si="8"/>
        <v>0</v>
      </c>
      <c r="AE55" s="100">
        <f t="shared" si="9"/>
        <v>0</v>
      </c>
      <c r="AF55" s="194">
        <f t="shared" si="33"/>
        <v>7.3254996590124906</v>
      </c>
      <c r="AG55" s="194">
        <f t="shared" si="34"/>
        <v>22.473052663828778</v>
      </c>
      <c r="AH55" s="194">
        <f t="shared" si="35"/>
        <v>0.32239748040090754</v>
      </c>
      <c r="AI55" s="199">
        <f t="shared" si="36"/>
        <v>30.120949803242176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4">
        <f t="shared" si="40"/>
        <v>0</v>
      </c>
      <c r="AR55" s="194">
        <f t="shared" si="40"/>
        <v>0</v>
      </c>
      <c r="AS55" s="194">
        <f t="shared" si="40"/>
        <v>0</v>
      </c>
      <c r="AT55" s="194">
        <f t="shared" si="40"/>
        <v>0</v>
      </c>
      <c r="AU55" s="33"/>
      <c r="AV55" s="33"/>
      <c r="AW55" s="33"/>
      <c r="AX55" s="33"/>
      <c r="AY55" s="76"/>
    </row>
    <row r="56" spans="2:51">
      <c r="B56" s="40"/>
      <c r="C56" s="152"/>
      <c r="D56" s="137"/>
      <c r="E56" s="141"/>
      <c r="F56" s="42"/>
      <c r="G56" s="51"/>
      <c r="I56" s="55">
        <v>51</v>
      </c>
      <c r="J56" s="33">
        <f t="shared" si="18"/>
        <v>5</v>
      </c>
      <c r="K56" s="33">
        <f t="shared" si="19"/>
        <v>1.910565629709926</v>
      </c>
      <c r="L56" s="33">
        <f t="shared" si="20"/>
        <v>45</v>
      </c>
      <c r="M56" s="33">
        <f t="shared" si="21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5"/>
        <v>-65</v>
      </c>
      <c r="R56" s="33">
        <f t="shared" si="22"/>
        <v>442.00000000000017</v>
      </c>
      <c r="S56" s="33">
        <f t="shared" si="23"/>
        <v>159.12000000000006</v>
      </c>
      <c r="T56" s="33">
        <f t="shared" si="2"/>
        <v>40.643965284387697</v>
      </c>
      <c r="U56" s="33">
        <f t="shared" si="16"/>
        <v>59.759240109976403</v>
      </c>
      <c r="V56" s="33">
        <f t="shared" si="3"/>
        <v>10</v>
      </c>
      <c r="W56" s="33">
        <v>0</v>
      </c>
      <c r="X56" s="33">
        <f t="shared" si="4"/>
        <v>603.70611994022227</v>
      </c>
      <c r="Y56" s="38">
        <f t="shared" si="5"/>
        <v>426.67021813514418</v>
      </c>
      <c r="AA56" s="71">
        <v>51</v>
      </c>
      <c r="AB56" s="33">
        <f t="shared" si="6"/>
        <v>50</v>
      </c>
      <c r="AC56" s="305">
        <f t="shared" si="37"/>
        <v>0.3</v>
      </c>
      <c r="AD56" s="100">
        <f t="shared" si="8"/>
        <v>0.22400000000000003</v>
      </c>
      <c r="AE56" s="100">
        <f t="shared" si="9"/>
        <v>0.17600000000000002</v>
      </c>
      <c r="AF56" s="194">
        <f t="shared" si="33"/>
        <v>16.494333555998431</v>
      </c>
      <c r="AG56" s="194">
        <f t="shared" si="34"/>
        <v>28.784468235316268</v>
      </c>
      <c r="AH56" s="194">
        <f t="shared" si="35"/>
        <v>4.8909549387619355</v>
      </c>
      <c r="AI56" s="199">
        <f t="shared" si="36"/>
        <v>50.169756730076635</v>
      </c>
      <c r="AK56" s="71">
        <v>51</v>
      </c>
      <c r="AL56" s="33">
        <f t="shared" si="10"/>
        <v>50</v>
      </c>
      <c r="AM56" s="33">
        <f t="shared" si="11"/>
        <v>0.6</v>
      </c>
      <c r="AN56" s="33">
        <f t="shared" si="12"/>
        <v>0.22400000000000003</v>
      </c>
      <c r="AO56" s="33">
        <f t="shared" si="13"/>
        <v>0.17600000000000002</v>
      </c>
      <c r="AP56" s="33">
        <f t="shared" si="14"/>
        <v>0</v>
      </c>
      <c r="AQ56" s="194">
        <f t="shared" si="40"/>
        <v>30</v>
      </c>
      <c r="AR56" s="194">
        <f t="shared" si="40"/>
        <v>11.200000000000001</v>
      </c>
      <c r="AS56" s="194">
        <f t="shared" si="40"/>
        <v>8.8000000000000007</v>
      </c>
      <c r="AT56" s="194">
        <f t="shared" si="40"/>
        <v>0</v>
      </c>
      <c r="AU56" s="33"/>
      <c r="AV56" s="33"/>
      <c r="AW56" s="33"/>
      <c r="AX56" s="33"/>
      <c r="AY56" s="76"/>
    </row>
    <row r="57" spans="2:51">
      <c r="B57" s="40"/>
      <c r="C57" s="152"/>
      <c r="D57" s="137"/>
      <c r="E57" s="141"/>
      <c r="F57" s="42"/>
      <c r="G57" s="51"/>
      <c r="I57" s="55">
        <v>52</v>
      </c>
      <c r="J57" s="33">
        <f t="shared" si="18"/>
        <v>5</v>
      </c>
      <c r="K57" s="33">
        <f t="shared" si="19"/>
        <v>1.910565629709926</v>
      </c>
      <c r="L57" s="33">
        <f t="shared" si="20"/>
        <v>45</v>
      </c>
      <c r="M57" s="33">
        <f t="shared" si="21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5"/>
        <v>18.777777777777779</v>
      </c>
      <c r="R57" s="33">
        <f t="shared" si="22"/>
        <v>460.77777777777794</v>
      </c>
      <c r="S57" s="33">
        <f t="shared" si="23"/>
        <v>165.88000000000005</v>
      </c>
      <c r="T57" s="33">
        <f t="shared" si="2"/>
        <v>42.165967225323705</v>
      </c>
      <c r="U57" s="33">
        <f t="shared" si="16"/>
        <v>59.936894399159101</v>
      </c>
      <c r="V57" s="33">
        <f t="shared" si="3"/>
        <v>10</v>
      </c>
      <c r="W57" s="33">
        <v>0</v>
      </c>
      <c r="X57" s="33">
        <f t="shared" si="4"/>
        <v>618.78200571435559</v>
      </c>
      <c r="Y57" s="38">
        <f t="shared" si="5"/>
        <v>441.74610390927751</v>
      </c>
      <c r="AA57" s="71">
        <v>52</v>
      </c>
      <c r="AB57" s="33">
        <f t="shared" si="6"/>
        <v>0</v>
      </c>
      <c r="AC57" s="305">
        <f t="shared" si="37"/>
        <v>0</v>
      </c>
      <c r="AD57" s="100">
        <f t="shared" si="8"/>
        <v>0</v>
      </c>
      <c r="AE57" s="100">
        <f t="shared" si="9"/>
        <v>0</v>
      </c>
      <c r="AF57" s="194">
        <f t="shared" si="33"/>
        <v>16.170889735515374</v>
      </c>
      <c r="AG57" s="194">
        <f t="shared" si="34"/>
        <v>27.997355437712148</v>
      </c>
      <c r="AH57" s="194">
        <f t="shared" si="35"/>
        <v>3.4584274036764002</v>
      </c>
      <c r="AI57" s="199">
        <f t="shared" si="36"/>
        <v>47.626672576903921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4">
        <f t="shared" si="40"/>
        <v>0</v>
      </c>
      <c r="AR57" s="194">
        <f t="shared" si="40"/>
        <v>0</v>
      </c>
      <c r="AS57" s="194">
        <f t="shared" si="40"/>
        <v>0</v>
      </c>
      <c r="AT57" s="194">
        <f t="shared" si="40"/>
        <v>0</v>
      </c>
      <c r="AU57" s="33"/>
      <c r="AV57" s="33"/>
      <c r="AW57" s="33"/>
      <c r="AX57" s="33"/>
      <c r="AY57" s="76"/>
    </row>
    <row r="58" spans="2:51">
      <c r="B58" s="40"/>
      <c r="C58" s="152"/>
      <c r="D58" s="137"/>
      <c r="E58" s="141"/>
      <c r="F58" s="42"/>
      <c r="G58" s="51"/>
      <c r="I58" s="55">
        <v>53</v>
      </c>
      <c r="J58" s="33">
        <f t="shared" si="18"/>
        <v>5</v>
      </c>
      <c r="K58" s="33">
        <f t="shared" si="19"/>
        <v>1.910565629709926</v>
      </c>
      <c r="L58" s="33">
        <f t="shared" si="20"/>
        <v>45</v>
      </c>
      <c r="M58" s="33">
        <f t="shared" si="21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5"/>
        <v>18.777777777777779</v>
      </c>
      <c r="R58" s="33">
        <f t="shared" si="22"/>
        <v>479.55555555555571</v>
      </c>
      <c r="S58" s="33">
        <f t="shared" si="23"/>
        <v>172.64000000000004</v>
      </c>
      <c r="T58" s="33">
        <f t="shared" si="2"/>
        <v>43.68076442841673</v>
      </c>
      <c r="U58" s="33">
        <f t="shared" si="16"/>
        <v>60.111466783599973</v>
      </c>
      <c r="V58" s="33">
        <f t="shared" si="3"/>
        <v>10</v>
      </c>
      <c r="W58" s="33">
        <v>0</v>
      </c>
      <c r="X58" s="33">
        <f t="shared" si="4"/>
        <v>633.83404291935904</v>
      </c>
      <c r="Y58" s="38">
        <f t="shared" si="5"/>
        <v>456.79814111428095</v>
      </c>
      <c r="AA58" s="71">
        <v>53</v>
      </c>
      <c r="AB58" s="33">
        <f t="shared" si="6"/>
        <v>0</v>
      </c>
      <c r="AC58" s="305">
        <f t="shared" si="37"/>
        <v>0</v>
      </c>
      <c r="AD58" s="100">
        <f t="shared" si="8"/>
        <v>0</v>
      </c>
      <c r="AE58" s="100">
        <f t="shared" si="9"/>
        <v>0</v>
      </c>
      <c r="AF58" s="194">
        <f t="shared" si="33"/>
        <v>15.85378845107074</v>
      </c>
      <c r="AG58" s="194">
        <f t="shared" si="34"/>
        <v>27.231766280950975</v>
      </c>
      <c r="AH58" s="194">
        <f t="shared" si="35"/>
        <v>2.4454774693809682</v>
      </c>
      <c r="AI58" s="199">
        <f t="shared" si="36"/>
        <v>45.531032201402681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4">
        <f t="shared" si="40"/>
        <v>0</v>
      </c>
      <c r="AR58" s="194">
        <f t="shared" si="40"/>
        <v>0</v>
      </c>
      <c r="AS58" s="194">
        <f t="shared" si="40"/>
        <v>0</v>
      </c>
      <c r="AT58" s="194">
        <f t="shared" si="40"/>
        <v>0</v>
      </c>
      <c r="AU58" s="33"/>
      <c r="AV58" s="33"/>
      <c r="AW58" s="33"/>
      <c r="AX58" s="33"/>
      <c r="AY58" s="76"/>
    </row>
    <row r="59" spans="2:51">
      <c r="B59" s="40"/>
      <c r="C59" s="152"/>
      <c r="D59" s="137"/>
      <c r="E59" s="141"/>
      <c r="F59" s="42"/>
      <c r="G59" s="51"/>
      <c r="I59" s="55">
        <v>54</v>
      </c>
      <c r="J59" s="33">
        <f t="shared" si="18"/>
        <v>5</v>
      </c>
      <c r="K59" s="33">
        <f t="shared" si="19"/>
        <v>1.910565629709926</v>
      </c>
      <c r="L59" s="33">
        <f t="shared" si="20"/>
        <v>45</v>
      </c>
      <c r="M59" s="33">
        <f t="shared" si="21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5"/>
        <v>18.777777777777779</v>
      </c>
      <c r="R59" s="33">
        <f t="shared" si="22"/>
        <v>498.33333333333348</v>
      </c>
      <c r="S59" s="33">
        <f t="shared" si="23"/>
        <v>179.40000000000003</v>
      </c>
      <c r="T59" s="33">
        <f t="shared" si="2"/>
        <v>45.188671291872275</v>
      </c>
      <c r="U59" s="33">
        <f t="shared" si="16"/>
        <v>60.283010727456173</v>
      </c>
      <c r="V59" s="33">
        <f t="shared" si="3"/>
        <v>10</v>
      </c>
      <c r="W59" s="33">
        <v>0</v>
      </c>
      <c r="X59" s="33">
        <f t="shared" si="4"/>
        <v>648.86297516735021</v>
      </c>
      <c r="Y59" s="38">
        <f t="shared" si="5"/>
        <v>471.82707336227213</v>
      </c>
      <c r="AA59" s="71">
        <v>54</v>
      </c>
      <c r="AB59" s="33">
        <f t="shared" si="6"/>
        <v>0</v>
      </c>
      <c r="AC59" s="305">
        <f t="shared" si="37"/>
        <v>0</v>
      </c>
      <c r="AD59" s="100">
        <f t="shared" si="8"/>
        <v>0</v>
      </c>
      <c r="AE59" s="100">
        <f t="shared" si="9"/>
        <v>0</v>
      </c>
      <c r="AF59" s="194">
        <f t="shared" si="33"/>
        <v>15.542905329401378</v>
      </c>
      <c r="AG59" s="194">
        <f t="shared" si="34"/>
        <v>26.487112199942022</v>
      </c>
      <c r="AH59" s="194">
        <f t="shared" si="35"/>
        <v>1.7292137018382003</v>
      </c>
      <c r="AI59" s="199">
        <f t="shared" si="36"/>
        <v>43.759231231181595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4">
        <f t="shared" si="40"/>
        <v>0</v>
      </c>
      <c r="AR59" s="194">
        <f t="shared" si="40"/>
        <v>0</v>
      </c>
      <c r="AS59" s="194">
        <f t="shared" si="40"/>
        <v>0</v>
      </c>
      <c r="AT59" s="194">
        <f t="shared" si="40"/>
        <v>0</v>
      </c>
      <c r="AU59" s="33"/>
      <c r="AV59" s="33"/>
      <c r="AW59" s="33"/>
      <c r="AX59" s="33"/>
      <c r="AY59" s="76"/>
    </row>
    <row r="60" spans="2:51">
      <c r="B60" s="40"/>
      <c r="C60" s="152"/>
      <c r="D60" s="137"/>
      <c r="E60" s="141"/>
      <c r="F60" s="42"/>
      <c r="G60" s="51"/>
      <c r="I60" s="55">
        <v>55</v>
      </c>
      <c r="J60" s="33">
        <f t="shared" si="18"/>
        <v>5</v>
      </c>
      <c r="K60" s="33">
        <f t="shared" si="19"/>
        <v>1.910565629709926</v>
      </c>
      <c r="L60" s="33">
        <f t="shared" si="20"/>
        <v>45</v>
      </c>
      <c r="M60" s="33">
        <f t="shared" si="21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5"/>
        <v>18.777777777777779</v>
      </c>
      <c r="R60" s="33">
        <f t="shared" si="22"/>
        <v>517.11111111111131</v>
      </c>
      <c r="S60" s="33">
        <f t="shared" si="23"/>
        <v>186.16000000000005</v>
      </c>
      <c r="T60" s="33">
        <f t="shared" si="2"/>
        <v>46.689977177946879</v>
      </c>
      <c r="U60" s="33">
        <f t="shared" si="16"/>
        <v>60.45157876740128</v>
      </c>
      <c r="V60" s="33">
        <f t="shared" si="3"/>
        <v>10</v>
      </c>
      <c r="W60" s="33">
        <v>0</v>
      </c>
      <c r="X60" s="33">
        <f t="shared" si="4"/>
        <v>663.86949906539553</v>
      </c>
      <c r="Y60" s="38">
        <f t="shared" si="5"/>
        <v>486.83359726031745</v>
      </c>
      <c r="AA60" s="71">
        <v>55</v>
      </c>
      <c r="AB60" s="33">
        <f t="shared" si="6"/>
        <v>0</v>
      </c>
      <c r="AC60" s="305">
        <f t="shared" si="37"/>
        <v>0</v>
      </c>
      <c r="AD60" s="100">
        <f t="shared" si="8"/>
        <v>0</v>
      </c>
      <c r="AE60" s="100">
        <f t="shared" si="9"/>
        <v>0</v>
      </c>
      <c r="AF60" s="194">
        <f t="shared" si="33"/>
        <v>15.238118436127973</v>
      </c>
      <c r="AG60" s="194">
        <f t="shared" si="34"/>
        <v>25.762820723937914</v>
      </c>
      <c r="AH60" s="194">
        <f t="shared" si="35"/>
        <v>1.2227387346904843</v>
      </c>
      <c r="AI60" s="199">
        <f t="shared" si="36"/>
        <v>42.223677894756371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4">
        <f t="shared" si="40"/>
        <v>0</v>
      </c>
      <c r="AR60" s="194">
        <f t="shared" si="40"/>
        <v>0</v>
      </c>
      <c r="AS60" s="194">
        <f t="shared" si="40"/>
        <v>0</v>
      </c>
      <c r="AT60" s="194">
        <f t="shared" si="40"/>
        <v>0</v>
      </c>
      <c r="AU60" s="33"/>
      <c r="AV60" s="33"/>
      <c r="AW60" s="33"/>
      <c r="AX60" s="33"/>
      <c r="AY60" s="76"/>
    </row>
    <row r="61" spans="2:51">
      <c r="B61" s="40"/>
      <c r="C61" s="152"/>
      <c r="D61" s="137"/>
      <c r="E61" s="141"/>
      <c r="F61" s="42"/>
      <c r="G61" s="51"/>
      <c r="I61" s="55">
        <v>56</v>
      </c>
      <c r="J61" s="33">
        <f t="shared" si="18"/>
        <v>5</v>
      </c>
      <c r="K61" s="33">
        <f t="shared" si="19"/>
        <v>1.910565629709926</v>
      </c>
      <c r="L61" s="33">
        <f t="shared" si="20"/>
        <v>45</v>
      </c>
      <c r="M61" s="33">
        <f t="shared" si="21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5"/>
        <v>18.777777777777779</v>
      </c>
      <c r="R61" s="33">
        <f t="shared" si="22"/>
        <v>535.88888888888914</v>
      </c>
      <c r="S61" s="33">
        <f t="shared" si="23"/>
        <v>192.92000000000007</v>
      </c>
      <c r="T61" s="33">
        <f t="shared" si="2"/>
        <v>48.184949242725949</v>
      </c>
      <c r="U61" s="33">
        <f t="shared" si="16"/>
        <v>60.617222528715011</v>
      </c>
      <c r="V61" s="33">
        <f t="shared" si="3"/>
        <v>10</v>
      </c>
      <c r="W61" s="33">
        <v>0</v>
      </c>
      <c r="X61" s="33">
        <f t="shared" si="4"/>
        <v>678.85426920303621</v>
      </c>
      <c r="Y61" s="38">
        <f t="shared" si="5"/>
        <v>501.81836739795813</v>
      </c>
      <c r="AA61" s="71">
        <v>56</v>
      </c>
      <c r="AB61" s="33">
        <f t="shared" si="6"/>
        <v>0</v>
      </c>
      <c r="AC61" s="305">
        <f t="shared" si="37"/>
        <v>0</v>
      </c>
      <c r="AD61" s="100">
        <f t="shared" si="8"/>
        <v>0</v>
      </c>
      <c r="AE61" s="100">
        <f t="shared" si="9"/>
        <v>0</v>
      </c>
      <c r="AF61" s="194">
        <f t="shared" si="33"/>
        <v>14.93930822793001</v>
      </c>
      <c r="AG61" s="194">
        <f t="shared" si="34"/>
        <v>25.05833503643397</v>
      </c>
      <c r="AH61" s="194">
        <f t="shared" si="35"/>
        <v>0.86460685091910039</v>
      </c>
      <c r="AI61" s="199">
        <f t="shared" si="36"/>
        <v>40.862250115283082</v>
      </c>
      <c r="AK61" s="71">
        <v>56</v>
      </c>
      <c r="AL61" s="33">
        <f t="shared" si="10"/>
        <v>0</v>
      </c>
      <c r="AM61" s="33">
        <f t="shared" si="11"/>
        <v>0</v>
      </c>
      <c r="AN61" s="33">
        <f t="shared" si="12"/>
        <v>0</v>
      </c>
      <c r="AO61" s="33">
        <f t="shared" si="13"/>
        <v>0</v>
      </c>
      <c r="AP61" s="33">
        <f t="shared" si="14"/>
        <v>0</v>
      </c>
      <c r="AQ61" s="194">
        <f t="shared" si="40"/>
        <v>0</v>
      </c>
      <c r="AR61" s="194">
        <f t="shared" si="40"/>
        <v>0</v>
      </c>
      <c r="AS61" s="194">
        <f t="shared" si="40"/>
        <v>0</v>
      </c>
      <c r="AT61" s="194">
        <f t="shared" si="40"/>
        <v>0</v>
      </c>
      <c r="AU61" s="33"/>
      <c r="AV61" s="33"/>
      <c r="AW61" s="33"/>
      <c r="AX61" s="33"/>
      <c r="AY61" s="76"/>
    </row>
    <row r="62" spans="2:51">
      <c r="B62" s="40"/>
      <c r="C62" s="152"/>
      <c r="D62" s="137"/>
      <c r="E62" s="141"/>
      <c r="F62" s="42"/>
      <c r="G62" s="51"/>
      <c r="I62" s="55">
        <v>57</v>
      </c>
      <c r="J62" s="33">
        <f t="shared" si="18"/>
        <v>5</v>
      </c>
      <c r="K62" s="33">
        <f t="shared" si="19"/>
        <v>1.910565629709926</v>
      </c>
      <c r="L62" s="33">
        <f t="shared" si="20"/>
        <v>45</v>
      </c>
      <c r="M62" s="33">
        <f t="shared" si="21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5"/>
        <v>18.777777777777779</v>
      </c>
      <c r="R62" s="33">
        <f t="shared" si="22"/>
        <v>554.66666666666697</v>
      </c>
      <c r="S62" s="33">
        <f t="shared" si="23"/>
        <v>199.68000000000009</v>
      </c>
      <c r="T62" s="33">
        <f t="shared" si="2"/>
        <v>49.67383485813081</v>
      </c>
      <c r="U62" s="33">
        <f t="shared" si="16"/>
        <v>60.77999274109392</v>
      </c>
      <c r="V62" s="33">
        <f t="shared" si="3"/>
        <v>10</v>
      </c>
      <c r="W62" s="33">
        <v>0</v>
      </c>
      <c r="X62" s="33">
        <f t="shared" si="4"/>
        <v>693.81790242858904</v>
      </c>
      <c r="Y62" s="38">
        <f t="shared" si="5"/>
        <v>516.78200062351095</v>
      </c>
      <c r="AA62" s="71">
        <v>57</v>
      </c>
      <c r="AB62" s="33">
        <f t="shared" si="6"/>
        <v>0</v>
      </c>
      <c r="AC62" s="305">
        <f t="shared" si="37"/>
        <v>0</v>
      </c>
      <c r="AD62" s="100">
        <f t="shared" si="8"/>
        <v>0</v>
      </c>
      <c r="AE62" s="100">
        <f t="shared" si="9"/>
        <v>0</v>
      </c>
      <c r="AF62" s="194">
        <f t="shared" si="33"/>
        <v>14.646357505658578</v>
      </c>
      <c r="AG62" s="194">
        <f t="shared" si="34"/>
        <v>24.373113547102115</v>
      </c>
      <c r="AH62" s="194">
        <f t="shared" si="35"/>
        <v>0.61136936734524228</v>
      </c>
      <c r="AI62" s="199">
        <f t="shared" si="36"/>
        <v>39.630840420105933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4">
        <f t="shared" si="40"/>
        <v>0</v>
      </c>
      <c r="AR62" s="194">
        <f t="shared" si="40"/>
        <v>0</v>
      </c>
      <c r="AS62" s="194">
        <f t="shared" si="40"/>
        <v>0</v>
      </c>
      <c r="AT62" s="194">
        <f t="shared" si="40"/>
        <v>0</v>
      </c>
      <c r="AU62" s="33"/>
      <c r="AV62" s="33"/>
      <c r="AW62" s="33"/>
      <c r="AX62" s="33"/>
      <c r="AY62" s="76"/>
    </row>
    <row r="63" spans="2:51">
      <c r="B63" s="40"/>
      <c r="C63" s="152"/>
      <c r="D63" s="137"/>
      <c r="E63" s="141"/>
      <c r="F63" s="42"/>
      <c r="G63" s="51"/>
      <c r="I63" s="55">
        <v>58</v>
      </c>
      <c r="J63" s="33">
        <f t="shared" si="18"/>
        <v>5</v>
      </c>
      <c r="K63" s="33">
        <f t="shared" si="19"/>
        <v>1.910565629709926</v>
      </c>
      <c r="L63" s="33">
        <f t="shared" si="20"/>
        <v>45</v>
      </c>
      <c r="M63" s="33">
        <f t="shared" si="21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5"/>
        <v>18.777777777777779</v>
      </c>
      <c r="R63" s="33">
        <f t="shared" si="22"/>
        <v>573.4444444444448</v>
      </c>
      <c r="S63" s="33">
        <f t="shared" si="23"/>
        <v>206.44000000000011</v>
      </c>
      <c r="T63" s="33">
        <f t="shared" si="2"/>
        <v>51.156863696731854</v>
      </c>
      <c r="U63" s="33">
        <f t="shared" si="16"/>
        <v>60.939939254187742</v>
      </c>
      <c r="V63" s="33">
        <f t="shared" si="3"/>
        <v>10</v>
      </c>
      <c r="W63" s="33">
        <v>0</v>
      </c>
      <c r="X63" s="33">
        <f t="shared" si="4"/>
        <v>708.76098153716327</v>
      </c>
      <c r="Y63" s="38">
        <f t="shared" si="5"/>
        <v>531.72507973208519</v>
      </c>
      <c r="AA63" s="71">
        <v>58</v>
      </c>
      <c r="AB63" s="33">
        <f t="shared" si="6"/>
        <v>0</v>
      </c>
      <c r="AC63" s="305">
        <f t="shared" si="37"/>
        <v>0</v>
      </c>
      <c r="AD63" s="100">
        <f t="shared" si="8"/>
        <v>0</v>
      </c>
      <c r="AE63" s="100">
        <f t="shared" si="9"/>
        <v>0</v>
      </c>
      <c r="AF63" s="194">
        <f t="shared" si="33"/>
        <v>14.359151368368593</v>
      </c>
      <c r="AG63" s="194">
        <f t="shared" si="34"/>
        <v>23.706629475430272</v>
      </c>
      <c r="AH63" s="194">
        <f t="shared" si="35"/>
        <v>0.43230342545955025</v>
      </c>
      <c r="AI63" s="199">
        <f t="shared" si="36"/>
        <v>38.498084269258413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4">
        <f t="shared" si="40"/>
        <v>0</v>
      </c>
      <c r="AR63" s="194">
        <f t="shared" si="40"/>
        <v>0</v>
      </c>
      <c r="AS63" s="194">
        <f t="shared" si="40"/>
        <v>0</v>
      </c>
      <c r="AT63" s="194">
        <f t="shared" si="40"/>
        <v>0</v>
      </c>
      <c r="AU63" s="33"/>
      <c r="AV63" s="33"/>
      <c r="AW63" s="33"/>
      <c r="AX63" s="33"/>
      <c r="AY63" s="76"/>
    </row>
    <row r="64" spans="2:51">
      <c r="B64" s="40"/>
      <c r="C64" s="152"/>
      <c r="D64" s="137"/>
      <c r="E64" s="141"/>
      <c r="F64" s="42"/>
      <c r="G64" s="51"/>
      <c r="I64" s="55">
        <v>59</v>
      </c>
      <c r="J64" s="33">
        <f t="shared" si="18"/>
        <v>5</v>
      </c>
      <c r="K64" s="33">
        <f t="shared" si="19"/>
        <v>1.910565629709926</v>
      </c>
      <c r="L64" s="33">
        <f t="shared" si="20"/>
        <v>45</v>
      </c>
      <c r="M64" s="33">
        <f t="shared" si="21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5"/>
        <v>18.777777777777779</v>
      </c>
      <c r="R64" s="33">
        <f t="shared" si="22"/>
        <v>592.22222222222263</v>
      </c>
      <c r="S64" s="33">
        <f t="shared" si="23"/>
        <v>213.20000000000013</v>
      </c>
      <c r="T64" s="33">
        <f t="shared" si="2"/>
        <v>52.634249535817418</v>
      </c>
      <c r="U64" s="33">
        <f t="shared" si="16"/>
        <v>61.097111052866211</v>
      </c>
      <c r="V64" s="33">
        <f t="shared" si="3"/>
        <v>10</v>
      </c>
      <c r="W64" s="33">
        <v>0</v>
      </c>
      <c r="X64" s="33">
        <f t="shared" si="4"/>
        <v>723.68405846872486</v>
      </c>
      <c r="Y64" s="38">
        <f t="shared" si="5"/>
        <v>546.64815666364677</v>
      </c>
      <c r="AA64" s="71">
        <v>59</v>
      </c>
      <c r="AB64" s="33">
        <f t="shared" si="6"/>
        <v>0</v>
      </c>
      <c r="AC64" s="305">
        <f t="shared" si="37"/>
        <v>0</v>
      </c>
      <c r="AD64" s="100">
        <f t="shared" si="8"/>
        <v>0</v>
      </c>
      <c r="AE64" s="100">
        <f t="shared" si="9"/>
        <v>0</v>
      </c>
      <c r="AF64" s="194">
        <f t="shared" si="33"/>
        <v>14.077577168252418</v>
      </c>
      <c r="AG64" s="194">
        <f t="shared" si="34"/>
        <v>23.058370445747169</v>
      </c>
      <c r="AH64" s="194">
        <f t="shared" si="35"/>
        <v>0.30568468367262119</v>
      </c>
      <c r="AI64" s="199">
        <f t="shared" si="36"/>
        <v>37.441632297672214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4">
        <f t="shared" si="40"/>
        <v>0</v>
      </c>
      <c r="AR64" s="194">
        <f t="shared" si="40"/>
        <v>0</v>
      </c>
      <c r="AS64" s="194">
        <f t="shared" si="40"/>
        <v>0</v>
      </c>
      <c r="AT64" s="194">
        <f t="shared" si="40"/>
        <v>0</v>
      </c>
      <c r="AU64" s="33"/>
      <c r="AV64" s="33"/>
      <c r="AW64" s="33"/>
      <c r="AX64" s="33"/>
      <c r="AY64" s="76"/>
    </row>
    <row r="65" spans="2:51">
      <c r="B65" s="40"/>
      <c r="C65" s="152"/>
      <c r="D65" s="137"/>
      <c r="E65" s="141"/>
      <c r="F65" s="42"/>
      <c r="G65" s="51"/>
      <c r="I65" s="55">
        <v>60</v>
      </c>
      <c r="J65" s="33">
        <f t="shared" si="18"/>
        <v>5</v>
      </c>
      <c r="K65" s="33">
        <f t="shared" si="19"/>
        <v>1.910565629709926</v>
      </c>
      <c r="L65" s="33">
        <f t="shared" si="20"/>
        <v>45</v>
      </c>
      <c r="M65" s="33">
        <f t="shared" si="21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5"/>
        <v>18.777777777777779</v>
      </c>
      <c r="R65" s="33">
        <f t="shared" si="22"/>
        <v>611.00000000000045</v>
      </c>
      <c r="S65" s="33">
        <f t="shared" si="23"/>
        <v>219.96000000000015</v>
      </c>
      <c r="T65" s="33">
        <f t="shared" si="2"/>
        <v>54.106191826225796</v>
      </c>
      <c r="U65" s="33">
        <f t="shared" si="16"/>
        <v>61.251556272221123</v>
      </c>
      <c r="V65" s="33">
        <f t="shared" si="3"/>
        <v>10</v>
      </c>
      <c r="W65" s="33">
        <v>0</v>
      </c>
      <c r="X65" s="33">
        <f t="shared" si="4"/>
        <v>738.58765709548743</v>
      </c>
      <c r="Y65" s="38">
        <f t="shared" si="5"/>
        <v>561.55175529040935</v>
      </c>
      <c r="AA65" s="71">
        <v>60</v>
      </c>
      <c r="AB65" s="33">
        <f t="shared" si="6"/>
        <v>0</v>
      </c>
      <c r="AC65" s="305">
        <f t="shared" si="37"/>
        <v>0</v>
      </c>
      <c r="AD65" s="100">
        <f t="shared" si="8"/>
        <v>0</v>
      </c>
      <c r="AE65" s="100">
        <f t="shared" si="9"/>
        <v>0</v>
      </c>
      <c r="AF65" s="194">
        <f t="shared" si="33"/>
        <v>13.801524466457217</v>
      </c>
      <c r="AG65" s="194">
        <f t="shared" si="34"/>
        <v>22.42783809332121</v>
      </c>
      <c r="AH65" s="194">
        <f t="shared" si="35"/>
        <v>0.21615171272977515</v>
      </c>
      <c r="AI65" s="199">
        <f t="shared" si="36"/>
        <v>36.445514272508198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4">
        <f t="shared" si="40"/>
        <v>0</v>
      </c>
      <c r="AR65" s="194">
        <f t="shared" si="40"/>
        <v>0</v>
      </c>
      <c r="AS65" s="194">
        <f t="shared" si="40"/>
        <v>0</v>
      </c>
      <c r="AT65" s="194">
        <f t="shared" si="40"/>
        <v>0</v>
      </c>
      <c r="AU65" s="33"/>
      <c r="AV65" s="33"/>
      <c r="AW65" s="33"/>
      <c r="AX65" s="33"/>
      <c r="AY65" s="76"/>
    </row>
    <row r="66" spans="2:51">
      <c r="B66" s="40"/>
      <c r="C66" s="152"/>
      <c r="D66" s="137"/>
      <c r="E66" s="141"/>
      <c r="F66" s="42"/>
      <c r="G66" s="51"/>
      <c r="I66" s="55">
        <v>61</v>
      </c>
      <c r="J66" s="33">
        <f t="shared" si="18"/>
        <v>5</v>
      </c>
      <c r="K66" s="33">
        <f t="shared" si="19"/>
        <v>1.910565629709926</v>
      </c>
      <c r="L66" s="33">
        <f t="shared" si="20"/>
        <v>45</v>
      </c>
      <c r="M66" s="33">
        <f t="shared" si="21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5"/>
        <v>-52</v>
      </c>
      <c r="R66" s="33">
        <f t="shared" si="22"/>
        <v>559.00000000000045</v>
      </c>
      <c r="S66" s="33">
        <f t="shared" si="23"/>
        <v>201.24000000000015</v>
      </c>
      <c r="T66" s="33">
        <f t="shared" si="2"/>
        <v>50.016584086333268</v>
      </c>
      <c r="U66" s="33">
        <f t="shared" si="16"/>
        <v>61.403322212307998</v>
      </c>
      <c r="V66" s="33">
        <f t="shared" si="3"/>
        <v>10</v>
      </c>
      <c r="W66" s="33">
        <v>0</v>
      </c>
      <c r="X66" s="33">
        <f t="shared" si="4"/>
        <v>699.4173987288267</v>
      </c>
      <c r="Y66" s="38">
        <f t="shared" si="5"/>
        <v>522.38149692374861</v>
      </c>
      <c r="AA66" s="71">
        <v>61</v>
      </c>
      <c r="AB66" s="33">
        <f t="shared" si="6"/>
        <v>40</v>
      </c>
      <c r="AC66" s="305">
        <f t="shared" si="37"/>
        <v>0.4</v>
      </c>
      <c r="AD66" s="100">
        <f t="shared" si="8"/>
        <v>0.11199999999999999</v>
      </c>
      <c r="AE66" s="100">
        <f t="shared" si="9"/>
        <v>8.7999999999999981E-2</v>
      </c>
      <c r="AF66" s="194">
        <f t="shared" si="33"/>
        <v>23.464199632099973</v>
      </c>
      <c r="AG66" s="194">
        <f t="shared" si="34"/>
        <v>24.584924632585142</v>
      </c>
      <c r="AH66" s="194">
        <f t="shared" si="35"/>
        <v>2.018036539489509</v>
      </c>
      <c r="AI66" s="199">
        <f t="shared" si="36"/>
        <v>50.067160804174627</v>
      </c>
      <c r="AK66" s="71">
        <v>61</v>
      </c>
      <c r="AL66" s="33">
        <f t="shared" si="10"/>
        <v>40</v>
      </c>
      <c r="AM66" s="33">
        <f t="shared" si="11"/>
        <v>0.8</v>
      </c>
      <c r="AN66" s="33">
        <f t="shared" si="12"/>
        <v>0.11199999999999999</v>
      </c>
      <c r="AO66" s="33">
        <f t="shared" si="13"/>
        <v>8.7999999999999981E-2</v>
      </c>
      <c r="AP66" s="33">
        <f t="shared" si="14"/>
        <v>0</v>
      </c>
      <c r="AQ66" s="194">
        <f t="shared" si="40"/>
        <v>32</v>
      </c>
      <c r="AR66" s="194">
        <f t="shared" si="40"/>
        <v>4.4799999999999995</v>
      </c>
      <c r="AS66" s="194">
        <f t="shared" si="40"/>
        <v>3.5199999999999991</v>
      </c>
      <c r="AT66" s="194">
        <f t="shared" si="40"/>
        <v>0</v>
      </c>
      <c r="AU66" s="33"/>
      <c r="AV66" s="33"/>
      <c r="AW66" s="33"/>
      <c r="AX66" s="33"/>
      <c r="AY66" s="76"/>
    </row>
    <row r="67" spans="2:51">
      <c r="B67" s="40"/>
      <c r="C67" s="152"/>
      <c r="D67" s="137"/>
      <c r="E67" s="141"/>
      <c r="F67" s="42"/>
      <c r="G67" s="51"/>
      <c r="I67" s="55">
        <v>62</v>
      </c>
      <c r="J67" s="33">
        <f t="shared" si="18"/>
        <v>5</v>
      </c>
      <c r="K67" s="33">
        <f t="shared" si="19"/>
        <v>1.910565629709926</v>
      </c>
      <c r="L67" s="33">
        <f t="shared" si="20"/>
        <v>45</v>
      </c>
      <c r="M67" s="33">
        <f t="shared" si="21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5"/>
        <v>15.888888888888889</v>
      </c>
      <c r="R67" s="33">
        <f t="shared" si="22"/>
        <v>574.88888888888937</v>
      </c>
      <c r="S67" s="33">
        <f t="shared" si="23"/>
        <v>206.96000000000018</v>
      </c>
      <c r="T67" s="33">
        <f t="shared" si="2"/>
        <v>51.27070647845801</v>
      </c>
      <c r="U67" s="33">
        <f t="shared" si="16"/>
        <v>61.55245535263218</v>
      </c>
      <c r="V67" s="33">
        <f t="shared" si="3"/>
        <v>10</v>
      </c>
      <c r="W67" s="33">
        <v>0</v>
      </c>
      <c r="X67" s="33">
        <f t="shared" si="4"/>
        <v>712.11081674296599</v>
      </c>
      <c r="Y67" s="38">
        <f t="shared" si="5"/>
        <v>535.07491493788791</v>
      </c>
      <c r="AA67" s="71">
        <v>62</v>
      </c>
      <c r="AB67" s="33">
        <f t="shared" si="6"/>
        <v>0</v>
      </c>
      <c r="AC67" s="305">
        <f t="shared" si="37"/>
        <v>0</v>
      </c>
      <c r="AD67" s="100">
        <f t="shared" si="8"/>
        <v>0</v>
      </c>
      <c r="AE67" s="100">
        <f t="shared" si="9"/>
        <v>0</v>
      </c>
      <c r="AF67" s="194">
        <f t="shared" si="33"/>
        <v>23.004080989063102</v>
      </c>
      <c r="AG67" s="194">
        <f t="shared" si="34"/>
        <v>23.912648575642105</v>
      </c>
      <c r="AH67" s="194">
        <f t="shared" si="35"/>
        <v>1.4269673217552659</v>
      </c>
      <c r="AI67" s="199">
        <f t="shared" si="36"/>
        <v>48.343696886460471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4">
        <f t="shared" si="40"/>
        <v>0</v>
      </c>
      <c r="AR67" s="194">
        <f t="shared" si="40"/>
        <v>0</v>
      </c>
      <c r="AS67" s="194">
        <f t="shared" si="40"/>
        <v>0</v>
      </c>
      <c r="AT67" s="194">
        <f t="shared" si="40"/>
        <v>0</v>
      </c>
      <c r="AU67" s="33"/>
      <c r="AV67" s="33"/>
      <c r="AW67" s="33"/>
      <c r="AX67" s="33"/>
      <c r="AY67" s="76"/>
    </row>
    <row r="68" spans="2:51">
      <c r="B68" s="40"/>
      <c r="C68" s="152"/>
      <c r="D68" s="137"/>
      <c r="E68" s="141"/>
      <c r="F68" s="42"/>
      <c r="G68" s="51"/>
      <c r="I68" s="55">
        <v>63</v>
      </c>
      <c r="J68" s="33">
        <f t="shared" si="18"/>
        <v>5</v>
      </c>
      <c r="K68" s="33">
        <f t="shared" si="19"/>
        <v>1.910565629709926</v>
      </c>
      <c r="L68" s="33">
        <f t="shared" si="20"/>
        <v>45</v>
      </c>
      <c r="M68" s="33">
        <f t="shared" si="21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5"/>
        <v>15.888888888888889</v>
      </c>
      <c r="R68" s="33">
        <f t="shared" si="22"/>
        <v>590.77777777777828</v>
      </c>
      <c r="S68" s="33">
        <f t="shared" si="23"/>
        <v>212.68000000000018</v>
      </c>
      <c r="T68" s="33">
        <f t="shared" si="2"/>
        <v>52.520800192638262</v>
      </c>
      <c r="U68" s="33">
        <f t="shared" si="16"/>
        <v>61.699001366383484</v>
      </c>
      <c r="V68" s="33">
        <f t="shared" si="3"/>
        <v>10</v>
      </c>
      <c r="W68" s="33">
        <v>0</v>
      </c>
      <c r="X68" s="33">
        <f t="shared" si="4"/>
        <v>724.78773201225147</v>
      </c>
      <c r="Y68" s="38">
        <f t="shared" si="5"/>
        <v>547.75183020717338</v>
      </c>
      <c r="AA68" s="71">
        <v>63</v>
      </c>
      <c r="AB68" s="33">
        <f t="shared" si="6"/>
        <v>0</v>
      </c>
      <c r="AC68" s="305">
        <f t="shared" si="37"/>
        <v>0</v>
      </c>
      <c r="AD68" s="100">
        <f t="shared" si="8"/>
        <v>0</v>
      </c>
      <c r="AE68" s="100">
        <f t="shared" si="9"/>
        <v>0</v>
      </c>
      <c r="AF68" s="194">
        <f t="shared" si="33"/>
        <v>22.55298499197152</v>
      </c>
      <c r="AG68" s="194">
        <f t="shared" si="34"/>
        <v>23.258755942829637</v>
      </c>
      <c r="AH68" s="194">
        <f t="shared" si="35"/>
        <v>1.0090182697447545</v>
      </c>
      <c r="AI68" s="199">
        <f t="shared" si="36"/>
        <v>46.820759204545915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4">
        <f t="shared" si="40"/>
        <v>0</v>
      </c>
      <c r="AR68" s="194">
        <f t="shared" si="40"/>
        <v>0</v>
      </c>
      <c r="AS68" s="194">
        <f t="shared" si="40"/>
        <v>0</v>
      </c>
      <c r="AT68" s="194">
        <f t="shared" si="40"/>
        <v>0</v>
      </c>
      <c r="AU68" s="33"/>
      <c r="AV68" s="33"/>
      <c r="AW68" s="33"/>
      <c r="AX68" s="33"/>
      <c r="AY68" s="76"/>
    </row>
    <row r="69" spans="2:51">
      <c r="B69" s="40"/>
      <c r="C69" s="152"/>
      <c r="D69" s="137"/>
      <c r="E69" s="141"/>
      <c r="F69" s="42"/>
      <c r="G69" s="51"/>
      <c r="I69" s="55">
        <v>64</v>
      </c>
      <c r="J69" s="33">
        <f t="shared" si="18"/>
        <v>5</v>
      </c>
      <c r="K69" s="33">
        <f t="shared" si="19"/>
        <v>1.910565629709926</v>
      </c>
      <c r="L69" s="33">
        <f t="shared" si="20"/>
        <v>45</v>
      </c>
      <c r="M69" s="33">
        <f t="shared" si="21"/>
        <v>0</v>
      </c>
      <c r="N69" s="33">
        <f t="shared" ref="N69:N132" si="41">IF(P70&lt;=$F$18,0,)</f>
        <v>0</v>
      </c>
      <c r="O69" s="34">
        <f t="shared" ref="O69:O132" si="42">((J69+K69)*0.475+L69+M69+N69)*44/12</f>
        <v>177.03590180507811</v>
      </c>
      <c r="P69" s="55">
        <v>64</v>
      </c>
      <c r="Q69" s="33">
        <f t="shared" si="15"/>
        <v>15.888888888888889</v>
      </c>
      <c r="R69" s="33">
        <f t="shared" si="22"/>
        <v>606.6666666666672</v>
      </c>
      <c r="S69" s="33">
        <f t="shared" si="23"/>
        <v>218.40000000000018</v>
      </c>
      <c r="T69" s="33">
        <f t="shared" ref="T69:T132" si="43">IF(S69=0,0,EXP(-1.0587+0.8836*LN(S69)+0.284))</f>
        <v>53.76698603199857</v>
      </c>
      <c r="U69" s="33">
        <f t="shared" si="16"/>
        <v>61.843005134424018</v>
      </c>
      <c r="V69" s="33">
        <f t="shared" ref="V69:V132" si="44">IF(P69&lt;=$F$18,IF(P69&lt;=30,P69*($F$16-$F$6)/30,$F$16-$F$6),)</f>
        <v>10</v>
      </c>
      <c r="W69" s="33">
        <v>0</v>
      </c>
      <c r="X69" s="33">
        <f t="shared" ref="X69:X132" si="45">((S69+T69)*0.475+U69+V69+W69)*44/12</f>
        <v>737.44851949861913</v>
      </c>
      <c r="Y69" s="38">
        <f t="shared" ref="Y69:Y132" si="46">IF(P69&lt;=$F$18,X69-O69,)</f>
        <v>560.41261769354105</v>
      </c>
      <c r="AA69" s="71">
        <v>64</v>
      </c>
      <c r="AB69" s="33">
        <f t="shared" ref="AB69:AB132" si="47">IF(AA69&lt;=$F$18,IFERROR(VLOOKUP($AA69,$B$82:$G$94,2,FALSE),0),)</f>
        <v>0</v>
      </c>
      <c r="AC69" s="305">
        <f t="shared" si="37"/>
        <v>0</v>
      </c>
      <c r="AD69" s="100">
        <f t="shared" ref="AD69:AD132" si="48">IF(AA69&lt;=$F$18,IFERROR(VLOOKUP($AA69,$B$82:$G$94,4,FALSE),0),)</f>
        <v>0</v>
      </c>
      <c r="AE69" s="100">
        <f t="shared" ref="AE69:AE132" si="49">IF(AA69&lt;=$F$18,IFERROR(VLOOKUP($AA69,$B$82:$G$94,5,FALSE),0),)</f>
        <v>0</v>
      </c>
      <c r="AF69" s="194">
        <f t="shared" si="33"/>
        <v>22.110734712241516</v>
      </c>
      <c r="AG69" s="194">
        <f t="shared" si="34"/>
        <v>22.622744038448143</v>
      </c>
      <c r="AH69" s="194">
        <f t="shared" si="35"/>
        <v>0.71348366087763293</v>
      </c>
      <c r="AI69" s="199">
        <f t="shared" si="36"/>
        <v>45.446962411567291</v>
      </c>
      <c r="AK69" s="71">
        <v>64</v>
      </c>
      <c r="AL69" s="33">
        <f t="shared" ref="AL69:AL132" si="50">IF(AK69&lt;=$F$18,IFERROR(VLOOKUP($AA69,$B$82:$G$94,2,FALSE),0),)</f>
        <v>0</v>
      </c>
      <c r="AM69" s="33">
        <f t="shared" ref="AM69:AM132" si="51">IF(AK69&lt;=$F$18,IFERROR(VLOOKUP($AA69,$B$82:$G$94,3,FALSE),0),)</f>
        <v>0</v>
      </c>
      <c r="AN69" s="33">
        <f t="shared" ref="AN69:AN132" si="52">IF(AK69&lt;=$F$18,IFERROR(VLOOKUP($AA69,$B$82:$G$94,4,FALSE),0),)</f>
        <v>0</v>
      </c>
      <c r="AO69" s="33">
        <f t="shared" ref="AO69:AO132" si="53">IF(AK69&lt;=$F$18,IFERROR(VLOOKUP($AA69,$B$82:$G$94,5,FALSE),0),)</f>
        <v>0</v>
      </c>
      <c r="AP69" s="33">
        <f t="shared" ref="AP69:AP132" si="54">IF(AK69&lt;=$F$18,IFERROR(VLOOKUP($AA69,$B$82:$G$94,6,FALSE),0),)</f>
        <v>0</v>
      </c>
      <c r="AQ69" s="194">
        <f t="shared" si="40"/>
        <v>0</v>
      </c>
      <c r="AR69" s="194">
        <f t="shared" si="40"/>
        <v>0</v>
      </c>
      <c r="AS69" s="194">
        <f t="shared" si="40"/>
        <v>0</v>
      </c>
      <c r="AT69" s="194">
        <f t="shared" si="40"/>
        <v>0</v>
      </c>
      <c r="AU69" s="33"/>
      <c r="AV69" s="33"/>
      <c r="AW69" s="33"/>
      <c r="AX69" s="33"/>
      <c r="AY69" s="76"/>
    </row>
    <row r="70" spans="2:51">
      <c r="B70" s="40"/>
      <c r="C70" s="152"/>
      <c r="D70" s="137"/>
      <c r="E70" s="141"/>
      <c r="F70" s="42"/>
      <c r="G70" s="51"/>
      <c r="I70" s="55">
        <v>65</v>
      </c>
      <c r="J70" s="33">
        <f t="shared" si="18"/>
        <v>5</v>
      </c>
      <c r="K70" s="33">
        <f t="shared" si="19"/>
        <v>1.910565629709926</v>
      </c>
      <c r="L70" s="33">
        <f t="shared" si="20"/>
        <v>45</v>
      </c>
      <c r="M70" s="33">
        <f t="shared" si="21"/>
        <v>0</v>
      </c>
      <c r="N70" s="33">
        <f t="shared" si="41"/>
        <v>0</v>
      </c>
      <c r="O70" s="34">
        <f t="shared" si="42"/>
        <v>177.03590180507811</v>
      </c>
      <c r="P70" s="55">
        <v>65</v>
      </c>
      <c r="Q70" s="33">
        <f t="shared" ref="Q70:Q133" si="55">IF(P70&lt;=$F$18,LOOKUP(P70-1,$B$25:$B$78,$G$25:$G$78),)</f>
        <v>15.888888888888889</v>
      </c>
      <c r="R70" s="33">
        <f t="shared" si="22"/>
        <v>622.55555555555611</v>
      </c>
      <c r="S70" s="33">
        <f t="shared" si="23"/>
        <v>224.1200000000002</v>
      </c>
      <c r="T70" s="33">
        <f t="shared" si="43"/>
        <v>55.009378111492268</v>
      </c>
      <c r="U70" s="33">
        <f t="shared" ref="U70:U133" si="56">IF(P70&lt;=$F$18,$F$5+($F$15-$F$5)*(1-EXP(-0.0175*P70)),)</f>
        <v>61.984510759033235</v>
      </c>
      <c r="V70" s="33">
        <f t="shared" si="44"/>
        <v>10</v>
      </c>
      <c r="W70" s="33">
        <v>0</v>
      </c>
      <c r="X70" s="33">
        <f t="shared" si="45"/>
        <v>750.09353966063793</v>
      </c>
      <c r="Y70" s="38">
        <f t="shared" si="46"/>
        <v>573.05763785555985</v>
      </c>
      <c r="AA70" s="71">
        <v>65</v>
      </c>
      <c r="AB70" s="33">
        <f t="shared" si="47"/>
        <v>430</v>
      </c>
      <c r="AC70" s="305">
        <f t="shared" si="37"/>
        <v>0.47499999999999998</v>
      </c>
      <c r="AD70" s="100">
        <f t="shared" si="48"/>
        <v>2.8000000000000028E-2</v>
      </c>
      <c r="AE70" s="100">
        <f t="shared" si="49"/>
        <v>2.200000000000002E-2</v>
      </c>
      <c r="AF70" s="194">
        <f t="shared" si="33"/>
        <v>148.48212642176119</v>
      </c>
      <c r="AG70" s="194">
        <f t="shared" si="34"/>
        <v>29.449511969803726</v>
      </c>
      <c r="AH70" s="194">
        <f t="shared" si="35"/>
        <v>5.5172185410653531</v>
      </c>
      <c r="AI70" s="199">
        <f t="shared" si="36"/>
        <v>183.44885693263026</v>
      </c>
      <c r="AK70" s="71">
        <v>65</v>
      </c>
      <c r="AL70" s="33">
        <f t="shared" si="50"/>
        <v>430</v>
      </c>
      <c r="AM70" s="33">
        <f t="shared" si="51"/>
        <v>0.95</v>
      </c>
      <c r="AN70" s="33">
        <f t="shared" si="52"/>
        <v>2.8000000000000028E-2</v>
      </c>
      <c r="AO70" s="33">
        <f t="shared" si="53"/>
        <v>2.200000000000002E-2</v>
      </c>
      <c r="AP70" s="33">
        <f t="shared" si="54"/>
        <v>0</v>
      </c>
      <c r="AQ70" s="194">
        <f t="shared" si="40"/>
        <v>408.5</v>
      </c>
      <c r="AR70" s="194">
        <f t="shared" si="40"/>
        <v>12.040000000000012</v>
      </c>
      <c r="AS70" s="194">
        <f t="shared" si="40"/>
        <v>9.460000000000008</v>
      </c>
      <c r="AT70" s="194">
        <f t="shared" si="40"/>
        <v>0</v>
      </c>
      <c r="AU70" s="33"/>
      <c r="AV70" s="33"/>
      <c r="AW70" s="33"/>
      <c r="AX70" s="33"/>
      <c r="AY70" s="76"/>
    </row>
    <row r="71" spans="2:51">
      <c r="B71" s="40"/>
      <c r="C71" s="152"/>
      <c r="D71" s="137"/>
      <c r="E71" s="141"/>
      <c r="F71" s="42"/>
      <c r="G71" s="51"/>
      <c r="I71" s="55">
        <v>66</v>
      </c>
      <c r="J71" s="33">
        <f t="shared" ref="J71:J134" si="57">IF($I71&lt;=$F$10,$F$11*$F$13+J70,)</f>
        <v>0</v>
      </c>
      <c r="K71" s="33">
        <f t="shared" ref="K71:K134" si="58">IF(J71=0,0,EXP(-1.0587+0.8836*LN(J71)+0.284))</f>
        <v>0</v>
      </c>
      <c r="L71" s="33">
        <f t="shared" ref="L71:L134" si="59">IF(I71&lt;=$F$10,$F$5+($F$8-$F$5)*(1-EXP(-0.0175*I71)),)</f>
        <v>0</v>
      </c>
      <c r="M71" s="33">
        <f t="shared" ref="M71:M134" si="60">IF(I71&lt;=$F$10,IF(I71&lt;=30,I71*($F$9-$F$6)/30,$F$9-$F$6),)</f>
        <v>0</v>
      </c>
      <c r="N71" s="33">
        <f t="shared" si="41"/>
        <v>0</v>
      </c>
      <c r="O71" s="34">
        <f t="shared" si="42"/>
        <v>0</v>
      </c>
      <c r="P71" s="55">
        <v>66</v>
      </c>
      <c r="Q71" s="33">
        <f t="shared" si="55"/>
        <v>0</v>
      </c>
      <c r="R71" s="33">
        <f t="shared" ref="R71:R134" si="61">IF(P71&lt;=$F$18,Q71+R70,)</f>
        <v>0</v>
      </c>
      <c r="S71" s="33">
        <f t="shared" ref="S71:S134" si="62">$F$19*R71</f>
        <v>0</v>
      </c>
      <c r="T71" s="33">
        <f t="shared" si="43"/>
        <v>0</v>
      </c>
      <c r="U71" s="33">
        <f t="shared" si="56"/>
        <v>0</v>
      </c>
      <c r="V71" s="33">
        <f t="shared" si="44"/>
        <v>0</v>
      </c>
      <c r="W71" s="33">
        <v>0</v>
      </c>
      <c r="X71" s="33">
        <f t="shared" si="45"/>
        <v>0</v>
      </c>
      <c r="Y71" s="38">
        <f t="shared" si="46"/>
        <v>0</v>
      </c>
      <c r="AA71" s="71">
        <v>66</v>
      </c>
      <c r="AB71" s="33">
        <f t="shared" si="47"/>
        <v>0</v>
      </c>
      <c r="AC71" s="305">
        <f t="shared" si="37"/>
        <v>0</v>
      </c>
      <c r="AD71" s="100">
        <f t="shared" si="48"/>
        <v>0</v>
      </c>
      <c r="AE71" s="100">
        <f t="shared" si="49"/>
        <v>0</v>
      </c>
      <c r="AF71" s="194">
        <f t="shared" si="33"/>
        <v>0</v>
      </c>
      <c r="AG71" s="194">
        <f t="shared" si="34"/>
        <v>0</v>
      </c>
      <c r="AH71" s="194">
        <f t="shared" si="35"/>
        <v>0</v>
      </c>
      <c r="AI71" s="199">
        <f t="shared" si="36"/>
        <v>0</v>
      </c>
      <c r="AK71" s="71">
        <v>66</v>
      </c>
      <c r="AL71" s="33">
        <f t="shared" si="50"/>
        <v>0</v>
      </c>
      <c r="AM71" s="33">
        <f t="shared" si="51"/>
        <v>0</v>
      </c>
      <c r="AN71" s="33">
        <f t="shared" si="52"/>
        <v>0</v>
      </c>
      <c r="AO71" s="33">
        <f t="shared" si="53"/>
        <v>0</v>
      </c>
      <c r="AP71" s="33">
        <f t="shared" si="54"/>
        <v>0</v>
      </c>
      <c r="AQ71" s="194">
        <f t="shared" si="40"/>
        <v>0</v>
      </c>
      <c r="AR71" s="194">
        <f t="shared" si="40"/>
        <v>0</v>
      </c>
      <c r="AS71" s="194">
        <f t="shared" si="40"/>
        <v>0</v>
      </c>
      <c r="AT71" s="194">
        <f t="shared" si="40"/>
        <v>0</v>
      </c>
      <c r="AU71" s="33"/>
      <c r="AV71" s="33"/>
      <c r="AW71" s="33"/>
      <c r="AX71" s="33"/>
      <c r="AY71" s="76"/>
    </row>
    <row r="72" spans="2:51">
      <c r="B72" s="40"/>
      <c r="C72" s="152"/>
      <c r="D72" s="137"/>
      <c r="E72" s="141"/>
      <c r="F72" s="42"/>
      <c r="G72" s="51"/>
      <c r="I72" s="55">
        <v>67</v>
      </c>
      <c r="J72" s="33">
        <f t="shared" si="57"/>
        <v>0</v>
      </c>
      <c r="K72" s="33">
        <f t="shared" si="58"/>
        <v>0</v>
      </c>
      <c r="L72" s="33">
        <f t="shared" si="59"/>
        <v>0</v>
      </c>
      <c r="M72" s="33">
        <f t="shared" si="60"/>
        <v>0</v>
      </c>
      <c r="N72" s="33">
        <f t="shared" si="41"/>
        <v>0</v>
      </c>
      <c r="O72" s="34">
        <f t="shared" si="42"/>
        <v>0</v>
      </c>
      <c r="P72" s="55">
        <v>67</v>
      </c>
      <c r="Q72" s="33">
        <f t="shared" si="55"/>
        <v>0</v>
      </c>
      <c r="R72" s="33">
        <f t="shared" si="61"/>
        <v>0</v>
      </c>
      <c r="S72" s="33">
        <f t="shared" si="62"/>
        <v>0</v>
      </c>
      <c r="T72" s="33">
        <f t="shared" si="43"/>
        <v>0</v>
      </c>
      <c r="U72" s="33">
        <f t="shared" si="56"/>
        <v>0</v>
      </c>
      <c r="V72" s="33">
        <f t="shared" si="44"/>
        <v>0</v>
      </c>
      <c r="W72" s="33">
        <v>0</v>
      </c>
      <c r="X72" s="33">
        <f t="shared" si="45"/>
        <v>0</v>
      </c>
      <c r="Y72" s="38">
        <f t="shared" si="46"/>
        <v>0</v>
      </c>
      <c r="AA72" s="71">
        <v>67</v>
      </c>
      <c r="AB72" s="33">
        <f t="shared" si="47"/>
        <v>0</v>
      </c>
      <c r="AC72" s="305">
        <f t="shared" si="37"/>
        <v>0</v>
      </c>
      <c r="AD72" s="100">
        <f t="shared" si="48"/>
        <v>0</v>
      </c>
      <c r="AE72" s="100">
        <f t="shared" si="49"/>
        <v>0</v>
      </c>
      <c r="AF72" s="194">
        <f t="shared" si="33"/>
        <v>0</v>
      </c>
      <c r="AG72" s="194">
        <f t="shared" si="34"/>
        <v>0</v>
      </c>
      <c r="AH72" s="194">
        <f t="shared" si="35"/>
        <v>0</v>
      </c>
      <c r="AI72" s="199">
        <f t="shared" si="36"/>
        <v>0</v>
      </c>
      <c r="AK72" s="71">
        <v>67</v>
      </c>
      <c r="AL72" s="33">
        <f t="shared" si="50"/>
        <v>0</v>
      </c>
      <c r="AM72" s="33">
        <f t="shared" si="51"/>
        <v>0</v>
      </c>
      <c r="AN72" s="33">
        <f t="shared" si="52"/>
        <v>0</v>
      </c>
      <c r="AO72" s="33">
        <f t="shared" si="53"/>
        <v>0</v>
      </c>
      <c r="AP72" s="33">
        <f t="shared" si="54"/>
        <v>0</v>
      </c>
      <c r="AQ72" s="194">
        <f t="shared" si="40"/>
        <v>0</v>
      </c>
      <c r="AR72" s="194">
        <f t="shared" si="40"/>
        <v>0</v>
      </c>
      <c r="AS72" s="194">
        <f t="shared" si="40"/>
        <v>0</v>
      </c>
      <c r="AT72" s="194">
        <f t="shared" si="40"/>
        <v>0</v>
      </c>
      <c r="AU72" s="33"/>
      <c r="AV72" s="33"/>
      <c r="AW72" s="33"/>
      <c r="AX72" s="33"/>
      <c r="AY72" s="76"/>
    </row>
    <row r="73" spans="2:51">
      <c r="B73" s="40"/>
      <c r="C73" s="152"/>
      <c r="D73" s="137"/>
      <c r="E73" s="141"/>
      <c r="F73" s="42"/>
      <c r="G73" s="51"/>
      <c r="I73" s="55">
        <v>68</v>
      </c>
      <c r="J73" s="33">
        <f t="shared" si="57"/>
        <v>0</v>
      </c>
      <c r="K73" s="33">
        <f t="shared" si="58"/>
        <v>0</v>
      </c>
      <c r="L73" s="33">
        <f t="shared" si="59"/>
        <v>0</v>
      </c>
      <c r="M73" s="33">
        <f t="shared" si="60"/>
        <v>0</v>
      </c>
      <c r="N73" s="33">
        <f t="shared" si="41"/>
        <v>0</v>
      </c>
      <c r="O73" s="34">
        <f t="shared" si="42"/>
        <v>0</v>
      </c>
      <c r="P73" s="55">
        <v>68</v>
      </c>
      <c r="Q73" s="33">
        <f t="shared" si="55"/>
        <v>0</v>
      </c>
      <c r="R73" s="33">
        <f t="shared" si="61"/>
        <v>0</v>
      </c>
      <c r="S73" s="33">
        <f t="shared" si="62"/>
        <v>0</v>
      </c>
      <c r="T73" s="33">
        <f t="shared" si="43"/>
        <v>0</v>
      </c>
      <c r="U73" s="33">
        <f t="shared" si="56"/>
        <v>0</v>
      </c>
      <c r="V73" s="33">
        <f t="shared" si="44"/>
        <v>0</v>
      </c>
      <c r="W73" s="33">
        <v>0</v>
      </c>
      <c r="X73" s="33">
        <f t="shared" si="45"/>
        <v>0</v>
      </c>
      <c r="Y73" s="38">
        <f t="shared" si="46"/>
        <v>0</v>
      </c>
      <c r="AA73" s="71">
        <v>68</v>
      </c>
      <c r="AB73" s="33">
        <f t="shared" si="47"/>
        <v>0</v>
      </c>
      <c r="AC73" s="305">
        <f t="shared" si="37"/>
        <v>0</v>
      </c>
      <c r="AD73" s="100">
        <f t="shared" si="48"/>
        <v>0</v>
      </c>
      <c r="AE73" s="100">
        <f t="shared" si="49"/>
        <v>0</v>
      </c>
      <c r="AF73" s="194">
        <f t="shared" si="33"/>
        <v>0</v>
      </c>
      <c r="AG73" s="194">
        <f t="shared" si="34"/>
        <v>0</v>
      </c>
      <c r="AH73" s="194">
        <f t="shared" si="35"/>
        <v>0</v>
      </c>
      <c r="AI73" s="199">
        <f t="shared" si="36"/>
        <v>0</v>
      </c>
      <c r="AK73" s="71">
        <v>68</v>
      </c>
      <c r="AL73" s="33">
        <f t="shared" si="50"/>
        <v>0</v>
      </c>
      <c r="AM73" s="33">
        <f t="shared" si="51"/>
        <v>0</v>
      </c>
      <c r="AN73" s="33">
        <f t="shared" si="52"/>
        <v>0</v>
      </c>
      <c r="AO73" s="33">
        <f t="shared" si="53"/>
        <v>0</v>
      </c>
      <c r="AP73" s="33">
        <f t="shared" si="54"/>
        <v>0</v>
      </c>
      <c r="AQ73" s="194">
        <f t="shared" si="40"/>
        <v>0</v>
      </c>
      <c r="AR73" s="194">
        <f t="shared" si="40"/>
        <v>0</v>
      </c>
      <c r="AS73" s="194">
        <f t="shared" si="40"/>
        <v>0</v>
      </c>
      <c r="AT73" s="194">
        <f t="shared" si="40"/>
        <v>0</v>
      </c>
      <c r="AU73" s="33"/>
      <c r="AV73" s="33"/>
      <c r="AW73" s="33"/>
      <c r="AX73" s="33"/>
      <c r="AY73" s="76"/>
    </row>
    <row r="74" spans="2:51">
      <c r="B74" s="40"/>
      <c r="C74" s="152"/>
      <c r="D74" s="137"/>
      <c r="E74" s="141"/>
      <c r="F74" s="42"/>
      <c r="G74" s="51"/>
      <c r="I74" s="55">
        <v>69</v>
      </c>
      <c r="J74" s="33">
        <f t="shared" si="57"/>
        <v>0</v>
      </c>
      <c r="K74" s="33">
        <f t="shared" si="58"/>
        <v>0</v>
      </c>
      <c r="L74" s="33">
        <f t="shared" si="59"/>
        <v>0</v>
      </c>
      <c r="M74" s="33">
        <f t="shared" si="60"/>
        <v>0</v>
      </c>
      <c r="N74" s="33">
        <f t="shared" si="41"/>
        <v>0</v>
      </c>
      <c r="O74" s="34">
        <f t="shared" si="42"/>
        <v>0</v>
      </c>
      <c r="P74" s="55">
        <v>69</v>
      </c>
      <c r="Q74" s="33">
        <f t="shared" si="55"/>
        <v>0</v>
      </c>
      <c r="R74" s="33">
        <f t="shared" si="61"/>
        <v>0</v>
      </c>
      <c r="S74" s="33">
        <f t="shared" si="62"/>
        <v>0</v>
      </c>
      <c r="T74" s="33">
        <f t="shared" si="43"/>
        <v>0</v>
      </c>
      <c r="U74" s="33">
        <f t="shared" si="56"/>
        <v>0</v>
      </c>
      <c r="V74" s="33">
        <f t="shared" si="44"/>
        <v>0</v>
      </c>
      <c r="W74" s="33">
        <v>0</v>
      </c>
      <c r="X74" s="33">
        <f t="shared" si="45"/>
        <v>0</v>
      </c>
      <c r="Y74" s="38">
        <f t="shared" si="46"/>
        <v>0</v>
      </c>
      <c r="AA74" s="71">
        <v>69</v>
      </c>
      <c r="AB74" s="33">
        <f t="shared" si="47"/>
        <v>0</v>
      </c>
      <c r="AC74" s="305">
        <f t="shared" si="37"/>
        <v>0</v>
      </c>
      <c r="AD74" s="100">
        <f t="shared" si="48"/>
        <v>0</v>
      </c>
      <c r="AE74" s="100">
        <f t="shared" si="49"/>
        <v>0</v>
      </c>
      <c r="AF74" s="194">
        <f t="shared" si="33"/>
        <v>0</v>
      </c>
      <c r="AG74" s="194">
        <f t="shared" si="34"/>
        <v>0</v>
      </c>
      <c r="AH74" s="194">
        <f t="shared" si="35"/>
        <v>0</v>
      </c>
      <c r="AI74" s="199">
        <f t="shared" si="36"/>
        <v>0</v>
      </c>
      <c r="AK74" s="71">
        <v>69</v>
      </c>
      <c r="AL74" s="33">
        <f t="shared" si="50"/>
        <v>0</v>
      </c>
      <c r="AM74" s="33">
        <f t="shared" si="51"/>
        <v>0</v>
      </c>
      <c r="AN74" s="33">
        <f t="shared" si="52"/>
        <v>0</v>
      </c>
      <c r="AO74" s="33">
        <f t="shared" si="53"/>
        <v>0</v>
      </c>
      <c r="AP74" s="33">
        <f t="shared" si="54"/>
        <v>0</v>
      </c>
      <c r="AQ74" s="194">
        <f t="shared" si="40"/>
        <v>0</v>
      </c>
      <c r="AR74" s="194">
        <f t="shared" si="40"/>
        <v>0</v>
      </c>
      <c r="AS74" s="194">
        <f t="shared" si="40"/>
        <v>0</v>
      </c>
      <c r="AT74" s="194">
        <f t="shared" si="40"/>
        <v>0</v>
      </c>
      <c r="AU74" s="33"/>
      <c r="AV74" s="33"/>
      <c r="AW74" s="33"/>
      <c r="AX74" s="33"/>
      <c r="AY74" s="76"/>
    </row>
    <row r="75" spans="2:51">
      <c r="B75" s="40"/>
      <c r="C75" s="152"/>
      <c r="D75" s="137"/>
      <c r="E75" s="141"/>
      <c r="F75" s="42"/>
      <c r="G75" s="51"/>
      <c r="I75" s="55">
        <v>70</v>
      </c>
      <c r="J75" s="33">
        <f t="shared" si="57"/>
        <v>0</v>
      </c>
      <c r="K75" s="33">
        <f t="shared" si="58"/>
        <v>0</v>
      </c>
      <c r="L75" s="33">
        <f t="shared" si="59"/>
        <v>0</v>
      </c>
      <c r="M75" s="33">
        <f t="shared" si="60"/>
        <v>0</v>
      </c>
      <c r="N75" s="33">
        <f t="shared" si="41"/>
        <v>0</v>
      </c>
      <c r="O75" s="34">
        <f t="shared" si="42"/>
        <v>0</v>
      </c>
      <c r="P75" s="55">
        <v>70</v>
      </c>
      <c r="Q75" s="33">
        <f t="shared" si="55"/>
        <v>0</v>
      </c>
      <c r="R75" s="33">
        <f t="shared" si="61"/>
        <v>0</v>
      </c>
      <c r="S75" s="33">
        <f t="shared" si="62"/>
        <v>0</v>
      </c>
      <c r="T75" s="33">
        <f t="shared" si="43"/>
        <v>0</v>
      </c>
      <c r="U75" s="33">
        <f t="shared" si="56"/>
        <v>0</v>
      </c>
      <c r="V75" s="33">
        <f t="shared" si="44"/>
        <v>0</v>
      </c>
      <c r="W75" s="33">
        <v>0</v>
      </c>
      <c r="X75" s="33">
        <f t="shared" si="45"/>
        <v>0</v>
      </c>
      <c r="Y75" s="38">
        <f t="shared" si="46"/>
        <v>0</v>
      </c>
      <c r="AA75" s="71">
        <v>70</v>
      </c>
      <c r="AB75" s="33">
        <f t="shared" si="47"/>
        <v>0</v>
      </c>
      <c r="AC75" s="305">
        <f t="shared" si="37"/>
        <v>0</v>
      </c>
      <c r="AD75" s="100">
        <f t="shared" si="48"/>
        <v>0</v>
      </c>
      <c r="AE75" s="100">
        <f t="shared" si="49"/>
        <v>0</v>
      </c>
      <c r="AF75" s="194">
        <f t="shared" si="33"/>
        <v>0</v>
      </c>
      <c r="AG75" s="194">
        <f t="shared" si="34"/>
        <v>0</v>
      </c>
      <c r="AH75" s="194">
        <f t="shared" si="35"/>
        <v>0</v>
      </c>
      <c r="AI75" s="199">
        <f t="shared" si="36"/>
        <v>0</v>
      </c>
      <c r="AK75" s="71">
        <v>70</v>
      </c>
      <c r="AL75" s="33">
        <f t="shared" si="50"/>
        <v>0</v>
      </c>
      <c r="AM75" s="33">
        <f t="shared" si="51"/>
        <v>0</v>
      </c>
      <c r="AN75" s="33">
        <f t="shared" si="52"/>
        <v>0</v>
      </c>
      <c r="AO75" s="33">
        <f t="shared" si="53"/>
        <v>0</v>
      </c>
      <c r="AP75" s="33">
        <f t="shared" si="54"/>
        <v>0</v>
      </c>
      <c r="AQ75" s="194">
        <f t="shared" si="40"/>
        <v>0</v>
      </c>
      <c r="AR75" s="194">
        <f t="shared" si="40"/>
        <v>0</v>
      </c>
      <c r="AS75" s="194">
        <f t="shared" si="40"/>
        <v>0</v>
      </c>
      <c r="AT75" s="194">
        <f t="shared" si="40"/>
        <v>0</v>
      </c>
      <c r="AU75" s="33"/>
      <c r="AV75" s="33"/>
      <c r="AW75" s="33"/>
      <c r="AX75" s="33"/>
      <c r="AY75" s="76"/>
    </row>
    <row r="76" spans="2:51">
      <c r="B76" s="40"/>
      <c r="C76" s="152"/>
      <c r="D76" s="137"/>
      <c r="E76" s="141"/>
      <c r="F76" s="42"/>
      <c r="G76" s="51"/>
      <c r="I76" s="55">
        <v>71</v>
      </c>
      <c r="J76" s="33">
        <f t="shared" si="57"/>
        <v>0</v>
      </c>
      <c r="K76" s="33">
        <f t="shared" si="58"/>
        <v>0</v>
      </c>
      <c r="L76" s="33">
        <f t="shared" si="59"/>
        <v>0</v>
      </c>
      <c r="M76" s="33">
        <f t="shared" si="60"/>
        <v>0</v>
      </c>
      <c r="N76" s="33">
        <f t="shared" si="41"/>
        <v>0</v>
      </c>
      <c r="O76" s="34">
        <f t="shared" si="42"/>
        <v>0</v>
      </c>
      <c r="P76" s="55">
        <v>71</v>
      </c>
      <c r="Q76" s="33">
        <f t="shared" si="55"/>
        <v>0</v>
      </c>
      <c r="R76" s="33">
        <f t="shared" si="61"/>
        <v>0</v>
      </c>
      <c r="S76" s="33">
        <f t="shared" si="62"/>
        <v>0</v>
      </c>
      <c r="T76" s="33">
        <f t="shared" si="43"/>
        <v>0</v>
      </c>
      <c r="U76" s="33">
        <f t="shared" si="56"/>
        <v>0</v>
      </c>
      <c r="V76" s="33">
        <f t="shared" si="44"/>
        <v>0</v>
      </c>
      <c r="W76" s="33">
        <v>0</v>
      </c>
      <c r="X76" s="33">
        <f t="shared" si="45"/>
        <v>0</v>
      </c>
      <c r="Y76" s="38">
        <f t="shared" si="46"/>
        <v>0</v>
      </c>
      <c r="AA76" s="71">
        <v>71</v>
      </c>
      <c r="AB76" s="33">
        <f t="shared" si="47"/>
        <v>0</v>
      </c>
      <c r="AC76" s="305">
        <f t="shared" si="37"/>
        <v>0</v>
      </c>
      <c r="AD76" s="100">
        <f t="shared" si="48"/>
        <v>0</v>
      </c>
      <c r="AE76" s="100">
        <f t="shared" si="49"/>
        <v>0</v>
      </c>
      <c r="AF76" s="194">
        <f t="shared" si="33"/>
        <v>0</v>
      </c>
      <c r="AG76" s="194">
        <f t="shared" si="34"/>
        <v>0</v>
      </c>
      <c r="AH76" s="194">
        <f t="shared" si="35"/>
        <v>0</v>
      </c>
      <c r="AI76" s="199">
        <f t="shared" si="36"/>
        <v>0</v>
      </c>
      <c r="AK76" s="71">
        <v>71</v>
      </c>
      <c r="AL76" s="33">
        <f t="shared" si="50"/>
        <v>0</v>
      </c>
      <c r="AM76" s="33">
        <f t="shared" si="51"/>
        <v>0</v>
      </c>
      <c r="AN76" s="33">
        <f t="shared" si="52"/>
        <v>0</v>
      </c>
      <c r="AO76" s="33">
        <f t="shared" si="53"/>
        <v>0</v>
      </c>
      <c r="AP76" s="33">
        <f t="shared" si="54"/>
        <v>0</v>
      </c>
      <c r="AQ76" s="194">
        <f t="shared" si="40"/>
        <v>0</v>
      </c>
      <c r="AR76" s="194">
        <f t="shared" si="40"/>
        <v>0</v>
      </c>
      <c r="AS76" s="194">
        <f t="shared" si="40"/>
        <v>0</v>
      </c>
      <c r="AT76" s="194">
        <f t="shared" si="40"/>
        <v>0</v>
      </c>
      <c r="AU76" s="33"/>
      <c r="AV76" s="33"/>
      <c r="AW76" s="33"/>
      <c r="AX76" s="33"/>
      <c r="AY76" s="76"/>
    </row>
    <row r="77" spans="2:51">
      <c r="B77" s="40"/>
      <c r="C77" s="152"/>
      <c r="D77" s="137"/>
      <c r="E77" s="141"/>
      <c r="F77" s="42"/>
      <c r="G77" s="51"/>
      <c r="I77" s="55">
        <v>72</v>
      </c>
      <c r="J77" s="33">
        <f t="shared" si="57"/>
        <v>0</v>
      </c>
      <c r="K77" s="33">
        <f t="shared" si="58"/>
        <v>0</v>
      </c>
      <c r="L77" s="33">
        <f t="shared" si="59"/>
        <v>0</v>
      </c>
      <c r="M77" s="33">
        <f t="shared" si="60"/>
        <v>0</v>
      </c>
      <c r="N77" s="33">
        <f t="shared" si="41"/>
        <v>0</v>
      </c>
      <c r="O77" s="34">
        <f t="shared" si="42"/>
        <v>0</v>
      </c>
      <c r="P77" s="55">
        <v>72</v>
      </c>
      <c r="Q77" s="33">
        <f t="shared" si="55"/>
        <v>0</v>
      </c>
      <c r="R77" s="33">
        <f t="shared" si="61"/>
        <v>0</v>
      </c>
      <c r="S77" s="33">
        <f t="shared" si="62"/>
        <v>0</v>
      </c>
      <c r="T77" s="33">
        <f t="shared" si="43"/>
        <v>0</v>
      </c>
      <c r="U77" s="33">
        <f t="shared" si="56"/>
        <v>0</v>
      </c>
      <c r="V77" s="33">
        <f t="shared" si="44"/>
        <v>0</v>
      </c>
      <c r="W77" s="33">
        <v>0</v>
      </c>
      <c r="X77" s="33">
        <f t="shared" si="45"/>
        <v>0</v>
      </c>
      <c r="Y77" s="38">
        <f t="shared" si="46"/>
        <v>0</v>
      </c>
      <c r="AA77" s="71">
        <v>72</v>
      </c>
      <c r="AB77" s="33">
        <f t="shared" si="47"/>
        <v>0</v>
      </c>
      <c r="AC77" s="305">
        <f t="shared" si="37"/>
        <v>0</v>
      </c>
      <c r="AD77" s="100">
        <f t="shared" si="48"/>
        <v>0</v>
      </c>
      <c r="AE77" s="100">
        <f t="shared" si="49"/>
        <v>0</v>
      </c>
      <c r="AF77" s="194">
        <f t="shared" si="33"/>
        <v>0</v>
      </c>
      <c r="AG77" s="194">
        <f t="shared" si="34"/>
        <v>0</v>
      </c>
      <c r="AH77" s="194">
        <f t="shared" si="35"/>
        <v>0</v>
      </c>
      <c r="AI77" s="199">
        <f t="shared" si="36"/>
        <v>0</v>
      </c>
      <c r="AK77" s="71">
        <v>72</v>
      </c>
      <c r="AL77" s="33">
        <f t="shared" si="50"/>
        <v>0</v>
      </c>
      <c r="AM77" s="33">
        <f t="shared" si="51"/>
        <v>0</v>
      </c>
      <c r="AN77" s="33">
        <f t="shared" si="52"/>
        <v>0</v>
      </c>
      <c r="AO77" s="33">
        <f t="shared" si="53"/>
        <v>0</v>
      </c>
      <c r="AP77" s="33">
        <f t="shared" si="54"/>
        <v>0</v>
      </c>
      <c r="AQ77" s="194">
        <f t="shared" si="40"/>
        <v>0</v>
      </c>
      <c r="AR77" s="194">
        <f t="shared" si="40"/>
        <v>0</v>
      </c>
      <c r="AS77" s="194">
        <f t="shared" si="40"/>
        <v>0</v>
      </c>
      <c r="AT77" s="194">
        <f t="shared" si="40"/>
        <v>0</v>
      </c>
      <c r="AU77" s="33"/>
      <c r="AV77" s="33"/>
      <c r="AW77" s="33"/>
      <c r="AX77" s="33"/>
      <c r="AY77" s="76"/>
    </row>
    <row r="78" spans="2:51">
      <c r="B78" s="43"/>
      <c r="C78" s="153"/>
      <c r="D78" s="154"/>
      <c r="E78" s="141"/>
      <c r="F78" s="42"/>
      <c r="G78" s="51"/>
      <c r="I78" s="55">
        <v>73</v>
      </c>
      <c r="J78" s="33">
        <f t="shared" si="57"/>
        <v>0</v>
      </c>
      <c r="K78" s="33">
        <f t="shared" si="58"/>
        <v>0</v>
      </c>
      <c r="L78" s="33">
        <f t="shared" si="59"/>
        <v>0</v>
      </c>
      <c r="M78" s="33">
        <f t="shared" si="60"/>
        <v>0</v>
      </c>
      <c r="N78" s="33">
        <f t="shared" si="41"/>
        <v>0</v>
      </c>
      <c r="O78" s="34">
        <f t="shared" si="42"/>
        <v>0</v>
      </c>
      <c r="P78" s="55">
        <v>73</v>
      </c>
      <c r="Q78" s="33">
        <f t="shared" si="55"/>
        <v>0</v>
      </c>
      <c r="R78" s="33">
        <f t="shared" si="61"/>
        <v>0</v>
      </c>
      <c r="S78" s="33">
        <f t="shared" si="62"/>
        <v>0</v>
      </c>
      <c r="T78" s="33">
        <f t="shared" si="43"/>
        <v>0</v>
      </c>
      <c r="U78" s="33">
        <f t="shared" si="56"/>
        <v>0</v>
      </c>
      <c r="V78" s="33">
        <f t="shared" si="44"/>
        <v>0</v>
      </c>
      <c r="W78" s="33">
        <v>0</v>
      </c>
      <c r="X78" s="33">
        <f t="shared" si="45"/>
        <v>0</v>
      </c>
      <c r="Y78" s="38">
        <f t="shared" si="46"/>
        <v>0</v>
      </c>
      <c r="AA78" s="71">
        <v>73</v>
      </c>
      <c r="AB78" s="33">
        <f t="shared" si="47"/>
        <v>0</v>
      </c>
      <c r="AC78" s="305">
        <f t="shared" si="37"/>
        <v>0</v>
      </c>
      <c r="AD78" s="100">
        <f t="shared" si="48"/>
        <v>0</v>
      </c>
      <c r="AE78" s="100">
        <f t="shared" si="49"/>
        <v>0</v>
      </c>
      <c r="AF78" s="194">
        <f t="shared" si="33"/>
        <v>0</v>
      </c>
      <c r="AG78" s="194">
        <f t="shared" si="34"/>
        <v>0</v>
      </c>
      <c r="AH78" s="194">
        <f t="shared" si="35"/>
        <v>0</v>
      </c>
      <c r="AI78" s="199">
        <f t="shared" si="36"/>
        <v>0</v>
      </c>
      <c r="AK78" s="71">
        <v>73</v>
      </c>
      <c r="AL78" s="33">
        <f t="shared" si="50"/>
        <v>0</v>
      </c>
      <c r="AM78" s="33">
        <f t="shared" si="51"/>
        <v>0</v>
      </c>
      <c r="AN78" s="33">
        <f t="shared" si="52"/>
        <v>0</v>
      </c>
      <c r="AO78" s="33">
        <f t="shared" si="53"/>
        <v>0</v>
      </c>
      <c r="AP78" s="33">
        <f t="shared" si="54"/>
        <v>0</v>
      </c>
      <c r="AQ78" s="194">
        <f t="shared" si="40"/>
        <v>0</v>
      </c>
      <c r="AR78" s="194">
        <f t="shared" si="40"/>
        <v>0</v>
      </c>
      <c r="AS78" s="194">
        <f t="shared" si="40"/>
        <v>0</v>
      </c>
      <c r="AT78" s="194">
        <f t="shared" si="40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7"/>
        <v>0</v>
      </c>
      <c r="K79" s="33">
        <f t="shared" si="58"/>
        <v>0</v>
      </c>
      <c r="L79" s="33">
        <f t="shared" si="59"/>
        <v>0</v>
      </c>
      <c r="M79" s="33">
        <f t="shared" si="60"/>
        <v>0</v>
      </c>
      <c r="N79" s="33">
        <f t="shared" si="41"/>
        <v>0</v>
      </c>
      <c r="O79" s="34">
        <f t="shared" si="42"/>
        <v>0</v>
      </c>
      <c r="P79" s="55">
        <v>74</v>
      </c>
      <c r="Q79" s="33">
        <f t="shared" si="55"/>
        <v>0</v>
      </c>
      <c r="R79" s="33">
        <f t="shared" si="61"/>
        <v>0</v>
      </c>
      <c r="S79" s="33">
        <f t="shared" si="62"/>
        <v>0</v>
      </c>
      <c r="T79" s="33">
        <f t="shared" si="43"/>
        <v>0</v>
      </c>
      <c r="U79" s="33">
        <f t="shared" si="56"/>
        <v>0</v>
      </c>
      <c r="V79" s="33">
        <f t="shared" si="44"/>
        <v>0</v>
      </c>
      <c r="W79" s="33">
        <v>0</v>
      </c>
      <c r="X79" s="33">
        <f t="shared" si="45"/>
        <v>0</v>
      </c>
      <c r="Y79" s="38">
        <f t="shared" si="46"/>
        <v>0</v>
      </c>
      <c r="AA79" s="71">
        <v>74</v>
      </c>
      <c r="AB79" s="33">
        <f t="shared" si="47"/>
        <v>0</v>
      </c>
      <c r="AC79" s="305">
        <f t="shared" si="37"/>
        <v>0</v>
      </c>
      <c r="AD79" s="100">
        <f t="shared" si="48"/>
        <v>0</v>
      </c>
      <c r="AE79" s="100">
        <f t="shared" si="49"/>
        <v>0</v>
      </c>
      <c r="AF79" s="194">
        <f t="shared" si="33"/>
        <v>0</v>
      </c>
      <c r="AG79" s="194">
        <f t="shared" si="34"/>
        <v>0</v>
      </c>
      <c r="AH79" s="194">
        <f t="shared" si="35"/>
        <v>0</v>
      </c>
      <c r="AI79" s="199">
        <f t="shared" si="36"/>
        <v>0</v>
      </c>
      <c r="AK79" s="71">
        <v>74</v>
      </c>
      <c r="AL79" s="33">
        <f t="shared" si="50"/>
        <v>0</v>
      </c>
      <c r="AM79" s="33">
        <f t="shared" si="51"/>
        <v>0</v>
      </c>
      <c r="AN79" s="33">
        <f t="shared" si="52"/>
        <v>0</v>
      </c>
      <c r="AO79" s="33">
        <f t="shared" si="53"/>
        <v>0</v>
      </c>
      <c r="AP79" s="33">
        <f t="shared" si="54"/>
        <v>0</v>
      </c>
      <c r="AQ79" s="194">
        <f t="shared" si="40"/>
        <v>0</v>
      </c>
      <c r="AR79" s="194">
        <f t="shared" si="40"/>
        <v>0</v>
      </c>
      <c r="AS79" s="194">
        <f t="shared" si="40"/>
        <v>0</v>
      </c>
      <c r="AT79" s="194">
        <f t="shared" si="40"/>
        <v>0</v>
      </c>
      <c r="AU79" s="33"/>
      <c r="AV79" s="33"/>
      <c r="AW79" s="33"/>
      <c r="AX79" s="33"/>
      <c r="AY79" s="76"/>
    </row>
    <row r="80" spans="2:51">
      <c r="B80" s="378" t="s">
        <v>258</v>
      </c>
      <c r="C80" s="379"/>
      <c r="D80" s="379"/>
      <c r="E80" s="379"/>
      <c r="F80" s="379"/>
      <c r="G80" s="380"/>
      <c r="H80" s="23"/>
      <c r="I80" s="55">
        <v>75</v>
      </c>
      <c r="J80" s="33">
        <f t="shared" si="57"/>
        <v>0</v>
      </c>
      <c r="K80" s="33">
        <f t="shared" si="58"/>
        <v>0</v>
      </c>
      <c r="L80" s="33">
        <f t="shared" si="59"/>
        <v>0</v>
      </c>
      <c r="M80" s="33">
        <f t="shared" si="60"/>
        <v>0</v>
      </c>
      <c r="N80" s="33">
        <f t="shared" si="41"/>
        <v>0</v>
      </c>
      <c r="O80" s="34">
        <f t="shared" si="42"/>
        <v>0</v>
      </c>
      <c r="P80" s="55">
        <v>75</v>
      </c>
      <c r="Q80" s="33">
        <f t="shared" si="55"/>
        <v>0</v>
      </c>
      <c r="R80" s="33">
        <f t="shared" si="61"/>
        <v>0</v>
      </c>
      <c r="S80" s="33">
        <f t="shared" si="62"/>
        <v>0</v>
      </c>
      <c r="T80" s="33">
        <f t="shared" si="43"/>
        <v>0</v>
      </c>
      <c r="U80" s="33">
        <f t="shared" si="56"/>
        <v>0</v>
      </c>
      <c r="V80" s="33">
        <f t="shared" si="44"/>
        <v>0</v>
      </c>
      <c r="W80" s="33">
        <v>0</v>
      </c>
      <c r="X80" s="33">
        <f t="shared" si="45"/>
        <v>0</v>
      </c>
      <c r="Y80" s="38">
        <f t="shared" si="46"/>
        <v>0</v>
      </c>
      <c r="AA80" s="71">
        <v>75</v>
      </c>
      <c r="AB80" s="33">
        <f t="shared" si="47"/>
        <v>0</v>
      </c>
      <c r="AC80" s="305">
        <f t="shared" si="37"/>
        <v>0</v>
      </c>
      <c r="AD80" s="100">
        <f t="shared" si="48"/>
        <v>0</v>
      </c>
      <c r="AE80" s="100">
        <f t="shared" si="49"/>
        <v>0</v>
      </c>
      <c r="AF80" s="194">
        <f t="shared" si="33"/>
        <v>0</v>
      </c>
      <c r="AG80" s="194">
        <f t="shared" si="34"/>
        <v>0</v>
      </c>
      <c r="AH80" s="194">
        <f t="shared" si="35"/>
        <v>0</v>
      </c>
      <c r="AI80" s="199">
        <f t="shared" si="36"/>
        <v>0</v>
      </c>
      <c r="AK80" s="71">
        <v>75</v>
      </c>
      <c r="AL80" s="33">
        <f t="shared" si="50"/>
        <v>0</v>
      </c>
      <c r="AM80" s="33">
        <f t="shared" si="51"/>
        <v>0</v>
      </c>
      <c r="AN80" s="33">
        <f t="shared" si="52"/>
        <v>0</v>
      </c>
      <c r="AO80" s="33">
        <f t="shared" si="53"/>
        <v>0</v>
      </c>
      <c r="AP80" s="33">
        <f t="shared" si="54"/>
        <v>0</v>
      </c>
      <c r="AQ80" s="194">
        <f t="shared" si="40"/>
        <v>0</v>
      </c>
      <c r="AR80" s="194">
        <f t="shared" si="40"/>
        <v>0</v>
      </c>
      <c r="AS80" s="194">
        <f t="shared" si="40"/>
        <v>0</v>
      </c>
      <c r="AT80" s="194">
        <f t="shared" si="40"/>
        <v>0</v>
      </c>
      <c r="AU80" s="33"/>
      <c r="AV80" s="33"/>
      <c r="AW80" s="33"/>
      <c r="AX80" s="33"/>
      <c r="AY80" s="76"/>
    </row>
    <row r="81" spans="1:51">
      <c r="A81" t="s">
        <v>193</v>
      </c>
      <c r="B81" s="139" t="s">
        <v>76</v>
      </c>
      <c r="C81" s="132" t="s">
        <v>155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7"/>
      <c r="I81" s="55">
        <v>76</v>
      </c>
      <c r="J81" s="33">
        <f t="shared" si="57"/>
        <v>0</v>
      </c>
      <c r="K81" s="33">
        <f t="shared" si="58"/>
        <v>0</v>
      </c>
      <c r="L81" s="33">
        <f t="shared" si="59"/>
        <v>0</v>
      </c>
      <c r="M81" s="33">
        <f t="shared" si="60"/>
        <v>0</v>
      </c>
      <c r="N81" s="33">
        <f t="shared" si="41"/>
        <v>0</v>
      </c>
      <c r="O81" s="34">
        <f t="shared" si="42"/>
        <v>0</v>
      </c>
      <c r="P81" s="55">
        <v>76</v>
      </c>
      <c r="Q81" s="33">
        <f t="shared" si="55"/>
        <v>0</v>
      </c>
      <c r="R81" s="33">
        <f t="shared" si="61"/>
        <v>0</v>
      </c>
      <c r="S81" s="33">
        <f t="shared" si="62"/>
        <v>0</v>
      </c>
      <c r="T81" s="33">
        <f t="shared" si="43"/>
        <v>0</v>
      </c>
      <c r="U81" s="33">
        <f t="shared" si="56"/>
        <v>0</v>
      </c>
      <c r="V81" s="33">
        <f t="shared" si="44"/>
        <v>0</v>
      </c>
      <c r="W81" s="33">
        <v>0</v>
      </c>
      <c r="X81" s="33">
        <f t="shared" si="45"/>
        <v>0</v>
      </c>
      <c r="Y81" s="38">
        <f t="shared" si="46"/>
        <v>0</v>
      </c>
      <c r="AA81" s="71">
        <v>76</v>
      </c>
      <c r="AB81" s="33">
        <f t="shared" si="47"/>
        <v>0</v>
      </c>
      <c r="AC81" s="305">
        <f t="shared" si="37"/>
        <v>0</v>
      </c>
      <c r="AD81" s="100">
        <f t="shared" si="48"/>
        <v>0</v>
      </c>
      <c r="AE81" s="100">
        <f t="shared" si="49"/>
        <v>0</v>
      </c>
      <c r="AF81" s="194">
        <f t="shared" si="33"/>
        <v>0</v>
      </c>
      <c r="AG81" s="194">
        <f t="shared" si="34"/>
        <v>0</v>
      </c>
      <c r="AH81" s="194">
        <f t="shared" si="35"/>
        <v>0</v>
      </c>
      <c r="AI81" s="199">
        <f t="shared" si="36"/>
        <v>0</v>
      </c>
      <c r="AK81" s="71">
        <v>76</v>
      </c>
      <c r="AL81" s="33">
        <f t="shared" si="50"/>
        <v>0</v>
      </c>
      <c r="AM81" s="33">
        <f t="shared" si="51"/>
        <v>0</v>
      </c>
      <c r="AN81" s="33">
        <f t="shared" si="52"/>
        <v>0</v>
      </c>
      <c r="AO81" s="33">
        <f t="shared" si="53"/>
        <v>0</v>
      </c>
      <c r="AP81" s="33">
        <f t="shared" si="54"/>
        <v>0</v>
      </c>
      <c r="AQ81" s="194">
        <f t="shared" si="40"/>
        <v>0</v>
      </c>
      <c r="AR81" s="194">
        <f t="shared" si="40"/>
        <v>0</v>
      </c>
      <c r="AS81" s="194">
        <f t="shared" si="40"/>
        <v>0</v>
      </c>
      <c r="AT81" s="194">
        <f t="shared" si="40"/>
        <v>0</v>
      </c>
      <c r="AU81" s="33"/>
      <c r="AV81" s="33"/>
      <c r="AW81" s="33"/>
      <c r="AX81" s="33"/>
      <c r="AY81" s="76"/>
    </row>
    <row r="82" spans="1:51">
      <c r="A82" t="s">
        <v>192</v>
      </c>
      <c r="B82" s="170">
        <f>IF(C25&lt;=$F$18,C25+1,"-")</f>
        <v>21</v>
      </c>
      <c r="C82" s="145">
        <f>D25-D26</f>
        <v>40</v>
      </c>
      <c r="D82" s="146">
        <v>0</v>
      </c>
      <c r="E82" s="171">
        <f>IF(G82+D82&lt;&gt;1,(1-(G82+D82))*56%,0)</f>
        <v>0.56000000000000005</v>
      </c>
      <c r="F82" s="171">
        <f>IF(G82+D82&lt;&gt;1,(1-(G82+D82))*44%,0)</f>
        <v>0.44</v>
      </c>
      <c r="G82" s="147"/>
      <c r="H82" s="58">
        <f t="shared" ref="H82:H94" si="63">IF(C82=0,0,IF(SUM(D82:G82)&lt;&gt;1,"erreur",))</f>
        <v>0</v>
      </c>
      <c r="I82" s="55">
        <v>77</v>
      </c>
      <c r="J82" s="33">
        <f t="shared" si="57"/>
        <v>0</v>
      </c>
      <c r="K82" s="33">
        <f t="shared" si="58"/>
        <v>0</v>
      </c>
      <c r="L82" s="33">
        <f t="shared" si="59"/>
        <v>0</v>
      </c>
      <c r="M82" s="33">
        <f t="shared" si="60"/>
        <v>0</v>
      </c>
      <c r="N82" s="33">
        <f t="shared" si="41"/>
        <v>0</v>
      </c>
      <c r="O82" s="34">
        <f t="shared" si="42"/>
        <v>0</v>
      </c>
      <c r="P82" s="55">
        <v>77</v>
      </c>
      <c r="Q82" s="33">
        <f t="shared" si="55"/>
        <v>0</v>
      </c>
      <c r="R82" s="33">
        <f t="shared" si="61"/>
        <v>0</v>
      </c>
      <c r="S82" s="33">
        <f t="shared" si="62"/>
        <v>0</v>
      </c>
      <c r="T82" s="33">
        <f t="shared" si="43"/>
        <v>0</v>
      </c>
      <c r="U82" s="33">
        <f t="shared" si="56"/>
        <v>0</v>
      </c>
      <c r="V82" s="33">
        <f t="shared" si="44"/>
        <v>0</v>
      </c>
      <c r="W82" s="33">
        <v>0</v>
      </c>
      <c r="X82" s="33">
        <f t="shared" si="45"/>
        <v>0</v>
      </c>
      <c r="Y82" s="38">
        <f t="shared" si="46"/>
        <v>0</v>
      </c>
      <c r="AA82" s="71">
        <v>77</v>
      </c>
      <c r="AB82" s="33">
        <f t="shared" si="47"/>
        <v>0</v>
      </c>
      <c r="AC82" s="305">
        <f t="shared" si="37"/>
        <v>0</v>
      </c>
      <c r="AD82" s="100">
        <f t="shared" si="48"/>
        <v>0</v>
      </c>
      <c r="AE82" s="100">
        <f t="shared" si="49"/>
        <v>0</v>
      </c>
      <c r="AF82" s="194">
        <f t="shared" si="33"/>
        <v>0</v>
      </c>
      <c r="AG82" s="194">
        <f t="shared" si="34"/>
        <v>0</v>
      </c>
      <c r="AH82" s="194">
        <f t="shared" si="35"/>
        <v>0</v>
      </c>
      <c r="AI82" s="199">
        <f t="shared" si="36"/>
        <v>0</v>
      </c>
      <c r="AK82" s="71">
        <v>77</v>
      </c>
      <c r="AL82" s="33">
        <f t="shared" si="50"/>
        <v>0</v>
      </c>
      <c r="AM82" s="33">
        <f t="shared" si="51"/>
        <v>0</v>
      </c>
      <c r="AN82" s="33">
        <f t="shared" si="52"/>
        <v>0</v>
      </c>
      <c r="AO82" s="33">
        <f t="shared" si="53"/>
        <v>0</v>
      </c>
      <c r="AP82" s="33">
        <f t="shared" si="54"/>
        <v>0</v>
      </c>
      <c r="AQ82" s="194">
        <f t="shared" si="40"/>
        <v>0</v>
      </c>
      <c r="AR82" s="194">
        <f t="shared" si="40"/>
        <v>0</v>
      </c>
      <c r="AS82" s="194">
        <f t="shared" si="40"/>
        <v>0</v>
      </c>
      <c r="AT82" s="194">
        <f t="shared" si="40"/>
        <v>0</v>
      </c>
      <c r="AU82" s="33"/>
      <c r="AV82" s="33"/>
      <c r="AW82" s="33"/>
      <c r="AX82" s="33"/>
      <c r="AY82" s="76"/>
    </row>
    <row r="83" spans="1:51">
      <c r="A83" t="s">
        <v>192</v>
      </c>
      <c r="B83" s="172">
        <f>IF(C27&lt;=$F$18,C27+1,"-")</f>
        <v>31</v>
      </c>
      <c r="C83" s="148">
        <f>D27-D28</f>
        <v>50</v>
      </c>
      <c r="D83" s="149">
        <v>0.2</v>
      </c>
      <c r="E83" s="129">
        <f t="shared" ref="E83:E91" si="64">IF(G83+D83&lt;&gt;1,(1-(G83+D83))*56%,0)</f>
        <v>0.44800000000000006</v>
      </c>
      <c r="F83" s="129">
        <f t="shared" ref="F83:F91" si="65">IF(G83+D83&lt;&gt;1,(1-(G83+D83))*44%,0)</f>
        <v>0.35200000000000004</v>
      </c>
      <c r="G83" s="150"/>
      <c r="H83" s="58">
        <f t="shared" si="63"/>
        <v>0</v>
      </c>
      <c r="I83" s="55">
        <v>78</v>
      </c>
      <c r="J83" s="33">
        <f t="shared" si="57"/>
        <v>0</v>
      </c>
      <c r="K83" s="33">
        <f t="shared" si="58"/>
        <v>0</v>
      </c>
      <c r="L83" s="33">
        <f t="shared" si="59"/>
        <v>0</v>
      </c>
      <c r="M83" s="33">
        <f t="shared" si="60"/>
        <v>0</v>
      </c>
      <c r="N83" s="33">
        <f t="shared" si="41"/>
        <v>0</v>
      </c>
      <c r="O83" s="34">
        <f t="shared" si="42"/>
        <v>0</v>
      </c>
      <c r="P83" s="55">
        <v>78</v>
      </c>
      <c r="Q83" s="33">
        <f t="shared" si="55"/>
        <v>0</v>
      </c>
      <c r="R83" s="33">
        <f t="shared" si="61"/>
        <v>0</v>
      </c>
      <c r="S83" s="33">
        <f t="shared" si="62"/>
        <v>0</v>
      </c>
      <c r="T83" s="33">
        <f t="shared" si="43"/>
        <v>0</v>
      </c>
      <c r="U83" s="33">
        <f t="shared" si="56"/>
        <v>0</v>
      </c>
      <c r="V83" s="33">
        <f t="shared" si="44"/>
        <v>0</v>
      </c>
      <c r="W83" s="33">
        <v>0</v>
      </c>
      <c r="X83" s="33">
        <f t="shared" si="45"/>
        <v>0</v>
      </c>
      <c r="Y83" s="38">
        <f t="shared" si="46"/>
        <v>0</v>
      </c>
      <c r="AA83" s="71">
        <v>78</v>
      </c>
      <c r="AB83" s="33">
        <f t="shared" si="47"/>
        <v>0</v>
      </c>
      <c r="AC83" s="305">
        <f t="shared" si="37"/>
        <v>0</v>
      </c>
      <c r="AD83" s="100">
        <f t="shared" si="48"/>
        <v>0</v>
      </c>
      <c r="AE83" s="100">
        <f t="shared" si="49"/>
        <v>0</v>
      </c>
      <c r="AF83" s="194">
        <f t="shared" si="33"/>
        <v>0</v>
      </c>
      <c r="AG83" s="194">
        <f t="shared" si="34"/>
        <v>0</v>
      </c>
      <c r="AH83" s="194">
        <f t="shared" si="35"/>
        <v>0</v>
      </c>
      <c r="AI83" s="199">
        <f t="shared" si="36"/>
        <v>0</v>
      </c>
      <c r="AK83" s="71">
        <v>78</v>
      </c>
      <c r="AL83" s="33">
        <f t="shared" si="50"/>
        <v>0</v>
      </c>
      <c r="AM83" s="33">
        <f t="shared" si="51"/>
        <v>0</v>
      </c>
      <c r="AN83" s="33">
        <f t="shared" si="52"/>
        <v>0</v>
      </c>
      <c r="AO83" s="33">
        <f t="shared" si="53"/>
        <v>0</v>
      </c>
      <c r="AP83" s="33">
        <f t="shared" si="54"/>
        <v>0</v>
      </c>
      <c r="AQ83" s="194">
        <f t="shared" si="40"/>
        <v>0</v>
      </c>
      <c r="AR83" s="194">
        <f t="shared" si="40"/>
        <v>0</v>
      </c>
      <c r="AS83" s="194">
        <f t="shared" si="40"/>
        <v>0</v>
      </c>
      <c r="AT83" s="194">
        <f t="shared" si="40"/>
        <v>0</v>
      </c>
      <c r="AU83" s="33"/>
      <c r="AV83" s="33"/>
      <c r="AW83" s="33"/>
      <c r="AX83" s="33"/>
      <c r="AY83" s="76"/>
    </row>
    <row r="84" spans="1:51">
      <c r="A84" t="s">
        <v>192</v>
      </c>
      <c r="B84" s="187">
        <f>IF(C29&lt;=$F$18,C29+1,"-")</f>
        <v>41</v>
      </c>
      <c r="C84" s="148">
        <f>D29-D30</f>
        <v>50</v>
      </c>
      <c r="D84" s="149">
        <v>0.4</v>
      </c>
      <c r="E84" s="129">
        <f t="shared" si="64"/>
        <v>0.33600000000000002</v>
      </c>
      <c r="F84" s="129">
        <f t="shared" si="65"/>
        <v>0.26400000000000001</v>
      </c>
      <c r="G84" s="150"/>
      <c r="H84" s="58">
        <f t="shared" si="63"/>
        <v>0</v>
      </c>
      <c r="I84" s="55">
        <v>79</v>
      </c>
      <c r="J84" s="33">
        <f t="shared" si="57"/>
        <v>0</v>
      </c>
      <c r="K84" s="33">
        <f t="shared" si="58"/>
        <v>0</v>
      </c>
      <c r="L84" s="33">
        <f t="shared" si="59"/>
        <v>0</v>
      </c>
      <c r="M84" s="33">
        <f t="shared" si="60"/>
        <v>0</v>
      </c>
      <c r="N84" s="33">
        <f t="shared" si="41"/>
        <v>0</v>
      </c>
      <c r="O84" s="34">
        <f t="shared" si="42"/>
        <v>0</v>
      </c>
      <c r="P84" s="55">
        <v>79</v>
      </c>
      <c r="Q84" s="33">
        <f t="shared" si="55"/>
        <v>0</v>
      </c>
      <c r="R84" s="33">
        <f t="shared" si="61"/>
        <v>0</v>
      </c>
      <c r="S84" s="33">
        <f t="shared" si="62"/>
        <v>0</v>
      </c>
      <c r="T84" s="33">
        <f t="shared" si="43"/>
        <v>0</v>
      </c>
      <c r="U84" s="33">
        <f t="shared" si="56"/>
        <v>0</v>
      </c>
      <c r="V84" s="33">
        <f t="shared" si="44"/>
        <v>0</v>
      </c>
      <c r="W84" s="33">
        <v>0</v>
      </c>
      <c r="X84" s="33">
        <f t="shared" si="45"/>
        <v>0</v>
      </c>
      <c r="Y84" s="38">
        <f t="shared" si="46"/>
        <v>0</v>
      </c>
      <c r="AA84" s="71">
        <v>79</v>
      </c>
      <c r="AB84" s="33">
        <f t="shared" si="47"/>
        <v>0</v>
      </c>
      <c r="AC84" s="305">
        <f t="shared" si="37"/>
        <v>0</v>
      </c>
      <c r="AD84" s="100">
        <f t="shared" si="48"/>
        <v>0</v>
      </c>
      <c r="AE84" s="100">
        <f t="shared" si="49"/>
        <v>0</v>
      </c>
      <c r="AF84" s="194">
        <f t="shared" si="33"/>
        <v>0</v>
      </c>
      <c r="AG84" s="194">
        <f t="shared" si="34"/>
        <v>0</v>
      </c>
      <c r="AH84" s="194">
        <f t="shared" si="35"/>
        <v>0</v>
      </c>
      <c r="AI84" s="199">
        <f t="shared" si="36"/>
        <v>0</v>
      </c>
      <c r="AK84" s="71">
        <v>79</v>
      </c>
      <c r="AL84" s="33">
        <f t="shared" si="50"/>
        <v>0</v>
      </c>
      <c r="AM84" s="33">
        <f t="shared" si="51"/>
        <v>0</v>
      </c>
      <c r="AN84" s="33">
        <f t="shared" si="52"/>
        <v>0</v>
      </c>
      <c r="AO84" s="33">
        <f t="shared" si="53"/>
        <v>0</v>
      </c>
      <c r="AP84" s="33">
        <f t="shared" si="54"/>
        <v>0</v>
      </c>
      <c r="AQ84" s="194">
        <f t="shared" si="40"/>
        <v>0</v>
      </c>
      <c r="AR84" s="194">
        <f t="shared" si="40"/>
        <v>0</v>
      </c>
      <c r="AS84" s="194">
        <f t="shared" si="40"/>
        <v>0</v>
      </c>
      <c r="AT84" s="194">
        <f t="shared" si="40"/>
        <v>0</v>
      </c>
      <c r="AU84" s="33"/>
      <c r="AV84" s="33"/>
      <c r="AW84" s="33"/>
      <c r="AX84" s="33"/>
      <c r="AY84" s="76"/>
    </row>
    <row r="85" spans="1:51">
      <c r="A85" t="s">
        <v>192</v>
      </c>
      <c r="B85" s="172">
        <f>IF(C31&lt;=$F$18,C31+1,"-")</f>
        <v>51</v>
      </c>
      <c r="C85" s="148">
        <f>D31-D32</f>
        <v>50</v>
      </c>
      <c r="D85" s="149">
        <v>0.6</v>
      </c>
      <c r="E85" s="129">
        <f t="shared" si="64"/>
        <v>0.22400000000000003</v>
      </c>
      <c r="F85" s="129">
        <f t="shared" si="65"/>
        <v>0.17600000000000002</v>
      </c>
      <c r="G85" s="150"/>
      <c r="H85" s="58">
        <f t="shared" si="63"/>
        <v>0</v>
      </c>
      <c r="I85" s="55">
        <v>80</v>
      </c>
      <c r="J85" s="33">
        <f t="shared" si="57"/>
        <v>0</v>
      </c>
      <c r="K85" s="33">
        <f t="shared" si="58"/>
        <v>0</v>
      </c>
      <c r="L85" s="33">
        <f t="shared" si="59"/>
        <v>0</v>
      </c>
      <c r="M85" s="33">
        <f t="shared" si="60"/>
        <v>0</v>
      </c>
      <c r="N85" s="33">
        <f t="shared" si="41"/>
        <v>0</v>
      </c>
      <c r="O85" s="34">
        <f t="shared" si="42"/>
        <v>0</v>
      </c>
      <c r="P85" s="55">
        <v>80</v>
      </c>
      <c r="Q85" s="33">
        <f t="shared" si="55"/>
        <v>0</v>
      </c>
      <c r="R85" s="33">
        <f t="shared" si="61"/>
        <v>0</v>
      </c>
      <c r="S85" s="33">
        <f t="shared" si="62"/>
        <v>0</v>
      </c>
      <c r="T85" s="33">
        <f t="shared" si="43"/>
        <v>0</v>
      </c>
      <c r="U85" s="33">
        <f t="shared" si="56"/>
        <v>0</v>
      </c>
      <c r="V85" s="33">
        <f t="shared" si="44"/>
        <v>0</v>
      </c>
      <c r="W85" s="33">
        <v>0</v>
      </c>
      <c r="X85" s="33">
        <f t="shared" si="45"/>
        <v>0</v>
      </c>
      <c r="Y85" s="38">
        <f t="shared" si="46"/>
        <v>0</v>
      </c>
      <c r="AA85" s="71">
        <v>80</v>
      </c>
      <c r="AB85" s="33">
        <f t="shared" si="47"/>
        <v>0</v>
      </c>
      <c r="AC85" s="305">
        <f t="shared" si="37"/>
        <v>0</v>
      </c>
      <c r="AD85" s="100">
        <f t="shared" si="48"/>
        <v>0</v>
      </c>
      <c r="AE85" s="100">
        <f t="shared" si="49"/>
        <v>0</v>
      </c>
      <c r="AF85" s="194">
        <f t="shared" si="33"/>
        <v>0</v>
      </c>
      <c r="AG85" s="194">
        <f t="shared" si="34"/>
        <v>0</v>
      </c>
      <c r="AH85" s="194">
        <f t="shared" si="35"/>
        <v>0</v>
      </c>
      <c r="AI85" s="199">
        <f t="shared" si="36"/>
        <v>0</v>
      </c>
      <c r="AK85" s="71">
        <v>80</v>
      </c>
      <c r="AL85" s="33">
        <f t="shared" si="50"/>
        <v>0</v>
      </c>
      <c r="AM85" s="33">
        <f t="shared" si="51"/>
        <v>0</v>
      </c>
      <c r="AN85" s="33">
        <f t="shared" si="52"/>
        <v>0</v>
      </c>
      <c r="AO85" s="33">
        <f t="shared" si="53"/>
        <v>0</v>
      </c>
      <c r="AP85" s="33">
        <f t="shared" si="54"/>
        <v>0</v>
      </c>
      <c r="AQ85" s="194">
        <f t="shared" si="40"/>
        <v>0</v>
      </c>
      <c r="AR85" s="194">
        <f t="shared" si="40"/>
        <v>0</v>
      </c>
      <c r="AS85" s="194">
        <f t="shared" si="40"/>
        <v>0</v>
      </c>
      <c r="AT85" s="194">
        <f t="shared" si="40"/>
        <v>0</v>
      </c>
      <c r="AU85" s="33"/>
      <c r="AV85" s="33"/>
      <c r="AW85" s="33"/>
      <c r="AX85" s="33"/>
      <c r="AY85" s="76"/>
    </row>
    <row r="86" spans="1:51">
      <c r="A86" t="s">
        <v>192</v>
      </c>
      <c r="B86" s="172">
        <f>IF(C33&lt;=$F$18,C33+1,"-")</f>
        <v>61</v>
      </c>
      <c r="C86" s="148">
        <f>D33-D34</f>
        <v>40</v>
      </c>
      <c r="D86" s="149">
        <v>0.8</v>
      </c>
      <c r="E86" s="129">
        <f t="shared" si="64"/>
        <v>0.11199999999999999</v>
      </c>
      <c r="F86" s="129">
        <f t="shared" si="65"/>
        <v>8.7999999999999981E-2</v>
      </c>
      <c r="G86" s="150"/>
      <c r="H86" s="58">
        <f t="shared" si="63"/>
        <v>0</v>
      </c>
      <c r="I86" s="55">
        <v>81</v>
      </c>
      <c r="J86" s="33">
        <f t="shared" si="57"/>
        <v>0</v>
      </c>
      <c r="K86" s="33">
        <f t="shared" si="58"/>
        <v>0</v>
      </c>
      <c r="L86" s="33">
        <f t="shared" si="59"/>
        <v>0</v>
      </c>
      <c r="M86" s="33">
        <f t="shared" si="60"/>
        <v>0</v>
      </c>
      <c r="N86" s="33">
        <f t="shared" si="41"/>
        <v>0</v>
      </c>
      <c r="O86" s="34">
        <f t="shared" si="42"/>
        <v>0</v>
      </c>
      <c r="P86" s="55">
        <v>81</v>
      </c>
      <c r="Q86" s="33">
        <f t="shared" si="55"/>
        <v>0</v>
      </c>
      <c r="R86" s="33">
        <f t="shared" si="61"/>
        <v>0</v>
      </c>
      <c r="S86" s="33">
        <f t="shared" si="62"/>
        <v>0</v>
      </c>
      <c r="T86" s="33">
        <f t="shared" si="43"/>
        <v>0</v>
      </c>
      <c r="U86" s="33">
        <f t="shared" si="56"/>
        <v>0</v>
      </c>
      <c r="V86" s="33">
        <f t="shared" si="44"/>
        <v>0</v>
      </c>
      <c r="W86" s="33">
        <v>0</v>
      </c>
      <c r="X86" s="33">
        <f t="shared" si="45"/>
        <v>0</v>
      </c>
      <c r="Y86" s="38">
        <f t="shared" si="46"/>
        <v>0</v>
      </c>
      <c r="AA86" s="71">
        <v>81</v>
      </c>
      <c r="AB86" s="33">
        <f t="shared" si="47"/>
        <v>0</v>
      </c>
      <c r="AC86" s="305">
        <f t="shared" si="37"/>
        <v>0</v>
      </c>
      <c r="AD86" s="100">
        <f t="shared" si="48"/>
        <v>0</v>
      </c>
      <c r="AE86" s="100">
        <f t="shared" si="49"/>
        <v>0</v>
      </c>
      <c r="AF86" s="194">
        <f t="shared" si="33"/>
        <v>0</v>
      </c>
      <c r="AG86" s="194">
        <f t="shared" si="34"/>
        <v>0</v>
      </c>
      <c r="AH86" s="194">
        <f t="shared" si="35"/>
        <v>0</v>
      </c>
      <c r="AI86" s="199">
        <f t="shared" si="36"/>
        <v>0</v>
      </c>
      <c r="AK86" s="71">
        <v>81</v>
      </c>
      <c r="AL86" s="33">
        <f t="shared" si="50"/>
        <v>0</v>
      </c>
      <c r="AM86" s="33">
        <f t="shared" si="51"/>
        <v>0</v>
      </c>
      <c r="AN86" s="33">
        <f t="shared" si="52"/>
        <v>0</v>
      </c>
      <c r="AO86" s="33">
        <f t="shared" si="53"/>
        <v>0</v>
      </c>
      <c r="AP86" s="33">
        <f t="shared" si="54"/>
        <v>0</v>
      </c>
      <c r="AQ86" s="194">
        <f t="shared" si="40"/>
        <v>0</v>
      </c>
      <c r="AR86" s="194">
        <f t="shared" si="40"/>
        <v>0</v>
      </c>
      <c r="AS86" s="194">
        <f t="shared" si="40"/>
        <v>0</v>
      </c>
      <c r="AT86" s="194">
        <f t="shared" si="40"/>
        <v>0</v>
      </c>
      <c r="AU86" s="33"/>
      <c r="AV86" s="33"/>
      <c r="AW86" s="33"/>
      <c r="AX86" s="33"/>
      <c r="AY86" s="76"/>
    </row>
    <row r="87" spans="1:51">
      <c r="A87" t="s">
        <v>192</v>
      </c>
      <c r="B87" s="172" t="str">
        <f>IF(C35&lt;=$F$18,C35+1,"-")</f>
        <v>-</v>
      </c>
      <c r="C87" s="148">
        <f>D35-D36</f>
        <v>40</v>
      </c>
      <c r="D87" s="149">
        <v>0.4</v>
      </c>
      <c r="E87" s="129">
        <f t="shared" si="64"/>
        <v>0.33600000000000002</v>
      </c>
      <c r="F87" s="129">
        <f t="shared" si="65"/>
        <v>0.26400000000000001</v>
      </c>
      <c r="G87" s="150"/>
      <c r="H87" s="58">
        <f t="shared" si="63"/>
        <v>0</v>
      </c>
      <c r="I87" s="55">
        <v>82</v>
      </c>
      <c r="J87" s="33">
        <f t="shared" si="57"/>
        <v>0</v>
      </c>
      <c r="K87" s="33">
        <f t="shared" si="58"/>
        <v>0</v>
      </c>
      <c r="L87" s="33">
        <f t="shared" si="59"/>
        <v>0</v>
      </c>
      <c r="M87" s="33">
        <f t="shared" si="60"/>
        <v>0</v>
      </c>
      <c r="N87" s="33">
        <f t="shared" si="41"/>
        <v>0</v>
      </c>
      <c r="O87" s="34">
        <f t="shared" si="42"/>
        <v>0</v>
      </c>
      <c r="P87" s="55">
        <v>82</v>
      </c>
      <c r="Q87" s="33">
        <f t="shared" si="55"/>
        <v>0</v>
      </c>
      <c r="R87" s="33">
        <f t="shared" si="61"/>
        <v>0</v>
      </c>
      <c r="S87" s="33">
        <f t="shared" si="62"/>
        <v>0</v>
      </c>
      <c r="T87" s="33">
        <f t="shared" si="43"/>
        <v>0</v>
      </c>
      <c r="U87" s="33">
        <f t="shared" si="56"/>
        <v>0</v>
      </c>
      <c r="V87" s="33">
        <f t="shared" si="44"/>
        <v>0</v>
      </c>
      <c r="W87" s="33">
        <v>0</v>
      </c>
      <c r="X87" s="33">
        <f t="shared" si="45"/>
        <v>0</v>
      </c>
      <c r="Y87" s="38">
        <f t="shared" si="46"/>
        <v>0</v>
      </c>
      <c r="AA87" s="71">
        <v>82</v>
      </c>
      <c r="AB87" s="33">
        <f t="shared" si="47"/>
        <v>0</v>
      </c>
      <c r="AC87" s="305">
        <f t="shared" si="37"/>
        <v>0</v>
      </c>
      <c r="AD87" s="100">
        <f t="shared" si="48"/>
        <v>0</v>
      </c>
      <c r="AE87" s="100">
        <f t="shared" si="49"/>
        <v>0</v>
      </c>
      <c r="AF87" s="194">
        <f t="shared" si="33"/>
        <v>0</v>
      </c>
      <c r="AG87" s="194">
        <f t="shared" si="34"/>
        <v>0</v>
      </c>
      <c r="AH87" s="194">
        <f t="shared" si="35"/>
        <v>0</v>
      </c>
      <c r="AI87" s="199">
        <f t="shared" si="36"/>
        <v>0</v>
      </c>
      <c r="AK87" s="71">
        <v>82</v>
      </c>
      <c r="AL87" s="33">
        <f t="shared" si="50"/>
        <v>0</v>
      </c>
      <c r="AM87" s="33">
        <f t="shared" si="51"/>
        <v>0</v>
      </c>
      <c r="AN87" s="33">
        <f t="shared" si="52"/>
        <v>0</v>
      </c>
      <c r="AO87" s="33">
        <f t="shared" si="53"/>
        <v>0</v>
      </c>
      <c r="AP87" s="33">
        <f t="shared" si="54"/>
        <v>0</v>
      </c>
      <c r="AQ87" s="194">
        <f t="shared" si="40"/>
        <v>0</v>
      </c>
      <c r="AR87" s="194">
        <f t="shared" si="40"/>
        <v>0</v>
      </c>
      <c r="AS87" s="194">
        <f t="shared" si="40"/>
        <v>0</v>
      </c>
      <c r="AT87" s="194">
        <f t="shared" si="40"/>
        <v>0</v>
      </c>
      <c r="AU87" s="33"/>
      <c r="AV87" s="33"/>
      <c r="AW87" s="33"/>
      <c r="AX87" s="33"/>
      <c r="AY87" s="76"/>
    </row>
    <row r="88" spans="1:51">
      <c r="A88" t="s">
        <v>192</v>
      </c>
      <c r="B88" s="172" t="str">
        <f>IF(C37&lt;=$F$18,C37+1,"-")</f>
        <v>-</v>
      </c>
      <c r="C88" s="148">
        <f>D37-D38</f>
        <v>30</v>
      </c>
      <c r="D88" s="149">
        <v>0.5</v>
      </c>
      <c r="E88" s="129">
        <f t="shared" si="64"/>
        <v>0.28000000000000003</v>
      </c>
      <c r="F88" s="129">
        <f t="shared" si="65"/>
        <v>0.22</v>
      </c>
      <c r="G88" s="150"/>
      <c r="H88" s="58">
        <f t="shared" si="63"/>
        <v>0</v>
      </c>
      <c r="I88" s="55">
        <v>83</v>
      </c>
      <c r="J88" s="33">
        <f t="shared" si="57"/>
        <v>0</v>
      </c>
      <c r="K88" s="33">
        <f t="shared" si="58"/>
        <v>0</v>
      </c>
      <c r="L88" s="33">
        <f t="shared" si="59"/>
        <v>0</v>
      </c>
      <c r="M88" s="33">
        <f t="shared" si="60"/>
        <v>0</v>
      </c>
      <c r="N88" s="33">
        <f t="shared" si="41"/>
        <v>0</v>
      </c>
      <c r="O88" s="34">
        <f t="shared" si="42"/>
        <v>0</v>
      </c>
      <c r="P88" s="55">
        <v>83</v>
      </c>
      <c r="Q88" s="33">
        <f t="shared" si="55"/>
        <v>0</v>
      </c>
      <c r="R88" s="33">
        <f t="shared" si="61"/>
        <v>0</v>
      </c>
      <c r="S88" s="33">
        <f t="shared" si="62"/>
        <v>0</v>
      </c>
      <c r="T88" s="33">
        <f t="shared" si="43"/>
        <v>0</v>
      </c>
      <c r="U88" s="33">
        <f t="shared" si="56"/>
        <v>0</v>
      </c>
      <c r="V88" s="33">
        <f t="shared" si="44"/>
        <v>0</v>
      </c>
      <c r="W88" s="33">
        <v>0</v>
      </c>
      <c r="X88" s="33">
        <f t="shared" si="45"/>
        <v>0</v>
      </c>
      <c r="Y88" s="38">
        <f t="shared" si="46"/>
        <v>0</v>
      </c>
      <c r="AA88" s="71">
        <v>83</v>
      </c>
      <c r="AB88" s="33">
        <f t="shared" si="47"/>
        <v>0</v>
      </c>
      <c r="AC88" s="305">
        <f t="shared" si="37"/>
        <v>0</v>
      </c>
      <c r="AD88" s="100">
        <f t="shared" si="48"/>
        <v>0</v>
      </c>
      <c r="AE88" s="100">
        <f t="shared" si="49"/>
        <v>0</v>
      </c>
      <c r="AF88" s="194">
        <f t="shared" si="33"/>
        <v>0</v>
      </c>
      <c r="AG88" s="194">
        <f t="shared" si="34"/>
        <v>0</v>
      </c>
      <c r="AH88" s="194">
        <f t="shared" si="35"/>
        <v>0</v>
      </c>
      <c r="AI88" s="199">
        <f t="shared" si="36"/>
        <v>0</v>
      </c>
      <c r="AK88" s="71">
        <v>83</v>
      </c>
      <c r="AL88" s="33">
        <f t="shared" si="50"/>
        <v>0</v>
      </c>
      <c r="AM88" s="33">
        <f t="shared" si="51"/>
        <v>0</v>
      </c>
      <c r="AN88" s="33">
        <f t="shared" si="52"/>
        <v>0</v>
      </c>
      <c r="AO88" s="33">
        <f t="shared" si="53"/>
        <v>0</v>
      </c>
      <c r="AP88" s="33">
        <f t="shared" si="54"/>
        <v>0</v>
      </c>
      <c r="AQ88" s="194">
        <f t="shared" si="40"/>
        <v>0</v>
      </c>
      <c r="AR88" s="194">
        <f t="shared" si="40"/>
        <v>0</v>
      </c>
      <c r="AS88" s="194">
        <f t="shared" si="40"/>
        <v>0</v>
      </c>
      <c r="AT88" s="194">
        <f t="shared" si="40"/>
        <v>0</v>
      </c>
      <c r="AU88" s="33"/>
      <c r="AV88" s="33"/>
      <c r="AW88" s="33"/>
      <c r="AX88" s="33"/>
      <c r="AY88" s="76"/>
    </row>
    <row r="89" spans="1:51">
      <c r="A89" t="s">
        <v>192</v>
      </c>
      <c r="B89" s="172" t="str">
        <f>IF(C39&lt;=$F$18,C39+1,"-")</f>
        <v>-</v>
      </c>
      <c r="C89" s="148">
        <f>D39-D40</f>
        <v>30</v>
      </c>
      <c r="D89" s="149">
        <v>0.6</v>
      </c>
      <c r="E89" s="129">
        <f t="shared" si="64"/>
        <v>0.22400000000000003</v>
      </c>
      <c r="F89" s="129">
        <f t="shared" si="65"/>
        <v>0.17600000000000002</v>
      </c>
      <c r="G89" s="150"/>
      <c r="H89" s="58">
        <f t="shared" si="63"/>
        <v>0</v>
      </c>
      <c r="I89" s="55">
        <v>84</v>
      </c>
      <c r="J89" s="33">
        <f t="shared" si="57"/>
        <v>0</v>
      </c>
      <c r="K89" s="33">
        <f t="shared" si="58"/>
        <v>0</v>
      </c>
      <c r="L89" s="33">
        <f t="shared" si="59"/>
        <v>0</v>
      </c>
      <c r="M89" s="33">
        <f t="shared" si="60"/>
        <v>0</v>
      </c>
      <c r="N89" s="33">
        <f t="shared" si="41"/>
        <v>0</v>
      </c>
      <c r="O89" s="34">
        <f t="shared" si="42"/>
        <v>0</v>
      </c>
      <c r="P89" s="55">
        <v>84</v>
      </c>
      <c r="Q89" s="33">
        <f t="shared" si="55"/>
        <v>0</v>
      </c>
      <c r="R89" s="33">
        <f t="shared" si="61"/>
        <v>0</v>
      </c>
      <c r="S89" s="33">
        <f t="shared" si="62"/>
        <v>0</v>
      </c>
      <c r="T89" s="33">
        <f t="shared" si="43"/>
        <v>0</v>
      </c>
      <c r="U89" s="33">
        <f t="shared" si="56"/>
        <v>0</v>
      </c>
      <c r="V89" s="33">
        <f t="shared" si="44"/>
        <v>0</v>
      </c>
      <c r="W89" s="33">
        <v>0</v>
      </c>
      <c r="X89" s="33">
        <f t="shared" si="45"/>
        <v>0</v>
      </c>
      <c r="Y89" s="38">
        <f t="shared" si="46"/>
        <v>0</v>
      </c>
      <c r="AA89" s="71">
        <v>84</v>
      </c>
      <c r="AB89" s="33">
        <f t="shared" si="47"/>
        <v>0</v>
      </c>
      <c r="AC89" s="305">
        <f t="shared" si="37"/>
        <v>0</v>
      </c>
      <c r="AD89" s="100">
        <f t="shared" si="48"/>
        <v>0</v>
      </c>
      <c r="AE89" s="100">
        <f t="shared" si="49"/>
        <v>0</v>
      </c>
      <c r="AF89" s="194">
        <f t="shared" si="33"/>
        <v>0</v>
      </c>
      <c r="AG89" s="194">
        <f t="shared" si="34"/>
        <v>0</v>
      </c>
      <c r="AH89" s="194">
        <f t="shared" si="35"/>
        <v>0</v>
      </c>
      <c r="AI89" s="199">
        <f t="shared" si="36"/>
        <v>0</v>
      </c>
      <c r="AK89" s="71">
        <v>84</v>
      </c>
      <c r="AL89" s="33">
        <f t="shared" si="50"/>
        <v>0</v>
      </c>
      <c r="AM89" s="33">
        <f t="shared" si="51"/>
        <v>0</v>
      </c>
      <c r="AN89" s="33">
        <f t="shared" si="52"/>
        <v>0</v>
      </c>
      <c r="AO89" s="33">
        <f t="shared" si="53"/>
        <v>0</v>
      </c>
      <c r="AP89" s="33">
        <f t="shared" si="54"/>
        <v>0</v>
      </c>
      <c r="AQ89" s="194">
        <f t="shared" si="40"/>
        <v>0</v>
      </c>
      <c r="AR89" s="194">
        <f t="shared" si="40"/>
        <v>0</v>
      </c>
      <c r="AS89" s="194">
        <f t="shared" si="40"/>
        <v>0</v>
      </c>
      <c r="AT89" s="194">
        <f t="shared" si="40"/>
        <v>0</v>
      </c>
      <c r="AU89" s="33"/>
      <c r="AV89" s="33"/>
      <c r="AW89" s="33"/>
      <c r="AX89" s="33"/>
      <c r="AY89" s="76"/>
    </row>
    <row r="90" spans="1:51">
      <c r="A90" t="s">
        <v>192</v>
      </c>
      <c r="B90" s="172" t="str">
        <f>IF(C41&lt;=$F$18,C41+1,"-")</f>
        <v>-</v>
      </c>
      <c r="C90" s="148">
        <f>D41-D42</f>
        <v>20</v>
      </c>
      <c r="D90" s="149">
        <v>0.7</v>
      </c>
      <c r="E90" s="129">
        <f t="shared" si="64"/>
        <v>0.16800000000000004</v>
      </c>
      <c r="F90" s="129">
        <f t="shared" si="65"/>
        <v>0.13200000000000003</v>
      </c>
      <c r="G90" s="150"/>
      <c r="H90" s="58">
        <f t="shared" si="63"/>
        <v>0</v>
      </c>
      <c r="I90" s="55">
        <v>85</v>
      </c>
      <c r="J90" s="33">
        <f t="shared" si="57"/>
        <v>0</v>
      </c>
      <c r="K90" s="33">
        <f t="shared" si="58"/>
        <v>0</v>
      </c>
      <c r="L90" s="33">
        <f t="shared" si="59"/>
        <v>0</v>
      </c>
      <c r="M90" s="33">
        <f t="shared" si="60"/>
        <v>0</v>
      </c>
      <c r="N90" s="33">
        <f t="shared" si="41"/>
        <v>0</v>
      </c>
      <c r="O90" s="34">
        <f t="shared" si="42"/>
        <v>0</v>
      </c>
      <c r="P90" s="55">
        <v>85</v>
      </c>
      <c r="Q90" s="33">
        <f t="shared" si="55"/>
        <v>0</v>
      </c>
      <c r="R90" s="33">
        <f t="shared" si="61"/>
        <v>0</v>
      </c>
      <c r="S90" s="33">
        <f t="shared" si="62"/>
        <v>0</v>
      </c>
      <c r="T90" s="33">
        <f t="shared" si="43"/>
        <v>0</v>
      </c>
      <c r="U90" s="33">
        <f t="shared" si="56"/>
        <v>0</v>
      </c>
      <c r="V90" s="33">
        <f t="shared" si="44"/>
        <v>0</v>
      </c>
      <c r="W90" s="33">
        <v>0</v>
      </c>
      <c r="X90" s="33">
        <f t="shared" si="45"/>
        <v>0</v>
      </c>
      <c r="Y90" s="38">
        <f t="shared" si="46"/>
        <v>0</v>
      </c>
      <c r="AA90" s="71">
        <v>85</v>
      </c>
      <c r="AB90" s="33">
        <f t="shared" si="47"/>
        <v>0</v>
      </c>
      <c r="AC90" s="305">
        <f t="shared" si="37"/>
        <v>0</v>
      </c>
      <c r="AD90" s="100">
        <f t="shared" si="48"/>
        <v>0</v>
      </c>
      <c r="AE90" s="100">
        <f t="shared" si="49"/>
        <v>0</v>
      </c>
      <c r="AF90" s="194">
        <f t="shared" si="33"/>
        <v>0</v>
      </c>
      <c r="AG90" s="194">
        <f t="shared" si="34"/>
        <v>0</v>
      </c>
      <c r="AH90" s="194">
        <f t="shared" si="35"/>
        <v>0</v>
      </c>
      <c r="AI90" s="199">
        <f t="shared" si="36"/>
        <v>0</v>
      </c>
      <c r="AK90" s="71">
        <v>85</v>
      </c>
      <c r="AL90" s="33">
        <f t="shared" si="50"/>
        <v>0</v>
      </c>
      <c r="AM90" s="33">
        <f t="shared" si="51"/>
        <v>0</v>
      </c>
      <c r="AN90" s="33">
        <f t="shared" si="52"/>
        <v>0</v>
      </c>
      <c r="AO90" s="33">
        <f t="shared" si="53"/>
        <v>0</v>
      </c>
      <c r="AP90" s="33">
        <f t="shared" si="54"/>
        <v>0</v>
      </c>
      <c r="AQ90" s="194">
        <f t="shared" si="40"/>
        <v>0</v>
      </c>
      <c r="AR90" s="194">
        <f t="shared" si="40"/>
        <v>0</v>
      </c>
      <c r="AS90" s="194">
        <f t="shared" si="40"/>
        <v>0</v>
      </c>
      <c r="AT90" s="194">
        <f t="shared" si="40"/>
        <v>0</v>
      </c>
      <c r="AU90" s="33"/>
      <c r="AV90" s="33"/>
      <c r="AW90" s="33"/>
      <c r="AX90" s="33"/>
      <c r="AY90" s="76"/>
    </row>
    <row r="91" spans="1:51">
      <c r="A91" t="s">
        <v>192</v>
      </c>
      <c r="B91" s="172" t="str">
        <f>IF(C43&lt;=$F$18,C43+1,"-")</f>
        <v>-</v>
      </c>
      <c r="C91" s="148">
        <f>D43-D44</f>
        <v>20</v>
      </c>
      <c r="D91" s="149">
        <v>0.8</v>
      </c>
      <c r="E91" s="129">
        <f t="shared" si="64"/>
        <v>0.11199999999999999</v>
      </c>
      <c r="F91" s="129">
        <f t="shared" si="65"/>
        <v>8.7999999999999981E-2</v>
      </c>
      <c r="G91" s="150"/>
      <c r="H91" s="58">
        <f t="shared" si="63"/>
        <v>0</v>
      </c>
      <c r="I91" s="55">
        <v>86</v>
      </c>
      <c r="J91" s="33">
        <f t="shared" si="57"/>
        <v>0</v>
      </c>
      <c r="K91" s="33">
        <f t="shared" si="58"/>
        <v>0</v>
      </c>
      <c r="L91" s="33">
        <f t="shared" si="59"/>
        <v>0</v>
      </c>
      <c r="M91" s="33">
        <f t="shared" si="60"/>
        <v>0</v>
      </c>
      <c r="N91" s="33">
        <f t="shared" si="41"/>
        <v>0</v>
      </c>
      <c r="O91" s="34">
        <f t="shared" si="42"/>
        <v>0</v>
      </c>
      <c r="P91" s="55">
        <v>86</v>
      </c>
      <c r="Q91" s="33">
        <f t="shared" si="55"/>
        <v>0</v>
      </c>
      <c r="R91" s="33">
        <f t="shared" si="61"/>
        <v>0</v>
      </c>
      <c r="S91" s="33">
        <f t="shared" si="62"/>
        <v>0</v>
      </c>
      <c r="T91" s="33">
        <f t="shared" si="43"/>
        <v>0</v>
      </c>
      <c r="U91" s="33">
        <f t="shared" si="56"/>
        <v>0</v>
      </c>
      <c r="V91" s="33">
        <f t="shared" si="44"/>
        <v>0</v>
      </c>
      <c r="W91" s="33">
        <v>0</v>
      </c>
      <c r="X91" s="33">
        <f t="shared" si="45"/>
        <v>0</v>
      </c>
      <c r="Y91" s="38">
        <f t="shared" si="46"/>
        <v>0</v>
      </c>
      <c r="AA91" s="71">
        <v>86</v>
      </c>
      <c r="AB91" s="33">
        <f t="shared" si="47"/>
        <v>0</v>
      </c>
      <c r="AC91" s="305">
        <f t="shared" si="37"/>
        <v>0</v>
      </c>
      <c r="AD91" s="100">
        <f t="shared" si="48"/>
        <v>0</v>
      </c>
      <c r="AE91" s="100">
        <f t="shared" si="49"/>
        <v>0</v>
      </c>
      <c r="AF91" s="194">
        <f t="shared" ref="AF91:AF154" si="66">IF(OR(AA91&lt;=$F$18,AA91&lt;=30),EXP(-LN(2)/$D$104)*AF90+((1-EXP(-LN(2)/$D$104))/(LN(2)/$D$104))*$AB91*AC91*0.475*$F$19*44/12,)</f>
        <v>0</v>
      </c>
      <c r="AG91" s="194">
        <f t="shared" ref="AG91:AG154" si="67">IF(OR(AA91&lt;=$F$18,AA91&lt;=30),EXP(-LN(2)/$D$106)*AG90+((1-EXP(-LN(2)/$D$106))/(LN(2)/$D$106))*$AB91*AD91*0.475*$F$19*44/12,)</f>
        <v>0</v>
      </c>
      <c r="AH91" s="194">
        <f t="shared" ref="AH91:AH154" si="68">IF(OR(AA91&lt;=$F$18,AA91&lt;=30),EXP(-LN(2)/$D$105)*AH90+((1-EXP(-LN(2)/$D$105))/(LN(2)/$D$105))*$AB91*AE91*0.475*$F$19*44/12,)</f>
        <v>0</v>
      </c>
      <c r="AI91" s="199">
        <f t="shared" ref="AI91:AI154" si="69">IF(OR(AA91&lt;=$F$18,AA91&lt;=30),SUM(AF91:AH91),)</f>
        <v>0</v>
      </c>
      <c r="AK91" s="71">
        <v>86</v>
      </c>
      <c r="AL91" s="33">
        <f t="shared" si="50"/>
        <v>0</v>
      </c>
      <c r="AM91" s="33">
        <f t="shared" si="51"/>
        <v>0</v>
      </c>
      <c r="AN91" s="33">
        <f t="shared" si="52"/>
        <v>0</v>
      </c>
      <c r="AO91" s="33">
        <f t="shared" si="53"/>
        <v>0</v>
      </c>
      <c r="AP91" s="33">
        <f t="shared" si="54"/>
        <v>0</v>
      </c>
      <c r="AQ91" s="194">
        <f t="shared" si="40"/>
        <v>0</v>
      </c>
      <c r="AR91" s="194">
        <f t="shared" si="40"/>
        <v>0</v>
      </c>
      <c r="AS91" s="194">
        <f t="shared" si="40"/>
        <v>0</v>
      </c>
      <c r="AT91" s="194">
        <f t="shared" si="40"/>
        <v>0</v>
      </c>
      <c r="AU91" s="33"/>
      <c r="AV91" s="33"/>
      <c r="AW91" s="33"/>
      <c r="AX91" s="33"/>
      <c r="AY91" s="76"/>
    </row>
    <row r="92" spans="1:51">
      <c r="A92" t="s">
        <v>192</v>
      </c>
      <c r="B92" s="172">
        <f>IF(C45&lt;=$F$18,C45+1,"-")</f>
        <v>1</v>
      </c>
      <c r="C92" s="148">
        <f>D45-D46</f>
        <v>0</v>
      </c>
      <c r="D92" s="149">
        <v>0.9</v>
      </c>
      <c r="E92" s="129">
        <f>IF(G92+D92&lt;&gt;1,(1-(G92+D92))*56%,0)</f>
        <v>5.5999999999999994E-2</v>
      </c>
      <c r="F92" s="129">
        <f>IF(G92+D92&lt;&gt;1,(1-(G92+D92))*44%,0)</f>
        <v>4.3999999999999991E-2</v>
      </c>
      <c r="G92" s="150"/>
      <c r="H92" s="58">
        <f t="shared" si="63"/>
        <v>0</v>
      </c>
      <c r="I92" s="55">
        <v>87</v>
      </c>
      <c r="J92" s="33">
        <f t="shared" si="57"/>
        <v>0</v>
      </c>
      <c r="K92" s="33">
        <f t="shared" si="58"/>
        <v>0</v>
      </c>
      <c r="L92" s="33">
        <f t="shared" si="59"/>
        <v>0</v>
      </c>
      <c r="M92" s="33">
        <f t="shared" si="60"/>
        <v>0</v>
      </c>
      <c r="N92" s="33">
        <f t="shared" si="41"/>
        <v>0</v>
      </c>
      <c r="O92" s="34">
        <f t="shared" si="42"/>
        <v>0</v>
      </c>
      <c r="P92" s="55">
        <v>87</v>
      </c>
      <c r="Q92" s="33">
        <f t="shared" si="55"/>
        <v>0</v>
      </c>
      <c r="R92" s="33">
        <f t="shared" si="61"/>
        <v>0</v>
      </c>
      <c r="S92" s="33">
        <f t="shared" si="62"/>
        <v>0</v>
      </c>
      <c r="T92" s="33">
        <f t="shared" si="43"/>
        <v>0</v>
      </c>
      <c r="U92" s="33">
        <f t="shared" si="56"/>
        <v>0</v>
      </c>
      <c r="V92" s="33">
        <f t="shared" si="44"/>
        <v>0</v>
      </c>
      <c r="W92" s="33">
        <v>0</v>
      </c>
      <c r="X92" s="33">
        <f t="shared" si="45"/>
        <v>0</v>
      </c>
      <c r="Y92" s="38">
        <f t="shared" si="46"/>
        <v>0</v>
      </c>
      <c r="AA92" s="71">
        <v>87</v>
      </c>
      <c r="AB92" s="33">
        <f t="shared" si="47"/>
        <v>0</v>
      </c>
      <c r="AC92" s="305">
        <f t="shared" si="37"/>
        <v>0</v>
      </c>
      <c r="AD92" s="100">
        <f t="shared" si="48"/>
        <v>0</v>
      </c>
      <c r="AE92" s="100">
        <f t="shared" si="49"/>
        <v>0</v>
      </c>
      <c r="AF92" s="194">
        <f t="shared" si="66"/>
        <v>0</v>
      </c>
      <c r="AG92" s="194">
        <f t="shared" si="67"/>
        <v>0</v>
      </c>
      <c r="AH92" s="194">
        <f t="shared" si="68"/>
        <v>0</v>
      </c>
      <c r="AI92" s="199">
        <f t="shared" si="69"/>
        <v>0</v>
      </c>
      <c r="AK92" s="71">
        <v>87</v>
      </c>
      <c r="AL92" s="33">
        <f t="shared" si="50"/>
        <v>0</v>
      </c>
      <c r="AM92" s="33">
        <f t="shared" si="51"/>
        <v>0</v>
      </c>
      <c r="AN92" s="33">
        <f t="shared" si="52"/>
        <v>0</v>
      </c>
      <c r="AO92" s="33">
        <f t="shared" si="53"/>
        <v>0</v>
      </c>
      <c r="AP92" s="33">
        <f t="shared" si="54"/>
        <v>0</v>
      </c>
      <c r="AQ92" s="194">
        <f t="shared" si="40"/>
        <v>0</v>
      </c>
      <c r="AR92" s="194">
        <f t="shared" si="40"/>
        <v>0</v>
      </c>
      <c r="AS92" s="194">
        <f t="shared" si="40"/>
        <v>0</v>
      </c>
      <c r="AT92" s="194">
        <f t="shared" si="40"/>
        <v>0</v>
      </c>
      <c r="AU92" s="33"/>
      <c r="AV92" s="33"/>
      <c r="AW92" s="33"/>
      <c r="AX92" s="33"/>
      <c r="AY92" s="76"/>
    </row>
    <row r="93" spans="1:51">
      <c r="A93" t="s">
        <v>192</v>
      </c>
      <c r="B93" s="172">
        <f>IF(C47&lt;=$F$18,C47+1,"-")</f>
        <v>1</v>
      </c>
      <c r="C93" s="148">
        <f>D47-D48</f>
        <v>0</v>
      </c>
      <c r="D93" s="149">
        <v>0.9</v>
      </c>
      <c r="E93" s="129">
        <f>IF(G93+D93&lt;&gt;1,(1-(G93+D93))*56%,0)</f>
        <v>5.5999999999999994E-2</v>
      </c>
      <c r="F93" s="129">
        <f>IF(G93+D93&lt;&gt;1,(1-(G93+D93))*44%,0)</f>
        <v>4.3999999999999991E-2</v>
      </c>
      <c r="G93" s="150"/>
      <c r="H93" s="58">
        <f t="shared" si="63"/>
        <v>0</v>
      </c>
      <c r="I93" s="55">
        <v>88</v>
      </c>
      <c r="J93" s="33">
        <f t="shared" si="57"/>
        <v>0</v>
      </c>
      <c r="K93" s="33">
        <f t="shared" si="58"/>
        <v>0</v>
      </c>
      <c r="L93" s="33">
        <f t="shared" si="59"/>
        <v>0</v>
      </c>
      <c r="M93" s="33">
        <f t="shared" si="60"/>
        <v>0</v>
      </c>
      <c r="N93" s="33">
        <f t="shared" si="41"/>
        <v>0</v>
      </c>
      <c r="O93" s="34">
        <f t="shared" si="42"/>
        <v>0</v>
      </c>
      <c r="P93" s="55">
        <v>88</v>
      </c>
      <c r="Q93" s="33">
        <f t="shared" si="55"/>
        <v>0</v>
      </c>
      <c r="R93" s="33">
        <f t="shared" si="61"/>
        <v>0</v>
      </c>
      <c r="S93" s="33">
        <f t="shared" si="62"/>
        <v>0</v>
      </c>
      <c r="T93" s="33">
        <f t="shared" si="43"/>
        <v>0</v>
      </c>
      <c r="U93" s="33">
        <f t="shared" si="56"/>
        <v>0</v>
      </c>
      <c r="V93" s="33">
        <f t="shared" si="44"/>
        <v>0</v>
      </c>
      <c r="W93" s="33">
        <v>0</v>
      </c>
      <c r="X93" s="33">
        <f t="shared" si="45"/>
        <v>0</v>
      </c>
      <c r="Y93" s="38">
        <f t="shared" si="46"/>
        <v>0</v>
      </c>
      <c r="AA93" s="71">
        <v>88</v>
      </c>
      <c r="AB93" s="33">
        <f t="shared" si="47"/>
        <v>0</v>
      </c>
      <c r="AC93" s="305">
        <f t="shared" si="37"/>
        <v>0</v>
      </c>
      <c r="AD93" s="100">
        <f t="shared" si="48"/>
        <v>0</v>
      </c>
      <c r="AE93" s="100">
        <f t="shared" si="49"/>
        <v>0</v>
      </c>
      <c r="AF93" s="194">
        <f t="shared" si="66"/>
        <v>0</v>
      </c>
      <c r="AG93" s="194">
        <f t="shared" si="67"/>
        <v>0</v>
      </c>
      <c r="AH93" s="194">
        <f t="shared" si="68"/>
        <v>0</v>
      </c>
      <c r="AI93" s="199">
        <f t="shared" si="69"/>
        <v>0</v>
      </c>
      <c r="AK93" s="71">
        <v>88</v>
      </c>
      <c r="AL93" s="33">
        <f t="shared" si="50"/>
        <v>0</v>
      </c>
      <c r="AM93" s="33">
        <f t="shared" si="51"/>
        <v>0</v>
      </c>
      <c r="AN93" s="33">
        <f t="shared" si="52"/>
        <v>0</v>
      </c>
      <c r="AO93" s="33">
        <f t="shared" si="53"/>
        <v>0</v>
      </c>
      <c r="AP93" s="33">
        <f t="shared" si="54"/>
        <v>0</v>
      </c>
      <c r="AQ93" s="194">
        <f t="shared" si="40"/>
        <v>0</v>
      </c>
      <c r="AR93" s="194">
        <f t="shared" si="40"/>
        <v>0</v>
      </c>
      <c r="AS93" s="194">
        <f t="shared" si="40"/>
        <v>0</v>
      </c>
      <c r="AT93" s="194">
        <f t="shared" si="40"/>
        <v>0</v>
      </c>
      <c r="AU93" s="33"/>
      <c r="AV93" s="33"/>
      <c r="AW93" s="33"/>
      <c r="AX93" s="33"/>
      <c r="AY93" s="76"/>
    </row>
    <row r="94" spans="1:51">
      <c r="B94" s="184">
        <f>F18</f>
        <v>65</v>
      </c>
      <c r="C94" s="181">
        <f>VLOOKUP(B94,C25:D78,2)</f>
        <v>430</v>
      </c>
      <c r="D94" s="336">
        <v>0.95</v>
      </c>
      <c r="E94" s="337">
        <f>IF(G94+D94&lt;&gt;1,(1-(G94+D94))*56%,0)</f>
        <v>2.8000000000000028E-2</v>
      </c>
      <c r="F94" s="337">
        <f>IF(G94+D94&lt;&gt;1,(1-(G94+D94))*44%,0)</f>
        <v>2.200000000000002E-2</v>
      </c>
      <c r="G94" s="151"/>
      <c r="H94" s="58">
        <f t="shared" si="63"/>
        <v>0</v>
      </c>
      <c r="I94" s="55">
        <v>89</v>
      </c>
      <c r="J94" s="33">
        <f t="shared" si="57"/>
        <v>0</v>
      </c>
      <c r="K94" s="33">
        <f t="shared" si="58"/>
        <v>0</v>
      </c>
      <c r="L94" s="33">
        <f t="shared" si="59"/>
        <v>0</v>
      </c>
      <c r="M94" s="33">
        <f t="shared" si="60"/>
        <v>0</v>
      </c>
      <c r="N94" s="33">
        <f t="shared" si="41"/>
        <v>0</v>
      </c>
      <c r="O94" s="34">
        <f t="shared" si="42"/>
        <v>0</v>
      </c>
      <c r="P94" s="55">
        <v>89</v>
      </c>
      <c r="Q94" s="33">
        <f t="shared" si="55"/>
        <v>0</v>
      </c>
      <c r="R94" s="33">
        <f t="shared" si="61"/>
        <v>0</v>
      </c>
      <c r="S94" s="33">
        <f t="shared" si="62"/>
        <v>0</v>
      </c>
      <c r="T94" s="33">
        <f t="shared" si="43"/>
        <v>0</v>
      </c>
      <c r="U94" s="33">
        <f t="shared" si="56"/>
        <v>0</v>
      </c>
      <c r="V94" s="33">
        <f t="shared" si="44"/>
        <v>0</v>
      </c>
      <c r="W94" s="33">
        <v>0</v>
      </c>
      <c r="X94" s="33">
        <f t="shared" si="45"/>
        <v>0</v>
      </c>
      <c r="Y94" s="38">
        <f t="shared" si="46"/>
        <v>0</v>
      </c>
      <c r="AA94" s="71">
        <v>89</v>
      </c>
      <c r="AB94" s="33">
        <f t="shared" si="47"/>
        <v>0</v>
      </c>
      <c r="AC94" s="305">
        <f t="shared" si="37"/>
        <v>0</v>
      </c>
      <c r="AD94" s="100">
        <f t="shared" si="48"/>
        <v>0</v>
      </c>
      <c r="AE94" s="100">
        <f t="shared" si="49"/>
        <v>0</v>
      </c>
      <c r="AF94" s="194">
        <f t="shared" si="66"/>
        <v>0</v>
      </c>
      <c r="AG94" s="194">
        <f t="shared" si="67"/>
        <v>0</v>
      </c>
      <c r="AH94" s="194">
        <f t="shared" si="68"/>
        <v>0</v>
      </c>
      <c r="AI94" s="199">
        <f t="shared" si="69"/>
        <v>0</v>
      </c>
      <c r="AK94" s="71">
        <v>89</v>
      </c>
      <c r="AL94" s="33">
        <f t="shared" si="50"/>
        <v>0</v>
      </c>
      <c r="AM94" s="33">
        <f t="shared" si="51"/>
        <v>0</v>
      </c>
      <c r="AN94" s="33">
        <f t="shared" si="52"/>
        <v>0</v>
      </c>
      <c r="AO94" s="33">
        <f t="shared" si="53"/>
        <v>0</v>
      </c>
      <c r="AP94" s="33">
        <f t="shared" si="54"/>
        <v>0</v>
      </c>
      <c r="AQ94" s="194">
        <f t="shared" si="40"/>
        <v>0</v>
      </c>
      <c r="AR94" s="194">
        <f t="shared" si="40"/>
        <v>0</v>
      </c>
      <c r="AS94" s="194">
        <f t="shared" si="40"/>
        <v>0</v>
      </c>
      <c r="AT94" s="194">
        <f t="shared" si="40"/>
        <v>0</v>
      </c>
      <c r="AU94" s="33"/>
      <c r="AV94" s="33"/>
      <c r="AW94" s="33"/>
      <c r="AX94" s="33"/>
      <c r="AY94" s="76"/>
    </row>
    <row r="95" spans="1:51">
      <c r="I95" s="55">
        <v>90</v>
      </c>
      <c r="J95" s="33">
        <f t="shared" si="57"/>
        <v>0</v>
      </c>
      <c r="K95" s="33">
        <f t="shared" si="58"/>
        <v>0</v>
      </c>
      <c r="L95" s="33">
        <f t="shared" si="59"/>
        <v>0</v>
      </c>
      <c r="M95" s="33">
        <f t="shared" si="60"/>
        <v>0</v>
      </c>
      <c r="N95" s="33">
        <f t="shared" si="41"/>
        <v>0</v>
      </c>
      <c r="O95" s="34">
        <f t="shared" si="42"/>
        <v>0</v>
      </c>
      <c r="P95" s="55">
        <v>90</v>
      </c>
      <c r="Q95" s="33">
        <f t="shared" si="55"/>
        <v>0</v>
      </c>
      <c r="R95" s="33">
        <f t="shared" si="61"/>
        <v>0</v>
      </c>
      <c r="S95" s="33">
        <f t="shared" si="62"/>
        <v>0</v>
      </c>
      <c r="T95" s="33">
        <f t="shared" si="43"/>
        <v>0</v>
      </c>
      <c r="U95" s="33">
        <f t="shared" si="56"/>
        <v>0</v>
      </c>
      <c r="V95" s="33">
        <f t="shared" si="44"/>
        <v>0</v>
      </c>
      <c r="W95" s="33">
        <v>0</v>
      </c>
      <c r="X95" s="33">
        <f t="shared" si="45"/>
        <v>0</v>
      </c>
      <c r="Y95" s="38">
        <f t="shared" si="46"/>
        <v>0</v>
      </c>
      <c r="AA95" s="71">
        <v>90</v>
      </c>
      <c r="AB95" s="33">
        <f t="shared" si="47"/>
        <v>0</v>
      </c>
      <c r="AC95" s="305">
        <f t="shared" ref="AC95:AC158" si="70">IF(AA95&lt;=$F$18,IFERROR(VLOOKUP($AA95,$B$82:$G$94,3,FALSE),0),)*50%</f>
        <v>0</v>
      </c>
      <c r="AD95" s="100">
        <f t="shared" si="48"/>
        <v>0</v>
      </c>
      <c r="AE95" s="100">
        <f t="shared" si="49"/>
        <v>0</v>
      </c>
      <c r="AF95" s="194">
        <f t="shared" si="66"/>
        <v>0</v>
      </c>
      <c r="AG95" s="194">
        <f t="shared" si="67"/>
        <v>0</v>
      </c>
      <c r="AH95" s="194">
        <f t="shared" si="68"/>
        <v>0</v>
      </c>
      <c r="AI95" s="199">
        <f t="shared" si="69"/>
        <v>0</v>
      </c>
      <c r="AK95" s="71">
        <v>90</v>
      </c>
      <c r="AL95" s="33">
        <f t="shared" si="50"/>
        <v>0</v>
      </c>
      <c r="AM95" s="33">
        <f t="shared" si="51"/>
        <v>0</v>
      </c>
      <c r="AN95" s="33">
        <f t="shared" si="52"/>
        <v>0</v>
      </c>
      <c r="AO95" s="33">
        <f t="shared" si="53"/>
        <v>0</v>
      </c>
      <c r="AP95" s="33">
        <f t="shared" si="54"/>
        <v>0</v>
      </c>
      <c r="AQ95" s="194">
        <f t="shared" si="40"/>
        <v>0</v>
      </c>
      <c r="AR95" s="194">
        <f t="shared" si="40"/>
        <v>0</v>
      </c>
      <c r="AS95" s="194">
        <f t="shared" si="40"/>
        <v>0</v>
      </c>
      <c r="AT95" s="194">
        <f t="shared" si="40"/>
        <v>0</v>
      </c>
      <c r="AU95" s="33"/>
      <c r="AV95" s="33"/>
      <c r="AW95" s="33"/>
      <c r="AX95" s="33"/>
      <c r="AY95" s="76"/>
    </row>
    <row r="96" spans="1:51">
      <c r="C96" s="67" t="s">
        <v>153</v>
      </c>
      <c r="D96" t="s">
        <v>136</v>
      </c>
      <c r="E96" s="6"/>
      <c r="I96" s="55">
        <v>91</v>
      </c>
      <c r="J96" s="33">
        <f t="shared" si="57"/>
        <v>0</v>
      </c>
      <c r="K96" s="33">
        <f t="shared" si="58"/>
        <v>0</v>
      </c>
      <c r="L96" s="33">
        <f t="shared" si="59"/>
        <v>0</v>
      </c>
      <c r="M96" s="33">
        <f t="shared" si="60"/>
        <v>0</v>
      </c>
      <c r="N96" s="33">
        <f t="shared" si="41"/>
        <v>0</v>
      </c>
      <c r="O96" s="34">
        <f t="shared" si="42"/>
        <v>0</v>
      </c>
      <c r="P96" s="55">
        <v>91</v>
      </c>
      <c r="Q96" s="33">
        <f t="shared" si="55"/>
        <v>0</v>
      </c>
      <c r="R96" s="33">
        <f t="shared" si="61"/>
        <v>0</v>
      </c>
      <c r="S96" s="33">
        <f t="shared" si="62"/>
        <v>0</v>
      </c>
      <c r="T96" s="33">
        <f t="shared" si="43"/>
        <v>0</v>
      </c>
      <c r="U96" s="33">
        <f t="shared" si="56"/>
        <v>0</v>
      </c>
      <c r="V96" s="33">
        <f t="shared" si="44"/>
        <v>0</v>
      </c>
      <c r="W96" s="33">
        <v>0</v>
      </c>
      <c r="X96" s="33">
        <f t="shared" si="45"/>
        <v>0</v>
      </c>
      <c r="Y96" s="38">
        <f t="shared" si="46"/>
        <v>0</v>
      </c>
      <c r="AA96" s="71">
        <v>91</v>
      </c>
      <c r="AB96" s="33">
        <f t="shared" si="47"/>
        <v>0</v>
      </c>
      <c r="AC96" s="305">
        <f t="shared" si="70"/>
        <v>0</v>
      </c>
      <c r="AD96" s="100">
        <f t="shared" si="48"/>
        <v>0</v>
      </c>
      <c r="AE96" s="100">
        <f t="shared" si="49"/>
        <v>0</v>
      </c>
      <c r="AF96" s="194">
        <f t="shared" si="66"/>
        <v>0</v>
      </c>
      <c r="AG96" s="194">
        <f t="shared" si="67"/>
        <v>0</v>
      </c>
      <c r="AH96" s="194">
        <f t="shared" si="68"/>
        <v>0</v>
      </c>
      <c r="AI96" s="199">
        <f t="shared" si="69"/>
        <v>0</v>
      </c>
      <c r="AK96" s="71">
        <v>91</v>
      </c>
      <c r="AL96" s="33">
        <f t="shared" si="50"/>
        <v>0</v>
      </c>
      <c r="AM96" s="33">
        <f t="shared" si="51"/>
        <v>0</v>
      </c>
      <c r="AN96" s="33">
        <f t="shared" si="52"/>
        <v>0</v>
      </c>
      <c r="AO96" s="33">
        <f t="shared" si="53"/>
        <v>0</v>
      </c>
      <c r="AP96" s="33">
        <f t="shared" si="54"/>
        <v>0</v>
      </c>
      <c r="AQ96" s="194">
        <f t="shared" si="40"/>
        <v>0</v>
      </c>
      <c r="AR96" s="194">
        <f t="shared" si="40"/>
        <v>0</v>
      </c>
      <c r="AS96" s="194">
        <f t="shared" si="40"/>
        <v>0</v>
      </c>
      <c r="AT96" s="194">
        <f t="shared" si="40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7"/>
        <v>0</v>
      </c>
      <c r="K97" s="33">
        <f t="shared" si="58"/>
        <v>0</v>
      </c>
      <c r="L97" s="33">
        <f t="shared" si="59"/>
        <v>0</v>
      </c>
      <c r="M97" s="33">
        <f t="shared" si="60"/>
        <v>0</v>
      </c>
      <c r="N97" s="33">
        <f t="shared" si="41"/>
        <v>0</v>
      </c>
      <c r="O97" s="34">
        <f t="shared" si="42"/>
        <v>0</v>
      </c>
      <c r="P97" s="55">
        <v>92</v>
      </c>
      <c r="Q97" s="33">
        <f t="shared" si="55"/>
        <v>0</v>
      </c>
      <c r="R97" s="33">
        <f t="shared" si="61"/>
        <v>0</v>
      </c>
      <c r="S97" s="33">
        <f t="shared" si="62"/>
        <v>0</v>
      </c>
      <c r="T97" s="33">
        <f t="shared" si="43"/>
        <v>0</v>
      </c>
      <c r="U97" s="33">
        <f t="shared" si="56"/>
        <v>0</v>
      </c>
      <c r="V97" s="33">
        <f t="shared" si="44"/>
        <v>0</v>
      </c>
      <c r="W97" s="33">
        <v>0</v>
      </c>
      <c r="X97" s="33">
        <f t="shared" si="45"/>
        <v>0</v>
      </c>
      <c r="Y97" s="38">
        <f t="shared" si="46"/>
        <v>0</v>
      </c>
      <c r="AA97" s="71">
        <v>92</v>
      </c>
      <c r="AB97" s="33">
        <f t="shared" si="47"/>
        <v>0</v>
      </c>
      <c r="AC97" s="305">
        <f t="shared" si="70"/>
        <v>0</v>
      </c>
      <c r="AD97" s="100">
        <f t="shared" si="48"/>
        <v>0</v>
      </c>
      <c r="AE97" s="100">
        <f t="shared" si="49"/>
        <v>0</v>
      </c>
      <c r="AF97" s="194">
        <f t="shared" si="66"/>
        <v>0</v>
      </c>
      <c r="AG97" s="194">
        <f t="shared" si="67"/>
        <v>0</v>
      </c>
      <c r="AH97" s="194">
        <f t="shared" si="68"/>
        <v>0</v>
      </c>
      <c r="AI97" s="199">
        <f t="shared" si="69"/>
        <v>0</v>
      </c>
      <c r="AK97" s="71">
        <v>92</v>
      </c>
      <c r="AL97" s="33">
        <f t="shared" si="50"/>
        <v>0</v>
      </c>
      <c r="AM97" s="33">
        <f t="shared" si="51"/>
        <v>0</v>
      </c>
      <c r="AN97" s="33">
        <f t="shared" si="52"/>
        <v>0</v>
      </c>
      <c r="AO97" s="33">
        <f t="shared" si="53"/>
        <v>0</v>
      </c>
      <c r="AP97" s="33">
        <f t="shared" si="54"/>
        <v>0</v>
      </c>
      <c r="AQ97" s="194">
        <f t="shared" si="40"/>
        <v>0</v>
      </c>
      <c r="AR97" s="194">
        <f t="shared" si="40"/>
        <v>0</v>
      </c>
      <c r="AS97" s="194">
        <f t="shared" si="40"/>
        <v>0</v>
      </c>
      <c r="AT97" s="194">
        <f t="shared" si="40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7"/>
        <v>0</v>
      </c>
      <c r="K98" s="33">
        <f t="shared" si="58"/>
        <v>0</v>
      </c>
      <c r="L98" s="33">
        <f t="shared" si="59"/>
        <v>0</v>
      </c>
      <c r="M98" s="33">
        <f t="shared" si="60"/>
        <v>0</v>
      </c>
      <c r="N98" s="33">
        <f t="shared" si="41"/>
        <v>0</v>
      </c>
      <c r="O98" s="34">
        <f t="shared" si="42"/>
        <v>0</v>
      </c>
      <c r="P98" s="55">
        <v>93</v>
      </c>
      <c r="Q98" s="33">
        <f t="shared" si="55"/>
        <v>0</v>
      </c>
      <c r="R98" s="33">
        <f t="shared" si="61"/>
        <v>0</v>
      </c>
      <c r="S98" s="33">
        <f t="shared" si="62"/>
        <v>0</v>
      </c>
      <c r="T98" s="33">
        <f t="shared" si="43"/>
        <v>0</v>
      </c>
      <c r="U98" s="33">
        <f t="shared" si="56"/>
        <v>0</v>
      </c>
      <c r="V98" s="33">
        <f t="shared" si="44"/>
        <v>0</v>
      </c>
      <c r="W98" s="33">
        <v>0</v>
      </c>
      <c r="X98" s="33">
        <f t="shared" si="45"/>
        <v>0</v>
      </c>
      <c r="Y98" s="38">
        <f t="shared" si="46"/>
        <v>0</v>
      </c>
      <c r="AA98" s="71">
        <v>93</v>
      </c>
      <c r="AB98" s="33">
        <f t="shared" si="47"/>
        <v>0</v>
      </c>
      <c r="AC98" s="305">
        <f t="shared" si="70"/>
        <v>0</v>
      </c>
      <c r="AD98" s="100">
        <f t="shared" si="48"/>
        <v>0</v>
      </c>
      <c r="AE98" s="100">
        <f t="shared" si="49"/>
        <v>0</v>
      </c>
      <c r="AF98" s="194">
        <f t="shared" si="66"/>
        <v>0</v>
      </c>
      <c r="AG98" s="194">
        <f t="shared" si="67"/>
        <v>0</v>
      </c>
      <c r="AH98" s="194">
        <f t="shared" si="68"/>
        <v>0</v>
      </c>
      <c r="AI98" s="199">
        <f t="shared" si="69"/>
        <v>0</v>
      </c>
      <c r="AK98" s="71">
        <v>93</v>
      </c>
      <c r="AL98" s="33">
        <f t="shared" si="50"/>
        <v>0</v>
      </c>
      <c r="AM98" s="33">
        <f t="shared" si="51"/>
        <v>0</v>
      </c>
      <c r="AN98" s="33">
        <f t="shared" si="52"/>
        <v>0</v>
      </c>
      <c r="AO98" s="33">
        <f t="shared" si="53"/>
        <v>0</v>
      </c>
      <c r="AP98" s="33">
        <f t="shared" si="54"/>
        <v>0</v>
      </c>
      <c r="AQ98" s="194">
        <f t="shared" si="40"/>
        <v>0</v>
      </c>
      <c r="AR98" s="194">
        <f t="shared" si="40"/>
        <v>0</v>
      </c>
      <c r="AS98" s="194">
        <f t="shared" si="40"/>
        <v>0</v>
      </c>
      <c r="AT98" s="194">
        <f t="shared" si="40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7"/>
        <v>0</v>
      </c>
      <c r="K99" s="33">
        <f t="shared" si="58"/>
        <v>0</v>
      </c>
      <c r="L99" s="33">
        <f t="shared" si="59"/>
        <v>0</v>
      </c>
      <c r="M99" s="33">
        <f t="shared" si="60"/>
        <v>0</v>
      </c>
      <c r="N99" s="33">
        <f t="shared" si="41"/>
        <v>0</v>
      </c>
      <c r="O99" s="34">
        <f t="shared" si="42"/>
        <v>0</v>
      </c>
      <c r="P99" s="55">
        <v>94</v>
      </c>
      <c r="Q99" s="33">
        <f t="shared" si="55"/>
        <v>0</v>
      </c>
      <c r="R99" s="33">
        <f t="shared" si="61"/>
        <v>0</v>
      </c>
      <c r="S99" s="33">
        <f t="shared" si="62"/>
        <v>0</v>
      </c>
      <c r="T99" s="33">
        <f t="shared" si="43"/>
        <v>0</v>
      </c>
      <c r="U99" s="33">
        <f t="shared" si="56"/>
        <v>0</v>
      </c>
      <c r="V99" s="33">
        <f t="shared" si="44"/>
        <v>0</v>
      </c>
      <c r="W99" s="33">
        <v>0</v>
      </c>
      <c r="X99" s="33">
        <f t="shared" si="45"/>
        <v>0</v>
      </c>
      <c r="Y99" s="38">
        <f t="shared" si="46"/>
        <v>0</v>
      </c>
      <c r="AA99" s="71">
        <v>94</v>
      </c>
      <c r="AB99" s="33">
        <f t="shared" si="47"/>
        <v>0</v>
      </c>
      <c r="AC99" s="305">
        <f t="shared" si="70"/>
        <v>0</v>
      </c>
      <c r="AD99" s="100">
        <f t="shared" si="48"/>
        <v>0</v>
      </c>
      <c r="AE99" s="100">
        <f t="shared" si="49"/>
        <v>0</v>
      </c>
      <c r="AF99" s="194">
        <f t="shared" si="66"/>
        <v>0</v>
      </c>
      <c r="AG99" s="194">
        <f t="shared" si="67"/>
        <v>0</v>
      </c>
      <c r="AH99" s="194">
        <f t="shared" si="68"/>
        <v>0</v>
      </c>
      <c r="AI99" s="199">
        <f t="shared" si="69"/>
        <v>0</v>
      </c>
      <c r="AK99" s="71">
        <v>94</v>
      </c>
      <c r="AL99" s="33">
        <f t="shared" si="50"/>
        <v>0</v>
      </c>
      <c r="AM99" s="33">
        <f t="shared" si="51"/>
        <v>0</v>
      </c>
      <c r="AN99" s="33">
        <f t="shared" si="52"/>
        <v>0</v>
      </c>
      <c r="AO99" s="33">
        <f t="shared" si="53"/>
        <v>0</v>
      </c>
      <c r="AP99" s="33">
        <f t="shared" si="54"/>
        <v>0</v>
      </c>
      <c r="AQ99" s="194">
        <f t="shared" si="40"/>
        <v>0</v>
      </c>
      <c r="AR99" s="194">
        <f t="shared" si="40"/>
        <v>0</v>
      </c>
      <c r="AS99" s="194">
        <f t="shared" si="40"/>
        <v>0</v>
      </c>
      <c r="AT99" s="194">
        <f t="shared" si="40"/>
        <v>0</v>
      </c>
      <c r="AU99" s="33"/>
      <c r="AV99" s="33"/>
      <c r="AW99" s="33"/>
      <c r="AX99" s="33"/>
      <c r="AY99" s="76"/>
    </row>
    <row r="100" spans="2:51">
      <c r="B100" s="2" t="s">
        <v>134</v>
      </c>
      <c r="C100">
        <v>70</v>
      </c>
      <c r="D100">
        <v>0</v>
      </c>
      <c r="E100" s="6"/>
      <c r="I100" s="55">
        <v>95</v>
      </c>
      <c r="J100" s="33">
        <f t="shared" si="57"/>
        <v>0</v>
      </c>
      <c r="K100" s="33">
        <f t="shared" si="58"/>
        <v>0</v>
      </c>
      <c r="L100" s="33">
        <f t="shared" si="59"/>
        <v>0</v>
      </c>
      <c r="M100" s="33">
        <f t="shared" si="60"/>
        <v>0</v>
      </c>
      <c r="N100" s="33">
        <f t="shared" si="41"/>
        <v>0</v>
      </c>
      <c r="O100" s="34">
        <f t="shared" si="42"/>
        <v>0</v>
      </c>
      <c r="P100" s="55">
        <v>95</v>
      </c>
      <c r="Q100" s="33">
        <f t="shared" si="55"/>
        <v>0</v>
      </c>
      <c r="R100" s="33">
        <f t="shared" si="61"/>
        <v>0</v>
      </c>
      <c r="S100" s="33">
        <f t="shared" si="62"/>
        <v>0</v>
      </c>
      <c r="T100" s="33">
        <f t="shared" si="43"/>
        <v>0</v>
      </c>
      <c r="U100" s="33">
        <f t="shared" si="56"/>
        <v>0</v>
      </c>
      <c r="V100" s="33">
        <f t="shared" si="44"/>
        <v>0</v>
      </c>
      <c r="W100" s="33">
        <v>0</v>
      </c>
      <c r="X100" s="33">
        <f t="shared" si="45"/>
        <v>0</v>
      </c>
      <c r="Y100" s="38">
        <f t="shared" si="46"/>
        <v>0</v>
      </c>
      <c r="AA100" s="71">
        <v>95</v>
      </c>
      <c r="AB100" s="33">
        <f t="shared" si="47"/>
        <v>0</v>
      </c>
      <c r="AC100" s="305">
        <f t="shared" si="70"/>
        <v>0</v>
      </c>
      <c r="AD100" s="100">
        <f t="shared" si="48"/>
        <v>0</v>
      </c>
      <c r="AE100" s="100">
        <f t="shared" si="49"/>
        <v>0</v>
      </c>
      <c r="AF100" s="194">
        <f t="shared" si="66"/>
        <v>0</v>
      </c>
      <c r="AG100" s="194">
        <f t="shared" si="67"/>
        <v>0</v>
      </c>
      <c r="AH100" s="194">
        <f t="shared" si="68"/>
        <v>0</v>
      </c>
      <c r="AI100" s="199">
        <f t="shared" si="69"/>
        <v>0</v>
      </c>
      <c r="AK100" s="71">
        <v>95</v>
      </c>
      <c r="AL100" s="33">
        <f t="shared" si="50"/>
        <v>0</v>
      </c>
      <c r="AM100" s="33">
        <f t="shared" si="51"/>
        <v>0</v>
      </c>
      <c r="AN100" s="33">
        <f t="shared" si="52"/>
        <v>0</v>
      </c>
      <c r="AO100" s="33">
        <f t="shared" si="53"/>
        <v>0</v>
      </c>
      <c r="AP100" s="33">
        <f t="shared" si="54"/>
        <v>0</v>
      </c>
      <c r="AQ100" s="194">
        <f t="shared" si="40"/>
        <v>0</v>
      </c>
      <c r="AR100" s="194">
        <f t="shared" si="40"/>
        <v>0</v>
      </c>
      <c r="AS100" s="194">
        <f t="shared" si="40"/>
        <v>0</v>
      </c>
      <c r="AT100" s="194">
        <f t="shared" si="40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7"/>
        <v>0</v>
      </c>
      <c r="K101" s="33">
        <f t="shared" si="58"/>
        <v>0</v>
      </c>
      <c r="L101" s="33">
        <f t="shared" si="59"/>
        <v>0</v>
      </c>
      <c r="M101" s="33">
        <f t="shared" si="60"/>
        <v>0</v>
      </c>
      <c r="N101" s="33">
        <f t="shared" si="41"/>
        <v>0</v>
      </c>
      <c r="O101" s="34">
        <f t="shared" si="42"/>
        <v>0</v>
      </c>
      <c r="P101" s="55">
        <v>96</v>
      </c>
      <c r="Q101" s="33">
        <f t="shared" si="55"/>
        <v>0</v>
      </c>
      <c r="R101" s="33">
        <f t="shared" si="61"/>
        <v>0</v>
      </c>
      <c r="S101" s="33">
        <f t="shared" si="62"/>
        <v>0</v>
      </c>
      <c r="T101" s="33">
        <f t="shared" si="43"/>
        <v>0</v>
      </c>
      <c r="U101" s="33">
        <f t="shared" si="56"/>
        <v>0</v>
      </c>
      <c r="V101" s="33">
        <f t="shared" si="44"/>
        <v>0</v>
      </c>
      <c r="W101" s="33">
        <v>0</v>
      </c>
      <c r="X101" s="33">
        <f t="shared" si="45"/>
        <v>0</v>
      </c>
      <c r="Y101" s="38">
        <f t="shared" si="46"/>
        <v>0</v>
      </c>
      <c r="AA101" s="71">
        <v>96</v>
      </c>
      <c r="AB101" s="33">
        <f t="shared" si="47"/>
        <v>0</v>
      </c>
      <c r="AC101" s="305">
        <f t="shared" si="70"/>
        <v>0</v>
      </c>
      <c r="AD101" s="100">
        <f t="shared" si="48"/>
        <v>0</v>
      </c>
      <c r="AE101" s="100">
        <f t="shared" si="49"/>
        <v>0</v>
      </c>
      <c r="AF101" s="194">
        <f t="shared" si="66"/>
        <v>0</v>
      </c>
      <c r="AG101" s="194">
        <f t="shared" si="67"/>
        <v>0</v>
      </c>
      <c r="AH101" s="194">
        <f t="shared" si="68"/>
        <v>0</v>
      </c>
      <c r="AI101" s="199">
        <f t="shared" si="69"/>
        <v>0</v>
      </c>
      <c r="AK101" s="71">
        <v>96</v>
      </c>
      <c r="AL101" s="33">
        <f t="shared" si="50"/>
        <v>0</v>
      </c>
      <c r="AM101" s="33">
        <f t="shared" si="51"/>
        <v>0</v>
      </c>
      <c r="AN101" s="33">
        <f t="shared" si="52"/>
        <v>0</v>
      </c>
      <c r="AO101" s="33">
        <f t="shared" si="53"/>
        <v>0</v>
      </c>
      <c r="AP101" s="33">
        <f t="shared" si="54"/>
        <v>0</v>
      </c>
      <c r="AQ101" s="194">
        <f t="shared" si="40"/>
        <v>0</v>
      </c>
      <c r="AR101" s="194">
        <f t="shared" si="40"/>
        <v>0</v>
      </c>
      <c r="AS101" s="194">
        <f t="shared" si="40"/>
        <v>0</v>
      </c>
      <c r="AT101" s="194">
        <f t="shared" si="4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7"/>
        <v>0</v>
      </c>
      <c r="K102" s="33">
        <f t="shared" si="58"/>
        <v>0</v>
      </c>
      <c r="L102" s="33">
        <f t="shared" si="59"/>
        <v>0</v>
      </c>
      <c r="M102" s="33">
        <f t="shared" si="60"/>
        <v>0</v>
      </c>
      <c r="N102" s="33">
        <f t="shared" si="41"/>
        <v>0</v>
      </c>
      <c r="O102" s="34">
        <f t="shared" si="42"/>
        <v>0</v>
      </c>
      <c r="P102" s="55">
        <v>97</v>
      </c>
      <c r="Q102" s="33">
        <f t="shared" si="55"/>
        <v>0</v>
      </c>
      <c r="R102" s="33">
        <f t="shared" si="61"/>
        <v>0</v>
      </c>
      <c r="S102" s="33">
        <f t="shared" si="62"/>
        <v>0</v>
      </c>
      <c r="T102" s="33">
        <f t="shared" si="43"/>
        <v>0</v>
      </c>
      <c r="U102" s="33">
        <f t="shared" si="56"/>
        <v>0</v>
      </c>
      <c r="V102" s="33">
        <f t="shared" si="44"/>
        <v>0</v>
      </c>
      <c r="W102" s="33">
        <v>0</v>
      </c>
      <c r="X102" s="33">
        <f t="shared" si="45"/>
        <v>0</v>
      </c>
      <c r="Y102" s="38">
        <f t="shared" si="46"/>
        <v>0</v>
      </c>
      <c r="AA102" s="71">
        <v>97</v>
      </c>
      <c r="AB102" s="33">
        <f t="shared" si="47"/>
        <v>0</v>
      </c>
      <c r="AC102" s="305">
        <f t="shared" si="70"/>
        <v>0</v>
      </c>
      <c r="AD102" s="100">
        <f t="shared" si="48"/>
        <v>0</v>
      </c>
      <c r="AE102" s="100">
        <f t="shared" si="49"/>
        <v>0</v>
      </c>
      <c r="AF102" s="194">
        <f t="shared" si="66"/>
        <v>0</v>
      </c>
      <c r="AG102" s="194">
        <f t="shared" si="67"/>
        <v>0</v>
      </c>
      <c r="AH102" s="194">
        <f t="shared" si="68"/>
        <v>0</v>
      </c>
      <c r="AI102" s="199">
        <f t="shared" si="69"/>
        <v>0</v>
      </c>
      <c r="AK102" s="71">
        <v>97</v>
      </c>
      <c r="AL102" s="33">
        <f t="shared" si="50"/>
        <v>0</v>
      </c>
      <c r="AM102" s="33">
        <f t="shared" si="51"/>
        <v>0</v>
      </c>
      <c r="AN102" s="33">
        <f t="shared" si="52"/>
        <v>0</v>
      </c>
      <c r="AO102" s="33">
        <f t="shared" si="53"/>
        <v>0</v>
      </c>
      <c r="AP102" s="33">
        <f t="shared" si="54"/>
        <v>0</v>
      </c>
      <c r="AQ102" s="194">
        <f t="shared" si="40"/>
        <v>0</v>
      </c>
      <c r="AR102" s="194">
        <f t="shared" si="40"/>
        <v>0</v>
      </c>
      <c r="AS102" s="194">
        <f t="shared" si="40"/>
        <v>0</v>
      </c>
      <c r="AT102" s="194">
        <f t="shared" si="40"/>
        <v>0</v>
      </c>
      <c r="AU102" s="33"/>
      <c r="AV102" s="33"/>
      <c r="AW102" s="33"/>
      <c r="AX102" s="33"/>
      <c r="AY102" s="76"/>
    </row>
    <row r="103" spans="2:51" ht="16">
      <c r="C103" s="25" t="s">
        <v>156</v>
      </c>
      <c r="D103" s="138" t="s">
        <v>157</v>
      </c>
      <c r="F103" s="190" t="s">
        <v>231</v>
      </c>
      <c r="I103" s="55">
        <v>98</v>
      </c>
      <c r="J103" s="33">
        <f t="shared" si="57"/>
        <v>0</v>
      </c>
      <c r="K103" s="33">
        <f t="shared" si="58"/>
        <v>0</v>
      </c>
      <c r="L103" s="33">
        <f t="shared" si="59"/>
        <v>0</v>
      </c>
      <c r="M103" s="33">
        <f t="shared" si="60"/>
        <v>0</v>
      </c>
      <c r="N103" s="33">
        <f t="shared" si="41"/>
        <v>0</v>
      </c>
      <c r="O103" s="34">
        <f t="shared" si="42"/>
        <v>0</v>
      </c>
      <c r="P103" s="55">
        <v>98</v>
      </c>
      <c r="Q103" s="33">
        <f t="shared" si="55"/>
        <v>0</v>
      </c>
      <c r="R103" s="33">
        <f t="shared" si="61"/>
        <v>0</v>
      </c>
      <c r="S103" s="33">
        <f t="shared" si="62"/>
        <v>0</v>
      </c>
      <c r="T103" s="33">
        <f t="shared" si="43"/>
        <v>0</v>
      </c>
      <c r="U103" s="33">
        <f t="shared" si="56"/>
        <v>0</v>
      </c>
      <c r="V103" s="33">
        <f t="shared" si="44"/>
        <v>0</v>
      </c>
      <c r="W103" s="33">
        <v>0</v>
      </c>
      <c r="X103" s="33">
        <f t="shared" si="45"/>
        <v>0</v>
      </c>
      <c r="Y103" s="38">
        <f t="shared" si="46"/>
        <v>0</v>
      </c>
      <c r="AA103" s="71">
        <v>98</v>
      </c>
      <c r="AB103" s="33">
        <f t="shared" si="47"/>
        <v>0</v>
      </c>
      <c r="AC103" s="305">
        <f t="shared" si="70"/>
        <v>0</v>
      </c>
      <c r="AD103" s="100">
        <f t="shared" si="48"/>
        <v>0</v>
      </c>
      <c r="AE103" s="100">
        <f t="shared" si="49"/>
        <v>0</v>
      </c>
      <c r="AF103" s="194">
        <f t="shared" si="66"/>
        <v>0</v>
      </c>
      <c r="AG103" s="194">
        <f t="shared" si="67"/>
        <v>0</v>
      </c>
      <c r="AH103" s="194">
        <f t="shared" si="68"/>
        <v>0</v>
      </c>
      <c r="AI103" s="199">
        <f t="shared" si="69"/>
        <v>0</v>
      </c>
      <c r="AK103" s="71">
        <v>98</v>
      </c>
      <c r="AL103" s="33">
        <f t="shared" si="50"/>
        <v>0</v>
      </c>
      <c r="AM103" s="33">
        <f t="shared" si="51"/>
        <v>0</v>
      </c>
      <c r="AN103" s="33">
        <f t="shared" si="52"/>
        <v>0</v>
      </c>
      <c r="AO103" s="33">
        <f t="shared" si="53"/>
        <v>0</v>
      </c>
      <c r="AP103" s="33">
        <f t="shared" si="54"/>
        <v>0</v>
      </c>
      <c r="AQ103" s="194">
        <f t="shared" si="40"/>
        <v>0</v>
      </c>
      <c r="AR103" s="194">
        <f t="shared" si="40"/>
        <v>0</v>
      </c>
      <c r="AS103" s="194">
        <f t="shared" si="40"/>
        <v>0</v>
      </c>
      <c r="AT103" s="194">
        <f t="shared" si="4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9" t="s">
        <v>227</v>
      </c>
      <c r="G104" s="24">
        <v>0.25</v>
      </c>
      <c r="I104" s="55">
        <v>99</v>
      </c>
      <c r="J104" s="33">
        <f t="shared" si="57"/>
        <v>0</v>
      </c>
      <c r="K104" s="33">
        <f t="shared" si="58"/>
        <v>0</v>
      </c>
      <c r="L104" s="33">
        <f t="shared" si="59"/>
        <v>0</v>
      </c>
      <c r="M104" s="33">
        <f t="shared" si="60"/>
        <v>0</v>
      </c>
      <c r="N104" s="33">
        <f t="shared" si="41"/>
        <v>0</v>
      </c>
      <c r="O104" s="34">
        <f t="shared" si="42"/>
        <v>0</v>
      </c>
      <c r="P104" s="55">
        <v>99</v>
      </c>
      <c r="Q104" s="33">
        <f t="shared" si="55"/>
        <v>0</v>
      </c>
      <c r="R104" s="33">
        <f t="shared" si="61"/>
        <v>0</v>
      </c>
      <c r="S104" s="33">
        <f t="shared" si="62"/>
        <v>0</v>
      </c>
      <c r="T104" s="33">
        <f t="shared" si="43"/>
        <v>0</v>
      </c>
      <c r="U104" s="33">
        <f t="shared" si="56"/>
        <v>0</v>
      </c>
      <c r="V104" s="33">
        <f t="shared" si="44"/>
        <v>0</v>
      </c>
      <c r="W104" s="33">
        <v>0</v>
      </c>
      <c r="X104" s="33">
        <f t="shared" si="45"/>
        <v>0</v>
      </c>
      <c r="Y104" s="38">
        <f t="shared" si="46"/>
        <v>0</v>
      </c>
      <c r="AA104" s="71">
        <v>99</v>
      </c>
      <c r="AB104" s="33">
        <f t="shared" si="47"/>
        <v>0</v>
      </c>
      <c r="AC104" s="305">
        <f t="shared" si="70"/>
        <v>0</v>
      </c>
      <c r="AD104" s="100">
        <f t="shared" si="48"/>
        <v>0</v>
      </c>
      <c r="AE104" s="100">
        <f t="shared" si="49"/>
        <v>0</v>
      </c>
      <c r="AF104" s="194">
        <f t="shared" si="66"/>
        <v>0</v>
      </c>
      <c r="AG104" s="194">
        <f t="shared" si="67"/>
        <v>0</v>
      </c>
      <c r="AH104" s="194">
        <f t="shared" si="68"/>
        <v>0</v>
      </c>
      <c r="AI104" s="199">
        <f t="shared" si="69"/>
        <v>0</v>
      </c>
      <c r="AK104" s="71">
        <v>99</v>
      </c>
      <c r="AL104" s="33">
        <f t="shared" si="50"/>
        <v>0</v>
      </c>
      <c r="AM104" s="33">
        <f t="shared" si="51"/>
        <v>0</v>
      </c>
      <c r="AN104" s="33">
        <f t="shared" si="52"/>
        <v>0</v>
      </c>
      <c r="AO104" s="33">
        <f t="shared" si="53"/>
        <v>0</v>
      </c>
      <c r="AP104" s="33">
        <f t="shared" si="54"/>
        <v>0</v>
      </c>
      <c r="AQ104" s="194">
        <f t="shared" si="40"/>
        <v>0</v>
      </c>
      <c r="AR104" s="194">
        <f t="shared" si="40"/>
        <v>0</v>
      </c>
      <c r="AS104" s="194">
        <f t="shared" si="40"/>
        <v>0</v>
      </c>
      <c r="AT104" s="194">
        <f t="shared" si="4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9" t="s">
        <v>229</v>
      </c>
      <c r="G105" s="24">
        <v>1.03</v>
      </c>
      <c r="I105" s="55">
        <v>100</v>
      </c>
      <c r="J105" s="33">
        <f t="shared" si="57"/>
        <v>0</v>
      </c>
      <c r="K105" s="33">
        <f t="shared" si="58"/>
        <v>0</v>
      </c>
      <c r="L105" s="33">
        <f t="shared" si="59"/>
        <v>0</v>
      </c>
      <c r="M105" s="33">
        <f t="shared" si="60"/>
        <v>0</v>
      </c>
      <c r="N105" s="33">
        <f t="shared" si="41"/>
        <v>0</v>
      </c>
      <c r="O105" s="34">
        <f t="shared" si="42"/>
        <v>0</v>
      </c>
      <c r="P105" s="55">
        <v>100</v>
      </c>
      <c r="Q105" s="33">
        <f t="shared" si="55"/>
        <v>0</v>
      </c>
      <c r="R105" s="33">
        <f t="shared" si="61"/>
        <v>0</v>
      </c>
      <c r="S105" s="33">
        <f t="shared" si="62"/>
        <v>0</v>
      </c>
      <c r="T105" s="33">
        <f t="shared" si="43"/>
        <v>0</v>
      </c>
      <c r="U105" s="33">
        <f t="shared" si="56"/>
        <v>0</v>
      </c>
      <c r="V105" s="33">
        <f t="shared" si="44"/>
        <v>0</v>
      </c>
      <c r="W105" s="33">
        <v>0</v>
      </c>
      <c r="X105" s="33">
        <f t="shared" si="45"/>
        <v>0</v>
      </c>
      <c r="Y105" s="38">
        <f t="shared" si="46"/>
        <v>0</v>
      </c>
      <c r="AA105" s="71">
        <v>100</v>
      </c>
      <c r="AB105" s="33">
        <f t="shared" si="47"/>
        <v>0</v>
      </c>
      <c r="AC105" s="305">
        <f t="shared" si="70"/>
        <v>0</v>
      </c>
      <c r="AD105" s="100">
        <f t="shared" si="48"/>
        <v>0</v>
      </c>
      <c r="AE105" s="100">
        <f t="shared" si="49"/>
        <v>0</v>
      </c>
      <c r="AF105" s="194">
        <f t="shared" si="66"/>
        <v>0</v>
      </c>
      <c r="AG105" s="194">
        <f t="shared" si="67"/>
        <v>0</v>
      </c>
      <c r="AH105" s="194">
        <f t="shared" si="68"/>
        <v>0</v>
      </c>
      <c r="AI105" s="199">
        <f t="shared" si="69"/>
        <v>0</v>
      </c>
      <c r="AK105" s="71">
        <v>100</v>
      </c>
      <c r="AL105" s="33">
        <f t="shared" si="50"/>
        <v>0</v>
      </c>
      <c r="AM105" s="33">
        <f t="shared" si="51"/>
        <v>0</v>
      </c>
      <c r="AN105" s="33">
        <f t="shared" si="52"/>
        <v>0</v>
      </c>
      <c r="AO105" s="33">
        <f t="shared" si="53"/>
        <v>0</v>
      </c>
      <c r="AP105" s="33">
        <f t="shared" si="54"/>
        <v>0</v>
      </c>
      <c r="AQ105" s="194">
        <f t="shared" si="40"/>
        <v>0</v>
      </c>
      <c r="AR105" s="194">
        <f t="shared" si="40"/>
        <v>0</v>
      </c>
      <c r="AS105" s="194">
        <f t="shared" si="40"/>
        <v>0</v>
      </c>
      <c r="AT105" s="194">
        <f t="shared" ref="AT105:AT168" si="71">IF($AK105&lt;=$F$18,$AL105*AP105,)</f>
        <v>0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9" t="s">
        <v>230</v>
      </c>
      <c r="G106" s="24">
        <v>0.59</v>
      </c>
      <c r="I106" s="55">
        <v>101</v>
      </c>
      <c r="J106" s="33">
        <f t="shared" si="57"/>
        <v>0</v>
      </c>
      <c r="K106" s="33">
        <f t="shared" si="58"/>
        <v>0</v>
      </c>
      <c r="L106" s="33">
        <f t="shared" si="59"/>
        <v>0</v>
      </c>
      <c r="M106" s="33">
        <f t="shared" si="60"/>
        <v>0</v>
      </c>
      <c r="N106" s="33">
        <f t="shared" si="41"/>
        <v>0</v>
      </c>
      <c r="O106" s="34">
        <f t="shared" si="42"/>
        <v>0</v>
      </c>
      <c r="P106" s="55">
        <v>101</v>
      </c>
      <c r="Q106" s="33">
        <f t="shared" si="55"/>
        <v>0</v>
      </c>
      <c r="R106" s="33">
        <f t="shared" si="61"/>
        <v>0</v>
      </c>
      <c r="S106" s="33">
        <f t="shared" si="62"/>
        <v>0</v>
      </c>
      <c r="T106" s="33">
        <f t="shared" si="43"/>
        <v>0</v>
      </c>
      <c r="U106" s="33">
        <f t="shared" si="56"/>
        <v>0</v>
      </c>
      <c r="V106" s="33">
        <f t="shared" si="44"/>
        <v>0</v>
      </c>
      <c r="W106" s="33">
        <v>0</v>
      </c>
      <c r="X106" s="33">
        <f t="shared" si="45"/>
        <v>0</v>
      </c>
      <c r="Y106" s="38">
        <f t="shared" si="46"/>
        <v>0</v>
      </c>
      <c r="AA106" s="71">
        <v>101</v>
      </c>
      <c r="AB106" s="33">
        <f t="shared" si="47"/>
        <v>0</v>
      </c>
      <c r="AC106" s="305">
        <f t="shared" si="70"/>
        <v>0</v>
      </c>
      <c r="AD106" s="100">
        <f t="shared" si="48"/>
        <v>0</v>
      </c>
      <c r="AE106" s="100">
        <f t="shared" si="49"/>
        <v>0</v>
      </c>
      <c r="AF106" s="194">
        <f t="shared" si="66"/>
        <v>0</v>
      </c>
      <c r="AG106" s="194">
        <f t="shared" si="67"/>
        <v>0</v>
      </c>
      <c r="AH106" s="194">
        <f t="shared" si="68"/>
        <v>0</v>
      </c>
      <c r="AI106" s="199">
        <f t="shared" si="69"/>
        <v>0</v>
      </c>
      <c r="AK106" s="71">
        <v>101</v>
      </c>
      <c r="AL106" s="33">
        <f t="shared" si="50"/>
        <v>0</v>
      </c>
      <c r="AM106" s="33">
        <f t="shared" si="51"/>
        <v>0</v>
      </c>
      <c r="AN106" s="33">
        <f t="shared" si="52"/>
        <v>0</v>
      </c>
      <c r="AO106" s="33">
        <f t="shared" si="53"/>
        <v>0</v>
      </c>
      <c r="AP106" s="33">
        <f t="shared" si="54"/>
        <v>0</v>
      </c>
      <c r="AQ106" s="194">
        <f t="shared" ref="AQ106:AT169" si="72">IF($AK106&lt;=$F$18,$AL106*AM106,)</f>
        <v>0</v>
      </c>
      <c r="AR106" s="194">
        <f t="shared" si="72"/>
        <v>0</v>
      </c>
      <c r="AS106" s="194">
        <f t="shared" si="72"/>
        <v>0</v>
      </c>
      <c r="AT106" s="194">
        <f t="shared" si="71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9" t="s">
        <v>228</v>
      </c>
      <c r="G107" s="24">
        <v>0.43</v>
      </c>
      <c r="I107" s="55">
        <v>102</v>
      </c>
      <c r="J107" s="33">
        <f t="shared" si="57"/>
        <v>0</v>
      </c>
      <c r="K107" s="33">
        <f t="shared" si="58"/>
        <v>0</v>
      </c>
      <c r="L107" s="33">
        <f t="shared" si="59"/>
        <v>0</v>
      </c>
      <c r="M107" s="33">
        <f t="shared" si="60"/>
        <v>0</v>
      </c>
      <c r="N107" s="33">
        <f t="shared" si="41"/>
        <v>0</v>
      </c>
      <c r="O107" s="34">
        <f t="shared" si="42"/>
        <v>0</v>
      </c>
      <c r="P107" s="55">
        <v>102</v>
      </c>
      <c r="Q107" s="33">
        <f t="shared" si="55"/>
        <v>0</v>
      </c>
      <c r="R107" s="33">
        <f t="shared" si="61"/>
        <v>0</v>
      </c>
      <c r="S107" s="33">
        <f t="shared" si="62"/>
        <v>0</v>
      </c>
      <c r="T107" s="33">
        <f t="shared" si="43"/>
        <v>0</v>
      </c>
      <c r="U107" s="33">
        <f t="shared" si="56"/>
        <v>0</v>
      </c>
      <c r="V107" s="33">
        <f t="shared" si="44"/>
        <v>0</v>
      </c>
      <c r="W107" s="33">
        <v>0</v>
      </c>
      <c r="X107" s="33">
        <f t="shared" si="45"/>
        <v>0</v>
      </c>
      <c r="Y107" s="38">
        <f t="shared" si="46"/>
        <v>0</v>
      </c>
      <c r="AA107" s="71">
        <v>102</v>
      </c>
      <c r="AB107" s="33">
        <f t="shared" si="47"/>
        <v>0</v>
      </c>
      <c r="AC107" s="305">
        <f t="shared" si="70"/>
        <v>0</v>
      </c>
      <c r="AD107" s="100">
        <f t="shared" si="48"/>
        <v>0</v>
      </c>
      <c r="AE107" s="100">
        <f t="shared" si="49"/>
        <v>0</v>
      </c>
      <c r="AF107" s="194">
        <f t="shared" si="66"/>
        <v>0</v>
      </c>
      <c r="AG107" s="194">
        <f t="shared" si="67"/>
        <v>0</v>
      </c>
      <c r="AH107" s="194">
        <f t="shared" si="68"/>
        <v>0</v>
      </c>
      <c r="AI107" s="199">
        <f t="shared" si="69"/>
        <v>0</v>
      </c>
      <c r="AK107" s="71">
        <v>102</v>
      </c>
      <c r="AL107" s="33">
        <f t="shared" si="50"/>
        <v>0</v>
      </c>
      <c r="AM107" s="33">
        <f t="shared" si="51"/>
        <v>0</v>
      </c>
      <c r="AN107" s="33">
        <f t="shared" si="52"/>
        <v>0</v>
      </c>
      <c r="AO107" s="33">
        <f t="shared" si="53"/>
        <v>0</v>
      </c>
      <c r="AP107" s="33">
        <f t="shared" si="54"/>
        <v>0</v>
      </c>
      <c r="AQ107" s="194">
        <f t="shared" si="72"/>
        <v>0</v>
      </c>
      <c r="AR107" s="194">
        <f t="shared" si="72"/>
        <v>0</v>
      </c>
      <c r="AS107" s="194">
        <f t="shared" si="72"/>
        <v>0</v>
      </c>
      <c r="AT107" s="194">
        <f t="shared" si="71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1" t="s">
        <v>232</v>
      </c>
      <c r="G108" s="192">
        <f>VLOOKUP(VLOOKUP(F17,C131:E195,3,FALSE),F104:G107,2,FALSE)</f>
        <v>0.43</v>
      </c>
      <c r="I108" s="55">
        <v>103</v>
      </c>
      <c r="J108" s="33">
        <f t="shared" si="57"/>
        <v>0</v>
      </c>
      <c r="K108" s="33">
        <f t="shared" si="58"/>
        <v>0</v>
      </c>
      <c r="L108" s="33">
        <f t="shared" si="59"/>
        <v>0</v>
      </c>
      <c r="M108" s="33">
        <f t="shared" si="60"/>
        <v>0</v>
      </c>
      <c r="N108" s="33">
        <f t="shared" si="41"/>
        <v>0</v>
      </c>
      <c r="O108" s="34">
        <f t="shared" si="42"/>
        <v>0</v>
      </c>
      <c r="P108" s="55">
        <v>103</v>
      </c>
      <c r="Q108" s="33">
        <f t="shared" si="55"/>
        <v>0</v>
      </c>
      <c r="R108" s="33">
        <f t="shared" si="61"/>
        <v>0</v>
      </c>
      <c r="S108" s="33">
        <f t="shared" si="62"/>
        <v>0</v>
      </c>
      <c r="T108" s="33">
        <f t="shared" si="43"/>
        <v>0</v>
      </c>
      <c r="U108" s="33">
        <f t="shared" si="56"/>
        <v>0</v>
      </c>
      <c r="V108" s="33">
        <f t="shared" si="44"/>
        <v>0</v>
      </c>
      <c r="W108" s="33">
        <v>0</v>
      </c>
      <c r="X108" s="33">
        <f t="shared" si="45"/>
        <v>0</v>
      </c>
      <c r="Y108" s="38">
        <f t="shared" si="46"/>
        <v>0</v>
      </c>
      <c r="AA108" s="71">
        <v>103</v>
      </c>
      <c r="AB108" s="33">
        <f t="shared" si="47"/>
        <v>0</v>
      </c>
      <c r="AC108" s="305">
        <f t="shared" si="70"/>
        <v>0</v>
      </c>
      <c r="AD108" s="100">
        <f t="shared" si="48"/>
        <v>0</v>
      </c>
      <c r="AE108" s="100">
        <f t="shared" si="49"/>
        <v>0</v>
      </c>
      <c r="AF108" s="194">
        <f t="shared" si="66"/>
        <v>0</v>
      </c>
      <c r="AG108" s="194">
        <f t="shared" si="67"/>
        <v>0</v>
      </c>
      <c r="AH108" s="194">
        <f t="shared" si="68"/>
        <v>0</v>
      </c>
      <c r="AI108" s="199">
        <f t="shared" si="69"/>
        <v>0</v>
      </c>
      <c r="AK108" s="71">
        <v>103</v>
      </c>
      <c r="AL108" s="33">
        <f t="shared" si="50"/>
        <v>0</v>
      </c>
      <c r="AM108" s="33">
        <f t="shared" si="51"/>
        <v>0</v>
      </c>
      <c r="AN108" s="33">
        <f t="shared" si="52"/>
        <v>0</v>
      </c>
      <c r="AO108" s="33">
        <f t="shared" si="53"/>
        <v>0</v>
      </c>
      <c r="AP108" s="33">
        <f t="shared" si="54"/>
        <v>0</v>
      </c>
      <c r="AQ108" s="194">
        <f t="shared" si="72"/>
        <v>0</v>
      </c>
      <c r="AR108" s="194">
        <f t="shared" si="72"/>
        <v>0</v>
      </c>
      <c r="AS108" s="194">
        <f t="shared" si="72"/>
        <v>0</v>
      </c>
      <c r="AT108" s="194">
        <f t="shared" si="71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7"/>
        <v>0</v>
      </c>
      <c r="K109" s="33">
        <f t="shared" si="58"/>
        <v>0</v>
      </c>
      <c r="L109" s="33">
        <f t="shared" si="59"/>
        <v>0</v>
      </c>
      <c r="M109" s="33">
        <f t="shared" si="60"/>
        <v>0</v>
      </c>
      <c r="N109" s="33">
        <f t="shared" si="41"/>
        <v>0</v>
      </c>
      <c r="O109" s="34">
        <f t="shared" si="42"/>
        <v>0</v>
      </c>
      <c r="P109" s="55">
        <v>104</v>
      </c>
      <c r="Q109" s="33">
        <f t="shared" si="55"/>
        <v>0</v>
      </c>
      <c r="R109" s="33">
        <f t="shared" si="61"/>
        <v>0</v>
      </c>
      <c r="S109" s="33">
        <f t="shared" si="62"/>
        <v>0</v>
      </c>
      <c r="T109" s="33">
        <f t="shared" si="43"/>
        <v>0</v>
      </c>
      <c r="U109" s="33">
        <f t="shared" si="56"/>
        <v>0</v>
      </c>
      <c r="V109" s="33">
        <f t="shared" si="44"/>
        <v>0</v>
      </c>
      <c r="W109" s="33">
        <v>0</v>
      </c>
      <c r="X109" s="33">
        <f t="shared" si="45"/>
        <v>0</v>
      </c>
      <c r="Y109" s="38">
        <f t="shared" si="46"/>
        <v>0</v>
      </c>
      <c r="AA109" s="71">
        <v>104</v>
      </c>
      <c r="AB109" s="33">
        <f t="shared" si="47"/>
        <v>0</v>
      </c>
      <c r="AC109" s="305">
        <f t="shared" si="70"/>
        <v>0</v>
      </c>
      <c r="AD109" s="100">
        <f t="shared" si="48"/>
        <v>0</v>
      </c>
      <c r="AE109" s="100">
        <f t="shared" si="49"/>
        <v>0</v>
      </c>
      <c r="AF109" s="194">
        <f t="shared" si="66"/>
        <v>0</v>
      </c>
      <c r="AG109" s="194">
        <f t="shared" si="67"/>
        <v>0</v>
      </c>
      <c r="AH109" s="194">
        <f t="shared" si="68"/>
        <v>0</v>
      </c>
      <c r="AI109" s="199">
        <f t="shared" si="69"/>
        <v>0</v>
      </c>
      <c r="AK109" s="71">
        <v>104</v>
      </c>
      <c r="AL109" s="33">
        <f t="shared" si="50"/>
        <v>0</v>
      </c>
      <c r="AM109" s="33">
        <f t="shared" si="51"/>
        <v>0</v>
      </c>
      <c r="AN109" s="33">
        <f t="shared" si="52"/>
        <v>0</v>
      </c>
      <c r="AO109" s="33">
        <f t="shared" si="53"/>
        <v>0</v>
      </c>
      <c r="AP109" s="33">
        <f t="shared" si="54"/>
        <v>0</v>
      </c>
      <c r="AQ109" s="194">
        <f t="shared" si="72"/>
        <v>0</v>
      </c>
      <c r="AR109" s="194">
        <f t="shared" si="72"/>
        <v>0</v>
      </c>
      <c r="AS109" s="194">
        <f t="shared" si="72"/>
        <v>0</v>
      </c>
      <c r="AT109" s="194">
        <f t="shared" si="71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7"/>
        <v>0</v>
      </c>
      <c r="K110" s="33">
        <f t="shared" si="58"/>
        <v>0</v>
      </c>
      <c r="L110" s="33">
        <f t="shared" si="59"/>
        <v>0</v>
      </c>
      <c r="M110" s="33">
        <f t="shared" si="60"/>
        <v>0</v>
      </c>
      <c r="N110" s="33">
        <f t="shared" si="41"/>
        <v>0</v>
      </c>
      <c r="O110" s="34">
        <f t="shared" si="42"/>
        <v>0</v>
      </c>
      <c r="P110" s="55">
        <v>105</v>
      </c>
      <c r="Q110" s="33">
        <f t="shared" si="55"/>
        <v>0</v>
      </c>
      <c r="R110" s="33">
        <f t="shared" si="61"/>
        <v>0</v>
      </c>
      <c r="S110" s="33">
        <f t="shared" si="62"/>
        <v>0</v>
      </c>
      <c r="T110" s="33">
        <f t="shared" si="43"/>
        <v>0</v>
      </c>
      <c r="U110" s="33">
        <f t="shared" si="56"/>
        <v>0</v>
      </c>
      <c r="V110" s="33">
        <f t="shared" si="44"/>
        <v>0</v>
      </c>
      <c r="W110" s="33">
        <v>0</v>
      </c>
      <c r="X110" s="33">
        <f t="shared" si="45"/>
        <v>0</v>
      </c>
      <c r="Y110" s="38">
        <f t="shared" si="46"/>
        <v>0</v>
      </c>
      <c r="AA110" s="71">
        <v>105</v>
      </c>
      <c r="AB110" s="33">
        <f t="shared" si="47"/>
        <v>0</v>
      </c>
      <c r="AC110" s="305">
        <f t="shared" si="70"/>
        <v>0</v>
      </c>
      <c r="AD110" s="100">
        <f t="shared" si="48"/>
        <v>0</v>
      </c>
      <c r="AE110" s="100">
        <f t="shared" si="49"/>
        <v>0</v>
      </c>
      <c r="AF110" s="194">
        <f t="shared" si="66"/>
        <v>0</v>
      </c>
      <c r="AG110" s="194">
        <f t="shared" si="67"/>
        <v>0</v>
      </c>
      <c r="AH110" s="194">
        <f t="shared" si="68"/>
        <v>0</v>
      </c>
      <c r="AI110" s="199">
        <f t="shared" si="69"/>
        <v>0</v>
      </c>
      <c r="AK110" s="71">
        <v>105</v>
      </c>
      <c r="AL110" s="33">
        <f t="shared" si="50"/>
        <v>0</v>
      </c>
      <c r="AM110" s="33">
        <f t="shared" si="51"/>
        <v>0</v>
      </c>
      <c r="AN110" s="33">
        <f t="shared" si="52"/>
        <v>0</v>
      </c>
      <c r="AO110" s="33">
        <f t="shared" si="53"/>
        <v>0</v>
      </c>
      <c r="AP110" s="33">
        <f t="shared" si="54"/>
        <v>0</v>
      </c>
      <c r="AQ110" s="194">
        <f t="shared" si="72"/>
        <v>0</v>
      </c>
      <c r="AR110" s="194">
        <f t="shared" si="72"/>
        <v>0</v>
      </c>
      <c r="AS110" s="194">
        <f t="shared" si="72"/>
        <v>0</v>
      </c>
      <c r="AT110" s="194">
        <f t="shared" si="71"/>
        <v>0</v>
      </c>
      <c r="AU110" s="33"/>
      <c r="AV110" s="33"/>
      <c r="AW110" s="33"/>
      <c r="AX110" s="33"/>
      <c r="AY110" s="76"/>
    </row>
    <row r="111" spans="2:51">
      <c r="C111" s="138" t="s">
        <v>168</v>
      </c>
      <c r="D111" s="138"/>
      <c r="E111" s="138"/>
      <c r="I111" s="55">
        <v>106</v>
      </c>
      <c r="J111" s="33">
        <f t="shared" si="57"/>
        <v>0</v>
      </c>
      <c r="K111" s="33">
        <f t="shared" si="58"/>
        <v>0</v>
      </c>
      <c r="L111" s="33">
        <f t="shared" si="59"/>
        <v>0</v>
      </c>
      <c r="M111" s="33">
        <f t="shared" si="60"/>
        <v>0</v>
      </c>
      <c r="N111" s="33">
        <f t="shared" si="41"/>
        <v>0</v>
      </c>
      <c r="O111" s="34">
        <f t="shared" si="42"/>
        <v>0</v>
      </c>
      <c r="P111" s="55">
        <v>106</v>
      </c>
      <c r="Q111" s="33">
        <f t="shared" si="55"/>
        <v>0</v>
      </c>
      <c r="R111" s="33">
        <f t="shared" si="61"/>
        <v>0</v>
      </c>
      <c r="S111" s="33">
        <f t="shared" si="62"/>
        <v>0</v>
      </c>
      <c r="T111" s="33">
        <f t="shared" si="43"/>
        <v>0</v>
      </c>
      <c r="U111" s="33">
        <f t="shared" si="56"/>
        <v>0</v>
      </c>
      <c r="V111" s="33">
        <f t="shared" si="44"/>
        <v>0</v>
      </c>
      <c r="W111" s="33">
        <v>0</v>
      </c>
      <c r="X111" s="33">
        <f t="shared" si="45"/>
        <v>0</v>
      </c>
      <c r="Y111" s="38">
        <f t="shared" si="46"/>
        <v>0</v>
      </c>
      <c r="AA111" s="71">
        <v>106</v>
      </c>
      <c r="AB111" s="33">
        <f t="shared" si="47"/>
        <v>0</v>
      </c>
      <c r="AC111" s="305">
        <f t="shared" si="70"/>
        <v>0</v>
      </c>
      <c r="AD111" s="100">
        <f t="shared" si="48"/>
        <v>0</v>
      </c>
      <c r="AE111" s="100">
        <f t="shared" si="49"/>
        <v>0</v>
      </c>
      <c r="AF111" s="194">
        <f t="shared" si="66"/>
        <v>0</v>
      </c>
      <c r="AG111" s="194">
        <f t="shared" si="67"/>
        <v>0</v>
      </c>
      <c r="AH111" s="194">
        <f t="shared" si="68"/>
        <v>0</v>
      </c>
      <c r="AI111" s="199">
        <f t="shared" si="69"/>
        <v>0</v>
      </c>
      <c r="AK111" s="71">
        <v>106</v>
      </c>
      <c r="AL111" s="33">
        <f t="shared" si="50"/>
        <v>0</v>
      </c>
      <c r="AM111" s="33">
        <f t="shared" si="51"/>
        <v>0</v>
      </c>
      <c r="AN111" s="33">
        <f t="shared" si="52"/>
        <v>0</v>
      </c>
      <c r="AO111" s="33">
        <f t="shared" si="53"/>
        <v>0</v>
      </c>
      <c r="AP111" s="33">
        <f t="shared" si="54"/>
        <v>0</v>
      </c>
      <c r="AQ111" s="194">
        <f t="shared" si="72"/>
        <v>0</v>
      </c>
      <c r="AR111" s="194">
        <f t="shared" si="72"/>
        <v>0</v>
      </c>
      <c r="AS111" s="194">
        <f t="shared" si="72"/>
        <v>0</v>
      </c>
      <c r="AT111" s="194">
        <f t="shared" si="71"/>
        <v>0</v>
      </c>
      <c r="AU111" s="33"/>
      <c r="AV111" s="33"/>
      <c r="AW111" s="33"/>
      <c r="AX111" s="33"/>
      <c r="AY111" s="76"/>
    </row>
    <row r="112" spans="2:51">
      <c r="C112" s="74" t="s">
        <v>144</v>
      </c>
      <c r="D112" s="74" t="s">
        <v>72</v>
      </c>
      <c r="E112" s="74" t="s">
        <v>165</v>
      </c>
      <c r="I112" s="55">
        <v>107</v>
      </c>
      <c r="J112" s="33">
        <f t="shared" si="57"/>
        <v>0</v>
      </c>
      <c r="K112" s="33">
        <f t="shared" si="58"/>
        <v>0</v>
      </c>
      <c r="L112" s="33">
        <f t="shared" si="59"/>
        <v>0</v>
      </c>
      <c r="M112" s="33">
        <f t="shared" si="60"/>
        <v>0</v>
      </c>
      <c r="N112" s="33">
        <f t="shared" si="41"/>
        <v>0</v>
      </c>
      <c r="O112" s="34">
        <f t="shared" si="42"/>
        <v>0</v>
      </c>
      <c r="P112" s="55">
        <v>107</v>
      </c>
      <c r="Q112" s="33">
        <f t="shared" si="55"/>
        <v>0</v>
      </c>
      <c r="R112" s="33">
        <f t="shared" si="61"/>
        <v>0</v>
      </c>
      <c r="S112" s="33">
        <f t="shared" si="62"/>
        <v>0</v>
      </c>
      <c r="T112" s="33">
        <f t="shared" si="43"/>
        <v>0</v>
      </c>
      <c r="U112" s="33">
        <f t="shared" si="56"/>
        <v>0</v>
      </c>
      <c r="V112" s="33">
        <f t="shared" si="44"/>
        <v>0</v>
      </c>
      <c r="W112" s="33">
        <v>0</v>
      </c>
      <c r="X112" s="33">
        <f t="shared" si="45"/>
        <v>0</v>
      </c>
      <c r="Y112" s="38">
        <f t="shared" si="46"/>
        <v>0</v>
      </c>
      <c r="AA112" s="71">
        <v>107</v>
      </c>
      <c r="AB112" s="33">
        <f t="shared" si="47"/>
        <v>0</v>
      </c>
      <c r="AC112" s="305">
        <f t="shared" si="70"/>
        <v>0</v>
      </c>
      <c r="AD112" s="100">
        <f t="shared" si="48"/>
        <v>0</v>
      </c>
      <c r="AE112" s="100">
        <f t="shared" si="49"/>
        <v>0</v>
      </c>
      <c r="AF112" s="194">
        <f t="shared" si="66"/>
        <v>0</v>
      </c>
      <c r="AG112" s="194">
        <f t="shared" si="67"/>
        <v>0</v>
      </c>
      <c r="AH112" s="194">
        <f t="shared" si="68"/>
        <v>0</v>
      </c>
      <c r="AI112" s="199">
        <f t="shared" si="69"/>
        <v>0</v>
      </c>
      <c r="AK112" s="71">
        <v>107</v>
      </c>
      <c r="AL112" s="33">
        <f t="shared" si="50"/>
        <v>0</v>
      </c>
      <c r="AM112" s="33">
        <f t="shared" si="51"/>
        <v>0</v>
      </c>
      <c r="AN112" s="33">
        <f t="shared" si="52"/>
        <v>0</v>
      </c>
      <c r="AO112" s="33">
        <f t="shared" si="53"/>
        <v>0</v>
      </c>
      <c r="AP112" s="33">
        <f t="shared" si="54"/>
        <v>0</v>
      </c>
      <c r="AQ112" s="194">
        <f t="shared" si="72"/>
        <v>0</v>
      </c>
      <c r="AR112" s="194">
        <f t="shared" si="72"/>
        <v>0</v>
      </c>
      <c r="AS112" s="194">
        <f t="shared" si="72"/>
        <v>0</v>
      </c>
      <c r="AT112" s="194">
        <f t="shared" si="71"/>
        <v>0</v>
      </c>
      <c r="AU112" s="33"/>
      <c r="AV112" s="33"/>
      <c r="AW112" s="33"/>
      <c r="AX112" s="33"/>
      <c r="AY112" s="76"/>
    </row>
    <row r="113" spans="2:51">
      <c r="B113" s="67" t="s">
        <v>166</v>
      </c>
      <c r="C113" s="79">
        <f>1/$F$18*SUM(X6:X205)</f>
        <v>463.25023951772187</v>
      </c>
      <c r="D113" s="79">
        <f>1/$F$10*SUM(O6:O205)</f>
        <v>177.03590180507837</v>
      </c>
      <c r="E113" s="78">
        <f>C113-D113</f>
        <v>286.2143377126435</v>
      </c>
      <c r="I113" s="55">
        <v>108</v>
      </c>
      <c r="J113" s="33">
        <f t="shared" si="57"/>
        <v>0</v>
      </c>
      <c r="K113" s="33">
        <f t="shared" si="58"/>
        <v>0</v>
      </c>
      <c r="L113" s="33">
        <f t="shared" si="59"/>
        <v>0</v>
      </c>
      <c r="M113" s="33">
        <f t="shared" si="60"/>
        <v>0</v>
      </c>
      <c r="N113" s="33">
        <f t="shared" si="41"/>
        <v>0</v>
      </c>
      <c r="O113" s="34">
        <f t="shared" si="42"/>
        <v>0</v>
      </c>
      <c r="P113" s="55">
        <v>108</v>
      </c>
      <c r="Q113" s="33">
        <f t="shared" si="55"/>
        <v>0</v>
      </c>
      <c r="R113" s="33">
        <f t="shared" si="61"/>
        <v>0</v>
      </c>
      <c r="S113" s="33">
        <f t="shared" si="62"/>
        <v>0</v>
      </c>
      <c r="T113" s="33">
        <f t="shared" si="43"/>
        <v>0</v>
      </c>
      <c r="U113" s="33">
        <f t="shared" si="56"/>
        <v>0</v>
      </c>
      <c r="V113" s="33">
        <f t="shared" si="44"/>
        <v>0</v>
      </c>
      <c r="W113" s="33">
        <v>0</v>
      </c>
      <c r="X113" s="33">
        <f t="shared" si="45"/>
        <v>0</v>
      </c>
      <c r="Y113" s="38">
        <f t="shared" si="46"/>
        <v>0</v>
      </c>
      <c r="AA113" s="71">
        <v>108</v>
      </c>
      <c r="AB113" s="33">
        <f t="shared" si="47"/>
        <v>0</v>
      </c>
      <c r="AC113" s="305">
        <f t="shared" si="70"/>
        <v>0</v>
      </c>
      <c r="AD113" s="100">
        <f t="shared" si="48"/>
        <v>0</v>
      </c>
      <c r="AE113" s="100">
        <f t="shared" si="49"/>
        <v>0</v>
      </c>
      <c r="AF113" s="194">
        <f t="shared" si="66"/>
        <v>0</v>
      </c>
      <c r="AG113" s="194">
        <f t="shared" si="67"/>
        <v>0</v>
      </c>
      <c r="AH113" s="194">
        <f t="shared" si="68"/>
        <v>0</v>
      </c>
      <c r="AI113" s="199">
        <f t="shared" si="69"/>
        <v>0</v>
      </c>
      <c r="AK113" s="71">
        <v>108</v>
      </c>
      <c r="AL113" s="33">
        <f t="shared" si="50"/>
        <v>0</v>
      </c>
      <c r="AM113" s="33">
        <f t="shared" si="51"/>
        <v>0</v>
      </c>
      <c r="AN113" s="33">
        <f t="shared" si="52"/>
        <v>0</v>
      </c>
      <c r="AO113" s="33">
        <f t="shared" si="53"/>
        <v>0</v>
      </c>
      <c r="AP113" s="33">
        <f t="shared" si="54"/>
        <v>0</v>
      </c>
      <c r="AQ113" s="194">
        <f t="shared" si="72"/>
        <v>0</v>
      </c>
      <c r="AR113" s="194">
        <f t="shared" si="72"/>
        <v>0</v>
      </c>
      <c r="AS113" s="194">
        <f t="shared" si="72"/>
        <v>0</v>
      </c>
      <c r="AT113" s="194">
        <f t="shared" si="71"/>
        <v>0</v>
      </c>
      <c r="AU113" s="33"/>
      <c r="AV113" s="33"/>
      <c r="AW113" s="33"/>
      <c r="AX113" s="33"/>
      <c r="AY113" s="76"/>
    </row>
    <row r="114" spans="2:51">
      <c r="B114" s="67" t="s">
        <v>167</v>
      </c>
      <c r="C114" s="79">
        <f>X35</f>
        <v>456.5228420223159</v>
      </c>
      <c r="D114" s="79">
        <f>O35</f>
        <v>177.03590180507811</v>
      </c>
      <c r="E114" s="78">
        <f>VLOOKUP(30,I5:Y205,17,FALSE)</f>
        <v>279.48694021723782</v>
      </c>
      <c r="I114" s="55">
        <v>109</v>
      </c>
      <c r="J114" s="33">
        <f t="shared" si="57"/>
        <v>0</v>
      </c>
      <c r="K114" s="33">
        <f t="shared" si="58"/>
        <v>0</v>
      </c>
      <c r="L114" s="33">
        <f t="shared" si="59"/>
        <v>0</v>
      </c>
      <c r="M114" s="33">
        <f t="shared" si="60"/>
        <v>0</v>
      </c>
      <c r="N114" s="33">
        <f t="shared" si="41"/>
        <v>0</v>
      </c>
      <c r="O114" s="34">
        <f t="shared" si="42"/>
        <v>0</v>
      </c>
      <c r="P114" s="55">
        <v>109</v>
      </c>
      <c r="Q114" s="33">
        <f t="shared" si="55"/>
        <v>0</v>
      </c>
      <c r="R114" s="33">
        <f t="shared" si="61"/>
        <v>0</v>
      </c>
      <c r="S114" s="33">
        <f t="shared" si="62"/>
        <v>0</v>
      </c>
      <c r="T114" s="33">
        <f t="shared" si="43"/>
        <v>0</v>
      </c>
      <c r="U114" s="33">
        <f t="shared" si="56"/>
        <v>0</v>
      </c>
      <c r="V114" s="33">
        <f t="shared" si="44"/>
        <v>0</v>
      </c>
      <c r="W114" s="33">
        <v>0</v>
      </c>
      <c r="X114" s="33">
        <f t="shared" si="45"/>
        <v>0</v>
      </c>
      <c r="Y114" s="38">
        <f t="shared" si="46"/>
        <v>0</v>
      </c>
      <c r="AA114" s="71">
        <v>109</v>
      </c>
      <c r="AB114" s="33">
        <f t="shared" si="47"/>
        <v>0</v>
      </c>
      <c r="AC114" s="305">
        <f t="shared" si="70"/>
        <v>0</v>
      </c>
      <c r="AD114" s="100">
        <f t="shared" si="48"/>
        <v>0</v>
      </c>
      <c r="AE114" s="100">
        <f t="shared" si="49"/>
        <v>0</v>
      </c>
      <c r="AF114" s="194">
        <f t="shared" si="66"/>
        <v>0</v>
      </c>
      <c r="AG114" s="194">
        <f t="shared" si="67"/>
        <v>0</v>
      </c>
      <c r="AH114" s="194">
        <f t="shared" si="68"/>
        <v>0</v>
      </c>
      <c r="AI114" s="199">
        <f t="shared" si="69"/>
        <v>0</v>
      </c>
      <c r="AK114" s="71">
        <v>109</v>
      </c>
      <c r="AL114" s="33">
        <f t="shared" si="50"/>
        <v>0</v>
      </c>
      <c r="AM114" s="33">
        <f t="shared" si="51"/>
        <v>0</v>
      </c>
      <c r="AN114" s="33">
        <f t="shared" si="52"/>
        <v>0</v>
      </c>
      <c r="AO114" s="33">
        <f t="shared" si="53"/>
        <v>0</v>
      </c>
      <c r="AP114" s="33">
        <f t="shared" si="54"/>
        <v>0</v>
      </c>
      <c r="AQ114" s="194">
        <f t="shared" si="72"/>
        <v>0</v>
      </c>
      <c r="AR114" s="194">
        <f t="shared" si="72"/>
        <v>0</v>
      </c>
      <c r="AS114" s="194">
        <f t="shared" si="72"/>
        <v>0</v>
      </c>
      <c r="AT114" s="194">
        <f t="shared" si="71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7"/>
        <v>0</v>
      </c>
      <c r="K115" s="33">
        <f t="shared" si="58"/>
        <v>0</v>
      </c>
      <c r="L115" s="33">
        <f t="shared" si="59"/>
        <v>0</v>
      </c>
      <c r="M115" s="33">
        <f t="shared" si="60"/>
        <v>0</v>
      </c>
      <c r="N115" s="33">
        <f t="shared" si="41"/>
        <v>0</v>
      </c>
      <c r="O115" s="34">
        <f t="shared" si="42"/>
        <v>0</v>
      </c>
      <c r="P115" s="55">
        <v>110</v>
      </c>
      <c r="Q115" s="33">
        <f t="shared" si="55"/>
        <v>0</v>
      </c>
      <c r="R115" s="33">
        <f t="shared" si="61"/>
        <v>0</v>
      </c>
      <c r="S115" s="33">
        <f t="shared" si="62"/>
        <v>0</v>
      </c>
      <c r="T115" s="33">
        <f t="shared" si="43"/>
        <v>0</v>
      </c>
      <c r="U115" s="33">
        <f t="shared" si="56"/>
        <v>0</v>
      </c>
      <c r="V115" s="33">
        <f t="shared" si="44"/>
        <v>0</v>
      </c>
      <c r="W115" s="33">
        <v>0</v>
      </c>
      <c r="X115" s="33">
        <f t="shared" si="45"/>
        <v>0</v>
      </c>
      <c r="Y115" s="38">
        <f t="shared" si="46"/>
        <v>0</v>
      </c>
      <c r="AA115" s="71">
        <v>110</v>
      </c>
      <c r="AB115" s="33">
        <f t="shared" si="47"/>
        <v>0</v>
      </c>
      <c r="AC115" s="305">
        <f t="shared" si="70"/>
        <v>0</v>
      </c>
      <c r="AD115" s="100">
        <f t="shared" si="48"/>
        <v>0</v>
      </c>
      <c r="AE115" s="100">
        <f t="shared" si="49"/>
        <v>0</v>
      </c>
      <c r="AF115" s="194">
        <f t="shared" si="66"/>
        <v>0</v>
      </c>
      <c r="AG115" s="194">
        <f t="shared" si="67"/>
        <v>0</v>
      </c>
      <c r="AH115" s="194">
        <f t="shared" si="68"/>
        <v>0</v>
      </c>
      <c r="AI115" s="199">
        <f t="shared" si="69"/>
        <v>0</v>
      </c>
      <c r="AK115" s="71">
        <v>110</v>
      </c>
      <c r="AL115" s="33">
        <f t="shared" si="50"/>
        <v>0</v>
      </c>
      <c r="AM115" s="33">
        <f t="shared" si="51"/>
        <v>0</v>
      </c>
      <c r="AN115" s="33">
        <f t="shared" si="52"/>
        <v>0</v>
      </c>
      <c r="AO115" s="33">
        <f t="shared" si="53"/>
        <v>0</v>
      </c>
      <c r="AP115" s="33">
        <f t="shared" si="54"/>
        <v>0</v>
      </c>
      <c r="AQ115" s="194">
        <f t="shared" si="72"/>
        <v>0</v>
      </c>
      <c r="AR115" s="194">
        <f t="shared" si="72"/>
        <v>0</v>
      </c>
      <c r="AS115" s="194">
        <f t="shared" si="72"/>
        <v>0</v>
      </c>
      <c r="AT115" s="194">
        <f t="shared" si="71"/>
        <v>0</v>
      </c>
      <c r="AU115" s="33"/>
      <c r="AV115" s="33"/>
      <c r="AW115" s="33"/>
      <c r="AX115" s="33"/>
      <c r="AY115" s="76"/>
    </row>
    <row r="116" spans="2:51">
      <c r="C116" s="135" t="s">
        <v>124</v>
      </c>
      <c r="D116" s="135"/>
      <c r="E116" s="135"/>
      <c r="I116" s="55">
        <v>111</v>
      </c>
      <c r="J116" s="33">
        <f t="shared" si="57"/>
        <v>0</v>
      </c>
      <c r="K116" s="33">
        <f t="shared" si="58"/>
        <v>0</v>
      </c>
      <c r="L116" s="33">
        <f t="shared" si="59"/>
        <v>0</v>
      </c>
      <c r="M116" s="33">
        <f t="shared" si="60"/>
        <v>0</v>
      </c>
      <c r="N116" s="33">
        <f t="shared" si="41"/>
        <v>0</v>
      </c>
      <c r="O116" s="34">
        <f t="shared" si="42"/>
        <v>0</v>
      </c>
      <c r="P116" s="55">
        <v>111</v>
      </c>
      <c r="Q116" s="33">
        <f t="shared" si="55"/>
        <v>0</v>
      </c>
      <c r="R116" s="33">
        <f t="shared" si="61"/>
        <v>0</v>
      </c>
      <c r="S116" s="33">
        <f t="shared" si="62"/>
        <v>0</v>
      </c>
      <c r="T116" s="33">
        <f t="shared" si="43"/>
        <v>0</v>
      </c>
      <c r="U116" s="33">
        <f t="shared" si="56"/>
        <v>0</v>
      </c>
      <c r="V116" s="33">
        <f t="shared" si="44"/>
        <v>0</v>
      </c>
      <c r="W116" s="33">
        <v>0</v>
      </c>
      <c r="X116" s="33">
        <f t="shared" si="45"/>
        <v>0</v>
      </c>
      <c r="Y116" s="38">
        <f t="shared" si="46"/>
        <v>0</v>
      </c>
      <c r="AA116" s="71">
        <v>111</v>
      </c>
      <c r="AB116" s="33">
        <f t="shared" si="47"/>
        <v>0</v>
      </c>
      <c r="AC116" s="305">
        <f t="shared" si="70"/>
        <v>0</v>
      </c>
      <c r="AD116" s="100">
        <f t="shared" si="48"/>
        <v>0</v>
      </c>
      <c r="AE116" s="100">
        <f t="shared" si="49"/>
        <v>0</v>
      </c>
      <c r="AF116" s="194">
        <f t="shared" si="66"/>
        <v>0</v>
      </c>
      <c r="AG116" s="194">
        <f t="shared" si="67"/>
        <v>0</v>
      </c>
      <c r="AH116" s="194">
        <f t="shared" si="68"/>
        <v>0</v>
      </c>
      <c r="AI116" s="199">
        <f t="shared" si="69"/>
        <v>0</v>
      </c>
      <c r="AK116" s="71">
        <v>111</v>
      </c>
      <c r="AL116" s="33">
        <f t="shared" si="50"/>
        <v>0</v>
      </c>
      <c r="AM116" s="33">
        <f t="shared" si="51"/>
        <v>0</v>
      </c>
      <c r="AN116" s="33">
        <f t="shared" si="52"/>
        <v>0</v>
      </c>
      <c r="AO116" s="33">
        <f t="shared" si="53"/>
        <v>0</v>
      </c>
      <c r="AP116" s="33">
        <f t="shared" si="54"/>
        <v>0</v>
      </c>
      <c r="AQ116" s="194">
        <f t="shared" si="72"/>
        <v>0</v>
      </c>
      <c r="AR116" s="194">
        <f t="shared" si="72"/>
        <v>0</v>
      </c>
      <c r="AS116" s="194">
        <f t="shared" si="72"/>
        <v>0</v>
      </c>
      <c r="AT116" s="194">
        <f t="shared" si="71"/>
        <v>0</v>
      </c>
      <c r="AU116" s="33"/>
      <c r="AV116" s="33"/>
      <c r="AW116" s="33"/>
      <c r="AX116" s="33"/>
      <c r="AY116" s="76"/>
    </row>
    <row r="117" spans="2:51">
      <c r="C117" s="135" t="s">
        <v>144</v>
      </c>
      <c r="D117" s="135" t="s">
        <v>72</v>
      </c>
      <c r="E117" s="81" t="s">
        <v>165</v>
      </c>
      <c r="I117" s="55">
        <v>112</v>
      </c>
      <c r="J117" s="33">
        <f t="shared" si="57"/>
        <v>0</v>
      </c>
      <c r="K117" s="33">
        <f t="shared" si="58"/>
        <v>0</v>
      </c>
      <c r="L117" s="33">
        <f t="shared" si="59"/>
        <v>0</v>
      </c>
      <c r="M117" s="33">
        <f t="shared" si="60"/>
        <v>0</v>
      </c>
      <c r="N117" s="33">
        <f t="shared" si="41"/>
        <v>0</v>
      </c>
      <c r="O117" s="34">
        <f t="shared" si="42"/>
        <v>0</v>
      </c>
      <c r="P117" s="55">
        <v>112</v>
      </c>
      <c r="Q117" s="33">
        <f t="shared" si="55"/>
        <v>0</v>
      </c>
      <c r="R117" s="33">
        <f t="shared" si="61"/>
        <v>0</v>
      </c>
      <c r="S117" s="33">
        <f t="shared" si="62"/>
        <v>0</v>
      </c>
      <c r="T117" s="33">
        <f t="shared" si="43"/>
        <v>0</v>
      </c>
      <c r="U117" s="33">
        <f t="shared" si="56"/>
        <v>0</v>
      </c>
      <c r="V117" s="33">
        <f t="shared" si="44"/>
        <v>0</v>
      </c>
      <c r="W117" s="33">
        <v>0</v>
      </c>
      <c r="X117" s="33">
        <f t="shared" si="45"/>
        <v>0</v>
      </c>
      <c r="Y117" s="38">
        <f t="shared" si="46"/>
        <v>0</v>
      </c>
      <c r="AA117" s="71">
        <v>112</v>
      </c>
      <c r="AB117" s="33">
        <f t="shared" si="47"/>
        <v>0</v>
      </c>
      <c r="AC117" s="305">
        <f t="shared" si="70"/>
        <v>0</v>
      </c>
      <c r="AD117" s="100">
        <f t="shared" si="48"/>
        <v>0</v>
      </c>
      <c r="AE117" s="100">
        <f t="shared" si="49"/>
        <v>0</v>
      </c>
      <c r="AF117" s="194">
        <f t="shared" si="66"/>
        <v>0</v>
      </c>
      <c r="AG117" s="194">
        <f t="shared" si="67"/>
        <v>0</v>
      </c>
      <c r="AH117" s="194">
        <f t="shared" si="68"/>
        <v>0</v>
      </c>
      <c r="AI117" s="199">
        <f t="shared" si="69"/>
        <v>0</v>
      </c>
      <c r="AK117" s="71">
        <v>112</v>
      </c>
      <c r="AL117" s="33">
        <f t="shared" si="50"/>
        <v>0</v>
      </c>
      <c r="AM117" s="33">
        <f t="shared" si="51"/>
        <v>0</v>
      </c>
      <c r="AN117" s="33">
        <f t="shared" si="52"/>
        <v>0</v>
      </c>
      <c r="AO117" s="33">
        <f t="shared" si="53"/>
        <v>0</v>
      </c>
      <c r="AP117" s="33">
        <f t="shared" si="54"/>
        <v>0</v>
      </c>
      <c r="AQ117" s="194">
        <f t="shared" si="72"/>
        <v>0</v>
      </c>
      <c r="AR117" s="194">
        <f t="shared" si="72"/>
        <v>0</v>
      </c>
      <c r="AS117" s="194">
        <f t="shared" si="72"/>
        <v>0</v>
      </c>
      <c r="AT117" s="194">
        <f t="shared" si="71"/>
        <v>0</v>
      </c>
      <c r="AU117" s="33"/>
      <c r="AV117" s="33"/>
      <c r="AW117" s="33"/>
      <c r="AX117" s="33"/>
      <c r="AY117" s="76"/>
    </row>
    <row r="118" spans="2:51">
      <c r="B118" s="67" t="s">
        <v>260</v>
      </c>
      <c r="C118" s="303">
        <f>1/30*SUM(AI6:AI35)</f>
        <v>5.1168305264056668</v>
      </c>
      <c r="D118" s="79">
        <v>0</v>
      </c>
      <c r="E118" s="78">
        <f>C118-D118</f>
        <v>5.1168305264056668</v>
      </c>
      <c r="I118" s="55">
        <v>113</v>
      </c>
      <c r="J118" s="33">
        <f t="shared" si="57"/>
        <v>0</v>
      </c>
      <c r="K118" s="33">
        <f t="shared" si="58"/>
        <v>0</v>
      </c>
      <c r="L118" s="33">
        <f t="shared" si="59"/>
        <v>0</v>
      </c>
      <c r="M118" s="33">
        <f t="shared" si="60"/>
        <v>0</v>
      </c>
      <c r="N118" s="33">
        <f t="shared" si="41"/>
        <v>0</v>
      </c>
      <c r="O118" s="34">
        <f t="shared" si="42"/>
        <v>0</v>
      </c>
      <c r="P118" s="55">
        <v>113</v>
      </c>
      <c r="Q118" s="33">
        <f t="shared" si="55"/>
        <v>0</v>
      </c>
      <c r="R118" s="33">
        <f t="shared" si="61"/>
        <v>0</v>
      </c>
      <c r="S118" s="33">
        <f t="shared" si="62"/>
        <v>0</v>
      </c>
      <c r="T118" s="33">
        <f t="shared" si="43"/>
        <v>0</v>
      </c>
      <c r="U118" s="33">
        <f t="shared" si="56"/>
        <v>0</v>
      </c>
      <c r="V118" s="33">
        <f t="shared" si="44"/>
        <v>0</v>
      </c>
      <c r="W118" s="33">
        <v>0</v>
      </c>
      <c r="X118" s="33">
        <f t="shared" si="45"/>
        <v>0</v>
      </c>
      <c r="Y118" s="38">
        <f t="shared" si="46"/>
        <v>0</v>
      </c>
      <c r="AA118" s="71">
        <v>113</v>
      </c>
      <c r="AB118" s="33">
        <f t="shared" si="47"/>
        <v>0</v>
      </c>
      <c r="AC118" s="305">
        <f t="shared" si="70"/>
        <v>0</v>
      </c>
      <c r="AD118" s="100">
        <f t="shared" si="48"/>
        <v>0</v>
      </c>
      <c r="AE118" s="100">
        <f t="shared" si="49"/>
        <v>0</v>
      </c>
      <c r="AF118" s="194">
        <f t="shared" si="66"/>
        <v>0</v>
      </c>
      <c r="AG118" s="194">
        <f t="shared" si="67"/>
        <v>0</v>
      </c>
      <c r="AH118" s="194">
        <f t="shared" si="68"/>
        <v>0</v>
      </c>
      <c r="AI118" s="199">
        <f t="shared" si="69"/>
        <v>0</v>
      </c>
      <c r="AK118" s="71">
        <v>113</v>
      </c>
      <c r="AL118" s="33">
        <f t="shared" si="50"/>
        <v>0</v>
      </c>
      <c r="AM118" s="33">
        <f t="shared" si="51"/>
        <v>0</v>
      </c>
      <c r="AN118" s="33">
        <f t="shared" si="52"/>
        <v>0</v>
      </c>
      <c r="AO118" s="33">
        <f t="shared" si="53"/>
        <v>0</v>
      </c>
      <c r="AP118" s="33">
        <f t="shared" si="54"/>
        <v>0</v>
      </c>
      <c r="AQ118" s="194">
        <f t="shared" si="72"/>
        <v>0</v>
      </c>
      <c r="AR118" s="194">
        <f t="shared" si="72"/>
        <v>0</v>
      </c>
      <c r="AS118" s="194">
        <f t="shared" si="72"/>
        <v>0</v>
      </c>
      <c r="AT118" s="194">
        <f t="shared" si="71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7"/>
        <v>0</v>
      </c>
      <c r="K119" s="33">
        <f t="shared" si="58"/>
        <v>0</v>
      </c>
      <c r="L119" s="33">
        <f t="shared" si="59"/>
        <v>0</v>
      </c>
      <c r="M119" s="33">
        <f t="shared" si="60"/>
        <v>0</v>
      </c>
      <c r="N119" s="33">
        <f t="shared" si="41"/>
        <v>0</v>
      </c>
      <c r="O119" s="34">
        <f t="shared" si="42"/>
        <v>0</v>
      </c>
      <c r="P119" s="55">
        <v>114</v>
      </c>
      <c r="Q119" s="33">
        <f t="shared" si="55"/>
        <v>0</v>
      </c>
      <c r="R119" s="33">
        <f t="shared" si="61"/>
        <v>0</v>
      </c>
      <c r="S119" s="33">
        <f t="shared" si="62"/>
        <v>0</v>
      </c>
      <c r="T119" s="33">
        <f t="shared" si="43"/>
        <v>0</v>
      </c>
      <c r="U119" s="33">
        <f t="shared" si="56"/>
        <v>0</v>
      </c>
      <c r="V119" s="33">
        <f t="shared" si="44"/>
        <v>0</v>
      </c>
      <c r="W119" s="33">
        <v>0</v>
      </c>
      <c r="X119" s="33">
        <f t="shared" si="45"/>
        <v>0</v>
      </c>
      <c r="Y119" s="38">
        <f t="shared" si="46"/>
        <v>0</v>
      </c>
      <c r="AA119" s="71">
        <v>114</v>
      </c>
      <c r="AB119" s="33">
        <f t="shared" si="47"/>
        <v>0</v>
      </c>
      <c r="AC119" s="305">
        <f t="shared" si="70"/>
        <v>0</v>
      </c>
      <c r="AD119" s="100">
        <f t="shared" si="48"/>
        <v>0</v>
      </c>
      <c r="AE119" s="100">
        <f t="shared" si="49"/>
        <v>0</v>
      </c>
      <c r="AF119" s="194">
        <f t="shared" si="66"/>
        <v>0</v>
      </c>
      <c r="AG119" s="194">
        <f t="shared" si="67"/>
        <v>0</v>
      </c>
      <c r="AH119" s="194">
        <f t="shared" si="68"/>
        <v>0</v>
      </c>
      <c r="AI119" s="199">
        <f t="shared" si="69"/>
        <v>0</v>
      </c>
      <c r="AK119" s="71">
        <v>114</v>
      </c>
      <c r="AL119" s="33">
        <f t="shared" si="50"/>
        <v>0</v>
      </c>
      <c r="AM119" s="33">
        <f t="shared" si="51"/>
        <v>0</v>
      </c>
      <c r="AN119" s="33">
        <f t="shared" si="52"/>
        <v>0</v>
      </c>
      <c r="AO119" s="33">
        <f t="shared" si="53"/>
        <v>0</v>
      </c>
      <c r="AP119" s="33">
        <f t="shared" si="54"/>
        <v>0</v>
      </c>
      <c r="AQ119" s="194">
        <f t="shared" si="72"/>
        <v>0</v>
      </c>
      <c r="AR119" s="194">
        <f t="shared" si="72"/>
        <v>0</v>
      </c>
      <c r="AS119" s="194">
        <f t="shared" si="72"/>
        <v>0</v>
      </c>
      <c r="AT119" s="194">
        <f t="shared" si="71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7"/>
        <v>0</v>
      </c>
      <c r="K120" s="33">
        <f t="shared" si="58"/>
        <v>0</v>
      </c>
      <c r="L120" s="33">
        <f t="shared" si="59"/>
        <v>0</v>
      </c>
      <c r="M120" s="33">
        <f t="shared" si="60"/>
        <v>0</v>
      </c>
      <c r="N120" s="33">
        <f t="shared" si="41"/>
        <v>0</v>
      </c>
      <c r="O120" s="34">
        <f t="shared" si="42"/>
        <v>0</v>
      </c>
      <c r="P120" s="55">
        <v>115</v>
      </c>
      <c r="Q120" s="33">
        <f t="shared" si="55"/>
        <v>0</v>
      </c>
      <c r="R120" s="33">
        <f t="shared" si="61"/>
        <v>0</v>
      </c>
      <c r="S120" s="33">
        <f t="shared" si="62"/>
        <v>0</v>
      </c>
      <c r="T120" s="33">
        <f t="shared" si="43"/>
        <v>0</v>
      </c>
      <c r="U120" s="33">
        <f t="shared" si="56"/>
        <v>0</v>
      </c>
      <c r="V120" s="33">
        <f t="shared" si="44"/>
        <v>0</v>
      </c>
      <c r="W120" s="33">
        <v>0</v>
      </c>
      <c r="X120" s="33">
        <f t="shared" si="45"/>
        <v>0</v>
      </c>
      <c r="Y120" s="38">
        <f t="shared" si="46"/>
        <v>0</v>
      </c>
      <c r="AA120" s="71">
        <v>115</v>
      </c>
      <c r="AB120" s="33">
        <f t="shared" si="47"/>
        <v>0</v>
      </c>
      <c r="AC120" s="305">
        <f t="shared" si="70"/>
        <v>0</v>
      </c>
      <c r="AD120" s="100">
        <f t="shared" si="48"/>
        <v>0</v>
      </c>
      <c r="AE120" s="100">
        <f t="shared" si="49"/>
        <v>0</v>
      </c>
      <c r="AF120" s="194">
        <f t="shared" si="66"/>
        <v>0</v>
      </c>
      <c r="AG120" s="194">
        <f t="shared" si="67"/>
        <v>0</v>
      </c>
      <c r="AH120" s="194">
        <f t="shared" si="68"/>
        <v>0</v>
      </c>
      <c r="AI120" s="199">
        <f t="shared" si="69"/>
        <v>0</v>
      </c>
      <c r="AK120" s="71">
        <v>115</v>
      </c>
      <c r="AL120" s="33">
        <f t="shared" si="50"/>
        <v>0</v>
      </c>
      <c r="AM120" s="33">
        <f t="shared" si="51"/>
        <v>0</v>
      </c>
      <c r="AN120" s="33">
        <f t="shared" si="52"/>
        <v>0</v>
      </c>
      <c r="AO120" s="33">
        <f t="shared" si="53"/>
        <v>0</v>
      </c>
      <c r="AP120" s="33">
        <f t="shared" si="54"/>
        <v>0</v>
      </c>
      <c r="AQ120" s="194">
        <f t="shared" si="72"/>
        <v>0</v>
      </c>
      <c r="AR120" s="194">
        <f t="shared" si="72"/>
        <v>0</v>
      </c>
      <c r="AS120" s="194">
        <f t="shared" si="72"/>
        <v>0</v>
      </c>
      <c r="AT120" s="194">
        <f t="shared" si="71"/>
        <v>0</v>
      </c>
      <c r="AU120" s="33"/>
      <c r="AV120" s="33"/>
      <c r="AW120" s="33"/>
      <c r="AX120" s="33"/>
      <c r="AY120" s="76"/>
    </row>
    <row r="121" spans="2:51">
      <c r="C121" s="135" t="s">
        <v>159</v>
      </c>
      <c r="D121" s="135"/>
      <c r="E121" s="135"/>
      <c r="I121" s="55">
        <v>116</v>
      </c>
      <c r="J121" s="33">
        <f t="shared" si="57"/>
        <v>0</v>
      </c>
      <c r="K121" s="33">
        <f t="shared" si="58"/>
        <v>0</v>
      </c>
      <c r="L121" s="33">
        <f t="shared" si="59"/>
        <v>0</v>
      </c>
      <c r="M121" s="33">
        <f t="shared" si="60"/>
        <v>0</v>
      </c>
      <c r="N121" s="33">
        <f t="shared" si="41"/>
        <v>0</v>
      </c>
      <c r="O121" s="34">
        <f t="shared" si="42"/>
        <v>0</v>
      </c>
      <c r="P121" s="55">
        <v>116</v>
      </c>
      <c r="Q121" s="33">
        <f t="shared" si="55"/>
        <v>0</v>
      </c>
      <c r="R121" s="33">
        <f t="shared" si="61"/>
        <v>0</v>
      </c>
      <c r="S121" s="33">
        <f t="shared" si="62"/>
        <v>0</v>
      </c>
      <c r="T121" s="33">
        <f t="shared" si="43"/>
        <v>0</v>
      </c>
      <c r="U121" s="33">
        <f t="shared" si="56"/>
        <v>0</v>
      </c>
      <c r="V121" s="33">
        <f t="shared" si="44"/>
        <v>0</v>
      </c>
      <c r="W121" s="33">
        <v>0</v>
      </c>
      <c r="X121" s="33">
        <f t="shared" si="45"/>
        <v>0</v>
      </c>
      <c r="Y121" s="38">
        <f t="shared" si="46"/>
        <v>0</v>
      </c>
      <c r="AA121" s="71">
        <v>116</v>
      </c>
      <c r="AB121" s="33">
        <f t="shared" si="47"/>
        <v>0</v>
      </c>
      <c r="AC121" s="305">
        <f t="shared" si="70"/>
        <v>0</v>
      </c>
      <c r="AD121" s="100">
        <f t="shared" si="48"/>
        <v>0</v>
      </c>
      <c r="AE121" s="100">
        <f t="shared" si="49"/>
        <v>0</v>
      </c>
      <c r="AF121" s="194">
        <f t="shared" si="66"/>
        <v>0</v>
      </c>
      <c r="AG121" s="194">
        <f t="shared" si="67"/>
        <v>0</v>
      </c>
      <c r="AH121" s="194">
        <f t="shared" si="68"/>
        <v>0</v>
      </c>
      <c r="AI121" s="199">
        <f t="shared" si="69"/>
        <v>0</v>
      </c>
      <c r="AK121" s="71">
        <v>116</v>
      </c>
      <c r="AL121" s="33">
        <f t="shared" si="50"/>
        <v>0</v>
      </c>
      <c r="AM121" s="33">
        <f t="shared" si="51"/>
        <v>0</v>
      </c>
      <c r="AN121" s="33">
        <f t="shared" si="52"/>
        <v>0</v>
      </c>
      <c r="AO121" s="33">
        <f t="shared" si="53"/>
        <v>0</v>
      </c>
      <c r="AP121" s="33">
        <f t="shared" si="54"/>
        <v>0</v>
      </c>
      <c r="AQ121" s="194">
        <f t="shared" si="72"/>
        <v>0</v>
      </c>
      <c r="AR121" s="194">
        <f t="shared" si="72"/>
        <v>0</v>
      </c>
      <c r="AS121" s="194">
        <f t="shared" si="72"/>
        <v>0</v>
      </c>
      <c r="AT121" s="194">
        <f t="shared" si="71"/>
        <v>0</v>
      </c>
      <c r="AU121" s="33"/>
      <c r="AV121" s="33"/>
      <c r="AW121" s="33"/>
      <c r="AX121" s="33"/>
      <c r="AY121" s="76"/>
    </row>
    <row r="122" spans="2:51">
      <c r="C122" s="135" t="s">
        <v>144</v>
      </c>
      <c r="D122" s="135" t="s">
        <v>72</v>
      </c>
      <c r="E122" s="81" t="s">
        <v>165</v>
      </c>
      <c r="I122" s="55">
        <v>117</v>
      </c>
      <c r="J122" s="33">
        <f t="shared" si="57"/>
        <v>0</v>
      </c>
      <c r="K122" s="33">
        <f t="shared" si="58"/>
        <v>0</v>
      </c>
      <c r="L122" s="33">
        <f t="shared" si="59"/>
        <v>0</v>
      </c>
      <c r="M122" s="33">
        <f t="shared" si="60"/>
        <v>0</v>
      </c>
      <c r="N122" s="33">
        <f t="shared" si="41"/>
        <v>0</v>
      </c>
      <c r="O122" s="34">
        <f t="shared" si="42"/>
        <v>0</v>
      </c>
      <c r="P122" s="55">
        <v>117</v>
      </c>
      <c r="Q122" s="33">
        <f t="shared" si="55"/>
        <v>0</v>
      </c>
      <c r="R122" s="33">
        <f t="shared" si="61"/>
        <v>0</v>
      </c>
      <c r="S122" s="33">
        <f t="shared" si="62"/>
        <v>0</v>
      </c>
      <c r="T122" s="33">
        <f t="shared" si="43"/>
        <v>0</v>
      </c>
      <c r="U122" s="33">
        <f t="shared" si="56"/>
        <v>0</v>
      </c>
      <c r="V122" s="33">
        <f t="shared" si="44"/>
        <v>0</v>
      </c>
      <c r="W122" s="33">
        <v>0</v>
      </c>
      <c r="X122" s="33">
        <f t="shared" si="45"/>
        <v>0</v>
      </c>
      <c r="Y122" s="38">
        <f t="shared" si="46"/>
        <v>0</v>
      </c>
      <c r="AA122" s="71">
        <v>117</v>
      </c>
      <c r="AB122" s="33">
        <f t="shared" si="47"/>
        <v>0</v>
      </c>
      <c r="AC122" s="305">
        <f t="shared" si="70"/>
        <v>0</v>
      </c>
      <c r="AD122" s="100">
        <f t="shared" si="48"/>
        <v>0</v>
      </c>
      <c r="AE122" s="100">
        <f t="shared" si="49"/>
        <v>0</v>
      </c>
      <c r="AF122" s="194">
        <f t="shared" si="66"/>
        <v>0</v>
      </c>
      <c r="AG122" s="194">
        <f t="shared" si="67"/>
        <v>0</v>
      </c>
      <c r="AH122" s="194">
        <f t="shared" si="68"/>
        <v>0</v>
      </c>
      <c r="AI122" s="199">
        <f t="shared" si="69"/>
        <v>0</v>
      </c>
      <c r="AK122" s="71">
        <v>117</v>
      </c>
      <c r="AL122" s="33">
        <f t="shared" si="50"/>
        <v>0</v>
      </c>
      <c r="AM122" s="33">
        <f t="shared" si="51"/>
        <v>0</v>
      </c>
      <c r="AN122" s="33">
        <f t="shared" si="52"/>
        <v>0</v>
      </c>
      <c r="AO122" s="33">
        <f t="shared" si="53"/>
        <v>0</v>
      </c>
      <c r="AP122" s="33">
        <f t="shared" si="54"/>
        <v>0</v>
      </c>
      <c r="AQ122" s="194">
        <f t="shared" si="72"/>
        <v>0</v>
      </c>
      <c r="AR122" s="194">
        <f t="shared" si="72"/>
        <v>0</v>
      </c>
      <c r="AS122" s="194">
        <f t="shared" si="72"/>
        <v>0</v>
      </c>
      <c r="AT122" s="194">
        <f t="shared" si="71"/>
        <v>0</v>
      </c>
      <c r="AU122" s="33"/>
      <c r="AV122" s="33"/>
      <c r="AW122" s="33"/>
      <c r="AX122" s="33"/>
      <c r="AY122" s="76"/>
    </row>
    <row r="123" spans="2:51">
      <c r="B123" s="67" t="s">
        <v>167</v>
      </c>
      <c r="C123" s="82">
        <f>AY35</f>
        <v>17.2</v>
      </c>
      <c r="D123" s="304">
        <f>IF(AND(D8=B100,F12=C194),J34*50%*G107,0)</f>
        <v>0</v>
      </c>
      <c r="E123" s="78">
        <f>C123-D123</f>
        <v>17.2</v>
      </c>
      <c r="I123" s="55">
        <v>118</v>
      </c>
      <c r="J123" s="33">
        <f t="shared" si="57"/>
        <v>0</v>
      </c>
      <c r="K123" s="33">
        <f t="shared" si="58"/>
        <v>0</v>
      </c>
      <c r="L123" s="33">
        <f t="shared" si="59"/>
        <v>0</v>
      </c>
      <c r="M123" s="33">
        <f t="shared" si="60"/>
        <v>0</v>
      </c>
      <c r="N123" s="33">
        <f t="shared" si="41"/>
        <v>0</v>
      </c>
      <c r="O123" s="34">
        <f t="shared" si="42"/>
        <v>0</v>
      </c>
      <c r="P123" s="55">
        <v>118</v>
      </c>
      <c r="Q123" s="33">
        <f t="shared" si="55"/>
        <v>0</v>
      </c>
      <c r="R123" s="33">
        <f t="shared" si="61"/>
        <v>0</v>
      </c>
      <c r="S123" s="33">
        <f t="shared" si="62"/>
        <v>0</v>
      </c>
      <c r="T123" s="33">
        <f t="shared" si="43"/>
        <v>0</v>
      </c>
      <c r="U123" s="33">
        <f t="shared" si="56"/>
        <v>0</v>
      </c>
      <c r="V123" s="33">
        <f t="shared" si="44"/>
        <v>0</v>
      </c>
      <c r="W123" s="33">
        <v>0</v>
      </c>
      <c r="X123" s="33">
        <f t="shared" si="45"/>
        <v>0</v>
      </c>
      <c r="Y123" s="38">
        <f t="shared" si="46"/>
        <v>0</v>
      </c>
      <c r="AA123" s="71">
        <v>118</v>
      </c>
      <c r="AB123" s="33">
        <f t="shared" si="47"/>
        <v>0</v>
      </c>
      <c r="AC123" s="305">
        <f t="shared" si="70"/>
        <v>0</v>
      </c>
      <c r="AD123" s="100">
        <f t="shared" si="48"/>
        <v>0</v>
      </c>
      <c r="AE123" s="100">
        <f t="shared" si="49"/>
        <v>0</v>
      </c>
      <c r="AF123" s="194">
        <f t="shared" si="66"/>
        <v>0</v>
      </c>
      <c r="AG123" s="194">
        <f t="shared" si="67"/>
        <v>0</v>
      </c>
      <c r="AH123" s="194">
        <f t="shared" si="68"/>
        <v>0</v>
      </c>
      <c r="AI123" s="199">
        <f t="shared" si="69"/>
        <v>0</v>
      </c>
      <c r="AK123" s="71">
        <v>118</v>
      </c>
      <c r="AL123" s="33">
        <f t="shared" si="50"/>
        <v>0</v>
      </c>
      <c r="AM123" s="33">
        <f t="shared" si="51"/>
        <v>0</v>
      </c>
      <c r="AN123" s="33">
        <f t="shared" si="52"/>
        <v>0</v>
      </c>
      <c r="AO123" s="33">
        <f t="shared" si="53"/>
        <v>0</v>
      </c>
      <c r="AP123" s="33">
        <f t="shared" si="54"/>
        <v>0</v>
      </c>
      <c r="AQ123" s="194">
        <f t="shared" si="72"/>
        <v>0</v>
      </c>
      <c r="AR123" s="194">
        <f t="shared" si="72"/>
        <v>0</v>
      </c>
      <c r="AS123" s="194">
        <f t="shared" si="72"/>
        <v>0</v>
      </c>
      <c r="AT123" s="194">
        <f t="shared" si="71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7"/>
        <v>0</v>
      </c>
      <c r="K124" s="33">
        <f t="shared" si="58"/>
        <v>0</v>
      </c>
      <c r="L124" s="33">
        <f t="shared" si="59"/>
        <v>0</v>
      </c>
      <c r="M124" s="33">
        <f t="shared" si="60"/>
        <v>0</v>
      </c>
      <c r="N124" s="33">
        <f t="shared" si="41"/>
        <v>0</v>
      </c>
      <c r="O124" s="34">
        <f t="shared" si="42"/>
        <v>0</v>
      </c>
      <c r="P124" s="55">
        <v>119</v>
      </c>
      <c r="Q124" s="33">
        <f t="shared" si="55"/>
        <v>0</v>
      </c>
      <c r="R124" s="33">
        <f t="shared" si="61"/>
        <v>0</v>
      </c>
      <c r="S124" s="33">
        <f t="shared" si="62"/>
        <v>0</v>
      </c>
      <c r="T124" s="33">
        <f t="shared" si="43"/>
        <v>0</v>
      </c>
      <c r="U124" s="33">
        <f t="shared" si="56"/>
        <v>0</v>
      </c>
      <c r="V124" s="33">
        <f t="shared" si="44"/>
        <v>0</v>
      </c>
      <c r="W124" s="33">
        <v>0</v>
      </c>
      <c r="X124" s="33">
        <f t="shared" si="45"/>
        <v>0</v>
      </c>
      <c r="Y124" s="38">
        <f t="shared" si="46"/>
        <v>0</v>
      </c>
      <c r="AA124" s="71">
        <v>119</v>
      </c>
      <c r="AB124" s="33">
        <f t="shared" si="47"/>
        <v>0</v>
      </c>
      <c r="AC124" s="305">
        <f t="shared" si="70"/>
        <v>0</v>
      </c>
      <c r="AD124" s="100">
        <f t="shared" si="48"/>
        <v>0</v>
      </c>
      <c r="AE124" s="100">
        <f t="shared" si="49"/>
        <v>0</v>
      </c>
      <c r="AF124" s="194">
        <f t="shared" si="66"/>
        <v>0</v>
      </c>
      <c r="AG124" s="194">
        <f t="shared" si="67"/>
        <v>0</v>
      </c>
      <c r="AH124" s="194">
        <f t="shared" si="68"/>
        <v>0</v>
      </c>
      <c r="AI124" s="199">
        <f t="shared" si="69"/>
        <v>0</v>
      </c>
      <c r="AK124" s="71">
        <v>119</v>
      </c>
      <c r="AL124" s="33">
        <f t="shared" si="50"/>
        <v>0</v>
      </c>
      <c r="AM124" s="33">
        <f t="shared" si="51"/>
        <v>0</v>
      </c>
      <c r="AN124" s="33">
        <f t="shared" si="52"/>
        <v>0</v>
      </c>
      <c r="AO124" s="33">
        <f t="shared" si="53"/>
        <v>0</v>
      </c>
      <c r="AP124" s="33">
        <f t="shared" si="54"/>
        <v>0</v>
      </c>
      <c r="AQ124" s="194">
        <f t="shared" si="72"/>
        <v>0</v>
      </c>
      <c r="AR124" s="194">
        <f t="shared" si="72"/>
        <v>0</v>
      </c>
      <c r="AS124" s="194">
        <f t="shared" si="72"/>
        <v>0</v>
      </c>
      <c r="AT124" s="194">
        <f t="shared" si="71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7"/>
        <v>0</v>
      </c>
      <c r="K125" s="33">
        <f t="shared" si="58"/>
        <v>0</v>
      </c>
      <c r="L125" s="33">
        <f t="shared" si="59"/>
        <v>0</v>
      </c>
      <c r="M125" s="33">
        <f t="shared" si="60"/>
        <v>0</v>
      </c>
      <c r="N125" s="33">
        <f t="shared" si="41"/>
        <v>0</v>
      </c>
      <c r="O125" s="34">
        <f t="shared" si="42"/>
        <v>0</v>
      </c>
      <c r="P125" s="55">
        <v>120</v>
      </c>
      <c r="Q125" s="33">
        <f t="shared" si="55"/>
        <v>0</v>
      </c>
      <c r="R125" s="33">
        <f t="shared" si="61"/>
        <v>0</v>
      </c>
      <c r="S125" s="33">
        <f t="shared" si="62"/>
        <v>0</v>
      </c>
      <c r="T125" s="33">
        <f t="shared" si="43"/>
        <v>0</v>
      </c>
      <c r="U125" s="33">
        <f t="shared" si="56"/>
        <v>0</v>
      </c>
      <c r="V125" s="33">
        <f t="shared" si="44"/>
        <v>0</v>
      </c>
      <c r="W125" s="33">
        <v>0</v>
      </c>
      <c r="X125" s="33">
        <f t="shared" si="45"/>
        <v>0</v>
      </c>
      <c r="Y125" s="38">
        <f t="shared" si="46"/>
        <v>0</v>
      </c>
      <c r="AA125" s="71">
        <v>120</v>
      </c>
      <c r="AB125" s="33">
        <f t="shared" si="47"/>
        <v>0</v>
      </c>
      <c r="AC125" s="305">
        <f t="shared" si="70"/>
        <v>0</v>
      </c>
      <c r="AD125" s="100">
        <f t="shared" si="48"/>
        <v>0</v>
      </c>
      <c r="AE125" s="100">
        <f t="shared" si="49"/>
        <v>0</v>
      </c>
      <c r="AF125" s="194">
        <f t="shared" si="66"/>
        <v>0</v>
      </c>
      <c r="AG125" s="194">
        <f t="shared" si="67"/>
        <v>0</v>
      </c>
      <c r="AH125" s="194">
        <f t="shared" si="68"/>
        <v>0</v>
      </c>
      <c r="AI125" s="199">
        <f t="shared" si="69"/>
        <v>0</v>
      </c>
      <c r="AK125" s="71">
        <v>120</v>
      </c>
      <c r="AL125" s="33">
        <f t="shared" si="50"/>
        <v>0</v>
      </c>
      <c r="AM125" s="33">
        <f t="shared" si="51"/>
        <v>0</v>
      </c>
      <c r="AN125" s="33">
        <f t="shared" si="52"/>
        <v>0</v>
      </c>
      <c r="AO125" s="33">
        <f t="shared" si="53"/>
        <v>0</v>
      </c>
      <c r="AP125" s="33">
        <f t="shared" si="54"/>
        <v>0</v>
      </c>
      <c r="AQ125" s="194">
        <f t="shared" si="72"/>
        <v>0</v>
      </c>
      <c r="AR125" s="194">
        <f t="shared" si="72"/>
        <v>0</v>
      </c>
      <c r="AS125" s="194">
        <f t="shared" si="72"/>
        <v>0</v>
      </c>
      <c r="AT125" s="194">
        <f t="shared" si="71"/>
        <v>0</v>
      </c>
      <c r="AU125" s="33"/>
      <c r="AV125" s="33"/>
      <c r="AW125" s="33"/>
      <c r="AX125" s="33"/>
      <c r="AY125" s="76"/>
    </row>
    <row r="126" spans="2:51">
      <c r="C126" s="84" t="s">
        <v>128</v>
      </c>
      <c r="D126" s="84" t="s">
        <v>129</v>
      </c>
      <c r="E126" s="84" t="s">
        <v>159</v>
      </c>
      <c r="F126" s="138" t="s">
        <v>169</v>
      </c>
      <c r="I126" s="55">
        <v>121</v>
      </c>
      <c r="J126" s="33">
        <f t="shared" si="57"/>
        <v>0</v>
      </c>
      <c r="K126" s="33">
        <f t="shared" si="58"/>
        <v>0</v>
      </c>
      <c r="L126" s="33">
        <f t="shared" si="59"/>
        <v>0</v>
      </c>
      <c r="M126" s="33">
        <f t="shared" si="60"/>
        <v>0</v>
      </c>
      <c r="N126" s="33">
        <f t="shared" si="41"/>
        <v>0</v>
      </c>
      <c r="O126" s="34">
        <f t="shared" si="42"/>
        <v>0</v>
      </c>
      <c r="P126" s="55">
        <v>121</v>
      </c>
      <c r="Q126" s="33">
        <f t="shared" si="55"/>
        <v>0</v>
      </c>
      <c r="R126" s="33">
        <f t="shared" si="61"/>
        <v>0</v>
      </c>
      <c r="S126" s="33">
        <f t="shared" si="62"/>
        <v>0</v>
      </c>
      <c r="T126" s="33">
        <f t="shared" si="43"/>
        <v>0</v>
      </c>
      <c r="U126" s="33">
        <f t="shared" si="56"/>
        <v>0</v>
      </c>
      <c r="V126" s="33">
        <f t="shared" si="44"/>
        <v>0</v>
      </c>
      <c r="W126" s="33">
        <v>0</v>
      </c>
      <c r="X126" s="33">
        <f t="shared" si="45"/>
        <v>0</v>
      </c>
      <c r="Y126" s="38">
        <f t="shared" si="46"/>
        <v>0</v>
      </c>
      <c r="AA126" s="71">
        <v>121</v>
      </c>
      <c r="AB126" s="33">
        <f t="shared" si="47"/>
        <v>0</v>
      </c>
      <c r="AC126" s="305">
        <f t="shared" si="70"/>
        <v>0</v>
      </c>
      <c r="AD126" s="100">
        <f t="shared" si="48"/>
        <v>0</v>
      </c>
      <c r="AE126" s="100">
        <f t="shared" si="49"/>
        <v>0</v>
      </c>
      <c r="AF126" s="194">
        <f t="shared" si="66"/>
        <v>0</v>
      </c>
      <c r="AG126" s="194">
        <f t="shared" si="67"/>
        <v>0</v>
      </c>
      <c r="AH126" s="194">
        <f t="shared" si="68"/>
        <v>0</v>
      </c>
      <c r="AI126" s="199">
        <f t="shared" si="69"/>
        <v>0</v>
      </c>
      <c r="AK126" s="71">
        <v>121</v>
      </c>
      <c r="AL126" s="33">
        <f t="shared" si="50"/>
        <v>0</v>
      </c>
      <c r="AM126" s="33">
        <f t="shared" si="51"/>
        <v>0</v>
      </c>
      <c r="AN126" s="33">
        <f t="shared" si="52"/>
        <v>0</v>
      </c>
      <c r="AO126" s="33">
        <f t="shared" si="53"/>
        <v>0</v>
      </c>
      <c r="AP126" s="33">
        <f t="shared" si="54"/>
        <v>0</v>
      </c>
      <c r="AQ126" s="194">
        <f t="shared" si="72"/>
        <v>0</v>
      </c>
      <c r="AR126" s="194">
        <f t="shared" si="72"/>
        <v>0</v>
      </c>
      <c r="AS126" s="194">
        <f t="shared" si="72"/>
        <v>0</v>
      </c>
      <c r="AT126" s="194">
        <f t="shared" si="71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279.48694021723782</v>
      </c>
      <c r="D127" s="82">
        <f>MIN(E118:E119)</f>
        <v>5.1168305264056668</v>
      </c>
      <c r="E127" s="85">
        <f>E123</f>
        <v>17.2</v>
      </c>
      <c r="F127" s="86">
        <f>SUM(C127:E127)</f>
        <v>301.8037707436435</v>
      </c>
      <c r="I127" s="55">
        <v>122</v>
      </c>
      <c r="J127" s="33">
        <f t="shared" si="57"/>
        <v>0</v>
      </c>
      <c r="K127" s="33">
        <f t="shared" si="58"/>
        <v>0</v>
      </c>
      <c r="L127" s="33">
        <f t="shared" si="59"/>
        <v>0</v>
      </c>
      <c r="M127" s="33">
        <f t="shared" si="60"/>
        <v>0</v>
      </c>
      <c r="N127" s="33">
        <f t="shared" si="41"/>
        <v>0</v>
      </c>
      <c r="O127" s="34">
        <f t="shared" si="42"/>
        <v>0</v>
      </c>
      <c r="P127" s="55">
        <v>122</v>
      </c>
      <c r="Q127" s="33">
        <f t="shared" si="55"/>
        <v>0</v>
      </c>
      <c r="R127" s="33">
        <f t="shared" si="61"/>
        <v>0</v>
      </c>
      <c r="S127" s="33">
        <f t="shared" si="62"/>
        <v>0</v>
      </c>
      <c r="T127" s="33">
        <f t="shared" si="43"/>
        <v>0</v>
      </c>
      <c r="U127" s="33">
        <f t="shared" si="56"/>
        <v>0</v>
      </c>
      <c r="V127" s="33">
        <f t="shared" si="44"/>
        <v>0</v>
      </c>
      <c r="W127" s="33">
        <v>0</v>
      </c>
      <c r="X127" s="33">
        <f t="shared" si="45"/>
        <v>0</v>
      </c>
      <c r="Y127" s="38">
        <f t="shared" si="46"/>
        <v>0</v>
      </c>
      <c r="AA127" s="71">
        <v>122</v>
      </c>
      <c r="AB127" s="33">
        <f t="shared" si="47"/>
        <v>0</v>
      </c>
      <c r="AC127" s="305">
        <f t="shared" si="70"/>
        <v>0</v>
      </c>
      <c r="AD127" s="100">
        <f t="shared" si="48"/>
        <v>0</v>
      </c>
      <c r="AE127" s="100">
        <f t="shared" si="49"/>
        <v>0</v>
      </c>
      <c r="AF127" s="194">
        <f t="shared" si="66"/>
        <v>0</v>
      </c>
      <c r="AG127" s="194">
        <f t="shared" si="67"/>
        <v>0</v>
      </c>
      <c r="AH127" s="194">
        <f t="shared" si="68"/>
        <v>0</v>
      </c>
      <c r="AI127" s="199">
        <f t="shared" si="69"/>
        <v>0</v>
      </c>
      <c r="AK127" s="71">
        <v>122</v>
      </c>
      <c r="AL127" s="33">
        <f t="shared" si="50"/>
        <v>0</v>
      </c>
      <c r="AM127" s="33">
        <f t="shared" si="51"/>
        <v>0</v>
      </c>
      <c r="AN127" s="33">
        <f t="shared" si="52"/>
        <v>0</v>
      </c>
      <c r="AO127" s="33">
        <f t="shared" si="53"/>
        <v>0</v>
      </c>
      <c r="AP127" s="33">
        <f t="shared" si="54"/>
        <v>0</v>
      </c>
      <c r="AQ127" s="194">
        <f t="shared" si="72"/>
        <v>0</v>
      </c>
      <c r="AR127" s="194">
        <f t="shared" si="72"/>
        <v>0</v>
      </c>
      <c r="AS127" s="194">
        <f t="shared" si="72"/>
        <v>0</v>
      </c>
      <c r="AT127" s="194">
        <f t="shared" si="71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7"/>
        <v>0</v>
      </c>
      <c r="K128" s="33">
        <f t="shared" si="58"/>
        <v>0</v>
      </c>
      <c r="L128" s="33">
        <f t="shared" si="59"/>
        <v>0</v>
      </c>
      <c r="M128" s="33">
        <f t="shared" si="60"/>
        <v>0</v>
      </c>
      <c r="N128" s="33">
        <f t="shared" si="41"/>
        <v>0</v>
      </c>
      <c r="O128" s="34">
        <f t="shared" si="42"/>
        <v>0</v>
      </c>
      <c r="P128" s="55">
        <v>123</v>
      </c>
      <c r="Q128" s="33">
        <f t="shared" si="55"/>
        <v>0</v>
      </c>
      <c r="R128" s="33">
        <f t="shared" si="61"/>
        <v>0</v>
      </c>
      <c r="S128" s="33">
        <f t="shared" si="62"/>
        <v>0</v>
      </c>
      <c r="T128" s="33">
        <f t="shared" si="43"/>
        <v>0</v>
      </c>
      <c r="U128" s="33">
        <f t="shared" si="56"/>
        <v>0</v>
      </c>
      <c r="V128" s="33">
        <f t="shared" si="44"/>
        <v>0</v>
      </c>
      <c r="W128" s="33">
        <v>0</v>
      </c>
      <c r="X128" s="33">
        <f t="shared" si="45"/>
        <v>0</v>
      </c>
      <c r="Y128" s="38">
        <f t="shared" si="46"/>
        <v>0</v>
      </c>
      <c r="AA128" s="71">
        <v>123</v>
      </c>
      <c r="AB128" s="33">
        <f t="shared" si="47"/>
        <v>0</v>
      </c>
      <c r="AC128" s="305">
        <f t="shared" si="70"/>
        <v>0</v>
      </c>
      <c r="AD128" s="100">
        <f t="shared" si="48"/>
        <v>0</v>
      </c>
      <c r="AE128" s="100">
        <f t="shared" si="49"/>
        <v>0</v>
      </c>
      <c r="AF128" s="194">
        <f t="shared" si="66"/>
        <v>0</v>
      </c>
      <c r="AG128" s="194">
        <f t="shared" si="67"/>
        <v>0</v>
      </c>
      <c r="AH128" s="194">
        <f t="shared" si="68"/>
        <v>0</v>
      </c>
      <c r="AI128" s="199">
        <f t="shared" si="69"/>
        <v>0</v>
      </c>
      <c r="AK128" s="71">
        <v>123</v>
      </c>
      <c r="AL128" s="33">
        <f t="shared" si="50"/>
        <v>0</v>
      </c>
      <c r="AM128" s="33">
        <f t="shared" si="51"/>
        <v>0</v>
      </c>
      <c r="AN128" s="33">
        <f t="shared" si="52"/>
        <v>0</v>
      </c>
      <c r="AO128" s="33">
        <f t="shared" si="53"/>
        <v>0</v>
      </c>
      <c r="AP128" s="33">
        <f t="shared" si="54"/>
        <v>0</v>
      </c>
      <c r="AQ128" s="194">
        <f t="shared" si="72"/>
        <v>0</v>
      </c>
      <c r="AR128" s="194">
        <f t="shared" si="72"/>
        <v>0</v>
      </c>
      <c r="AS128" s="194">
        <f t="shared" si="72"/>
        <v>0</v>
      </c>
      <c r="AT128" s="194">
        <f t="shared" si="71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7"/>
        <v>0</v>
      </c>
      <c r="K129" s="33">
        <f t="shared" si="58"/>
        <v>0</v>
      </c>
      <c r="L129" s="33">
        <f t="shared" si="59"/>
        <v>0</v>
      </c>
      <c r="M129" s="33">
        <f t="shared" si="60"/>
        <v>0</v>
      </c>
      <c r="N129" s="33">
        <f t="shared" si="41"/>
        <v>0</v>
      </c>
      <c r="O129" s="34">
        <f t="shared" si="42"/>
        <v>0</v>
      </c>
      <c r="P129" s="55">
        <v>124</v>
      </c>
      <c r="Q129" s="33">
        <f t="shared" si="55"/>
        <v>0</v>
      </c>
      <c r="R129" s="33">
        <f t="shared" si="61"/>
        <v>0</v>
      </c>
      <c r="S129" s="33">
        <f t="shared" si="62"/>
        <v>0</v>
      </c>
      <c r="T129" s="33">
        <f t="shared" si="43"/>
        <v>0</v>
      </c>
      <c r="U129" s="33">
        <f t="shared" si="56"/>
        <v>0</v>
      </c>
      <c r="V129" s="33">
        <f t="shared" si="44"/>
        <v>0</v>
      </c>
      <c r="W129" s="33">
        <v>0</v>
      </c>
      <c r="X129" s="33">
        <f t="shared" si="45"/>
        <v>0</v>
      </c>
      <c r="Y129" s="38">
        <f t="shared" si="46"/>
        <v>0</v>
      </c>
      <c r="AA129" s="71">
        <v>124</v>
      </c>
      <c r="AB129" s="33">
        <f t="shared" si="47"/>
        <v>0</v>
      </c>
      <c r="AC129" s="305">
        <f t="shared" si="70"/>
        <v>0</v>
      </c>
      <c r="AD129" s="100">
        <f t="shared" si="48"/>
        <v>0</v>
      </c>
      <c r="AE129" s="100">
        <f t="shared" si="49"/>
        <v>0</v>
      </c>
      <c r="AF129" s="194">
        <f t="shared" si="66"/>
        <v>0</v>
      </c>
      <c r="AG129" s="194">
        <f t="shared" si="67"/>
        <v>0</v>
      </c>
      <c r="AH129" s="194">
        <f t="shared" si="68"/>
        <v>0</v>
      </c>
      <c r="AI129" s="199">
        <f t="shared" si="69"/>
        <v>0</v>
      </c>
      <c r="AK129" s="71">
        <v>124</v>
      </c>
      <c r="AL129" s="33">
        <f t="shared" si="50"/>
        <v>0</v>
      </c>
      <c r="AM129" s="33">
        <f t="shared" si="51"/>
        <v>0</v>
      </c>
      <c r="AN129" s="33">
        <f t="shared" si="52"/>
        <v>0</v>
      </c>
      <c r="AO129" s="33">
        <f t="shared" si="53"/>
        <v>0</v>
      </c>
      <c r="AP129" s="33">
        <f t="shared" si="54"/>
        <v>0</v>
      </c>
      <c r="AQ129" s="194">
        <f t="shared" si="72"/>
        <v>0</v>
      </c>
      <c r="AR129" s="194">
        <f t="shared" si="72"/>
        <v>0</v>
      </c>
      <c r="AS129" s="194">
        <f t="shared" si="72"/>
        <v>0</v>
      </c>
      <c r="AT129" s="194">
        <f t="shared" si="71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8" t="s">
        <v>226</v>
      </c>
      <c r="F130" s="343" t="s">
        <v>272</v>
      </c>
      <c r="I130" s="55">
        <v>125</v>
      </c>
      <c r="J130" s="33">
        <f t="shared" si="57"/>
        <v>0</v>
      </c>
      <c r="K130" s="33">
        <f t="shared" si="58"/>
        <v>0</v>
      </c>
      <c r="L130" s="33">
        <f t="shared" si="59"/>
        <v>0</v>
      </c>
      <c r="M130" s="33">
        <f t="shared" si="60"/>
        <v>0</v>
      </c>
      <c r="N130" s="33">
        <f t="shared" si="41"/>
        <v>0</v>
      </c>
      <c r="O130" s="34">
        <f t="shared" si="42"/>
        <v>0</v>
      </c>
      <c r="P130" s="55">
        <v>125</v>
      </c>
      <c r="Q130" s="33">
        <f t="shared" si="55"/>
        <v>0</v>
      </c>
      <c r="R130" s="33">
        <f t="shared" si="61"/>
        <v>0</v>
      </c>
      <c r="S130" s="33">
        <f t="shared" si="62"/>
        <v>0</v>
      </c>
      <c r="T130" s="33">
        <f t="shared" si="43"/>
        <v>0</v>
      </c>
      <c r="U130" s="33">
        <f t="shared" si="56"/>
        <v>0</v>
      </c>
      <c r="V130" s="33">
        <f t="shared" si="44"/>
        <v>0</v>
      </c>
      <c r="W130" s="33">
        <v>0</v>
      </c>
      <c r="X130" s="33">
        <f t="shared" si="45"/>
        <v>0</v>
      </c>
      <c r="Y130" s="38">
        <f t="shared" si="46"/>
        <v>0</v>
      </c>
      <c r="AA130" s="71">
        <v>125</v>
      </c>
      <c r="AB130" s="33">
        <f t="shared" si="47"/>
        <v>0</v>
      </c>
      <c r="AC130" s="305">
        <f t="shared" si="70"/>
        <v>0</v>
      </c>
      <c r="AD130" s="100">
        <f t="shared" si="48"/>
        <v>0</v>
      </c>
      <c r="AE130" s="100">
        <f t="shared" si="49"/>
        <v>0</v>
      </c>
      <c r="AF130" s="194">
        <f t="shared" si="66"/>
        <v>0</v>
      </c>
      <c r="AG130" s="194">
        <f t="shared" si="67"/>
        <v>0</v>
      </c>
      <c r="AH130" s="194">
        <f t="shared" si="68"/>
        <v>0</v>
      </c>
      <c r="AI130" s="199">
        <f t="shared" si="69"/>
        <v>0</v>
      </c>
      <c r="AK130" s="71">
        <v>125</v>
      </c>
      <c r="AL130" s="33">
        <f t="shared" si="50"/>
        <v>0</v>
      </c>
      <c r="AM130" s="33">
        <f t="shared" si="51"/>
        <v>0</v>
      </c>
      <c r="AN130" s="33">
        <f t="shared" si="52"/>
        <v>0</v>
      </c>
      <c r="AO130" s="33">
        <f t="shared" si="53"/>
        <v>0</v>
      </c>
      <c r="AP130" s="33">
        <f t="shared" si="54"/>
        <v>0</v>
      </c>
      <c r="AQ130" s="194">
        <f t="shared" si="72"/>
        <v>0</v>
      </c>
      <c r="AR130" s="194">
        <f t="shared" si="72"/>
        <v>0</v>
      </c>
      <c r="AS130" s="194">
        <f t="shared" si="72"/>
        <v>0</v>
      </c>
      <c r="AT130" s="194">
        <f t="shared" si="71"/>
        <v>0</v>
      </c>
      <c r="AU130" s="33"/>
      <c r="AV130" s="33"/>
      <c r="AW130" s="33"/>
      <c r="AX130" s="33"/>
      <c r="AY130" s="76"/>
    </row>
    <row r="131" spans="3:51">
      <c r="C131" s="166" t="s">
        <v>7</v>
      </c>
      <c r="D131" s="4">
        <v>0.62</v>
      </c>
      <c r="E131" s="188" t="s">
        <v>227</v>
      </c>
      <c r="F131" s="343">
        <f>IF(OR(Tableau145[[#This Row],[Type]]="Feuillus",Tableau145[[#This Row],[Type]]="Peupliers"),1.56,1.3)</f>
        <v>1.56</v>
      </c>
      <c r="I131" s="55">
        <v>126</v>
      </c>
      <c r="J131" s="33">
        <f t="shared" si="57"/>
        <v>0</v>
      </c>
      <c r="K131" s="33">
        <f t="shared" si="58"/>
        <v>0</v>
      </c>
      <c r="L131" s="33">
        <f t="shared" si="59"/>
        <v>0</v>
      </c>
      <c r="M131" s="33">
        <f t="shared" si="60"/>
        <v>0</v>
      </c>
      <c r="N131" s="33">
        <f t="shared" si="41"/>
        <v>0</v>
      </c>
      <c r="O131" s="34">
        <f t="shared" si="42"/>
        <v>0</v>
      </c>
      <c r="P131" s="55">
        <v>126</v>
      </c>
      <c r="Q131" s="33">
        <f t="shared" si="55"/>
        <v>0</v>
      </c>
      <c r="R131" s="33">
        <f t="shared" si="61"/>
        <v>0</v>
      </c>
      <c r="S131" s="33">
        <f t="shared" si="62"/>
        <v>0</v>
      </c>
      <c r="T131" s="33">
        <f t="shared" si="43"/>
        <v>0</v>
      </c>
      <c r="U131" s="33">
        <f t="shared" si="56"/>
        <v>0</v>
      </c>
      <c r="V131" s="33">
        <f t="shared" si="44"/>
        <v>0</v>
      </c>
      <c r="W131" s="33">
        <v>0</v>
      </c>
      <c r="X131" s="33">
        <f t="shared" si="45"/>
        <v>0</v>
      </c>
      <c r="Y131" s="38">
        <f t="shared" si="46"/>
        <v>0</v>
      </c>
      <c r="AA131" s="71">
        <v>126</v>
      </c>
      <c r="AB131" s="33">
        <f t="shared" si="47"/>
        <v>0</v>
      </c>
      <c r="AC131" s="305">
        <f t="shared" si="70"/>
        <v>0</v>
      </c>
      <c r="AD131" s="100">
        <f t="shared" si="48"/>
        <v>0</v>
      </c>
      <c r="AE131" s="100">
        <f t="shared" si="49"/>
        <v>0</v>
      </c>
      <c r="AF131" s="194">
        <f t="shared" si="66"/>
        <v>0</v>
      </c>
      <c r="AG131" s="194">
        <f t="shared" si="67"/>
        <v>0</v>
      </c>
      <c r="AH131" s="194">
        <f t="shared" si="68"/>
        <v>0</v>
      </c>
      <c r="AI131" s="199">
        <f t="shared" si="69"/>
        <v>0</v>
      </c>
      <c r="AK131" s="71">
        <v>126</v>
      </c>
      <c r="AL131" s="33">
        <f t="shared" si="50"/>
        <v>0</v>
      </c>
      <c r="AM131" s="33">
        <f t="shared" si="51"/>
        <v>0</v>
      </c>
      <c r="AN131" s="33">
        <f t="shared" si="52"/>
        <v>0</v>
      </c>
      <c r="AO131" s="33">
        <f t="shared" si="53"/>
        <v>0</v>
      </c>
      <c r="AP131" s="33">
        <f t="shared" si="54"/>
        <v>0</v>
      </c>
      <c r="AQ131" s="194">
        <f t="shared" si="72"/>
        <v>0</v>
      </c>
      <c r="AR131" s="194">
        <f t="shared" si="72"/>
        <v>0</v>
      </c>
      <c r="AS131" s="194">
        <f t="shared" si="72"/>
        <v>0</v>
      </c>
      <c r="AT131" s="194">
        <f t="shared" si="71"/>
        <v>0</v>
      </c>
      <c r="AU131" s="33"/>
      <c r="AV131" s="33"/>
      <c r="AW131" s="33"/>
      <c r="AX131" s="33"/>
      <c r="AY131" s="76"/>
    </row>
    <row r="132" spans="3:51">
      <c r="C132" s="166" t="s">
        <v>4</v>
      </c>
      <c r="D132" s="4">
        <v>0.64</v>
      </c>
      <c r="E132" s="188" t="s">
        <v>227</v>
      </c>
      <c r="F132" s="343">
        <f>IF(OR(Tableau145[[#This Row],[Type]]="Feuillus",Tableau145[[#This Row],[Type]]="Peupliers"),1.56,1.3)</f>
        <v>1.56</v>
      </c>
      <c r="I132" s="55">
        <v>127</v>
      </c>
      <c r="J132" s="33">
        <f t="shared" si="57"/>
        <v>0</v>
      </c>
      <c r="K132" s="33">
        <f t="shared" si="58"/>
        <v>0</v>
      </c>
      <c r="L132" s="33">
        <f t="shared" si="59"/>
        <v>0</v>
      </c>
      <c r="M132" s="33">
        <f t="shared" si="60"/>
        <v>0</v>
      </c>
      <c r="N132" s="33">
        <f t="shared" si="41"/>
        <v>0</v>
      </c>
      <c r="O132" s="34">
        <f t="shared" si="42"/>
        <v>0</v>
      </c>
      <c r="P132" s="55">
        <v>127</v>
      </c>
      <c r="Q132" s="33">
        <f t="shared" si="55"/>
        <v>0</v>
      </c>
      <c r="R132" s="33">
        <f t="shared" si="61"/>
        <v>0</v>
      </c>
      <c r="S132" s="33">
        <f t="shared" si="62"/>
        <v>0</v>
      </c>
      <c r="T132" s="33">
        <f t="shared" si="43"/>
        <v>0</v>
      </c>
      <c r="U132" s="33">
        <f t="shared" si="56"/>
        <v>0</v>
      </c>
      <c r="V132" s="33">
        <f t="shared" si="44"/>
        <v>0</v>
      </c>
      <c r="W132" s="33">
        <v>0</v>
      </c>
      <c r="X132" s="33">
        <f t="shared" si="45"/>
        <v>0</v>
      </c>
      <c r="Y132" s="38">
        <f t="shared" si="46"/>
        <v>0</v>
      </c>
      <c r="AA132" s="71">
        <v>127</v>
      </c>
      <c r="AB132" s="33">
        <f t="shared" si="47"/>
        <v>0</v>
      </c>
      <c r="AC132" s="305">
        <f t="shared" si="70"/>
        <v>0</v>
      </c>
      <c r="AD132" s="100">
        <f t="shared" si="48"/>
        <v>0</v>
      </c>
      <c r="AE132" s="100">
        <f t="shared" si="49"/>
        <v>0</v>
      </c>
      <c r="AF132" s="194">
        <f t="shared" si="66"/>
        <v>0</v>
      </c>
      <c r="AG132" s="194">
        <f t="shared" si="67"/>
        <v>0</v>
      </c>
      <c r="AH132" s="194">
        <f t="shared" si="68"/>
        <v>0</v>
      </c>
      <c r="AI132" s="199">
        <f t="shared" si="69"/>
        <v>0</v>
      </c>
      <c r="AK132" s="71">
        <v>127</v>
      </c>
      <c r="AL132" s="33">
        <f t="shared" si="50"/>
        <v>0</v>
      </c>
      <c r="AM132" s="33">
        <f t="shared" si="51"/>
        <v>0</v>
      </c>
      <c r="AN132" s="33">
        <f t="shared" si="52"/>
        <v>0</v>
      </c>
      <c r="AO132" s="33">
        <f t="shared" si="53"/>
        <v>0</v>
      </c>
      <c r="AP132" s="33">
        <f t="shared" si="54"/>
        <v>0</v>
      </c>
      <c r="AQ132" s="194">
        <f t="shared" si="72"/>
        <v>0</v>
      </c>
      <c r="AR132" s="194">
        <f t="shared" si="72"/>
        <v>0</v>
      </c>
      <c r="AS132" s="194">
        <f t="shared" si="72"/>
        <v>0</v>
      </c>
      <c r="AT132" s="194">
        <f t="shared" si="71"/>
        <v>0</v>
      </c>
      <c r="AU132" s="33"/>
      <c r="AV132" s="33"/>
      <c r="AW132" s="33"/>
      <c r="AX132" s="33"/>
      <c r="AY132" s="76"/>
    </row>
    <row r="133" spans="3:51">
      <c r="C133" s="166" t="s">
        <v>8</v>
      </c>
      <c r="D133" s="4">
        <v>0.42</v>
      </c>
      <c r="E133" s="188" t="s">
        <v>227</v>
      </c>
      <c r="F133" s="343">
        <f>IF(OR(Tableau145[[#This Row],[Type]]="Feuillus",Tableau145[[#This Row],[Type]]="Peupliers"),1.56,1.3)</f>
        <v>1.56</v>
      </c>
      <c r="I133" s="55">
        <v>128</v>
      </c>
      <c r="J133" s="33">
        <f t="shared" si="57"/>
        <v>0</v>
      </c>
      <c r="K133" s="33">
        <f t="shared" si="58"/>
        <v>0</v>
      </c>
      <c r="L133" s="33">
        <f t="shared" si="59"/>
        <v>0</v>
      </c>
      <c r="M133" s="33">
        <f t="shared" si="60"/>
        <v>0</v>
      </c>
      <c r="N133" s="33">
        <f t="shared" ref="N133:N196" si="73">IF(P134&lt;=$F$18,0,)</f>
        <v>0</v>
      </c>
      <c r="O133" s="34">
        <f t="shared" ref="O133:O196" si="74">((J133+K133)*0.475+L133+M133+N133)*44/12</f>
        <v>0</v>
      </c>
      <c r="P133" s="55">
        <v>128</v>
      </c>
      <c r="Q133" s="33">
        <f t="shared" si="55"/>
        <v>0</v>
      </c>
      <c r="R133" s="33">
        <f t="shared" si="61"/>
        <v>0</v>
      </c>
      <c r="S133" s="33">
        <f t="shared" si="62"/>
        <v>0</v>
      </c>
      <c r="T133" s="33">
        <f t="shared" ref="T133:T196" si="75">IF(S133=0,0,EXP(-1.0587+0.8836*LN(S133)+0.284))</f>
        <v>0</v>
      </c>
      <c r="U133" s="33">
        <f t="shared" si="56"/>
        <v>0</v>
      </c>
      <c r="V133" s="33">
        <f t="shared" ref="V133:V196" si="76">IF(P133&lt;=$F$18,IF(P133&lt;=30,P133*($F$16-$F$6)/30,$F$16-$F$6),)</f>
        <v>0</v>
      </c>
      <c r="W133" s="33">
        <v>0</v>
      </c>
      <c r="X133" s="33">
        <f t="shared" ref="X133:X196" si="77">((S133+T133)*0.475+U133+V133+W133)*44/12</f>
        <v>0</v>
      </c>
      <c r="Y133" s="38">
        <f t="shared" ref="Y133:Y196" si="78">IF(P133&lt;=$F$18,X133-O133,)</f>
        <v>0</v>
      </c>
      <c r="AA133" s="71">
        <v>128</v>
      </c>
      <c r="AB133" s="33">
        <f t="shared" ref="AB133:AB196" si="79">IF(AA133&lt;=$F$18,IFERROR(VLOOKUP($AA133,$B$82:$G$94,2,FALSE),0),)</f>
        <v>0</v>
      </c>
      <c r="AC133" s="305">
        <f t="shared" si="70"/>
        <v>0</v>
      </c>
      <c r="AD133" s="100">
        <f t="shared" ref="AD133:AD196" si="80">IF(AA133&lt;=$F$18,IFERROR(VLOOKUP($AA133,$B$82:$G$94,4,FALSE),0),)</f>
        <v>0</v>
      </c>
      <c r="AE133" s="100">
        <f t="shared" ref="AE133:AE196" si="81">IF(AA133&lt;=$F$18,IFERROR(VLOOKUP($AA133,$B$82:$G$94,5,FALSE),0),)</f>
        <v>0</v>
      </c>
      <c r="AF133" s="194">
        <f t="shared" si="66"/>
        <v>0</v>
      </c>
      <c r="AG133" s="194">
        <f t="shared" si="67"/>
        <v>0</v>
      </c>
      <c r="AH133" s="194">
        <f t="shared" si="68"/>
        <v>0</v>
      </c>
      <c r="AI133" s="199">
        <f t="shared" si="69"/>
        <v>0</v>
      </c>
      <c r="AK133" s="71">
        <v>128</v>
      </c>
      <c r="AL133" s="33">
        <f t="shared" ref="AL133:AL196" si="82">IF(AK133&lt;=$F$18,IFERROR(VLOOKUP($AA133,$B$82:$G$94,2,FALSE),0),)</f>
        <v>0</v>
      </c>
      <c r="AM133" s="33">
        <f t="shared" ref="AM133:AM196" si="83">IF(AK133&lt;=$F$18,IFERROR(VLOOKUP($AA133,$B$82:$G$94,3,FALSE),0),)</f>
        <v>0</v>
      </c>
      <c r="AN133" s="33">
        <f t="shared" ref="AN133:AN196" si="84">IF(AK133&lt;=$F$18,IFERROR(VLOOKUP($AA133,$B$82:$G$94,4,FALSE),0),)</f>
        <v>0</v>
      </c>
      <c r="AO133" s="33">
        <f t="shared" ref="AO133:AO196" si="85">IF(AK133&lt;=$F$18,IFERROR(VLOOKUP($AA133,$B$82:$G$94,5,FALSE),0),)</f>
        <v>0</v>
      </c>
      <c r="AP133" s="33">
        <f t="shared" ref="AP133:AP196" si="86">IF(AK133&lt;=$F$18,IFERROR(VLOOKUP($AA133,$B$82:$G$94,6,FALSE),0),)</f>
        <v>0</v>
      </c>
      <c r="AQ133" s="194">
        <f t="shared" si="72"/>
        <v>0</v>
      </c>
      <c r="AR133" s="194">
        <f t="shared" si="72"/>
        <v>0</v>
      </c>
      <c r="AS133" s="194">
        <f t="shared" si="72"/>
        <v>0</v>
      </c>
      <c r="AT133" s="194">
        <f t="shared" si="71"/>
        <v>0</v>
      </c>
      <c r="AU133" s="33"/>
      <c r="AV133" s="33"/>
      <c r="AW133" s="33"/>
      <c r="AX133" s="33"/>
      <c r="AY133" s="76"/>
    </row>
    <row r="134" spans="3:51">
      <c r="C134" s="166" t="s">
        <v>9</v>
      </c>
      <c r="D134" s="4">
        <v>0.42</v>
      </c>
      <c r="E134" s="188" t="s">
        <v>227</v>
      </c>
      <c r="F134" s="343">
        <f>IF(OR(Tableau145[[#This Row],[Type]]="Feuillus",Tableau145[[#This Row],[Type]]="Peupliers"),1.56,1.3)</f>
        <v>1.56</v>
      </c>
      <c r="I134" s="55">
        <v>129</v>
      </c>
      <c r="J134" s="33">
        <f t="shared" si="57"/>
        <v>0</v>
      </c>
      <c r="K134" s="33">
        <f t="shared" si="58"/>
        <v>0</v>
      </c>
      <c r="L134" s="33">
        <f t="shared" si="59"/>
        <v>0</v>
      </c>
      <c r="M134" s="33">
        <f t="shared" si="60"/>
        <v>0</v>
      </c>
      <c r="N134" s="33">
        <f t="shared" si="73"/>
        <v>0</v>
      </c>
      <c r="O134" s="34">
        <f t="shared" si="74"/>
        <v>0</v>
      </c>
      <c r="P134" s="55">
        <v>129</v>
      </c>
      <c r="Q134" s="33">
        <f t="shared" ref="Q134:Q197" si="87">IF(P134&lt;=$F$18,LOOKUP(P134-1,$B$25:$B$78,$G$25:$G$78),)</f>
        <v>0</v>
      </c>
      <c r="R134" s="33">
        <f t="shared" si="61"/>
        <v>0</v>
      </c>
      <c r="S134" s="33">
        <f t="shared" si="62"/>
        <v>0</v>
      </c>
      <c r="T134" s="33">
        <f t="shared" si="75"/>
        <v>0</v>
      </c>
      <c r="U134" s="33">
        <f t="shared" ref="U134:U197" si="88">IF(P134&lt;=$F$18,$F$5+($F$15-$F$5)*(1-EXP(-0.0175*P134)),)</f>
        <v>0</v>
      </c>
      <c r="V134" s="33">
        <f t="shared" si="76"/>
        <v>0</v>
      </c>
      <c r="W134" s="33">
        <v>0</v>
      </c>
      <c r="X134" s="33">
        <f t="shared" si="77"/>
        <v>0</v>
      </c>
      <c r="Y134" s="38">
        <f t="shared" si="78"/>
        <v>0</v>
      </c>
      <c r="AA134" s="71">
        <v>129</v>
      </c>
      <c r="AB134" s="33">
        <f t="shared" si="79"/>
        <v>0</v>
      </c>
      <c r="AC134" s="305">
        <f t="shared" si="70"/>
        <v>0</v>
      </c>
      <c r="AD134" s="100">
        <f t="shared" si="80"/>
        <v>0</v>
      </c>
      <c r="AE134" s="100">
        <f t="shared" si="81"/>
        <v>0</v>
      </c>
      <c r="AF134" s="194">
        <f t="shared" si="66"/>
        <v>0</v>
      </c>
      <c r="AG134" s="194">
        <f t="shared" si="67"/>
        <v>0</v>
      </c>
      <c r="AH134" s="194">
        <f t="shared" si="68"/>
        <v>0</v>
      </c>
      <c r="AI134" s="199">
        <f t="shared" si="69"/>
        <v>0</v>
      </c>
      <c r="AK134" s="71">
        <v>129</v>
      </c>
      <c r="AL134" s="33">
        <f t="shared" si="82"/>
        <v>0</v>
      </c>
      <c r="AM134" s="33">
        <f t="shared" si="83"/>
        <v>0</v>
      </c>
      <c r="AN134" s="33">
        <f t="shared" si="84"/>
        <v>0</v>
      </c>
      <c r="AO134" s="33">
        <f t="shared" si="85"/>
        <v>0</v>
      </c>
      <c r="AP134" s="33">
        <f t="shared" si="86"/>
        <v>0</v>
      </c>
      <c r="AQ134" s="194">
        <f t="shared" si="72"/>
        <v>0</v>
      </c>
      <c r="AR134" s="194">
        <f t="shared" si="72"/>
        <v>0</v>
      </c>
      <c r="AS134" s="194">
        <f t="shared" si="72"/>
        <v>0</v>
      </c>
      <c r="AT134" s="194">
        <f t="shared" si="71"/>
        <v>0</v>
      </c>
      <c r="AU134" s="33"/>
      <c r="AV134" s="33"/>
      <c r="AW134" s="33"/>
      <c r="AX134" s="33"/>
      <c r="AY134" s="76"/>
    </row>
    <row r="135" spans="3:51">
      <c r="C135" s="166" t="s">
        <v>10</v>
      </c>
      <c r="D135" s="4">
        <v>0.52</v>
      </c>
      <c r="E135" s="188" t="s">
        <v>227</v>
      </c>
      <c r="F135" s="343">
        <f>IF(OR(Tableau145[[#This Row],[Type]]="Feuillus",Tableau145[[#This Row],[Type]]="Peupliers"),1.56,1.3)</f>
        <v>1.56</v>
      </c>
      <c r="I135" s="55">
        <v>130</v>
      </c>
      <c r="J135" s="33">
        <f t="shared" ref="J135:J198" si="89">IF($I135&lt;=$F$10,$F$11*$F$13+J134,)</f>
        <v>0</v>
      </c>
      <c r="K135" s="33">
        <f t="shared" ref="K135:K198" si="90">IF(J135=0,0,EXP(-1.0587+0.8836*LN(J135)+0.284))</f>
        <v>0</v>
      </c>
      <c r="L135" s="33">
        <f t="shared" ref="L135:L198" si="91">IF(I135&lt;=$F$10,$F$5+($F$8-$F$5)*(1-EXP(-0.0175*I135)),)</f>
        <v>0</v>
      </c>
      <c r="M135" s="33">
        <f t="shared" ref="M135:M198" si="92">IF(I135&lt;=$F$10,IF(I135&lt;=30,I135*($F$9-$F$6)/30,$F$9-$F$6),)</f>
        <v>0</v>
      </c>
      <c r="N135" s="33">
        <f t="shared" si="73"/>
        <v>0</v>
      </c>
      <c r="O135" s="34">
        <f t="shared" si="74"/>
        <v>0</v>
      </c>
      <c r="P135" s="55">
        <v>130</v>
      </c>
      <c r="Q135" s="33">
        <f t="shared" si="87"/>
        <v>0</v>
      </c>
      <c r="R135" s="33">
        <f t="shared" ref="R135:R198" si="93">IF(P135&lt;=$F$18,Q135+R134,)</f>
        <v>0</v>
      </c>
      <c r="S135" s="33">
        <f t="shared" ref="S135:S198" si="94">$F$19*R135</f>
        <v>0</v>
      </c>
      <c r="T135" s="33">
        <f t="shared" si="75"/>
        <v>0</v>
      </c>
      <c r="U135" s="33">
        <f t="shared" si="88"/>
        <v>0</v>
      </c>
      <c r="V135" s="33">
        <f t="shared" si="76"/>
        <v>0</v>
      </c>
      <c r="W135" s="33">
        <v>0</v>
      </c>
      <c r="X135" s="33">
        <f t="shared" si="77"/>
        <v>0</v>
      </c>
      <c r="Y135" s="38">
        <f t="shared" si="78"/>
        <v>0</v>
      </c>
      <c r="AA135" s="71">
        <v>130</v>
      </c>
      <c r="AB135" s="33">
        <f t="shared" si="79"/>
        <v>0</v>
      </c>
      <c r="AC135" s="305">
        <f t="shared" si="70"/>
        <v>0</v>
      </c>
      <c r="AD135" s="100">
        <f t="shared" si="80"/>
        <v>0</v>
      </c>
      <c r="AE135" s="100">
        <f t="shared" si="81"/>
        <v>0</v>
      </c>
      <c r="AF135" s="194">
        <f t="shared" si="66"/>
        <v>0</v>
      </c>
      <c r="AG135" s="194">
        <f t="shared" si="67"/>
        <v>0</v>
      </c>
      <c r="AH135" s="194">
        <f t="shared" si="68"/>
        <v>0</v>
      </c>
      <c r="AI135" s="199">
        <f t="shared" si="69"/>
        <v>0</v>
      </c>
      <c r="AK135" s="71">
        <v>130</v>
      </c>
      <c r="AL135" s="33">
        <f t="shared" si="82"/>
        <v>0</v>
      </c>
      <c r="AM135" s="33">
        <f t="shared" si="83"/>
        <v>0</v>
      </c>
      <c r="AN135" s="33">
        <f t="shared" si="84"/>
        <v>0</v>
      </c>
      <c r="AO135" s="33">
        <f t="shared" si="85"/>
        <v>0</v>
      </c>
      <c r="AP135" s="33">
        <f t="shared" si="86"/>
        <v>0</v>
      </c>
      <c r="AQ135" s="194">
        <f t="shared" si="72"/>
        <v>0</v>
      </c>
      <c r="AR135" s="194">
        <f t="shared" si="72"/>
        <v>0</v>
      </c>
      <c r="AS135" s="194">
        <f t="shared" si="72"/>
        <v>0</v>
      </c>
      <c r="AT135" s="194">
        <f t="shared" si="71"/>
        <v>0</v>
      </c>
      <c r="AU135" s="33"/>
      <c r="AV135" s="33"/>
      <c r="AW135" s="33"/>
      <c r="AX135" s="33"/>
      <c r="AY135" s="76"/>
    </row>
    <row r="136" spans="3:51">
      <c r="C136" s="166" t="s">
        <v>11</v>
      </c>
      <c r="D136" s="4">
        <v>0.36</v>
      </c>
      <c r="E136" s="188" t="s">
        <v>228</v>
      </c>
      <c r="F136" s="343">
        <f>IF(OR(Tableau145[[#This Row],[Type]]="Feuillus",Tableau145[[#This Row],[Type]]="Peupliers"),1.56,1.3)</f>
        <v>1.3</v>
      </c>
      <c r="I136" s="55">
        <v>131</v>
      </c>
      <c r="J136" s="33">
        <f t="shared" si="89"/>
        <v>0</v>
      </c>
      <c r="K136" s="33">
        <f t="shared" si="90"/>
        <v>0</v>
      </c>
      <c r="L136" s="33">
        <f t="shared" si="91"/>
        <v>0</v>
      </c>
      <c r="M136" s="33">
        <f t="shared" si="92"/>
        <v>0</v>
      </c>
      <c r="N136" s="33">
        <f t="shared" si="73"/>
        <v>0</v>
      </c>
      <c r="O136" s="34">
        <f t="shared" si="74"/>
        <v>0</v>
      </c>
      <c r="P136" s="55">
        <v>131</v>
      </c>
      <c r="Q136" s="33">
        <f t="shared" si="87"/>
        <v>0</v>
      </c>
      <c r="R136" s="33">
        <f t="shared" si="93"/>
        <v>0</v>
      </c>
      <c r="S136" s="33">
        <f t="shared" si="94"/>
        <v>0</v>
      </c>
      <c r="T136" s="33">
        <f t="shared" si="75"/>
        <v>0</v>
      </c>
      <c r="U136" s="33">
        <f t="shared" si="88"/>
        <v>0</v>
      </c>
      <c r="V136" s="33">
        <f t="shared" si="76"/>
        <v>0</v>
      </c>
      <c r="W136" s="33">
        <v>0</v>
      </c>
      <c r="X136" s="33">
        <f t="shared" si="77"/>
        <v>0</v>
      </c>
      <c r="Y136" s="38">
        <f t="shared" si="78"/>
        <v>0</v>
      </c>
      <c r="AA136" s="71">
        <v>131</v>
      </c>
      <c r="AB136" s="33">
        <f t="shared" si="79"/>
        <v>0</v>
      </c>
      <c r="AC136" s="305">
        <f t="shared" si="70"/>
        <v>0</v>
      </c>
      <c r="AD136" s="100">
        <f t="shared" si="80"/>
        <v>0</v>
      </c>
      <c r="AE136" s="100">
        <f t="shared" si="81"/>
        <v>0</v>
      </c>
      <c r="AF136" s="194">
        <f t="shared" si="66"/>
        <v>0</v>
      </c>
      <c r="AG136" s="194">
        <f t="shared" si="67"/>
        <v>0</v>
      </c>
      <c r="AH136" s="194">
        <f t="shared" si="68"/>
        <v>0</v>
      </c>
      <c r="AI136" s="199">
        <f t="shared" si="69"/>
        <v>0</v>
      </c>
      <c r="AK136" s="71">
        <v>131</v>
      </c>
      <c r="AL136" s="33">
        <f t="shared" si="82"/>
        <v>0</v>
      </c>
      <c r="AM136" s="33">
        <f t="shared" si="83"/>
        <v>0</v>
      </c>
      <c r="AN136" s="33">
        <f t="shared" si="84"/>
        <v>0</v>
      </c>
      <c r="AO136" s="33">
        <f t="shared" si="85"/>
        <v>0</v>
      </c>
      <c r="AP136" s="33">
        <f t="shared" si="86"/>
        <v>0</v>
      </c>
      <c r="AQ136" s="194">
        <f t="shared" si="72"/>
        <v>0</v>
      </c>
      <c r="AR136" s="194">
        <f t="shared" si="72"/>
        <v>0</v>
      </c>
      <c r="AS136" s="194">
        <f t="shared" si="72"/>
        <v>0</v>
      </c>
      <c r="AT136" s="194">
        <f t="shared" si="71"/>
        <v>0</v>
      </c>
      <c r="AU136" s="33"/>
      <c r="AV136" s="33"/>
      <c r="AW136" s="33"/>
      <c r="AX136" s="33"/>
      <c r="AY136" s="76"/>
    </row>
    <row r="137" spans="3:51">
      <c r="C137" s="166" t="s">
        <v>12</v>
      </c>
      <c r="D137" s="4">
        <v>0.61</v>
      </c>
      <c r="E137" s="188" t="s">
        <v>227</v>
      </c>
      <c r="F137" s="343">
        <f>IF(OR(Tableau145[[#This Row],[Type]]="Feuillus",Tableau145[[#This Row],[Type]]="Peupliers"),1.56,1.3)</f>
        <v>1.56</v>
      </c>
      <c r="I137" s="55">
        <v>132</v>
      </c>
      <c r="J137" s="33">
        <f t="shared" si="89"/>
        <v>0</v>
      </c>
      <c r="K137" s="33">
        <f t="shared" si="90"/>
        <v>0</v>
      </c>
      <c r="L137" s="33">
        <f t="shared" si="91"/>
        <v>0</v>
      </c>
      <c r="M137" s="33">
        <f t="shared" si="92"/>
        <v>0</v>
      </c>
      <c r="N137" s="33">
        <f t="shared" si="73"/>
        <v>0</v>
      </c>
      <c r="O137" s="34">
        <f t="shared" si="74"/>
        <v>0</v>
      </c>
      <c r="P137" s="55">
        <v>132</v>
      </c>
      <c r="Q137" s="33">
        <f t="shared" si="87"/>
        <v>0</v>
      </c>
      <c r="R137" s="33">
        <f t="shared" si="93"/>
        <v>0</v>
      </c>
      <c r="S137" s="33">
        <f t="shared" si="94"/>
        <v>0</v>
      </c>
      <c r="T137" s="33">
        <f t="shared" si="75"/>
        <v>0</v>
      </c>
      <c r="U137" s="33">
        <f t="shared" si="88"/>
        <v>0</v>
      </c>
      <c r="V137" s="33">
        <f t="shared" si="76"/>
        <v>0</v>
      </c>
      <c r="W137" s="33">
        <v>0</v>
      </c>
      <c r="X137" s="33">
        <f t="shared" si="77"/>
        <v>0</v>
      </c>
      <c r="Y137" s="38">
        <f t="shared" si="78"/>
        <v>0</v>
      </c>
      <c r="AA137" s="71">
        <v>132</v>
      </c>
      <c r="AB137" s="33">
        <f t="shared" si="79"/>
        <v>0</v>
      </c>
      <c r="AC137" s="305">
        <f t="shared" si="70"/>
        <v>0</v>
      </c>
      <c r="AD137" s="100">
        <f t="shared" si="80"/>
        <v>0</v>
      </c>
      <c r="AE137" s="100">
        <f t="shared" si="81"/>
        <v>0</v>
      </c>
      <c r="AF137" s="194">
        <f t="shared" si="66"/>
        <v>0</v>
      </c>
      <c r="AG137" s="194">
        <f t="shared" si="67"/>
        <v>0</v>
      </c>
      <c r="AH137" s="194">
        <f t="shared" si="68"/>
        <v>0</v>
      </c>
      <c r="AI137" s="199">
        <f t="shared" si="69"/>
        <v>0</v>
      </c>
      <c r="AK137" s="71">
        <v>132</v>
      </c>
      <c r="AL137" s="33">
        <f t="shared" si="82"/>
        <v>0</v>
      </c>
      <c r="AM137" s="33">
        <f t="shared" si="83"/>
        <v>0</v>
      </c>
      <c r="AN137" s="33">
        <f t="shared" si="84"/>
        <v>0</v>
      </c>
      <c r="AO137" s="33">
        <f t="shared" si="85"/>
        <v>0</v>
      </c>
      <c r="AP137" s="33">
        <f t="shared" si="86"/>
        <v>0</v>
      </c>
      <c r="AQ137" s="194">
        <f t="shared" si="72"/>
        <v>0</v>
      </c>
      <c r="AR137" s="194">
        <f t="shared" si="72"/>
        <v>0</v>
      </c>
      <c r="AS137" s="194">
        <f t="shared" si="72"/>
        <v>0</v>
      </c>
      <c r="AT137" s="194">
        <f t="shared" si="71"/>
        <v>0</v>
      </c>
      <c r="AU137" s="33"/>
      <c r="AV137" s="33"/>
      <c r="AW137" s="33"/>
      <c r="AX137" s="33"/>
      <c r="AY137" s="76"/>
    </row>
    <row r="138" spans="3:51">
      <c r="C138" s="166" t="s">
        <v>13</v>
      </c>
      <c r="D138" s="4">
        <v>0.66</v>
      </c>
      <c r="E138" s="188" t="s">
        <v>227</v>
      </c>
      <c r="F138" s="343">
        <f>IF(OR(Tableau145[[#This Row],[Type]]="Feuillus",Tableau145[[#This Row],[Type]]="Peupliers"),1.56,1.3)</f>
        <v>1.56</v>
      </c>
      <c r="I138" s="55">
        <v>133</v>
      </c>
      <c r="J138" s="33">
        <f t="shared" si="89"/>
        <v>0</v>
      </c>
      <c r="K138" s="33">
        <f t="shared" si="90"/>
        <v>0</v>
      </c>
      <c r="L138" s="33">
        <f t="shared" si="91"/>
        <v>0</v>
      </c>
      <c r="M138" s="33">
        <f t="shared" si="92"/>
        <v>0</v>
      </c>
      <c r="N138" s="33">
        <f t="shared" si="73"/>
        <v>0</v>
      </c>
      <c r="O138" s="34">
        <f t="shared" si="74"/>
        <v>0</v>
      </c>
      <c r="P138" s="55">
        <v>133</v>
      </c>
      <c r="Q138" s="33">
        <f t="shared" si="87"/>
        <v>0</v>
      </c>
      <c r="R138" s="33">
        <f t="shared" si="93"/>
        <v>0</v>
      </c>
      <c r="S138" s="33">
        <f t="shared" si="94"/>
        <v>0</v>
      </c>
      <c r="T138" s="33">
        <f t="shared" si="75"/>
        <v>0</v>
      </c>
      <c r="U138" s="33">
        <f t="shared" si="88"/>
        <v>0</v>
      </c>
      <c r="V138" s="33">
        <f t="shared" si="76"/>
        <v>0</v>
      </c>
      <c r="W138" s="33">
        <v>0</v>
      </c>
      <c r="X138" s="33">
        <f t="shared" si="77"/>
        <v>0</v>
      </c>
      <c r="Y138" s="38">
        <f t="shared" si="78"/>
        <v>0</v>
      </c>
      <c r="AA138" s="71">
        <v>133</v>
      </c>
      <c r="AB138" s="33">
        <f t="shared" si="79"/>
        <v>0</v>
      </c>
      <c r="AC138" s="305">
        <f t="shared" si="70"/>
        <v>0</v>
      </c>
      <c r="AD138" s="100">
        <f t="shared" si="80"/>
        <v>0</v>
      </c>
      <c r="AE138" s="100">
        <f t="shared" si="81"/>
        <v>0</v>
      </c>
      <c r="AF138" s="194">
        <f t="shared" si="66"/>
        <v>0</v>
      </c>
      <c r="AG138" s="194">
        <f t="shared" si="67"/>
        <v>0</v>
      </c>
      <c r="AH138" s="194">
        <f t="shared" si="68"/>
        <v>0</v>
      </c>
      <c r="AI138" s="199">
        <f t="shared" si="69"/>
        <v>0</v>
      </c>
      <c r="AK138" s="71">
        <v>133</v>
      </c>
      <c r="AL138" s="33">
        <f t="shared" si="82"/>
        <v>0</v>
      </c>
      <c r="AM138" s="33">
        <f t="shared" si="83"/>
        <v>0</v>
      </c>
      <c r="AN138" s="33">
        <f t="shared" si="84"/>
        <v>0</v>
      </c>
      <c r="AO138" s="33">
        <f t="shared" si="85"/>
        <v>0</v>
      </c>
      <c r="AP138" s="33">
        <f t="shared" si="86"/>
        <v>0</v>
      </c>
      <c r="AQ138" s="194">
        <f t="shared" si="72"/>
        <v>0</v>
      </c>
      <c r="AR138" s="194">
        <f t="shared" si="72"/>
        <v>0</v>
      </c>
      <c r="AS138" s="194">
        <f t="shared" si="72"/>
        <v>0</v>
      </c>
      <c r="AT138" s="194">
        <f t="shared" si="71"/>
        <v>0</v>
      </c>
      <c r="AU138" s="33"/>
      <c r="AV138" s="33"/>
      <c r="AW138" s="33"/>
      <c r="AX138" s="33"/>
      <c r="AY138" s="76"/>
    </row>
    <row r="139" spans="3:51">
      <c r="C139" s="167" t="s">
        <v>14</v>
      </c>
      <c r="D139" s="134">
        <v>0.47</v>
      </c>
      <c r="E139" s="188" t="s">
        <v>227</v>
      </c>
      <c r="F139" s="343">
        <f>IF(OR(Tableau145[[#This Row],[Type]]="Feuillus",Tableau145[[#This Row],[Type]]="Peupliers"),1.56,1.3)</f>
        <v>1.56</v>
      </c>
      <c r="I139" s="55">
        <v>134</v>
      </c>
      <c r="J139" s="33">
        <f t="shared" si="89"/>
        <v>0</v>
      </c>
      <c r="K139" s="33">
        <f t="shared" si="90"/>
        <v>0</v>
      </c>
      <c r="L139" s="33">
        <f t="shared" si="91"/>
        <v>0</v>
      </c>
      <c r="M139" s="33">
        <f t="shared" si="92"/>
        <v>0</v>
      </c>
      <c r="N139" s="33">
        <f t="shared" si="73"/>
        <v>0</v>
      </c>
      <c r="O139" s="34">
        <f t="shared" si="74"/>
        <v>0</v>
      </c>
      <c r="P139" s="55">
        <v>134</v>
      </c>
      <c r="Q139" s="33">
        <f t="shared" si="87"/>
        <v>0</v>
      </c>
      <c r="R139" s="33">
        <f t="shared" si="93"/>
        <v>0</v>
      </c>
      <c r="S139" s="33">
        <f t="shared" si="94"/>
        <v>0</v>
      </c>
      <c r="T139" s="33">
        <f t="shared" si="75"/>
        <v>0</v>
      </c>
      <c r="U139" s="33">
        <f t="shared" si="88"/>
        <v>0</v>
      </c>
      <c r="V139" s="33">
        <f t="shared" si="76"/>
        <v>0</v>
      </c>
      <c r="W139" s="33">
        <v>0</v>
      </c>
      <c r="X139" s="33">
        <f t="shared" si="77"/>
        <v>0</v>
      </c>
      <c r="Y139" s="38">
        <f t="shared" si="78"/>
        <v>0</v>
      </c>
      <c r="AA139" s="71">
        <v>134</v>
      </c>
      <c r="AB139" s="33">
        <f t="shared" si="79"/>
        <v>0</v>
      </c>
      <c r="AC139" s="305">
        <f t="shared" si="70"/>
        <v>0</v>
      </c>
      <c r="AD139" s="100">
        <f t="shared" si="80"/>
        <v>0</v>
      </c>
      <c r="AE139" s="100">
        <f t="shared" si="81"/>
        <v>0</v>
      </c>
      <c r="AF139" s="194">
        <f t="shared" si="66"/>
        <v>0</v>
      </c>
      <c r="AG139" s="194">
        <f t="shared" si="67"/>
        <v>0</v>
      </c>
      <c r="AH139" s="194">
        <f t="shared" si="68"/>
        <v>0</v>
      </c>
      <c r="AI139" s="199">
        <f t="shared" si="69"/>
        <v>0</v>
      </c>
      <c r="AK139" s="71">
        <v>134</v>
      </c>
      <c r="AL139" s="33">
        <f t="shared" si="82"/>
        <v>0</v>
      </c>
      <c r="AM139" s="33">
        <f t="shared" si="83"/>
        <v>0</v>
      </c>
      <c r="AN139" s="33">
        <f t="shared" si="84"/>
        <v>0</v>
      </c>
      <c r="AO139" s="33">
        <f t="shared" si="85"/>
        <v>0</v>
      </c>
      <c r="AP139" s="33">
        <f t="shared" si="86"/>
        <v>0</v>
      </c>
      <c r="AQ139" s="194">
        <f t="shared" si="72"/>
        <v>0</v>
      </c>
      <c r="AR139" s="194">
        <f t="shared" si="72"/>
        <v>0</v>
      </c>
      <c r="AS139" s="194">
        <f t="shared" si="72"/>
        <v>0</v>
      </c>
      <c r="AT139" s="194">
        <f t="shared" si="71"/>
        <v>0</v>
      </c>
      <c r="AU139" s="33"/>
      <c r="AV139" s="33"/>
      <c r="AW139" s="33"/>
      <c r="AX139" s="33"/>
      <c r="AY139" s="76"/>
    </row>
    <row r="140" spans="3:51">
      <c r="C140" s="166" t="s">
        <v>15</v>
      </c>
      <c r="D140" s="4">
        <v>0.67</v>
      </c>
      <c r="E140" s="188" t="s">
        <v>227</v>
      </c>
      <c r="F140" s="343">
        <f>IF(OR(Tableau145[[#This Row],[Type]]="Feuillus",Tableau145[[#This Row],[Type]]="Peupliers"),1.56,1.3)</f>
        <v>1.56</v>
      </c>
      <c r="I140" s="55">
        <v>135</v>
      </c>
      <c r="J140" s="33">
        <f t="shared" si="89"/>
        <v>0</v>
      </c>
      <c r="K140" s="33">
        <f t="shared" si="90"/>
        <v>0</v>
      </c>
      <c r="L140" s="33">
        <f t="shared" si="91"/>
        <v>0</v>
      </c>
      <c r="M140" s="33">
        <f t="shared" si="92"/>
        <v>0</v>
      </c>
      <c r="N140" s="33">
        <f t="shared" si="73"/>
        <v>0</v>
      </c>
      <c r="O140" s="34">
        <f t="shared" si="74"/>
        <v>0</v>
      </c>
      <c r="P140" s="55">
        <v>135</v>
      </c>
      <c r="Q140" s="33">
        <f t="shared" si="87"/>
        <v>0</v>
      </c>
      <c r="R140" s="33">
        <f t="shared" si="93"/>
        <v>0</v>
      </c>
      <c r="S140" s="33">
        <f t="shared" si="94"/>
        <v>0</v>
      </c>
      <c r="T140" s="33">
        <f t="shared" si="75"/>
        <v>0</v>
      </c>
      <c r="U140" s="33">
        <f t="shared" si="88"/>
        <v>0</v>
      </c>
      <c r="V140" s="33">
        <f t="shared" si="76"/>
        <v>0</v>
      </c>
      <c r="W140" s="33">
        <v>0</v>
      </c>
      <c r="X140" s="33">
        <f t="shared" si="77"/>
        <v>0</v>
      </c>
      <c r="Y140" s="38">
        <f t="shared" si="78"/>
        <v>0</v>
      </c>
      <c r="AA140" s="71">
        <v>135</v>
      </c>
      <c r="AB140" s="33">
        <f t="shared" si="79"/>
        <v>0</v>
      </c>
      <c r="AC140" s="305">
        <f t="shared" si="70"/>
        <v>0</v>
      </c>
      <c r="AD140" s="100">
        <f t="shared" si="80"/>
        <v>0</v>
      </c>
      <c r="AE140" s="100">
        <f t="shared" si="81"/>
        <v>0</v>
      </c>
      <c r="AF140" s="194">
        <f t="shared" si="66"/>
        <v>0</v>
      </c>
      <c r="AG140" s="194">
        <f t="shared" si="67"/>
        <v>0</v>
      </c>
      <c r="AH140" s="194">
        <f t="shared" si="68"/>
        <v>0</v>
      </c>
      <c r="AI140" s="199">
        <f t="shared" si="69"/>
        <v>0</v>
      </c>
      <c r="AK140" s="71">
        <v>135</v>
      </c>
      <c r="AL140" s="33">
        <f t="shared" si="82"/>
        <v>0</v>
      </c>
      <c r="AM140" s="33">
        <f t="shared" si="83"/>
        <v>0</v>
      </c>
      <c r="AN140" s="33">
        <f t="shared" si="84"/>
        <v>0</v>
      </c>
      <c r="AO140" s="33">
        <f t="shared" si="85"/>
        <v>0</v>
      </c>
      <c r="AP140" s="33">
        <f t="shared" si="86"/>
        <v>0</v>
      </c>
      <c r="AQ140" s="194">
        <f t="shared" si="72"/>
        <v>0</v>
      </c>
      <c r="AR140" s="194">
        <f t="shared" si="72"/>
        <v>0</v>
      </c>
      <c r="AS140" s="194">
        <f t="shared" si="72"/>
        <v>0</v>
      </c>
      <c r="AT140" s="194">
        <f t="shared" si="71"/>
        <v>0</v>
      </c>
      <c r="AU140" s="33"/>
      <c r="AV140" s="33"/>
      <c r="AW140" s="33"/>
      <c r="AX140" s="33"/>
      <c r="AY140" s="76"/>
    </row>
    <row r="141" spans="3:51">
      <c r="C141" s="166" t="s">
        <v>16</v>
      </c>
      <c r="D141" s="4">
        <v>0.7</v>
      </c>
      <c r="E141" s="188" t="s">
        <v>227</v>
      </c>
      <c r="F141" s="343">
        <f>IF(OR(Tableau145[[#This Row],[Type]]="Feuillus",Tableau145[[#This Row],[Type]]="Peupliers"),1.56,1.3)</f>
        <v>1.56</v>
      </c>
      <c r="I141" s="55">
        <v>136</v>
      </c>
      <c r="J141" s="33">
        <f t="shared" si="89"/>
        <v>0</v>
      </c>
      <c r="K141" s="33">
        <f t="shared" si="90"/>
        <v>0</v>
      </c>
      <c r="L141" s="33">
        <f t="shared" si="91"/>
        <v>0</v>
      </c>
      <c r="M141" s="33">
        <f t="shared" si="92"/>
        <v>0</v>
      </c>
      <c r="N141" s="33">
        <f t="shared" si="73"/>
        <v>0</v>
      </c>
      <c r="O141" s="34">
        <f t="shared" si="74"/>
        <v>0</v>
      </c>
      <c r="P141" s="55">
        <v>136</v>
      </c>
      <c r="Q141" s="33">
        <f t="shared" si="87"/>
        <v>0</v>
      </c>
      <c r="R141" s="33">
        <f t="shared" si="93"/>
        <v>0</v>
      </c>
      <c r="S141" s="33">
        <f t="shared" si="94"/>
        <v>0</v>
      </c>
      <c r="T141" s="33">
        <f t="shared" si="75"/>
        <v>0</v>
      </c>
      <c r="U141" s="33">
        <f t="shared" si="88"/>
        <v>0</v>
      </c>
      <c r="V141" s="33">
        <f t="shared" si="76"/>
        <v>0</v>
      </c>
      <c r="W141" s="33">
        <v>0</v>
      </c>
      <c r="X141" s="33">
        <f t="shared" si="77"/>
        <v>0</v>
      </c>
      <c r="Y141" s="38">
        <f t="shared" si="78"/>
        <v>0</v>
      </c>
      <c r="AA141" s="71">
        <v>136</v>
      </c>
      <c r="AB141" s="33">
        <f t="shared" si="79"/>
        <v>0</v>
      </c>
      <c r="AC141" s="305">
        <f t="shared" si="70"/>
        <v>0</v>
      </c>
      <c r="AD141" s="100">
        <f t="shared" si="80"/>
        <v>0</v>
      </c>
      <c r="AE141" s="100">
        <f t="shared" si="81"/>
        <v>0</v>
      </c>
      <c r="AF141" s="194">
        <f t="shared" si="66"/>
        <v>0</v>
      </c>
      <c r="AG141" s="194">
        <f t="shared" si="67"/>
        <v>0</v>
      </c>
      <c r="AH141" s="194">
        <f t="shared" si="68"/>
        <v>0</v>
      </c>
      <c r="AI141" s="199">
        <f t="shared" si="69"/>
        <v>0</v>
      </c>
      <c r="AK141" s="71">
        <v>136</v>
      </c>
      <c r="AL141" s="33">
        <f t="shared" si="82"/>
        <v>0</v>
      </c>
      <c r="AM141" s="33">
        <f t="shared" si="83"/>
        <v>0</v>
      </c>
      <c r="AN141" s="33">
        <f t="shared" si="84"/>
        <v>0</v>
      </c>
      <c r="AO141" s="33">
        <f t="shared" si="85"/>
        <v>0</v>
      </c>
      <c r="AP141" s="33">
        <f t="shared" si="86"/>
        <v>0</v>
      </c>
      <c r="AQ141" s="194">
        <f t="shared" si="72"/>
        <v>0</v>
      </c>
      <c r="AR141" s="194">
        <f t="shared" si="72"/>
        <v>0</v>
      </c>
      <c r="AS141" s="194">
        <f t="shared" si="72"/>
        <v>0</v>
      </c>
      <c r="AT141" s="194">
        <f t="shared" si="71"/>
        <v>0</v>
      </c>
      <c r="AU141" s="33"/>
      <c r="AV141" s="33"/>
      <c r="AW141" s="33"/>
      <c r="AX141" s="33"/>
      <c r="AY141" s="76"/>
    </row>
    <row r="142" spans="3:51">
      <c r="C142" s="166" t="s">
        <v>17</v>
      </c>
      <c r="D142" s="4">
        <v>0.54</v>
      </c>
      <c r="E142" s="188" t="s">
        <v>227</v>
      </c>
      <c r="F142" s="343">
        <f>IF(OR(Tableau145[[#This Row],[Type]]="Feuillus",Tableau145[[#This Row],[Type]]="Peupliers"),1.56,1.3)</f>
        <v>1.56</v>
      </c>
      <c r="I142" s="55">
        <v>137</v>
      </c>
      <c r="J142" s="33">
        <f t="shared" si="89"/>
        <v>0</v>
      </c>
      <c r="K142" s="33">
        <f t="shared" si="90"/>
        <v>0</v>
      </c>
      <c r="L142" s="33">
        <f t="shared" si="91"/>
        <v>0</v>
      </c>
      <c r="M142" s="33">
        <f t="shared" si="92"/>
        <v>0</v>
      </c>
      <c r="N142" s="33">
        <f t="shared" si="73"/>
        <v>0</v>
      </c>
      <c r="O142" s="34">
        <f t="shared" si="74"/>
        <v>0</v>
      </c>
      <c r="P142" s="55">
        <v>137</v>
      </c>
      <c r="Q142" s="33">
        <f t="shared" si="87"/>
        <v>0</v>
      </c>
      <c r="R142" s="33">
        <f t="shared" si="93"/>
        <v>0</v>
      </c>
      <c r="S142" s="33">
        <f t="shared" si="94"/>
        <v>0</v>
      </c>
      <c r="T142" s="33">
        <f t="shared" si="75"/>
        <v>0</v>
      </c>
      <c r="U142" s="33">
        <f t="shared" si="88"/>
        <v>0</v>
      </c>
      <c r="V142" s="33">
        <f t="shared" si="76"/>
        <v>0</v>
      </c>
      <c r="W142" s="33">
        <v>0</v>
      </c>
      <c r="X142" s="33">
        <f t="shared" si="77"/>
        <v>0</v>
      </c>
      <c r="Y142" s="38">
        <f t="shared" si="78"/>
        <v>0</v>
      </c>
      <c r="AA142" s="71">
        <v>137</v>
      </c>
      <c r="AB142" s="33">
        <f t="shared" si="79"/>
        <v>0</v>
      </c>
      <c r="AC142" s="305">
        <f t="shared" si="70"/>
        <v>0</v>
      </c>
      <c r="AD142" s="100">
        <f t="shared" si="80"/>
        <v>0</v>
      </c>
      <c r="AE142" s="100">
        <f t="shared" si="81"/>
        <v>0</v>
      </c>
      <c r="AF142" s="194">
        <f t="shared" si="66"/>
        <v>0</v>
      </c>
      <c r="AG142" s="194">
        <f t="shared" si="67"/>
        <v>0</v>
      </c>
      <c r="AH142" s="194">
        <f t="shared" si="68"/>
        <v>0</v>
      </c>
      <c r="AI142" s="199">
        <f t="shared" si="69"/>
        <v>0</v>
      </c>
      <c r="AK142" s="71">
        <v>137</v>
      </c>
      <c r="AL142" s="33">
        <f t="shared" si="82"/>
        <v>0</v>
      </c>
      <c r="AM142" s="33">
        <f t="shared" si="83"/>
        <v>0</v>
      </c>
      <c r="AN142" s="33">
        <f t="shared" si="84"/>
        <v>0</v>
      </c>
      <c r="AO142" s="33">
        <f t="shared" si="85"/>
        <v>0</v>
      </c>
      <c r="AP142" s="33">
        <f t="shared" si="86"/>
        <v>0</v>
      </c>
      <c r="AQ142" s="194">
        <f t="shared" si="72"/>
        <v>0</v>
      </c>
      <c r="AR142" s="194">
        <f t="shared" si="72"/>
        <v>0</v>
      </c>
      <c r="AS142" s="194">
        <f t="shared" si="72"/>
        <v>0</v>
      </c>
      <c r="AT142" s="194">
        <f t="shared" si="71"/>
        <v>0</v>
      </c>
      <c r="AU142" s="33"/>
      <c r="AV142" s="33"/>
      <c r="AW142" s="33"/>
      <c r="AX142" s="33"/>
      <c r="AY142" s="76"/>
    </row>
    <row r="143" spans="3:51">
      <c r="C143" s="166" t="s">
        <v>18</v>
      </c>
      <c r="D143" s="4">
        <v>0.65</v>
      </c>
      <c r="E143" s="188" t="s">
        <v>227</v>
      </c>
      <c r="F143" s="343">
        <f>IF(OR(Tableau145[[#This Row],[Type]]="Feuillus",Tableau145[[#This Row],[Type]]="Peupliers"),1.56,1.3)</f>
        <v>1.56</v>
      </c>
      <c r="I143" s="55">
        <v>138</v>
      </c>
      <c r="J143" s="33">
        <f t="shared" si="89"/>
        <v>0</v>
      </c>
      <c r="K143" s="33">
        <f t="shared" si="90"/>
        <v>0</v>
      </c>
      <c r="L143" s="33">
        <f t="shared" si="91"/>
        <v>0</v>
      </c>
      <c r="M143" s="33">
        <f t="shared" si="92"/>
        <v>0</v>
      </c>
      <c r="N143" s="33">
        <f t="shared" si="73"/>
        <v>0</v>
      </c>
      <c r="O143" s="34">
        <f t="shared" si="74"/>
        <v>0</v>
      </c>
      <c r="P143" s="55">
        <v>138</v>
      </c>
      <c r="Q143" s="33">
        <f t="shared" si="87"/>
        <v>0</v>
      </c>
      <c r="R143" s="33">
        <f t="shared" si="93"/>
        <v>0</v>
      </c>
      <c r="S143" s="33">
        <f t="shared" si="94"/>
        <v>0</v>
      </c>
      <c r="T143" s="33">
        <f t="shared" si="75"/>
        <v>0</v>
      </c>
      <c r="U143" s="33">
        <f t="shared" si="88"/>
        <v>0</v>
      </c>
      <c r="V143" s="33">
        <f t="shared" si="76"/>
        <v>0</v>
      </c>
      <c r="W143" s="33">
        <v>0</v>
      </c>
      <c r="X143" s="33">
        <f t="shared" si="77"/>
        <v>0</v>
      </c>
      <c r="Y143" s="38">
        <f t="shared" si="78"/>
        <v>0</v>
      </c>
      <c r="AA143" s="71">
        <v>138</v>
      </c>
      <c r="AB143" s="33">
        <f t="shared" si="79"/>
        <v>0</v>
      </c>
      <c r="AC143" s="305">
        <f t="shared" si="70"/>
        <v>0</v>
      </c>
      <c r="AD143" s="100">
        <f t="shared" si="80"/>
        <v>0</v>
      </c>
      <c r="AE143" s="100">
        <f t="shared" si="81"/>
        <v>0</v>
      </c>
      <c r="AF143" s="194">
        <f t="shared" si="66"/>
        <v>0</v>
      </c>
      <c r="AG143" s="194">
        <f t="shared" si="67"/>
        <v>0</v>
      </c>
      <c r="AH143" s="194">
        <f t="shared" si="68"/>
        <v>0</v>
      </c>
      <c r="AI143" s="199">
        <f t="shared" si="69"/>
        <v>0</v>
      </c>
      <c r="AK143" s="71">
        <v>138</v>
      </c>
      <c r="AL143" s="33">
        <f t="shared" si="82"/>
        <v>0</v>
      </c>
      <c r="AM143" s="33">
        <f t="shared" si="83"/>
        <v>0</v>
      </c>
      <c r="AN143" s="33">
        <f t="shared" si="84"/>
        <v>0</v>
      </c>
      <c r="AO143" s="33">
        <f t="shared" si="85"/>
        <v>0</v>
      </c>
      <c r="AP143" s="33">
        <f t="shared" si="86"/>
        <v>0</v>
      </c>
      <c r="AQ143" s="194">
        <f t="shared" si="72"/>
        <v>0</v>
      </c>
      <c r="AR143" s="194">
        <f t="shared" si="72"/>
        <v>0</v>
      </c>
      <c r="AS143" s="194">
        <f t="shared" si="72"/>
        <v>0</v>
      </c>
      <c r="AT143" s="194">
        <f t="shared" si="71"/>
        <v>0</v>
      </c>
      <c r="AU143" s="33"/>
      <c r="AV143" s="33"/>
      <c r="AW143" s="33"/>
      <c r="AX143" s="33"/>
      <c r="AY143" s="76"/>
    </row>
    <row r="144" spans="3:51">
      <c r="C144" s="166" t="s">
        <v>19</v>
      </c>
      <c r="D144" s="4">
        <v>0.56000000000000005</v>
      </c>
      <c r="E144" s="188" t="s">
        <v>227</v>
      </c>
      <c r="F144" s="343">
        <f>IF(OR(Tableau145[[#This Row],[Type]]="Feuillus",Tableau145[[#This Row],[Type]]="Peupliers"),1.56,1.3)</f>
        <v>1.56</v>
      </c>
      <c r="I144" s="55">
        <v>139</v>
      </c>
      <c r="J144" s="33">
        <f t="shared" si="89"/>
        <v>0</v>
      </c>
      <c r="K144" s="33">
        <f t="shared" si="90"/>
        <v>0</v>
      </c>
      <c r="L144" s="33">
        <f t="shared" si="91"/>
        <v>0</v>
      </c>
      <c r="M144" s="33">
        <f t="shared" si="92"/>
        <v>0</v>
      </c>
      <c r="N144" s="33">
        <f t="shared" si="73"/>
        <v>0</v>
      </c>
      <c r="O144" s="34">
        <f t="shared" si="74"/>
        <v>0</v>
      </c>
      <c r="P144" s="55">
        <v>139</v>
      </c>
      <c r="Q144" s="33">
        <f t="shared" si="87"/>
        <v>0</v>
      </c>
      <c r="R144" s="33">
        <f t="shared" si="93"/>
        <v>0</v>
      </c>
      <c r="S144" s="33">
        <f t="shared" si="94"/>
        <v>0</v>
      </c>
      <c r="T144" s="33">
        <f t="shared" si="75"/>
        <v>0</v>
      </c>
      <c r="U144" s="33">
        <f t="shared" si="88"/>
        <v>0</v>
      </c>
      <c r="V144" s="33">
        <f t="shared" si="76"/>
        <v>0</v>
      </c>
      <c r="W144" s="33">
        <v>0</v>
      </c>
      <c r="X144" s="33">
        <f t="shared" si="77"/>
        <v>0</v>
      </c>
      <c r="Y144" s="38">
        <f t="shared" si="78"/>
        <v>0</v>
      </c>
      <c r="AA144" s="71">
        <v>139</v>
      </c>
      <c r="AB144" s="33">
        <f t="shared" si="79"/>
        <v>0</v>
      </c>
      <c r="AC144" s="305">
        <f t="shared" si="70"/>
        <v>0</v>
      </c>
      <c r="AD144" s="100">
        <f t="shared" si="80"/>
        <v>0</v>
      </c>
      <c r="AE144" s="100">
        <f t="shared" si="81"/>
        <v>0</v>
      </c>
      <c r="AF144" s="194">
        <f t="shared" si="66"/>
        <v>0</v>
      </c>
      <c r="AG144" s="194">
        <f t="shared" si="67"/>
        <v>0</v>
      </c>
      <c r="AH144" s="194">
        <f t="shared" si="68"/>
        <v>0</v>
      </c>
      <c r="AI144" s="199">
        <f t="shared" si="69"/>
        <v>0</v>
      </c>
      <c r="AK144" s="71">
        <v>139</v>
      </c>
      <c r="AL144" s="33">
        <f t="shared" si="82"/>
        <v>0</v>
      </c>
      <c r="AM144" s="33">
        <f t="shared" si="83"/>
        <v>0</v>
      </c>
      <c r="AN144" s="33">
        <f t="shared" si="84"/>
        <v>0</v>
      </c>
      <c r="AO144" s="33">
        <f t="shared" si="85"/>
        <v>0</v>
      </c>
      <c r="AP144" s="33">
        <f t="shared" si="86"/>
        <v>0</v>
      </c>
      <c r="AQ144" s="194">
        <f t="shared" si="72"/>
        <v>0</v>
      </c>
      <c r="AR144" s="194">
        <f t="shared" si="72"/>
        <v>0</v>
      </c>
      <c r="AS144" s="194">
        <f t="shared" si="72"/>
        <v>0</v>
      </c>
      <c r="AT144" s="194">
        <f t="shared" si="71"/>
        <v>0</v>
      </c>
      <c r="AU144" s="33"/>
      <c r="AV144" s="33"/>
      <c r="AW144" s="33"/>
      <c r="AX144" s="33"/>
      <c r="AY144" s="76"/>
    </row>
    <row r="145" spans="3:51">
      <c r="C145" s="166" t="s">
        <v>20</v>
      </c>
      <c r="D145" s="4">
        <v>0.57999999999999996</v>
      </c>
      <c r="E145" s="188" t="s">
        <v>227</v>
      </c>
      <c r="F145" s="343">
        <f>IF(OR(Tableau145[[#This Row],[Type]]="Feuillus",Tableau145[[#This Row],[Type]]="Peupliers"),1.56,1.3)</f>
        <v>1.56</v>
      </c>
      <c r="I145" s="55">
        <v>140</v>
      </c>
      <c r="J145" s="33">
        <f t="shared" si="89"/>
        <v>0</v>
      </c>
      <c r="K145" s="33">
        <f t="shared" si="90"/>
        <v>0</v>
      </c>
      <c r="L145" s="33">
        <f t="shared" si="91"/>
        <v>0</v>
      </c>
      <c r="M145" s="33">
        <f t="shared" si="92"/>
        <v>0</v>
      </c>
      <c r="N145" s="33">
        <f t="shared" si="73"/>
        <v>0</v>
      </c>
      <c r="O145" s="34">
        <f t="shared" si="74"/>
        <v>0</v>
      </c>
      <c r="P145" s="55">
        <v>140</v>
      </c>
      <c r="Q145" s="33">
        <f t="shared" si="87"/>
        <v>0</v>
      </c>
      <c r="R145" s="33">
        <f t="shared" si="93"/>
        <v>0</v>
      </c>
      <c r="S145" s="33">
        <f t="shared" si="94"/>
        <v>0</v>
      </c>
      <c r="T145" s="33">
        <f t="shared" si="75"/>
        <v>0</v>
      </c>
      <c r="U145" s="33">
        <f t="shared" si="88"/>
        <v>0</v>
      </c>
      <c r="V145" s="33">
        <f t="shared" si="76"/>
        <v>0</v>
      </c>
      <c r="W145" s="33">
        <v>0</v>
      </c>
      <c r="X145" s="33">
        <f t="shared" si="77"/>
        <v>0</v>
      </c>
      <c r="Y145" s="38">
        <f t="shared" si="78"/>
        <v>0</v>
      </c>
      <c r="AA145" s="71">
        <v>140</v>
      </c>
      <c r="AB145" s="33">
        <f t="shared" si="79"/>
        <v>0</v>
      </c>
      <c r="AC145" s="305">
        <f t="shared" si="70"/>
        <v>0</v>
      </c>
      <c r="AD145" s="100">
        <f t="shared" si="80"/>
        <v>0</v>
      </c>
      <c r="AE145" s="100">
        <f t="shared" si="81"/>
        <v>0</v>
      </c>
      <c r="AF145" s="194">
        <f t="shared" si="66"/>
        <v>0</v>
      </c>
      <c r="AG145" s="194">
        <f t="shared" si="67"/>
        <v>0</v>
      </c>
      <c r="AH145" s="194">
        <f t="shared" si="68"/>
        <v>0</v>
      </c>
      <c r="AI145" s="199">
        <f t="shared" si="69"/>
        <v>0</v>
      </c>
      <c r="AK145" s="71">
        <v>140</v>
      </c>
      <c r="AL145" s="33">
        <f t="shared" si="82"/>
        <v>0</v>
      </c>
      <c r="AM145" s="33">
        <f t="shared" si="83"/>
        <v>0</v>
      </c>
      <c r="AN145" s="33">
        <f t="shared" si="84"/>
        <v>0</v>
      </c>
      <c r="AO145" s="33">
        <f t="shared" si="85"/>
        <v>0</v>
      </c>
      <c r="AP145" s="33">
        <f t="shared" si="86"/>
        <v>0</v>
      </c>
      <c r="AQ145" s="194">
        <f t="shared" si="72"/>
        <v>0</v>
      </c>
      <c r="AR145" s="194">
        <f t="shared" si="72"/>
        <v>0</v>
      </c>
      <c r="AS145" s="194">
        <f t="shared" si="72"/>
        <v>0</v>
      </c>
      <c r="AT145" s="194">
        <f t="shared" si="71"/>
        <v>0</v>
      </c>
      <c r="AU145" s="33"/>
      <c r="AV145" s="33"/>
      <c r="AW145" s="33"/>
      <c r="AX145" s="33"/>
      <c r="AY145" s="76"/>
    </row>
    <row r="146" spans="3:51">
      <c r="C146" s="166" t="s">
        <v>21</v>
      </c>
      <c r="D146" s="4">
        <v>0.64</v>
      </c>
      <c r="E146" s="188" t="s">
        <v>227</v>
      </c>
      <c r="F146" s="343">
        <f>IF(OR(Tableau145[[#This Row],[Type]]="Feuillus",Tableau145[[#This Row],[Type]]="Peupliers"),1.56,1.3)</f>
        <v>1.56</v>
      </c>
      <c r="I146" s="55">
        <v>141</v>
      </c>
      <c r="J146" s="33">
        <f t="shared" si="89"/>
        <v>0</v>
      </c>
      <c r="K146" s="33">
        <f t="shared" si="90"/>
        <v>0</v>
      </c>
      <c r="L146" s="33">
        <f t="shared" si="91"/>
        <v>0</v>
      </c>
      <c r="M146" s="33">
        <f t="shared" si="92"/>
        <v>0</v>
      </c>
      <c r="N146" s="33">
        <f t="shared" si="73"/>
        <v>0</v>
      </c>
      <c r="O146" s="34">
        <f t="shared" si="74"/>
        <v>0</v>
      </c>
      <c r="P146" s="55">
        <v>141</v>
      </c>
      <c r="Q146" s="33">
        <f t="shared" si="87"/>
        <v>0</v>
      </c>
      <c r="R146" s="33">
        <f t="shared" si="93"/>
        <v>0</v>
      </c>
      <c r="S146" s="33">
        <f t="shared" si="94"/>
        <v>0</v>
      </c>
      <c r="T146" s="33">
        <f t="shared" si="75"/>
        <v>0</v>
      </c>
      <c r="U146" s="33">
        <f t="shared" si="88"/>
        <v>0</v>
      </c>
      <c r="V146" s="33">
        <f t="shared" si="76"/>
        <v>0</v>
      </c>
      <c r="W146" s="33">
        <v>0</v>
      </c>
      <c r="X146" s="33">
        <f t="shared" si="77"/>
        <v>0</v>
      </c>
      <c r="Y146" s="38">
        <f t="shared" si="78"/>
        <v>0</v>
      </c>
      <c r="AA146" s="71">
        <v>141</v>
      </c>
      <c r="AB146" s="33">
        <f t="shared" si="79"/>
        <v>0</v>
      </c>
      <c r="AC146" s="305">
        <f t="shared" si="70"/>
        <v>0</v>
      </c>
      <c r="AD146" s="100">
        <f t="shared" si="80"/>
        <v>0</v>
      </c>
      <c r="AE146" s="100">
        <f t="shared" si="81"/>
        <v>0</v>
      </c>
      <c r="AF146" s="194">
        <f t="shared" si="66"/>
        <v>0</v>
      </c>
      <c r="AG146" s="194">
        <f t="shared" si="67"/>
        <v>0</v>
      </c>
      <c r="AH146" s="194">
        <f t="shared" si="68"/>
        <v>0</v>
      </c>
      <c r="AI146" s="199">
        <f t="shared" si="69"/>
        <v>0</v>
      </c>
      <c r="AK146" s="71">
        <v>141</v>
      </c>
      <c r="AL146" s="33">
        <f t="shared" si="82"/>
        <v>0</v>
      </c>
      <c r="AM146" s="33">
        <f t="shared" si="83"/>
        <v>0</v>
      </c>
      <c r="AN146" s="33">
        <f t="shared" si="84"/>
        <v>0</v>
      </c>
      <c r="AO146" s="33">
        <f t="shared" si="85"/>
        <v>0</v>
      </c>
      <c r="AP146" s="33">
        <f t="shared" si="86"/>
        <v>0</v>
      </c>
      <c r="AQ146" s="194">
        <f t="shared" si="72"/>
        <v>0</v>
      </c>
      <c r="AR146" s="194">
        <f t="shared" si="72"/>
        <v>0</v>
      </c>
      <c r="AS146" s="194">
        <f t="shared" si="72"/>
        <v>0</v>
      </c>
      <c r="AT146" s="194">
        <f t="shared" si="71"/>
        <v>0</v>
      </c>
      <c r="AU146" s="33"/>
      <c r="AV146" s="33"/>
      <c r="AW146" s="33"/>
      <c r="AX146" s="33"/>
      <c r="AY146" s="76"/>
    </row>
    <row r="147" spans="3:51">
      <c r="C147" s="166" t="s">
        <v>22</v>
      </c>
      <c r="D147" s="4">
        <v>0.73</v>
      </c>
      <c r="E147" s="188" t="s">
        <v>227</v>
      </c>
      <c r="F147" s="343">
        <f>IF(OR(Tableau145[[#This Row],[Type]]="Feuillus",Tableau145[[#This Row],[Type]]="Peupliers"),1.56,1.3)</f>
        <v>1.56</v>
      </c>
      <c r="I147" s="55">
        <v>142</v>
      </c>
      <c r="J147" s="33">
        <f t="shared" si="89"/>
        <v>0</v>
      </c>
      <c r="K147" s="33">
        <f t="shared" si="90"/>
        <v>0</v>
      </c>
      <c r="L147" s="33">
        <f t="shared" si="91"/>
        <v>0</v>
      </c>
      <c r="M147" s="33">
        <f t="shared" si="92"/>
        <v>0</v>
      </c>
      <c r="N147" s="33">
        <f t="shared" si="73"/>
        <v>0</v>
      </c>
      <c r="O147" s="34">
        <f t="shared" si="74"/>
        <v>0</v>
      </c>
      <c r="P147" s="55">
        <v>142</v>
      </c>
      <c r="Q147" s="33">
        <f t="shared" si="87"/>
        <v>0</v>
      </c>
      <c r="R147" s="33">
        <f t="shared" si="93"/>
        <v>0</v>
      </c>
      <c r="S147" s="33">
        <f t="shared" si="94"/>
        <v>0</v>
      </c>
      <c r="T147" s="33">
        <f t="shared" si="75"/>
        <v>0</v>
      </c>
      <c r="U147" s="33">
        <f t="shared" si="88"/>
        <v>0</v>
      </c>
      <c r="V147" s="33">
        <f t="shared" si="76"/>
        <v>0</v>
      </c>
      <c r="W147" s="33">
        <v>0</v>
      </c>
      <c r="X147" s="33">
        <f t="shared" si="77"/>
        <v>0</v>
      </c>
      <c r="Y147" s="38">
        <f t="shared" si="78"/>
        <v>0</v>
      </c>
      <c r="AA147" s="71">
        <v>142</v>
      </c>
      <c r="AB147" s="33">
        <f t="shared" si="79"/>
        <v>0</v>
      </c>
      <c r="AC147" s="305">
        <f t="shared" si="70"/>
        <v>0</v>
      </c>
      <c r="AD147" s="100">
        <f t="shared" si="80"/>
        <v>0</v>
      </c>
      <c r="AE147" s="100">
        <f t="shared" si="81"/>
        <v>0</v>
      </c>
      <c r="AF147" s="194">
        <f t="shared" si="66"/>
        <v>0</v>
      </c>
      <c r="AG147" s="194">
        <f t="shared" si="67"/>
        <v>0</v>
      </c>
      <c r="AH147" s="194">
        <f t="shared" si="68"/>
        <v>0</v>
      </c>
      <c r="AI147" s="199">
        <f t="shared" si="69"/>
        <v>0</v>
      </c>
      <c r="AK147" s="71">
        <v>142</v>
      </c>
      <c r="AL147" s="33">
        <f t="shared" si="82"/>
        <v>0</v>
      </c>
      <c r="AM147" s="33">
        <f t="shared" si="83"/>
        <v>0</v>
      </c>
      <c r="AN147" s="33">
        <f t="shared" si="84"/>
        <v>0</v>
      </c>
      <c r="AO147" s="33">
        <f t="shared" si="85"/>
        <v>0</v>
      </c>
      <c r="AP147" s="33">
        <f t="shared" si="86"/>
        <v>0</v>
      </c>
      <c r="AQ147" s="194">
        <f t="shared" si="72"/>
        <v>0</v>
      </c>
      <c r="AR147" s="194">
        <f t="shared" si="72"/>
        <v>0</v>
      </c>
      <c r="AS147" s="194">
        <f t="shared" si="72"/>
        <v>0</v>
      </c>
      <c r="AT147" s="194">
        <f t="shared" si="71"/>
        <v>0</v>
      </c>
      <c r="AU147" s="33"/>
      <c r="AV147" s="33"/>
      <c r="AW147" s="33"/>
      <c r="AX147" s="33"/>
      <c r="AY147" s="76"/>
    </row>
    <row r="148" spans="3:51">
      <c r="C148" s="166" t="s">
        <v>23</v>
      </c>
      <c r="D148" s="4">
        <v>0.56000000000000005</v>
      </c>
      <c r="E148" s="188" t="s">
        <v>227</v>
      </c>
      <c r="F148" s="343">
        <f>IF(OR(Tableau145[[#This Row],[Type]]="Feuillus",Tableau145[[#This Row],[Type]]="Peupliers"),1.56,1.3)</f>
        <v>1.56</v>
      </c>
      <c r="I148" s="55">
        <v>143</v>
      </c>
      <c r="J148" s="33">
        <f t="shared" si="89"/>
        <v>0</v>
      </c>
      <c r="K148" s="33">
        <f t="shared" si="90"/>
        <v>0</v>
      </c>
      <c r="L148" s="33">
        <f t="shared" si="91"/>
        <v>0</v>
      </c>
      <c r="M148" s="33">
        <f t="shared" si="92"/>
        <v>0</v>
      </c>
      <c r="N148" s="33">
        <f t="shared" si="73"/>
        <v>0</v>
      </c>
      <c r="O148" s="34">
        <f t="shared" si="74"/>
        <v>0</v>
      </c>
      <c r="P148" s="55">
        <v>143</v>
      </c>
      <c r="Q148" s="33">
        <f t="shared" si="87"/>
        <v>0</v>
      </c>
      <c r="R148" s="33">
        <f t="shared" si="93"/>
        <v>0</v>
      </c>
      <c r="S148" s="33">
        <f t="shared" si="94"/>
        <v>0</v>
      </c>
      <c r="T148" s="33">
        <f t="shared" si="75"/>
        <v>0</v>
      </c>
      <c r="U148" s="33">
        <f t="shared" si="88"/>
        <v>0</v>
      </c>
      <c r="V148" s="33">
        <f t="shared" si="76"/>
        <v>0</v>
      </c>
      <c r="W148" s="33">
        <v>0</v>
      </c>
      <c r="X148" s="33">
        <f t="shared" si="77"/>
        <v>0</v>
      </c>
      <c r="Y148" s="38">
        <f t="shared" si="78"/>
        <v>0</v>
      </c>
      <c r="AA148" s="71">
        <v>143</v>
      </c>
      <c r="AB148" s="33">
        <f t="shared" si="79"/>
        <v>0</v>
      </c>
      <c r="AC148" s="305">
        <f t="shared" si="70"/>
        <v>0</v>
      </c>
      <c r="AD148" s="100">
        <f t="shared" si="80"/>
        <v>0</v>
      </c>
      <c r="AE148" s="100">
        <f t="shared" si="81"/>
        <v>0</v>
      </c>
      <c r="AF148" s="194">
        <f t="shared" si="66"/>
        <v>0</v>
      </c>
      <c r="AG148" s="194">
        <f t="shared" si="67"/>
        <v>0</v>
      </c>
      <c r="AH148" s="194">
        <f t="shared" si="68"/>
        <v>0</v>
      </c>
      <c r="AI148" s="199">
        <f t="shared" si="69"/>
        <v>0</v>
      </c>
      <c r="AK148" s="71">
        <v>143</v>
      </c>
      <c r="AL148" s="33">
        <f t="shared" si="82"/>
        <v>0</v>
      </c>
      <c r="AM148" s="33">
        <f t="shared" si="83"/>
        <v>0</v>
      </c>
      <c r="AN148" s="33">
        <f t="shared" si="84"/>
        <v>0</v>
      </c>
      <c r="AO148" s="33">
        <f t="shared" si="85"/>
        <v>0</v>
      </c>
      <c r="AP148" s="33">
        <f t="shared" si="86"/>
        <v>0</v>
      </c>
      <c r="AQ148" s="194">
        <f t="shared" si="72"/>
        <v>0</v>
      </c>
      <c r="AR148" s="194">
        <f t="shared" si="72"/>
        <v>0</v>
      </c>
      <c r="AS148" s="194">
        <f t="shared" si="72"/>
        <v>0</v>
      </c>
      <c r="AT148" s="194">
        <f t="shared" si="71"/>
        <v>0</v>
      </c>
      <c r="AU148" s="33"/>
      <c r="AV148" s="33"/>
      <c r="AW148" s="33"/>
      <c r="AX148" s="33"/>
      <c r="AY148" s="76"/>
    </row>
    <row r="149" spans="3:51">
      <c r="C149" s="166" t="s">
        <v>24</v>
      </c>
      <c r="D149" s="4">
        <v>0.74</v>
      </c>
      <c r="E149" s="188" t="s">
        <v>227</v>
      </c>
      <c r="F149" s="343">
        <f>IF(OR(Tableau145[[#This Row],[Type]]="Feuillus",Tableau145[[#This Row],[Type]]="Peupliers"),1.56,1.3)</f>
        <v>1.56</v>
      </c>
      <c r="I149" s="55">
        <v>144</v>
      </c>
      <c r="J149" s="33">
        <f t="shared" si="89"/>
        <v>0</v>
      </c>
      <c r="K149" s="33">
        <f t="shared" si="90"/>
        <v>0</v>
      </c>
      <c r="L149" s="33">
        <f t="shared" si="91"/>
        <v>0</v>
      </c>
      <c r="M149" s="33">
        <f t="shared" si="92"/>
        <v>0</v>
      </c>
      <c r="N149" s="33">
        <f t="shared" si="73"/>
        <v>0</v>
      </c>
      <c r="O149" s="34">
        <f t="shared" si="74"/>
        <v>0</v>
      </c>
      <c r="P149" s="55">
        <v>144</v>
      </c>
      <c r="Q149" s="33">
        <f t="shared" si="87"/>
        <v>0</v>
      </c>
      <c r="R149" s="33">
        <f t="shared" si="93"/>
        <v>0</v>
      </c>
      <c r="S149" s="33">
        <f t="shared" si="94"/>
        <v>0</v>
      </c>
      <c r="T149" s="33">
        <f t="shared" si="75"/>
        <v>0</v>
      </c>
      <c r="U149" s="33">
        <f t="shared" si="88"/>
        <v>0</v>
      </c>
      <c r="V149" s="33">
        <f t="shared" si="76"/>
        <v>0</v>
      </c>
      <c r="W149" s="33">
        <v>0</v>
      </c>
      <c r="X149" s="33">
        <f t="shared" si="77"/>
        <v>0</v>
      </c>
      <c r="Y149" s="38">
        <f t="shared" si="78"/>
        <v>0</v>
      </c>
      <c r="AA149" s="71">
        <v>144</v>
      </c>
      <c r="AB149" s="33">
        <f t="shared" si="79"/>
        <v>0</v>
      </c>
      <c r="AC149" s="305">
        <f t="shared" si="70"/>
        <v>0</v>
      </c>
      <c r="AD149" s="100">
        <f t="shared" si="80"/>
        <v>0</v>
      </c>
      <c r="AE149" s="100">
        <f t="shared" si="81"/>
        <v>0</v>
      </c>
      <c r="AF149" s="194">
        <f t="shared" si="66"/>
        <v>0</v>
      </c>
      <c r="AG149" s="194">
        <f t="shared" si="67"/>
        <v>0</v>
      </c>
      <c r="AH149" s="194">
        <f t="shared" si="68"/>
        <v>0</v>
      </c>
      <c r="AI149" s="199">
        <f t="shared" si="69"/>
        <v>0</v>
      </c>
      <c r="AK149" s="71">
        <v>144</v>
      </c>
      <c r="AL149" s="33">
        <f t="shared" si="82"/>
        <v>0</v>
      </c>
      <c r="AM149" s="33">
        <f t="shared" si="83"/>
        <v>0</v>
      </c>
      <c r="AN149" s="33">
        <f t="shared" si="84"/>
        <v>0</v>
      </c>
      <c r="AO149" s="33">
        <f t="shared" si="85"/>
        <v>0</v>
      </c>
      <c r="AP149" s="33">
        <f t="shared" si="86"/>
        <v>0</v>
      </c>
      <c r="AQ149" s="194">
        <f t="shared" si="72"/>
        <v>0</v>
      </c>
      <c r="AR149" s="194">
        <f t="shared" si="72"/>
        <v>0</v>
      </c>
      <c r="AS149" s="194">
        <f t="shared" si="72"/>
        <v>0</v>
      </c>
      <c r="AT149" s="194">
        <f t="shared" si="71"/>
        <v>0</v>
      </c>
      <c r="AU149" s="33"/>
      <c r="AV149" s="33"/>
      <c r="AW149" s="33"/>
      <c r="AX149" s="33"/>
      <c r="AY149" s="76"/>
    </row>
    <row r="150" spans="3:51">
      <c r="C150" s="166" t="s">
        <v>25</v>
      </c>
      <c r="D150" s="4">
        <v>0.4</v>
      </c>
      <c r="E150" s="188" t="s">
        <v>228</v>
      </c>
      <c r="F150" s="343">
        <f>IF(OR(Tableau145[[#This Row],[Type]]="Feuillus",Tableau145[[#This Row],[Type]]="Peupliers"),1.56,1.3)</f>
        <v>1.3</v>
      </c>
      <c r="I150" s="55">
        <v>145</v>
      </c>
      <c r="J150" s="33">
        <f t="shared" si="89"/>
        <v>0</v>
      </c>
      <c r="K150" s="33">
        <f t="shared" si="90"/>
        <v>0</v>
      </c>
      <c r="L150" s="33">
        <f t="shared" si="91"/>
        <v>0</v>
      </c>
      <c r="M150" s="33">
        <f t="shared" si="92"/>
        <v>0</v>
      </c>
      <c r="N150" s="33">
        <f t="shared" si="73"/>
        <v>0</v>
      </c>
      <c r="O150" s="34">
        <f t="shared" si="74"/>
        <v>0</v>
      </c>
      <c r="P150" s="55">
        <v>145</v>
      </c>
      <c r="Q150" s="33">
        <f t="shared" si="87"/>
        <v>0</v>
      </c>
      <c r="R150" s="33">
        <f t="shared" si="93"/>
        <v>0</v>
      </c>
      <c r="S150" s="33">
        <f t="shared" si="94"/>
        <v>0</v>
      </c>
      <c r="T150" s="33">
        <f t="shared" si="75"/>
        <v>0</v>
      </c>
      <c r="U150" s="33">
        <f t="shared" si="88"/>
        <v>0</v>
      </c>
      <c r="V150" s="33">
        <f t="shared" si="76"/>
        <v>0</v>
      </c>
      <c r="W150" s="33">
        <v>0</v>
      </c>
      <c r="X150" s="33">
        <f t="shared" si="77"/>
        <v>0</v>
      </c>
      <c r="Y150" s="38">
        <f t="shared" si="78"/>
        <v>0</v>
      </c>
      <c r="AA150" s="71">
        <v>145</v>
      </c>
      <c r="AB150" s="33">
        <f t="shared" si="79"/>
        <v>0</v>
      </c>
      <c r="AC150" s="305">
        <f t="shared" si="70"/>
        <v>0</v>
      </c>
      <c r="AD150" s="100">
        <f t="shared" si="80"/>
        <v>0</v>
      </c>
      <c r="AE150" s="100">
        <f t="shared" si="81"/>
        <v>0</v>
      </c>
      <c r="AF150" s="194">
        <f t="shared" si="66"/>
        <v>0</v>
      </c>
      <c r="AG150" s="194">
        <f t="shared" si="67"/>
        <v>0</v>
      </c>
      <c r="AH150" s="194">
        <f t="shared" si="68"/>
        <v>0</v>
      </c>
      <c r="AI150" s="199">
        <f t="shared" si="69"/>
        <v>0</v>
      </c>
      <c r="AK150" s="71">
        <v>145</v>
      </c>
      <c r="AL150" s="33">
        <f t="shared" si="82"/>
        <v>0</v>
      </c>
      <c r="AM150" s="33">
        <f t="shared" si="83"/>
        <v>0</v>
      </c>
      <c r="AN150" s="33">
        <f t="shared" si="84"/>
        <v>0</v>
      </c>
      <c r="AO150" s="33">
        <f t="shared" si="85"/>
        <v>0</v>
      </c>
      <c r="AP150" s="33">
        <f t="shared" si="86"/>
        <v>0</v>
      </c>
      <c r="AQ150" s="194">
        <f t="shared" si="72"/>
        <v>0</v>
      </c>
      <c r="AR150" s="194">
        <f t="shared" si="72"/>
        <v>0</v>
      </c>
      <c r="AS150" s="194">
        <f t="shared" si="72"/>
        <v>0</v>
      </c>
      <c r="AT150" s="194">
        <f t="shared" si="71"/>
        <v>0</v>
      </c>
      <c r="AU150" s="33"/>
      <c r="AV150" s="33"/>
      <c r="AW150" s="33"/>
      <c r="AX150" s="33"/>
      <c r="AY150" s="76"/>
    </row>
    <row r="151" spans="3:51">
      <c r="C151" s="166" t="s">
        <v>26</v>
      </c>
      <c r="D151" s="4">
        <v>0.6</v>
      </c>
      <c r="E151" s="188" t="s">
        <v>227</v>
      </c>
      <c r="F151" s="343">
        <f>IF(OR(Tableau145[[#This Row],[Type]]="Feuillus",Tableau145[[#This Row],[Type]]="Peupliers"),1.56,1.3)</f>
        <v>1.56</v>
      </c>
      <c r="I151" s="55">
        <v>146</v>
      </c>
      <c r="J151" s="33">
        <f t="shared" si="89"/>
        <v>0</v>
      </c>
      <c r="K151" s="33">
        <f t="shared" si="90"/>
        <v>0</v>
      </c>
      <c r="L151" s="33">
        <f t="shared" si="91"/>
        <v>0</v>
      </c>
      <c r="M151" s="33">
        <f t="shared" si="92"/>
        <v>0</v>
      </c>
      <c r="N151" s="33">
        <f t="shared" si="73"/>
        <v>0</v>
      </c>
      <c r="O151" s="34">
        <f t="shared" si="74"/>
        <v>0</v>
      </c>
      <c r="P151" s="55">
        <v>146</v>
      </c>
      <c r="Q151" s="33">
        <f t="shared" si="87"/>
        <v>0</v>
      </c>
      <c r="R151" s="33">
        <f t="shared" si="93"/>
        <v>0</v>
      </c>
      <c r="S151" s="33">
        <f t="shared" si="94"/>
        <v>0</v>
      </c>
      <c r="T151" s="33">
        <f t="shared" si="75"/>
        <v>0</v>
      </c>
      <c r="U151" s="33">
        <f t="shared" si="88"/>
        <v>0</v>
      </c>
      <c r="V151" s="33">
        <f t="shared" si="76"/>
        <v>0</v>
      </c>
      <c r="W151" s="33">
        <v>0</v>
      </c>
      <c r="X151" s="33">
        <f t="shared" si="77"/>
        <v>0</v>
      </c>
      <c r="Y151" s="38">
        <f t="shared" si="78"/>
        <v>0</v>
      </c>
      <c r="AA151" s="71">
        <v>146</v>
      </c>
      <c r="AB151" s="33">
        <f t="shared" si="79"/>
        <v>0</v>
      </c>
      <c r="AC151" s="305">
        <f t="shared" si="70"/>
        <v>0</v>
      </c>
      <c r="AD151" s="100">
        <f t="shared" si="80"/>
        <v>0</v>
      </c>
      <c r="AE151" s="100">
        <f t="shared" si="81"/>
        <v>0</v>
      </c>
      <c r="AF151" s="194">
        <f t="shared" si="66"/>
        <v>0</v>
      </c>
      <c r="AG151" s="194">
        <f t="shared" si="67"/>
        <v>0</v>
      </c>
      <c r="AH151" s="194">
        <f t="shared" si="68"/>
        <v>0</v>
      </c>
      <c r="AI151" s="199">
        <f t="shared" si="69"/>
        <v>0</v>
      </c>
      <c r="AK151" s="71">
        <v>146</v>
      </c>
      <c r="AL151" s="33">
        <f t="shared" si="82"/>
        <v>0</v>
      </c>
      <c r="AM151" s="33">
        <f t="shared" si="83"/>
        <v>0</v>
      </c>
      <c r="AN151" s="33">
        <f t="shared" si="84"/>
        <v>0</v>
      </c>
      <c r="AO151" s="33">
        <f t="shared" si="85"/>
        <v>0</v>
      </c>
      <c r="AP151" s="33">
        <f t="shared" si="86"/>
        <v>0</v>
      </c>
      <c r="AQ151" s="194">
        <f t="shared" si="72"/>
        <v>0</v>
      </c>
      <c r="AR151" s="194">
        <f t="shared" si="72"/>
        <v>0</v>
      </c>
      <c r="AS151" s="194">
        <f t="shared" si="72"/>
        <v>0</v>
      </c>
      <c r="AT151" s="194">
        <f t="shared" si="71"/>
        <v>0</v>
      </c>
      <c r="AU151" s="33"/>
      <c r="AV151" s="33"/>
      <c r="AW151" s="33"/>
      <c r="AX151" s="33"/>
      <c r="AY151" s="76"/>
    </row>
    <row r="152" spans="3:51">
      <c r="C152" s="166" t="s">
        <v>27</v>
      </c>
      <c r="D152" s="4">
        <v>0.43</v>
      </c>
      <c r="E152" s="188" t="s">
        <v>228</v>
      </c>
      <c r="F152" s="343">
        <f>IF(OR(Tableau145[[#This Row],[Type]]="Feuillus",Tableau145[[#This Row],[Type]]="Peupliers"),1.56,1.3)</f>
        <v>1.3</v>
      </c>
      <c r="I152" s="55">
        <v>147</v>
      </c>
      <c r="J152" s="33">
        <f t="shared" si="89"/>
        <v>0</v>
      </c>
      <c r="K152" s="33">
        <f t="shared" si="90"/>
        <v>0</v>
      </c>
      <c r="L152" s="33">
        <f t="shared" si="91"/>
        <v>0</v>
      </c>
      <c r="M152" s="33">
        <f t="shared" si="92"/>
        <v>0</v>
      </c>
      <c r="N152" s="33">
        <f t="shared" si="73"/>
        <v>0</v>
      </c>
      <c r="O152" s="34">
        <f t="shared" si="74"/>
        <v>0</v>
      </c>
      <c r="P152" s="55">
        <v>147</v>
      </c>
      <c r="Q152" s="33">
        <f t="shared" si="87"/>
        <v>0</v>
      </c>
      <c r="R152" s="33">
        <f t="shared" si="93"/>
        <v>0</v>
      </c>
      <c r="S152" s="33">
        <f t="shared" si="94"/>
        <v>0</v>
      </c>
      <c r="T152" s="33">
        <f t="shared" si="75"/>
        <v>0</v>
      </c>
      <c r="U152" s="33">
        <f t="shared" si="88"/>
        <v>0</v>
      </c>
      <c r="V152" s="33">
        <f t="shared" si="76"/>
        <v>0</v>
      </c>
      <c r="W152" s="33">
        <v>0</v>
      </c>
      <c r="X152" s="33">
        <f t="shared" si="77"/>
        <v>0</v>
      </c>
      <c r="Y152" s="38">
        <f t="shared" si="78"/>
        <v>0</v>
      </c>
      <c r="AA152" s="71">
        <v>147</v>
      </c>
      <c r="AB152" s="33">
        <f t="shared" si="79"/>
        <v>0</v>
      </c>
      <c r="AC152" s="305">
        <f t="shared" si="70"/>
        <v>0</v>
      </c>
      <c r="AD152" s="100">
        <f t="shared" si="80"/>
        <v>0</v>
      </c>
      <c r="AE152" s="100">
        <f t="shared" si="81"/>
        <v>0</v>
      </c>
      <c r="AF152" s="194">
        <f t="shared" si="66"/>
        <v>0</v>
      </c>
      <c r="AG152" s="194">
        <f t="shared" si="67"/>
        <v>0</v>
      </c>
      <c r="AH152" s="194">
        <f t="shared" si="68"/>
        <v>0</v>
      </c>
      <c r="AI152" s="199">
        <f t="shared" si="69"/>
        <v>0</v>
      </c>
      <c r="AK152" s="71">
        <v>147</v>
      </c>
      <c r="AL152" s="33">
        <f t="shared" si="82"/>
        <v>0</v>
      </c>
      <c r="AM152" s="33">
        <f t="shared" si="83"/>
        <v>0</v>
      </c>
      <c r="AN152" s="33">
        <f t="shared" si="84"/>
        <v>0</v>
      </c>
      <c r="AO152" s="33">
        <f t="shared" si="85"/>
        <v>0</v>
      </c>
      <c r="AP152" s="33">
        <f t="shared" si="86"/>
        <v>0</v>
      </c>
      <c r="AQ152" s="194">
        <f t="shared" si="72"/>
        <v>0</v>
      </c>
      <c r="AR152" s="194">
        <f t="shared" si="72"/>
        <v>0</v>
      </c>
      <c r="AS152" s="194">
        <f t="shared" si="72"/>
        <v>0</v>
      </c>
      <c r="AT152" s="194">
        <f t="shared" si="71"/>
        <v>0</v>
      </c>
      <c r="AU152" s="33"/>
      <c r="AV152" s="33"/>
      <c r="AW152" s="33"/>
      <c r="AX152" s="33"/>
      <c r="AY152" s="76"/>
    </row>
    <row r="153" spans="3:51">
      <c r="C153" s="166" t="s">
        <v>28</v>
      </c>
      <c r="D153" s="4">
        <v>0.37</v>
      </c>
      <c r="E153" s="188" t="s">
        <v>228</v>
      </c>
      <c r="F153" s="343">
        <f>IF(OR(Tableau145[[#This Row],[Type]]="Feuillus",Tableau145[[#This Row],[Type]]="Peupliers"),1.56,1.3)</f>
        <v>1.3</v>
      </c>
      <c r="I153" s="55">
        <v>148</v>
      </c>
      <c r="J153" s="33">
        <f t="shared" si="89"/>
        <v>0</v>
      </c>
      <c r="K153" s="33">
        <f t="shared" si="90"/>
        <v>0</v>
      </c>
      <c r="L153" s="33">
        <f t="shared" si="91"/>
        <v>0</v>
      </c>
      <c r="M153" s="33">
        <f t="shared" si="92"/>
        <v>0</v>
      </c>
      <c r="N153" s="33">
        <f t="shared" si="73"/>
        <v>0</v>
      </c>
      <c r="O153" s="34">
        <f t="shared" si="74"/>
        <v>0</v>
      </c>
      <c r="P153" s="55">
        <v>148</v>
      </c>
      <c r="Q153" s="33">
        <f t="shared" si="87"/>
        <v>0</v>
      </c>
      <c r="R153" s="33">
        <f t="shared" si="93"/>
        <v>0</v>
      </c>
      <c r="S153" s="33">
        <f t="shared" si="94"/>
        <v>0</v>
      </c>
      <c r="T153" s="33">
        <f t="shared" si="75"/>
        <v>0</v>
      </c>
      <c r="U153" s="33">
        <f t="shared" si="88"/>
        <v>0</v>
      </c>
      <c r="V153" s="33">
        <f t="shared" si="76"/>
        <v>0</v>
      </c>
      <c r="W153" s="33">
        <v>0</v>
      </c>
      <c r="X153" s="33">
        <f t="shared" si="77"/>
        <v>0</v>
      </c>
      <c r="Y153" s="38">
        <f t="shared" si="78"/>
        <v>0</v>
      </c>
      <c r="AA153" s="71">
        <v>148</v>
      </c>
      <c r="AB153" s="33">
        <f t="shared" si="79"/>
        <v>0</v>
      </c>
      <c r="AC153" s="305">
        <f t="shared" si="70"/>
        <v>0</v>
      </c>
      <c r="AD153" s="100">
        <f t="shared" si="80"/>
        <v>0</v>
      </c>
      <c r="AE153" s="100">
        <f t="shared" si="81"/>
        <v>0</v>
      </c>
      <c r="AF153" s="194">
        <f t="shared" si="66"/>
        <v>0</v>
      </c>
      <c r="AG153" s="194">
        <f t="shared" si="67"/>
        <v>0</v>
      </c>
      <c r="AH153" s="194">
        <f t="shared" si="68"/>
        <v>0</v>
      </c>
      <c r="AI153" s="199">
        <f t="shared" si="69"/>
        <v>0</v>
      </c>
      <c r="AK153" s="71">
        <v>148</v>
      </c>
      <c r="AL153" s="33">
        <f t="shared" si="82"/>
        <v>0</v>
      </c>
      <c r="AM153" s="33">
        <f t="shared" si="83"/>
        <v>0</v>
      </c>
      <c r="AN153" s="33">
        <f t="shared" si="84"/>
        <v>0</v>
      </c>
      <c r="AO153" s="33">
        <f t="shared" si="85"/>
        <v>0</v>
      </c>
      <c r="AP153" s="33">
        <f t="shared" si="86"/>
        <v>0</v>
      </c>
      <c r="AQ153" s="194">
        <f t="shared" si="72"/>
        <v>0</v>
      </c>
      <c r="AR153" s="194">
        <f t="shared" si="72"/>
        <v>0</v>
      </c>
      <c r="AS153" s="194">
        <f t="shared" si="72"/>
        <v>0</v>
      </c>
      <c r="AT153" s="194">
        <f t="shared" si="71"/>
        <v>0</v>
      </c>
      <c r="AU153" s="33"/>
      <c r="AV153" s="33"/>
      <c r="AW153" s="33"/>
      <c r="AX153" s="33"/>
      <c r="AY153" s="76"/>
    </row>
    <row r="154" spans="3:51">
      <c r="C154" s="166" t="s">
        <v>29</v>
      </c>
      <c r="D154" s="4">
        <v>0.36</v>
      </c>
      <c r="E154" s="188" t="s">
        <v>228</v>
      </c>
      <c r="F154" s="343">
        <f>IF(OR(Tableau145[[#This Row],[Type]]="Feuillus",Tableau145[[#This Row],[Type]]="Peupliers"),1.56,1.3)</f>
        <v>1.3</v>
      </c>
      <c r="I154" s="55">
        <v>149</v>
      </c>
      <c r="J154" s="33">
        <f t="shared" si="89"/>
        <v>0</v>
      </c>
      <c r="K154" s="33">
        <f t="shared" si="90"/>
        <v>0</v>
      </c>
      <c r="L154" s="33">
        <f t="shared" si="91"/>
        <v>0</v>
      </c>
      <c r="M154" s="33">
        <f t="shared" si="92"/>
        <v>0</v>
      </c>
      <c r="N154" s="33">
        <f t="shared" si="73"/>
        <v>0</v>
      </c>
      <c r="O154" s="34">
        <f t="shared" si="74"/>
        <v>0</v>
      </c>
      <c r="P154" s="55">
        <v>149</v>
      </c>
      <c r="Q154" s="33">
        <f t="shared" si="87"/>
        <v>0</v>
      </c>
      <c r="R154" s="33">
        <f t="shared" si="93"/>
        <v>0</v>
      </c>
      <c r="S154" s="33">
        <f t="shared" si="94"/>
        <v>0</v>
      </c>
      <c r="T154" s="33">
        <f t="shared" si="75"/>
        <v>0</v>
      </c>
      <c r="U154" s="33">
        <f t="shared" si="88"/>
        <v>0</v>
      </c>
      <c r="V154" s="33">
        <f t="shared" si="76"/>
        <v>0</v>
      </c>
      <c r="W154" s="33">
        <v>0</v>
      </c>
      <c r="X154" s="33">
        <f t="shared" si="77"/>
        <v>0</v>
      </c>
      <c r="Y154" s="38">
        <f t="shared" si="78"/>
        <v>0</v>
      </c>
      <c r="AA154" s="71">
        <v>149</v>
      </c>
      <c r="AB154" s="33">
        <f t="shared" si="79"/>
        <v>0</v>
      </c>
      <c r="AC154" s="305">
        <f t="shared" si="70"/>
        <v>0</v>
      </c>
      <c r="AD154" s="100">
        <f t="shared" si="80"/>
        <v>0</v>
      </c>
      <c r="AE154" s="100">
        <f t="shared" si="81"/>
        <v>0</v>
      </c>
      <c r="AF154" s="194">
        <f t="shared" si="66"/>
        <v>0</v>
      </c>
      <c r="AG154" s="194">
        <f t="shared" si="67"/>
        <v>0</v>
      </c>
      <c r="AH154" s="194">
        <f t="shared" si="68"/>
        <v>0</v>
      </c>
      <c r="AI154" s="199">
        <f t="shared" si="69"/>
        <v>0</v>
      </c>
      <c r="AK154" s="71">
        <v>149</v>
      </c>
      <c r="AL154" s="33">
        <f t="shared" si="82"/>
        <v>0</v>
      </c>
      <c r="AM154" s="33">
        <f t="shared" si="83"/>
        <v>0</v>
      </c>
      <c r="AN154" s="33">
        <f t="shared" si="84"/>
        <v>0</v>
      </c>
      <c r="AO154" s="33">
        <f t="shared" si="85"/>
        <v>0</v>
      </c>
      <c r="AP154" s="33">
        <f t="shared" si="86"/>
        <v>0</v>
      </c>
      <c r="AQ154" s="194">
        <f t="shared" si="72"/>
        <v>0</v>
      </c>
      <c r="AR154" s="194">
        <f t="shared" si="72"/>
        <v>0</v>
      </c>
      <c r="AS154" s="194">
        <f t="shared" si="72"/>
        <v>0</v>
      </c>
      <c r="AT154" s="194">
        <f t="shared" si="71"/>
        <v>0</v>
      </c>
      <c r="AU154" s="33"/>
      <c r="AV154" s="33"/>
      <c r="AW154" s="33"/>
      <c r="AX154" s="33"/>
      <c r="AY154" s="76"/>
    </row>
    <row r="155" spans="3:51">
      <c r="C155" s="166" t="s">
        <v>30</v>
      </c>
      <c r="D155" s="4">
        <v>0.51</v>
      </c>
      <c r="E155" s="188" t="s">
        <v>227</v>
      </c>
      <c r="F155" s="343">
        <f>IF(OR(Tableau145[[#This Row],[Type]]="Feuillus",Tableau145[[#This Row],[Type]]="Peupliers"),1.56,1.3)</f>
        <v>1.56</v>
      </c>
      <c r="I155" s="55">
        <v>150</v>
      </c>
      <c r="J155" s="33">
        <f t="shared" si="89"/>
        <v>0</v>
      </c>
      <c r="K155" s="33">
        <f t="shared" si="90"/>
        <v>0</v>
      </c>
      <c r="L155" s="33">
        <f t="shared" si="91"/>
        <v>0</v>
      </c>
      <c r="M155" s="33">
        <f t="shared" si="92"/>
        <v>0</v>
      </c>
      <c r="N155" s="33">
        <f t="shared" si="73"/>
        <v>0</v>
      </c>
      <c r="O155" s="34">
        <f t="shared" si="74"/>
        <v>0</v>
      </c>
      <c r="P155" s="55">
        <v>150</v>
      </c>
      <c r="Q155" s="33">
        <f t="shared" si="87"/>
        <v>0</v>
      </c>
      <c r="R155" s="33">
        <f t="shared" si="93"/>
        <v>0</v>
      </c>
      <c r="S155" s="33">
        <f t="shared" si="94"/>
        <v>0</v>
      </c>
      <c r="T155" s="33">
        <f t="shared" si="75"/>
        <v>0</v>
      </c>
      <c r="U155" s="33">
        <f t="shared" si="88"/>
        <v>0</v>
      </c>
      <c r="V155" s="33">
        <f t="shared" si="76"/>
        <v>0</v>
      </c>
      <c r="W155" s="33">
        <v>0</v>
      </c>
      <c r="X155" s="33">
        <f t="shared" si="77"/>
        <v>0</v>
      </c>
      <c r="Y155" s="38">
        <f t="shared" si="78"/>
        <v>0</v>
      </c>
      <c r="AA155" s="71">
        <v>150</v>
      </c>
      <c r="AB155" s="33">
        <f t="shared" si="79"/>
        <v>0</v>
      </c>
      <c r="AC155" s="305">
        <f t="shared" si="70"/>
        <v>0</v>
      </c>
      <c r="AD155" s="100">
        <f t="shared" si="80"/>
        <v>0</v>
      </c>
      <c r="AE155" s="100">
        <f t="shared" si="81"/>
        <v>0</v>
      </c>
      <c r="AF155" s="194">
        <f t="shared" ref="AF155:AF205" si="95">IF(OR(AA155&lt;=$F$18,AA155&lt;=30),EXP(-LN(2)/$D$104)*AF154+((1-EXP(-LN(2)/$D$104))/(LN(2)/$D$104))*$AB155*AC155*0.475*$F$19*44/12,)</f>
        <v>0</v>
      </c>
      <c r="AG155" s="194">
        <f t="shared" ref="AG155:AG205" si="96">IF(OR(AA155&lt;=$F$18,AA155&lt;=30),EXP(-LN(2)/$D$106)*AG154+((1-EXP(-LN(2)/$D$106))/(LN(2)/$D$106))*$AB155*AD155*0.475*$F$19*44/12,)</f>
        <v>0</v>
      </c>
      <c r="AH155" s="194">
        <f t="shared" ref="AH155:AH205" si="97">IF(OR(AA155&lt;=$F$18,AA155&lt;=30),EXP(-LN(2)/$D$105)*AH154+((1-EXP(-LN(2)/$D$105))/(LN(2)/$D$105))*$AB155*AE155*0.475*$F$19*44/12,)</f>
        <v>0</v>
      </c>
      <c r="AI155" s="199">
        <f t="shared" ref="AI155:AI205" si="98">IF(OR(AA155&lt;=$F$18,AA155&lt;=30),SUM(AF155:AH155),)</f>
        <v>0</v>
      </c>
      <c r="AK155" s="71">
        <v>150</v>
      </c>
      <c r="AL155" s="33">
        <f t="shared" si="82"/>
        <v>0</v>
      </c>
      <c r="AM155" s="33">
        <f t="shared" si="83"/>
        <v>0</v>
      </c>
      <c r="AN155" s="33">
        <f t="shared" si="84"/>
        <v>0</v>
      </c>
      <c r="AO155" s="33">
        <f t="shared" si="85"/>
        <v>0</v>
      </c>
      <c r="AP155" s="33">
        <f t="shared" si="86"/>
        <v>0</v>
      </c>
      <c r="AQ155" s="194">
        <f t="shared" si="72"/>
        <v>0</v>
      </c>
      <c r="AR155" s="194">
        <f t="shared" si="72"/>
        <v>0</v>
      </c>
      <c r="AS155" s="194">
        <f t="shared" si="72"/>
        <v>0</v>
      </c>
      <c r="AT155" s="194">
        <f t="shared" si="71"/>
        <v>0</v>
      </c>
      <c r="AU155" s="33"/>
      <c r="AV155" s="33"/>
      <c r="AW155" s="33"/>
      <c r="AX155" s="33"/>
      <c r="AY155" s="76"/>
    </row>
    <row r="156" spans="3:51">
      <c r="C156" s="166" t="s">
        <v>31</v>
      </c>
      <c r="D156" s="4">
        <v>0.56000000000000005</v>
      </c>
      <c r="E156" s="188" t="s">
        <v>227</v>
      </c>
      <c r="F156" s="343">
        <f>IF(OR(Tableau145[[#This Row],[Type]]="Feuillus",Tableau145[[#This Row],[Type]]="Peupliers"),1.56,1.3)</f>
        <v>1.56</v>
      </c>
      <c r="I156" s="55">
        <v>151</v>
      </c>
      <c r="J156" s="33">
        <f t="shared" si="89"/>
        <v>0</v>
      </c>
      <c r="K156" s="33">
        <f t="shared" si="90"/>
        <v>0</v>
      </c>
      <c r="L156" s="33">
        <f t="shared" si="91"/>
        <v>0</v>
      </c>
      <c r="M156" s="33">
        <f t="shared" si="92"/>
        <v>0</v>
      </c>
      <c r="N156" s="33">
        <f t="shared" si="73"/>
        <v>0</v>
      </c>
      <c r="O156" s="34">
        <f t="shared" si="74"/>
        <v>0</v>
      </c>
      <c r="P156" s="55">
        <v>151</v>
      </c>
      <c r="Q156" s="33">
        <f t="shared" si="87"/>
        <v>0</v>
      </c>
      <c r="R156" s="33">
        <f t="shared" si="93"/>
        <v>0</v>
      </c>
      <c r="S156" s="33">
        <f t="shared" si="94"/>
        <v>0</v>
      </c>
      <c r="T156" s="33">
        <f t="shared" si="75"/>
        <v>0</v>
      </c>
      <c r="U156" s="33">
        <f t="shared" si="88"/>
        <v>0</v>
      </c>
      <c r="V156" s="33">
        <f t="shared" si="76"/>
        <v>0</v>
      </c>
      <c r="W156" s="33">
        <v>0</v>
      </c>
      <c r="X156" s="33">
        <f t="shared" si="77"/>
        <v>0</v>
      </c>
      <c r="Y156" s="38">
        <f t="shared" si="78"/>
        <v>0</v>
      </c>
      <c r="AA156" s="71">
        <v>151</v>
      </c>
      <c r="AB156" s="33">
        <f t="shared" si="79"/>
        <v>0</v>
      </c>
      <c r="AC156" s="305">
        <f t="shared" si="70"/>
        <v>0</v>
      </c>
      <c r="AD156" s="100">
        <f t="shared" si="80"/>
        <v>0</v>
      </c>
      <c r="AE156" s="100">
        <f t="shared" si="81"/>
        <v>0</v>
      </c>
      <c r="AF156" s="194">
        <f t="shared" si="95"/>
        <v>0</v>
      </c>
      <c r="AG156" s="194">
        <f t="shared" si="96"/>
        <v>0</v>
      </c>
      <c r="AH156" s="194">
        <f t="shared" si="97"/>
        <v>0</v>
      </c>
      <c r="AI156" s="199">
        <f t="shared" si="98"/>
        <v>0</v>
      </c>
      <c r="AK156" s="71">
        <v>151</v>
      </c>
      <c r="AL156" s="33">
        <f t="shared" si="82"/>
        <v>0</v>
      </c>
      <c r="AM156" s="33">
        <f t="shared" si="83"/>
        <v>0</v>
      </c>
      <c r="AN156" s="33">
        <f t="shared" si="84"/>
        <v>0</v>
      </c>
      <c r="AO156" s="33">
        <f t="shared" si="85"/>
        <v>0</v>
      </c>
      <c r="AP156" s="33">
        <f t="shared" si="86"/>
        <v>0</v>
      </c>
      <c r="AQ156" s="194">
        <f t="shared" si="72"/>
        <v>0</v>
      </c>
      <c r="AR156" s="194">
        <f t="shared" si="72"/>
        <v>0</v>
      </c>
      <c r="AS156" s="194">
        <f t="shared" si="72"/>
        <v>0</v>
      </c>
      <c r="AT156" s="194">
        <f t="shared" si="71"/>
        <v>0</v>
      </c>
      <c r="AU156" s="33"/>
      <c r="AV156" s="33"/>
      <c r="AW156" s="33"/>
      <c r="AX156" s="33"/>
      <c r="AY156" s="76"/>
    </row>
    <row r="157" spans="3:51">
      <c r="C157" s="166" t="s">
        <v>32</v>
      </c>
      <c r="D157" s="4">
        <v>0.56000000000000005</v>
      </c>
      <c r="E157" s="188" t="s">
        <v>227</v>
      </c>
      <c r="F157" s="343">
        <f>IF(OR(Tableau145[[#This Row],[Type]]="Feuillus",Tableau145[[#This Row],[Type]]="Peupliers"),1.56,1.3)</f>
        <v>1.56</v>
      </c>
      <c r="I157" s="55">
        <v>152</v>
      </c>
      <c r="J157" s="33">
        <f t="shared" si="89"/>
        <v>0</v>
      </c>
      <c r="K157" s="33">
        <f t="shared" si="90"/>
        <v>0</v>
      </c>
      <c r="L157" s="33">
        <f t="shared" si="91"/>
        <v>0</v>
      </c>
      <c r="M157" s="33">
        <f t="shared" si="92"/>
        <v>0</v>
      </c>
      <c r="N157" s="33">
        <f t="shared" si="73"/>
        <v>0</v>
      </c>
      <c r="O157" s="34">
        <f t="shared" si="74"/>
        <v>0</v>
      </c>
      <c r="P157" s="55">
        <v>152</v>
      </c>
      <c r="Q157" s="33">
        <f t="shared" si="87"/>
        <v>0</v>
      </c>
      <c r="R157" s="33">
        <f t="shared" si="93"/>
        <v>0</v>
      </c>
      <c r="S157" s="33">
        <f t="shared" si="94"/>
        <v>0</v>
      </c>
      <c r="T157" s="33">
        <f t="shared" si="75"/>
        <v>0</v>
      </c>
      <c r="U157" s="33">
        <f t="shared" si="88"/>
        <v>0</v>
      </c>
      <c r="V157" s="33">
        <f t="shared" si="76"/>
        <v>0</v>
      </c>
      <c r="W157" s="33">
        <v>0</v>
      </c>
      <c r="X157" s="33">
        <f t="shared" si="77"/>
        <v>0</v>
      </c>
      <c r="Y157" s="38">
        <f t="shared" si="78"/>
        <v>0</v>
      </c>
      <c r="AA157" s="71">
        <v>152</v>
      </c>
      <c r="AB157" s="33">
        <f t="shared" si="79"/>
        <v>0</v>
      </c>
      <c r="AC157" s="305">
        <f t="shared" si="70"/>
        <v>0</v>
      </c>
      <c r="AD157" s="100">
        <f t="shared" si="80"/>
        <v>0</v>
      </c>
      <c r="AE157" s="100">
        <f t="shared" si="81"/>
        <v>0</v>
      </c>
      <c r="AF157" s="194">
        <f t="shared" si="95"/>
        <v>0</v>
      </c>
      <c r="AG157" s="194">
        <f t="shared" si="96"/>
        <v>0</v>
      </c>
      <c r="AH157" s="194">
        <f t="shared" si="97"/>
        <v>0</v>
      </c>
      <c r="AI157" s="199">
        <f t="shared" si="98"/>
        <v>0</v>
      </c>
      <c r="AK157" s="71">
        <v>152</v>
      </c>
      <c r="AL157" s="33">
        <f t="shared" si="82"/>
        <v>0</v>
      </c>
      <c r="AM157" s="33">
        <f t="shared" si="83"/>
        <v>0</v>
      </c>
      <c r="AN157" s="33">
        <f t="shared" si="84"/>
        <v>0</v>
      </c>
      <c r="AO157" s="33">
        <f t="shared" si="85"/>
        <v>0</v>
      </c>
      <c r="AP157" s="33">
        <f t="shared" si="86"/>
        <v>0</v>
      </c>
      <c r="AQ157" s="194">
        <f t="shared" si="72"/>
        <v>0</v>
      </c>
      <c r="AR157" s="194">
        <f t="shared" si="72"/>
        <v>0</v>
      </c>
      <c r="AS157" s="194">
        <f t="shared" si="72"/>
        <v>0</v>
      </c>
      <c r="AT157" s="194">
        <f t="shared" si="71"/>
        <v>0</v>
      </c>
      <c r="AU157" s="33"/>
      <c r="AV157" s="33"/>
      <c r="AW157" s="33"/>
      <c r="AX157" s="33"/>
      <c r="AY157" s="76"/>
    </row>
    <row r="158" spans="3:51">
      <c r="C158" s="166" t="s">
        <v>33</v>
      </c>
      <c r="D158" s="4">
        <v>0.48</v>
      </c>
      <c r="E158" s="188" t="s">
        <v>227</v>
      </c>
      <c r="F158" s="343">
        <f>IF(OR(Tableau145[[#This Row],[Type]]="Feuillus",Tableau145[[#This Row],[Type]]="Peupliers"),1.56,1.3)</f>
        <v>1.56</v>
      </c>
      <c r="I158" s="55">
        <v>153</v>
      </c>
      <c r="J158" s="33">
        <f t="shared" si="89"/>
        <v>0</v>
      </c>
      <c r="K158" s="33">
        <f t="shared" si="90"/>
        <v>0</v>
      </c>
      <c r="L158" s="33">
        <f t="shared" si="91"/>
        <v>0</v>
      </c>
      <c r="M158" s="33">
        <f t="shared" si="92"/>
        <v>0</v>
      </c>
      <c r="N158" s="33">
        <f t="shared" si="73"/>
        <v>0</v>
      </c>
      <c r="O158" s="34">
        <f t="shared" si="74"/>
        <v>0</v>
      </c>
      <c r="P158" s="55">
        <v>153</v>
      </c>
      <c r="Q158" s="33">
        <f t="shared" si="87"/>
        <v>0</v>
      </c>
      <c r="R158" s="33">
        <f t="shared" si="93"/>
        <v>0</v>
      </c>
      <c r="S158" s="33">
        <f t="shared" si="94"/>
        <v>0</v>
      </c>
      <c r="T158" s="33">
        <f t="shared" si="75"/>
        <v>0</v>
      </c>
      <c r="U158" s="33">
        <f t="shared" si="88"/>
        <v>0</v>
      </c>
      <c r="V158" s="33">
        <f t="shared" si="76"/>
        <v>0</v>
      </c>
      <c r="W158" s="33">
        <v>0</v>
      </c>
      <c r="X158" s="33">
        <f t="shared" si="77"/>
        <v>0</v>
      </c>
      <c r="Y158" s="38">
        <f t="shared" si="78"/>
        <v>0</v>
      </c>
      <c r="AA158" s="71">
        <v>153</v>
      </c>
      <c r="AB158" s="33">
        <f t="shared" si="79"/>
        <v>0</v>
      </c>
      <c r="AC158" s="305">
        <f t="shared" si="70"/>
        <v>0</v>
      </c>
      <c r="AD158" s="100">
        <f t="shared" si="80"/>
        <v>0</v>
      </c>
      <c r="AE158" s="100">
        <f t="shared" si="81"/>
        <v>0</v>
      </c>
      <c r="AF158" s="194">
        <f t="shared" si="95"/>
        <v>0</v>
      </c>
      <c r="AG158" s="194">
        <f t="shared" si="96"/>
        <v>0</v>
      </c>
      <c r="AH158" s="194">
        <f t="shared" si="97"/>
        <v>0</v>
      </c>
      <c r="AI158" s="199">
        <f t="shared" si="98"/>
        <v>0</v>
      </c>
      <c r="AK158" s="71">
        <v>153</v>
      </c>
      <c r="AL158" s="33">
        <f t="shared" si="82"/>
        <v>0</v>
      </c>
      <c r="AM158" s="33">
        <f t="shared" si="83"/>
        <v>0</v>
      </c>
      <c r="AN158" s="33">
        <f t="shared" si="84"/>
        <v>0</v>
      </c>
      <c r="AO158" s="33">
        <f t="shared" si="85"/>
        <v>0</v>
      </c>
      <c r="AP158" s="33">
        <f t="shared" si="86"/>
        <v>0</v>
      </c>
      <c r="AQ158" s="194">
        <f t="shared" si="72"/>
        <v>0</v>
      </c>
      <c r="AR158" s="194">
        <f t="shared" si="72"/>
        <v>0</v>
      </c>
      <c r="AS158" s="194">
        <f t="shared" si="72"/>
        <v>0</v>
      </c>
      <c r="AT158" s="194">
        <f t="shared" si="71"/>
        <v>0</v>
      </c>
      <c r="AU158" s="33"/>
      <c r="AV158" s="33"/>
      <c r="AW158" s="33"/>
      <c r="AX158" s="33"/>
      <c r="AY158" s="76"/>
    </row>
    <row r="159" spans="3:51">
      <c r="C159" s="166" t="s">
        <v>34</v>
      </c>
      <c r="D159" s="4">
        <v>0.55000000000000004</v>
      </c>
      <c r="E159" s="188" t="s">
        <v>227</v>
      </c>
      <c r="F159" s="343">
        <f>IF(OR(Tableau145[[#This Row],[Type]]="Feuillus",Tableau145[[#This Row],[Type]]="Peupliers"),1.56,1.3)</f>
        <v>1.56</v>
      </c>
      <c r="I159" s="55">
        <v>154</v>
      </c>
      <c r="J159" s="33">
        <f t="shared" si="89"/>
        <v>0</v>
      </c>
      <c r="K159" s="33">
        <f t="shared" si="90"/>
        <v>0</v>
      </c>
      <c r="L159" s="33">
        <f t="shared" si="91"/>
        <v>0</v>
      </c>
      <c r="M159" s="33">
        <f t="shared" si="92"/>
        <v>0</v>
      </c>
      <c r="N159" s="33">
        <f t="shared" si="73"/>
        <v>0</v>
      </c>
      <c r="O159" s="34">
        <f t="shared" si="74"/>
        <v>0</v>
      </c>
      <c r="P159" s="55">
        <v>154</v>
      </c>
      <c r="Q159" s="33">
        <f t="shared" si="87"/>
        <v>0</v>
      </c>
      <c r="R159" s="33">
        <f t="shared" si="93"/>
        <v>0</v>
      </c>
      <c r="S159" s="33">
        <f t="shared" si="94"/>
        <v>0</v>
      </c>
      <c r="T159" s="33">
        <f t="shared" si="75"/>
        <v>0</v>
      </c>
      <c r="U159" s="33">
        <f t="shared" si="88"/>
        <v>0</v>
      </c>
      <c r="V159" s="33">
        <f t="shared" si="76"/>
        <v>0</v>
      </c>
      <c r="W159" s="33">
        <v>0</v>
      </c>
      <c r="X159" s="33">
        <f t="shared" si="77"/>
        <v>0</v>
      </c>
      <c r="Y159" s="38">
        <f t="shared" si="78"/>
        <v>0</v>
      </c>
      <c r="AA159" s="71">
        <v>154</v>
      </c>
      <c r="AB159" s="33">
        <f t="shared" si="79"/>
        <v>0</v>
      </c>
      <c r="AC159" s="305">
        <f t="shared" ref="AC159:AC205" si="99">IF(AA159&lt;=$F$18,IFERROR(VLOOKUP($AA159,$B$82:$G$94,3,FALSE),0),)*50%</f>
        <v>0</v>
      </c>
      <c r="AD159" s="100">
        <f t="shared" si="80"/>
        <v>0</v>
      </c>
      <c r="AE159" s="100">
        <f t="shared" si="81"/>
        <v>0</v>
      </c>
      <c r="AF159" s="194">
        <f t="shared" si="95"/>
        <v>0</v>
      </c>
      <c r="AG159" s="194">
        <f t="shared" si="96"/>
        <v>0</v>
      </c>
      <c r="AH159" s="194">
        <f t="shared" si="97"/>
        <v>0</v>
      </c>
      <c r="AI159" s="199">
        <f t="shared" si="98"/>
        <v>0</v>
      </c>
      <c r="AK159" s="71">
        <v>154</v>
      </c>
      <c r="AL159" s="33">
        <f t="shared" si="82"/>
        <v>0</v>
      </c>
      <c r="AM159" s="33">
        <f t="shared" si="83"/>
        <v>0</v>
      </c>
      <c r="AN159" s="33">
        <f t="shared" si="84"/>
        <v>0</v>
      </c>
      <c r="AO159" s="33">
        <f t="shared" si="85"/>
        <v>0</v>
      </c>
      <c r="AP159" s="33">
        <f t="shared" si="86"/>
        <v>0</v>
      </c>
      <c r="AQ159" s="194">
        <f t="shared" si="72"/>
        <v>0</v>
      </c>
      <c r="AR159" s="194">
        <f t="shared" si="72"/>
        <v>0</v>
      </c>
      <c r="AS159" s="194">
        <f t="shared" si="72"/>
        <v>0</v>
      </c>
      <c r="AT159" s="194">
        <f t="shared" si="71"/>
        <v>0</v>
      </c>
      <c r="AU159" s="33"/>
      <c r="AV159" s="33"/>
      <c r="AW159" s="33"/>
      <c r="AX159" s="33"/>
      <c r="AY159" s="76"/>
    </row>
    <row r="160" spans="3:51">
      <c r="C160" s="166" t="s">
        <v>35</v>
      </c>
      <c r="D160" s="4">
        <v>0.56000000000000005</v>
      </c>
      <c r="E160" s="188" t="s">
        <v>227</v>
      </c>
      <c r="F160" s="343">
        <f>IF(OR(Tableau145[[#This Row],[Type]]="Feuillus",Tableau145[[#This Row],[Type]]="Peupliers"),1.56,1.3)</f>
        <v>1.56</v>
      </c>
      <c r="I160" s="55">
        <v>155</v>
      </c>
      <c r="J160" s="33">
        <f t="shared" si="89"/>
        <v>0</v>
      </c>
      <c r="K160" s="33">
        <f t="shared" si="90"/>
        <v>0</v>
      </c>
      <c r="L160" s="33">
        <f t="shared" si="91"/>
        <v>0</v>
      </c>
      <c r="M160" s="33">
        <f t="shared" si="92"/>
        <v>0</v>
      </c>
      <c r="N160" s="33">
        <f t="shared" si="73"/>
        <v>0</v>
      </c>
      <c r="O160" s="34">
        <f t="shared" si="74"/>
        <v>0</v>
      </c>
      <c r="P160" s="55">
        <v>155</v>
      </c>
      <c r="Q160" s="33">
        <f t="shared" si="87"/>
        <v>0</v>
      </c>
      <c r="R160" s="33">
        <f t="shared" si="93"/>
        <v>0</v>
      </c>
      <c r="S160" s="33">
        <f t="shared" si="94"/>
        <v>0</v>
      </c>
      <c r="T160" s="33">
        <f t="shared" si="75"/>
        <v>0</v>
      </c>
      <c r="U160" s="33">
        <f t="shared" si="88"/>
        <v>0</v>
      </c>
      <c r="V160" s="33">
        <f t="shared" si="76"/>
        <v>0</v>
      </c>
      <c r="W160" s="33">
        <v>0</v>
      </c>
      <c r="X160" s="33">
        <f t="shared" si="77"/>
        <v>0</v>
      </c>
      <c r="Y160" s="38">
        <f t="shared" si="78"/>
        <v>0</v>
      </c>
      <c r="AA160" s="71">
        <v>155</v>
      </c>
      <c r="AB160" s="33">
        <f t="shared" si="79"/>
        <v>0</v>
      </c>
      <c r="AC160" s="305">
        <f t="shared" si="99"/>
        <v>0</v>
      </c>
      <c r="AD160" s="100">
        <f t="shared" si="80"/>
        <v>0</v>
      </c>
      <c r="AE160" s="100">
        <f t="shared" si="81"/>
        <v>0</v>
      </c>
      <c r="AF160" s="194">
        <f t="shared" si="95"/>
        <v>0</v>
      </c>
      <c r="AG160" s="194">
        <f t="shared" si="96"/>
        <v>0</v>
      </c>
      <c r="AH160" s="194">
        <f t="shared" si="97"/>
        <v>0</v>
      </c>
      <c r="AI160" s="199">
        <f t="shared" si="98"/>
        <v>0</v>
      </c>
      <c r="AK160" s="71">
        <v>155</v>
      </c>
      <c r="AL160" s="33">
        <f t="shared" si="82"/>
        <v>0</v>
      </c>
      <c r="AM160" s="33">
        <f t="shared" si="83"/>
        <v>0</v>
      </c>
      <c r="AN160" s="33">
        <f t="shared" si="84"/>
        <v>0</v>
      </c>
      <c r="AO160" s="33">
        <f t="shared" si="85"/>
        <v>0</v>
      </c>
      <c r="AP160" s="33">
        <f t="shared" si="86"/>
        <v>0</v>
      </c>
      <c r="AQ160" s="194">
        <f t="shared" si="72"/>
        <v>0</v>
      </c>
      <c r="AR160" s="194">
        <f t="shared" si="72"/>
        <v>0</v>
      </c>
      <c r="AS160" s="194">
        <f t="shared" si="72"/>
        <v>0</v>
      </c>
      <c r="AT160" s="194">
        <f t="shared" si="71"/>
        <v>0</v>
      </c>
      <c r="AU160" s="33"/>
      <c r="AV160" s="33"/>
      <c r="AW160" s="33"/>
      <c r="AX160" s="33"/>
      <c r="AY160" s="76"/>
    </row>
    <row r="161" spans="3:51">
      <c r="C161" s="166" t="s">
        <v>36</v>
      </c>
      <c r="D161" s="4">
        <v>0.57999999999999996</v>
      </c>
      <c r="E161" s="188" t="s">
        <v>227</v>
      </c>
      <c r="F161" s="343">
        <f>IF(OR(Tableau145[[#This Row],[Type]]="Feuillus",Tableau145[[#This Row],[Type]]="Peupliers"),1.56,1.3)</f>
        <v>1.56</v>
      </c>
      <c r="I161" s="55">
        <v>156</v>
      </c>
      <c r="J161" s="33">
        <f t="shared" si="89"/>
        <v>0</v>
      </c>
      <c r="K161" s="33">
        <f t="shared" si="90"/>
        <v>0</v>
      </c>
      <c r="L161" s="33">
        <f t="shared" si="91"/>
        <v>0</v>
      </c>
      <c r="M161" s="33">
        <f t="shared" si="92"/>
        <v>0</v>
      </c>
      <c r="N161" s="33">
        <f t="shared" si="73"/>
        <v>0</v>
      </c>
      <c r="O161" s="34">
        <f t="shared" si="74"/>
        <v>0</v>
      </c>
      <c r="P161" s="55">
        <v>156</v>
      </c>
      <c r="Q161" s="33">
        <f t="shared" si="87"/>
        <v>0</v>
      </c>
      <c r="R161" s="33">
        <f t="shared" si="93"/>
        <v>0</v>
      </c>
      <c r="S161" s="33">
        <f t="shared" si="94"/>
        <v>0</v>
      </c>
      <c r="T161" s="33">
        <f t="shared" si="75"/>
        <v>0</v>
      </c>
      <c r="U161" s="33">
        <f t="shared" si="88"/>
        <v>0</v>
      </c>
      <c r="V161" s="33">
        <f t="shared" si="76"/>
        <v>0</v>
      </c>
      <c r="W161" s="33">
        <v>0</v>
      </c>
      <c r="X161" s="33">
        <f t="shared" si="77"/>
        <v>0</v>
      </c>
      <c r="Y161" s="38">
        <f t="shared" si="78"/>
        <v>0</v>
      </c>
      <c r="AA161" s="71">
        <v>156</v>
      </c>
      <c r="AB161" s="33">
        <f t="shared" si="79"/>
        <v>0</v>
      </c>
      <c r="AC161" s="305">
        <f t="shared" si="99"/>
        <v>0</v>
      </c>
      <c r="AD161" s="100">
        <f t="shared" si="80"/>
        <v>0</v>
      </c>
      <c r="AE161" s="100">
        <f t="shared" si="81"/>
        <v>0</v>
      </c>
      <c r="AF161" s="194">
        <f t="shared" si="95"/>
        <v>0</v>
      </c>
      <c r="AG161" s="194">
        <f t="shared" si="96"/>
        <v>0</v>
      </c>
      <c r="AH161" s="194">
        <f t="shared" si="97"/>
        <v>0</v>
      </c>
      <c r="AI161" s="199">
        <f t="shared" si="98"/>
        <v>0</v>
      </c>
      <c r="AK161" s="71">
        <v>156</v>
      </c>
      <c r="AL161" s="33">
        <f t="shared" si="82"/>
        <v>0</v>
      </c>
      <c r="AM161" s="33">
        <f t="shared" si="83"/>
        <v>0</v>
      </c>
      <c r="AN161" s="33">
        <f t="shared" si="84"/>
        <v>0</v>
      </c>
      <c r="AO161" s="33">
        <f t="shared" si="85"/>
        <v>0</v>
      </c>
      <c r="AP161" s="33">
        <f t="shared" si="86"/>
        <v>0</v>
      </c>
      <c r="AQ161" s="194">
        <f t="shared" si="72"/>
        <v>0</v>
      </c>
      <c r="AR161" s="194">
        <f t="shared" si="72"/>
        <v>0</v>
      </c>
      <c r="AS161" s="194">
        <f t="shared" si="72"/>
        <v>0</v>
      </c>
      <c r="AT161" s="194">
        <f t="shared" si="71"/>
        <v>0</v>
      </c>
      <c r="AU161" s="33"/>
      <c r="AV161" s="33"/>
      <c r="AW161" s="33"/>
      <c r="AX161" s="33"/>
      <c r="AY161" s="76"/>
    </row>
    <row r="162" spans="3:51">
      <c r="C162" s="166" t="s">
        <v>37</v>
      </c>
      <c r="D162" s="4">
        <v>0.57999999999999996</v>
      </c>
      <c r="E162" s="188" t="s">
        <v>228</v>
      </c>
      <c r="F162" s="343">
        <f>IF(OR(Tableau145[[#This Row],[Type]]="Feuillus",Tableau145[[#This Row],[Type]]="Peupliers"),1.56,1.3)</f>
        <v>1.3</v>
      </c>
      <c r="I162" s="55">
        <v>157</v>
      </c>
      <c r="J162" s="33">
        <f t="shared" si="89"/>
        <v>0</v>
      </c>
      <c r="K162" s="33">
        <f t="shared" si="90"/>
        <v>0</v>
      </c>
      <c r="L162" s="33">
        <f t="shared" si="91"/>
        <v>0</v>
      </c>
      <c r="M162" s="33">
        <f t="shared" si="92"/>
        <v>0</v>
      </c>
      <c r="N162" s="33">
        <f t="shared" si="73"/>
        <v>0</v>
      </c>
      <c r="O162" s="34">
        <f t="shared" si="74"/>
        <v>0</v>
      </c>
      <c r="P162" s="55">
        <v>157</v>
      </c>
      <c r="Q162" s="33">
        <f t="shared" si="87"/>
        <v>0</v>
      </c>
      <c r="R162" s="33">
        <f t="shared" si="93"/>
        <v>0</v>
      </c>
      <c r="S162" s="33">
        <f t="shared" si="94"/>
        <v>0</v>
      </c>
      <c r="T162" s="33">
        <f t="shared" si="75"/>
        <v>0</v>
      </c>
      <c r="U162" s="33">
        <f t="shared" si="88"/>
        <v>0</v>
      </c>
      <c r="V162" s="33">
        <f t="shared" si="76"/>
        <v>0</v>
      </c>
      <c r="W162" s="33">
        <v>0</v>
      </c>
      <c r="X162" s="33">
        <f t="shared" si="77"/>
        <v>0</v>
      </c>
      <c r="Y162" s="38">
        <f t="shared" si="78"/>
        <v>0</v>
      </c>
      <c r="AA162" s="71">
        <v>157</v>
      </c>
      <c r="AB162" s="33">
        <f t="shared" si="79"/>
        <v>0</v>
      </c>
      <c r="AC162" s="305">
        <f t="shared" si="99"/>
        <v>0</v>
      </c>
      <c r="AD162" s="100">
        <f t="shared" si="80"/>
        <v>0</v>
      </c>
      <c r="AE162" s="100">
        <f t="shared" si="81"/>
        <v>0</v>
      </c>
      <c r="AF162" s="194">
        <f t="shared" si="95"/>
        <v>0</v>
      </c>
      <c r="AG162" s="194">
        <f t="shared" si="96"/>
        <v>0</v>
      </c>
      <c r="AH162" s="194">
        <f t="shared" si="97"/>
        <v>0</v>
      </c>
      <c r="AI162" s="199">
        <f t="shared" si="98"/>
        <v>0</v>
      </c>
      <c r="AK162" s="71">
        <v>157</v>
      </c>
      <c r="AL162" s="33">
        <f t="shared" si="82"/>
        <v>0</v>
      </c>
      <c r="AM162" s="33">
        <f t="shared" si="83"/>
        <v>0</v>
      </c>
      <c r="AN162" s="33">
        <f t="shared" si="84"/>
        <v>0</v>
      </c>
      <c r="AO162" s="33">
        <f t="shared" si="85"/>
        <v>0</v>
      </c>
      <c r="AP162" s="33">
        <f t="shared" si="86"/>
        <v>0</v>
      </c>
      <c r="AQ162" s="194">
        <f t="shared" si="72"/>
        <v>0</v>
      </c>
      <c r="AR162" s="194">
        <f t="shared" si="72"/>
        <v>0</v>
      </c>
      <c r="AS162" s="194">
        <f t="shared" si="72"/>
        <v>0</v>
      </c>
      <c r="AT162" s="194">
        <f t="shared" si="71"/>
        <v>0</v>
      </c>
      <c r="AU162" s="33"/>
      <c r="AV162" s="33"/>
      <c r="AW162" s="33"/>
      <c r="AX162" s="33"/>
      <c r="AY162" s="76"/>
    </row>
    <row r="163" spans="3:51">
      <c r="C163" s="166" t="s">
        <v>38</v>
      </c>
      <c r="D163" s="4">
        <v>0.48</v>
      </c>
      <c r="E163" s="188" t="s">
        <v>228</v>
      </c>
      <c r="F163" s="343">
        <f>IF(OR(Tableau145[[#This Row],[Type]]="Feuillus",Tableau145[[#This Row],[Type]]="Peupliers"),1.56,1.3)</f>
        <v>1.3</v>
      </c>
      <c r="I163" s="55">
        <v>158</v>
      </c>
      <c r="J163" s="33">
        <f t="shared" si="89"/>
        <v>0</v>
      </c>
      <c r="K163" s="33">
        <f t="shared" si="90"/>
        <v>0</v>
      </c>
      <c r="L163" s="33">
        <f t="shared" si="91"/>
        <v>0</v>
      </c>
      <c r="M163" s="33">
        <f t="shared" si="92"/>
        <v>0</v>
      </c>
      <c r="N163" s="33">
        <f t="shared" si="73"/>
        <v>0</v>
      </c>
      <c r="O163" s="34">
        <f t="shared" si="74"/>
        <v>0</v>
      </c>
      <c r="P163" s="55">
        <v>158</v>
      </c>
      <c r="Q163" s="33">
        <f t="shared" si="87"/>
        <v>0</v>
      </c>
      <c r="R163" s="33">
        <f t="shared" si="93"/>
        <v>0</v>
      </c>
      <c r="S163" s="33">
        <f t="shared" si="94"/>
        <v>0</v>
      </c>
      <c r="T163" s="33">
        <f t="shared" si="75"/>
        <v>0</v>
      </c>
      <c r="U163" s="33">
        <f t="shared" si="88"/>
        <v>0</v>
      </c>
      <c r="V163" s="33">
        <f t="shared" si="76"/>
        <v>0</v>
      </c>
      <c r="W163" s="33">
        <v>0</v>
      </c>
      <c r="X163" s="33">
        <f t="shared" si="77"/>
        <v>0</v>
      </c>
      <c r="Y163" s="38">
        <f t="shared" si="78"/>
        <v>0</v>
      </c>
      <c r="AA163" s="71">
        <v>158</v>
      </c>
      <c r="AB163" s="33">
        <f t="shared" si="79"/>
        <v>0</v>
      </c>
      <c r="AC163" s="305">
        <f t="shared" si="99"/>
        <v>0</v>
      </c>
      <c r="AD163" s="100">
        <f t="shared" si="80"/>
        <v>0</v>
      </c>
      <c r="AE163" s="100">
        <f t="shared" si="81"/>
        <v>0</v>
      </c>
      <c r="AF163" s="194">
        <f t="shared" si="95"/>
        <v>0</v>
      </c>
      <c r="AG163" s="194">
        <f t="shared" si="96"/>
        <v>0</v>
      </c>
      <c r="AH163" s="194">
        <f t="shared" si="97"/>
        <v>0</v>
      </c>
      <c r="AI163" s="199">
        <f t="shared" si="98"/>
        <v>0</v>
      </c>
      <c r="AK163" s="71">
        <v>158</v>
      </c>
      <c r="AL163" s="33">
        <f t="shared" si="82"/>
        <v>0</v>
      </c>
      <c r="AM163" s="33">
        <f t="shared" si="83"/>
        <v>0</v>
      </c>
      <c r="AN163" s="33">
        <f t="shared" si="84"/>
        <v>0</v>
      </c>
      <c r="AO163" s="33">
        <f t="shared" si="85"/>
        <v>0</v>
      </c>
      <c r="AP163" s="33">
        <f t="shared" si="86"/>
        <v>0</v>
      </c>
      <c r="AQ163" s="194">
        <f t="shared" si="72"/>
        <v>0</v>
      </c>
      <c r="AR163" s="194">
        <f t="shared" si="72"/>
        <v>0</v>
      </c>
      <c r="AS163" s="194">
        <f t="shared" si="72"/>
        <v>0</v>
      </c>
      <c r="AT163" s="194">
        <f t="shared" si="71"/>
        <v>0</v>
      </c>
      <c r="AU163" s="33"/>
      <c r="AV163" s="33"/>
      <c r="AW163" s="33"/>
      <c r="AX163" s="33"/>
      <c r="AY163" s="76"/>
    </row>
    <row r="164" spans="3:51">
      <c r="C164" s="166" t="s">
        <v>39</v>
      </c>
      <c r="D164" s="4">
        <v>0.42</v>
      </c>
      <c r="E164" s="188" t="s">
        <v>228</v>
      </c>
      <c r="F164" s="343">
        <f>IF(OR(Tableau145[[#This Row],[Type]]="Feuillus",Tableau145[[#This Row],[Type]]="Peupliers"),1.56,1.3)</f>
        <v>1.3</v>
      </c>
      <c r="I164" s="55">
        <v>159</v>
      </c>
      <c r="J164" s="33">
        <f t="shared" si="89"/>
        <v>0</v>
      </c>
      <c r="K164" s="33">
        <f t="shared" si="90"/>
        <v>0</v>
      </c>
      <c r="L164" s="33">
        <f t="shared" si="91"/>
        <v>0</v>
      </c>
      <c r="M164" s="33">
        <f t="shared" si="92"/>
        <v>0</v>
      </c>
      <c r="N164" s="33">
        <f t="shared" si="73"/>
        <v>0</v>
      </c>
      <c r="O164" s="34">
        <f t="shared" si="74"/>
        <v>0</v>
      </c>
      <c r="P164" s="55">
        <v>159</v>
      </c>
      <c r="Q164" s="33">
        <f t="shared" si="87"/>
        <v>0</v>
      </c>
      <c r="R164" s="33">
        <f t="shared" si="93"/>
        <v>0</v>
      </c>
      <c r="S164" s="33">
        <f t="shared" si="94"/>
        <v>0</v>
      </c>
      <c r="T164" s="33">
        <f t="shared" si="75"/>
        <v>0</v>
      </c>
      <c r="U164" s="33">
        <f t="shared" si="88"/>
        <v>0</v>
      </c>
      <c r="V164" s="33">
        <f t="shared" si="76"/>
        <v>0</v>
      </c>
      <c r="W164" s="33">
        <v>0</v>
      </c>
      <c r="X164" s="33">
        <f t="shared" si="77"/>
        <v>0</v>
      </c>
      <c r="Y164" s="38">
        <f t="shared" si="78"/>
        <v>0</v>
      </c>
      <c r="AA164" s="71">
        <v>159</v>
      </c>
      <c r="AB164" s="33">
        <f t="shared" si="79"/>
        <v>0</v>
      </c>
      <c r="AC164" s="305">
        <f t="shared" si="99"/>
        <v>0</v>
      </c>
      <c r="AD164" s="100">
        <f t="shared" si="80"/>
        <v>0</v>
      </c>
      <c r="AE164" s="100">
        <f t="shared" si="81"/>
        <v>0</v>
      </c>
      <c r="AF164" s="194">
        <f t="shared" si="95"/>
        <v>0</v>
      </c>
      <c r="AG164" s="194">
        <f t="shared" si="96"/>
        <v>0</v>
      </c>
      <c r="AH164" s="194">
        <f t="shared" si="97"/>
        <v>0</v>
      </c>
      <c r="AI164" s="199">
        <f t="shared" si="98"/>
        <v>0</v>
      </c>
      <c r="AK164" s="71">
        <v>159</v>
      </c>
      <c r="AL164" s="33">
        <f t="shared" si="82"/>
        <v>0</v>
      </c>
      <c r="AM164" s="33">
        <f t="shared" si="83"/>
        <v>0</v>
      </c>
      <c r="AN164" s="33">
        <f t="shared" si="84"/>
        <v>0</v>
      </c>
      <c r="AO164" s="33">
        <f t="shared" si="85"/>
        <v>0</v>
      </c>
      <c r="AP164" s="33">
        <f t="shared" si="86"/>
        <v>0</v>
      </c>
      <c r="AQ164" s="194">
        <f t="shared" si="72"/>
        <v>0</v>
      </c>
      <c r="AR164" s="194">
        <f t="shared" si="72"/>
        <v>0</v>
      </c>
      <c r="AS164" s="194">
        <f t="shared" si="72"/>
        <v>0</v>
      </c>
      <c r="AT164" s="194">
        <f t="shared" si="71"/>
        <v>0</v>
      </c>
      <c r="AU164" s="33"/>
      <c r="AV164" s="33"/>
      <c r="AW164" s="33"/>
      <c r="AX164" s="33"/>
      <c r="AY164" s="76"/>
    </row>
    <row r="165" spans="3:51">
      <c r="C165" s="166" t="s">
        <v>40</v>
      </c>
      <c r="D165" s="4">
        <v>0.5</v>
      </c>
      <c r="E165" s="188" t="s">
        <v>227</v>
      </c>
      <c r="F165" s="343">
        <f>IF(OR(Tableau145[[#This Row],[Type]]="Feuillus",Tableau145[[#This Row],[Type]]="Peupliers"),1.56,1.3)</f>
        <v>1.56</v>
      </c>
      <c r="I165" s="55">
        <v>160</v>
      </c>
      <c r="J165" s="33">
        <f t="shared" si="89"/>
        <v>0</v>
      </c>
      <c r="K165" s="33">
        <f t="shared" si="90"/>
        <v>0</v>
      </c>
      <c r="L165" s="33">
        <f t="shared" si="91"/>
        <v>0</v>
      </c>
      <c r="M165" s="33">
        <f t="shared" si="92"/>
        <v>0</v>
      </c>
      <c r="N165" s="33">
        <f t="shared" si="73"/>
        <v>0</v>
      </c>
      <c r="O165" s="34">
        <f t="shared" si="74"/>
        <v>0</v>
      </c>
      <c r="P165" s="55">
        <v>160</v>
      </c>
      <c r="Q165" s="33">
        <f t="shared" si="87"/>
        <v>0</v>
      </c>
      <c r="R165" s="33">
        <f t="shared" si="93"/>
        <v>0</v>
      </c>
      <c r="S165" s="33">
        <f t="shared" si="94"/>
        <v>0</v>
      </c>
      <c r="T165" s="33">
        <f t="shared" si="75"/>
        <v>0</v>
      </c>
      <c r="U165" s="33">
        <f t="shared" si="88"/>
        <v>0</v>
      </c>
      <c r="V165" s="33">
        <f t="shared" si="76"/>
        <v>0</v>
      </c>
      <c r="W165" s="33">
        <v>0</v>
      </c>
      <c r="X165" s="33">
        <f t="shared" si="77"/>
        <v>0</v>
      </c>
      <c r="Y165" s="38">
        <f t="shared" si="78"/>
        <v>0</v>
      </c>
      <c r="AA165" s="71">
        <v>160</v>
      </c>
      <c r="AB165" s="33">
        <f t="shared" si="79"/>
        <v>0</v>
      </c>
      <c r="AC165" s="305">
        <f t="shared" si="99"/>
        <v>0</v>
      </c>
      <c r="AD165" s="100">
        <f t="shared" si="80"/>
        <v>0</v>
      </c>
      <c r="AE165" s="100">
        <f t="shared" si="81"/>
        <v>0</v>
      </c>
      <c r="AF165" s="194">
        <f t="shared" si="95"/>
        <v>0</v>
      </c>
      <c r="AG165" s="194">
        <f t="shared" si="96"/>
        <v>0</v>
      </c>
      <c r="AH165" s="194">
        <f t="shared" si="97"/>
        <v>0</v>
      </c>
      <c r="AI165" s="199">
        <f t="shared" si="98"/>
        <v>0</v>
      </c>
      <c r="AK165" s="71">
        <v>160</v>
      </c>
      <c r="AL165" s="33">
        <f t="shared" si="82"/>
        <v>0</v>
      </c>
      <c r="AM165" s="33">
        <f t="shared" si="83"/>
        <v>0</v>
      </c>
      <c r="AN165" s="33">
        <f t="shared" si="84"/>
        <v>0</v>
      </c>
      <c r="AO165" s="33">
        <f t="shared" si="85"/>
        <v>0</v>
      </c>
      <c r="AP165" s="33">
        <f t="shared" si="86"/>
        <v>0</v>
      </c>
      <c r="AQ165" s="194">
        <f t="shared" si="72"/>
        <v>0</v>
      </c>
      <c r="AR165" s="194">
        <f t="shared" si="72"/>
        <v>0</v>
      </c>
      <c r="AS165" s="194">
        <f t="shared" si="72"/>
        <v>0</v>
      </c>
      <c r="AT165" s="194">
        <f t="shared" si="71"/>
        <v>0</v>
      </c>
      <c r="AU165" s="33"/>
      <c r="AV165" s="33"/>
      <c r="AW165" s="33"/>
      <c r="AX165" s="33"/>
      <c r="AY165" s="76"/>
    </row>
    <row r="166" spans="3:51">
      <c r="C166" s="166" t="s">
        <v>41</v>
      </c>
      <c r="D166" s="4">
        <v>0.55000000000000004</v>
      </c>
      <c r="E166" s="188" t="s">
        <v>227</v>
      </c>
      <c r="F166" s="343">
        <f>IF(OR(Tableau145[[#This Row],[Type]]="Feuillus",Tableau145[[#This Row],[Type]]="Peupliers"),1.56,1.3)</f>
        <v>1.56</v>
      </c>
      <c r="I166" s="55">
        <v>161</v>
      </c>
      <c r="J166" s="33">
        <f t="shared" si="89"/>
        <v>0</v>
      </c>
      <c r="K166" s="33">
        <f t="shared" si="90"/>
        <v>0</v>
      </c>
      <c r="L166" s="33">
        <f t="shared" si="91"/>
        <v>0</v>
      </c>
      <c r="M166" s="33">
        <f t="shared" si="92"/>
        <v>0</v>
      </c>
      <c r="N166" s="33">
        <f t="shared" si="73"/>
        <v>0</v>
      </c>
      <c r="O166" s="34">
        <f t="shared" si="74"/>
        <v>0</v>
      </c>
      <c r="P166" s="55">
        <v>161</v>
      </c>
      <c r="Q166" s="33">
        <f t="shared" si="87"/>
        <v>0</v>
      </c>
      <c r="R166" s="33">
        <f t="shared" si="93"/>
        <v>0</v>
      </c>
      <c r="S166" s="33">
        <f t="shared" si="94"/>
        <v>0</v>
      </c>
      <c r="T166" s="33">
        <f t="shared" si="75"/>
        <v>0</v>
      </c>
      <c r="U166" s="33">
        <f t="shared" si="88"/>
        <v>0</v>
      </c>
      <c r="V166" s="33">
        <f t="shared" si="76"/>
        <v>0</v>
      </c>
      <c r="W166" s="33">
        <v>0</v>
      </c>
      <c r="X166" s="33">
        <f t="shared" si="77"/>
        <v>0</v>
      </c>
      <c r="Y166" s="38">
        <f t="shared" si="78"/>
        <v>0</v>
      </c>
      <c r="AA166" s="71">
        <v>161</v>
      </c>
      <c r="AB166" s="33">
        <f t="shared" si="79"/>
        <v>0</v>
      </c>
      <c r="AC166" s="305">
        <f t="shared" si="99"/>
        <v>0</v>
      </c>
      <c r="AD166" s="100">
        <f t="shared" si="80"/>
        <v>0</v>
      </c>
      <c r="AE166" s="100">
        <f t="shared" si="81"/>
        <v>0</v>
      </c>
      <c r="AF166" s="194">
        <f t="shared" si="95"/>
        <v>0</v>
      </c>
      <c r="AG166" s="194">
        <f t="shared" si="96"/>
        <v>0</v>
      </c>
      <c r="AH166" s="194">
        <f t="shared" si="97"/>
        <v>0</v>
      </c>
      <c r="AI166" s="199">
        <f t="shared" si="98"/>
        <v>0</v>
      </c>
      <c r="AK166" s="71">
        <v>161</v>
      </c>
      <c r="AL166" s="33">
        <f t="shared" si="82"/>
        <v>0</v>
      </c>
      <c r="AM166" s="33">
        <f t="shared" si="83"/>
        <v>0</v>
      </c>
      <c r="AN166" s="33">
        <f t="shared" si="84"/>
        <v>0</v>
      </c>
      <c r="AO166" s="33">
        <f t="shared" si="85"/>
        <v>0</v>
      </c>
      <c r="AP166" s="33">
        <f t="shared" si="86"/>
        <v>0</v>
      </c>
      <c r="AQ166" s="194">
        <f t="shared" si="72"/>
        <v>0</v>
      </c>
      <c r="AR166" s="194">
        <f t="shared" si="72"/>
        <v>0</v>
      </c>
      <c r="AS166" s="194">
        <f t="shared" si="72"/>
        <v>0</v>
      </c>
      <c r="AT166" s="194">
        <f t="shared" si="71"/>
        <v>0</v>
      </c>
      <c r="AU166" s="33"/>
      <c r="AV166" s="33"/>
      <c r="AW166" s="33"/>
      <c r="AX166" s="33"/>
      <c r="AY166" s="76"/>
    </row>
    <row r="167" spans="3:51">
      <c r="C167" s="166" t="s">
        <v>42</v>
      </c>
      <c r="D167" s="4">
        <v>0.53</v>
      </c>
      <c r="E167" s="188" t="s">
        <v>227</v>
      </c>
      <c r="F167" s="343">
        <f>IF(OR(Tableau145[[#This Row],[Type]]="Feuillus",Tableau145[[#This Row],[Type]]="Peupliers"),1.56,1.3)</f>
        <v>1.56</v>
      </c>
      <c r="I167" s="55">
        <v>162</v>
      </c>
      <c r="J167" s="33">
        <f t="shared" si="89"/>
        <v>0</v>
      </c>
      <c r="K167" s="33">
        <f t="shared" si="90"/>
        <v>0</v>
      </c>
      <c r="L167" s="33">
        <f t="shared" si="91"/>
        <v>0</v>
      </c>
      <c r="M167" s="33">
        <f t="shared" si="92"/>
        <v>0</v>
      </c>
      <c r="N167" s="33">
        <f t="shared" si="73"/>
        <v>0</v>
      </c>
      <c r="O167" s="34">
        <f t="shared" si="74"/>
        <v>0</v>
      </c>
      <c r="P167" s="55">
        <v>162</v>
      </c>
      <c r="Q167" s="33">
        <f t="shared" si="87"/>
        <v>0</v>
      </c>
      <c r="R167" s="33">
        <f t="shared" si="93"/>
        <v>0</v>
      </c>
      <c r="S167" s="33">
        <f t="shared" si="94"/>
        <v>0</v>
      </c>
      <c r="T167" s="33">
        <f t="shared" si="75"/>
        <v>0</v>
      </c>
      <c r="U167" s="33">
        <f t="shared" si="88"/>
        <v>0</v>
      </c>
      <c r="V167" s="33">
        <f t="shared" si="76"/>
        <v>0</v>
      </c>
      <c r="W167" s="33">
        <v>0</v>
      </c>
      <c r="X167" s="33">
        <f t="shared" si="77"/>
        <v>0</v>
      </c>
      <c r="Y167" s="38">
        <f t="shared" si="78"/>
        <v>0</v>
      </c>
      <c r="AA167" s="71">
        <v>162</v>
      </c>
      <c r="AB167" s="33">
        <f t="shared" si="79"/>
        <v>0</v>
      </c>
      <c r="AC167" s="305">
        <f t="shared" si="99"/>
        <v>0</v>
      </c>
      <c r="AD167" s="100">
        <f t="shared" si="80"/>
        <v>0</v>
      </c>
      <c r="AE167" s="100">
        <f t="shared" si="81"/>
        <v>0</v>
      </c>
      <c r="AF167" s="194">
        <f t="shared" si="95"/>
        <v>0</v>
      </c>
      <c r="AG167" s="194">
        <f t="shared" si="96"/>
        <v>0</v>
      </c>
      <c r="AH167" s="194">
        <f t="shared" si="97"/>
        <v>0</v>
      </c>
      <c r="AI167" s="199">
        <f t="shared" si="98"/>
        <v>0</v>
      </c>
      <c r="AK167" s="71">
        <v>162</v>
      </c>
      <c r="AL167" s="33">
        <f t="shared" si="82"/>
        <v>0</v>
      </c>
      <c r="AM167" s="33">
        <f t="shared" si="83"/>
        <v>0</v>
      </c>
      <c r="AN167" s="33">
        <f t="shared" si="84"/>
        <v>0</v>
      </c>
      <c r="AO167" s="33">
        <f t="shared" si="85"/>
        <v>0</v>
      </c>
      <c r="AP167" s="33">
        <f t="shared" si="86"/>
        <v>0</v>
      </c>
      <c r="AQ167" s="194">
        <f t="shared" si="72"/>
        <v>0</v>
      </c>
      <c r="AR167" s="194">
        <f t="shared" si="72"/>
        <v>0</v>
      </c>
      <c r="AS167" s="194">
        <f t="shared" si="72"/>
        <v>0</v>
      </c>
      <c r="AT167" s="194">
        <f t="shared" si="71"/>
        <v>0</v>
      </c>
      <c r="AU167" s="33"/>
      <c r="AV167" s="33"/>
      <c r="AW167" s="33"/>
      <c r="AX167" s="33"/>
      <c r="AY167" s="76"/>
    </row>
    <row r="168" spans="3:51">
      <c r="C168" s="166" t="s">
        <v>43</v>
      </c>
      <c r="D168" s="4">
        <v>0.52</v>
      </c>
      <c r="E168" s="188" t="s">
        <v>227</v>
      </c>
      <c r="F168" s="343">
        <f>IF(OR(Tableau145[[#This Row],[Type]]="Feuillus",Tableau145[[#This Row],[Type]]="Peupliers"),1.56,1.3)</f>
        <v>1.56</v>
      </c>
      <c r="I168" s="55">
        <v>163</v>
      </c>
      <c r="J168" s="33">
        <f t="shared" si="89"/>
        <v>0</v>
      </c>
      <c r="K168" s="33">
        <f t="shared" si="90"/>
        <v>0</v>
      </c>
      <c r="L168" s="33">
        <f t="shared" si="91"/>
        <v>0</v>
      </c>
      <c r="M168" s="33">
        <f t="shared" si="92"/>
        <v>0</v>
      </c>
      <c r="N168" s="33">
        <f t="shared" si="73"/>
        <v>0</v>
      </c>
      <c r="O168" s="34">
        <f t="shared" si="74"/>
        <v>0</v>
      </c>
      <c r="P168" s="55">
        <v>163</v>
      </c>
      <c r="Q168" s="33">
        <f t="shared" si="87"/>
        <v>0</v>
      </c>
      <c r="R168" s="33">
        <f t="shared" si="93"/>
        <v>0</v>
      </c>
      <c r="S168" s="33">
        <f t="shared" si="94"/>
        <v>0</v>
      </c>
      <c r="T168" s="33">
        <f t="shared" si="75"/>
        <v>0</v>
      </c>
      <c r="U168" s="33">
        <f t="shared" si="88"/>
        <v>0</v>
      </c>
      <c r="V168" s="33">
        <f t="shared" si="76"/>
        <v>0</v>
      </c>
      <c r="W168" s="33">
        <v>0</v>
      </c>
      <c r="X168" s="33">
        <f t="shared" si="77"/>
        <v>0</v>
      </c>
      <c r="Y168" s="38">
        <f t="shared" si="78"/>
        <v>0</v>
      </c>
      <c r="AA168" s="71">
        <v>163</v>
      </c>
      <c r="AB168" s="33">
        <f t="shared" si="79"/>
        <v>0</v>
      </c>
      <c r="AC168" s="305">
        <f t="shared" si="99"/>
        <v>0</v>
      </c>
      <c r="AD168" s="100">
        <f t="shared" si="80"/>
        <v>0</v>
      </c>
      <c r="AE168" s="100">
        <f t="shared" si="81"/>
        <v>0</v>
      </c>
      <c r="AF168" s="194">
        <f t="shared" si="95"/>
        <v>0</v>
      </c>
      <c r="AG168" s="194">
        <f t="shared" si="96"/>
        <v>0</v>
      </c>
      <c r="AH168" s="194">
        <f t="shared" si="97"/>
        <v>0</v>
      </c>
      <c r="AI168" s="199">
        <f t="shared" si="98"/>
        <v>0</v>
      </c>
      <c r="AK168" s="71">
        <v>163</v>
      </c>
      <c r="AL168" s="33">
        <f t="shared" si="82"/>
        <v>0</v>
      </c>
      <c r="AM168" s="33">
        <f t="shared" si="83"/>
        <v>0</v>
      </c>
      <c r="AN168" s="33">
        <f t="shared" si="84"/>
        <v>0</v>
      </c>
      <c r="AO168" s="33">
        <f t="shared" si="85"/>
        <v>0</v>
      </c>
      <c r="AP168" s="33">
        <f t="shared" si="86"/>
        <v>0</v>
      </c>
      <c r="AQ168" s="194">
        <f t="shared" si="72"/>
        <v>0</v>
      </c>
      <c r="AR168" s="194">
        <f t="shared" si="72"/>
        <v>0</v>
      </c>
      <c r="AS168" s="194">
        <f t="shared" si="72"/>
        <v>0</v>
      </c>
      <c r="AT168" s="194">
        <f t="shared" si="71"/>
        <v>0</v>
      </c>
      <c r="AU168" s="33"/>
      <c r="AV168" s="33"/>
      <c r="AW168" s="33"/>
      <c r="AX168" s="33"/>
      <c r="AY168" s="76"/>
    </row>
    <row r="169" spans="3:51">
      <c r="C169" s="166" t="s">
        <v>44</v>
      </c>
      <c r="D169" s="4">
        <v>0.52</v>
      </c>
      <c r="E169" s="188" t="s">
        <v>227</v>
      </c>
      <c r="F169" s="343">
        <f>IF(OR(Tableau145[[#This Row],[Type]]="Feuillus",Tableau145[[#This Row],[Type]]="Peupliers"),1.56,1.3)</f>
        <v>1.56</v>
      </c>
      <c r="I169" s="55">
        <v>164</v>
      </c>
      <c r="J169" s="33">
        <f t="shared" si="89"/>
        <v>0</v>
      </c>
      <c r="K169" s="33">
        <f t="shared" si="90"/>
        <v>0</v>
      </c>
      <c r="L169" s="33">
        <f t="shared" si="91"/>
        <v>0</v>
      </c>
      <c r="M169" s="33">
        <f t="shared" si="92"/>
        <v>0</v>
      </c>
      <c r="N169" s="33">
        <f t="shared" si="73"/>
        <v>0</v>
      </c>
      <c r="O169" s="34">
        <f t="shared" si="74"/>
        <v>0</v>
      </c>
      <c r="P169" s="55">
        <v>164</v>
      </c>
      <c r="Q169" s="33">
        <f t="shared" si="87"/>
        <v>0</v>
      </c>
      <c r="R169" s="33">
        <f t="shared" si="93"/>
        <v>0</v>
      </c>
      <c r="S169" s="33">
        <f t="shared" si="94"/>
        <v>0</v>
      </c>
      <c r="T169" s="33">
        <f t="shared" si="75"/>
        <v>0</v>
      </c>
      <c r="U169" s="33">
        <f t="shared" si="88"/>
        <v>0</v>
      </c>
      <c r="V169" s="33">
        <f t="shared" si="76"/>
        <v>0</v>
      </c>
      <c r="W169" s="33">
        <v>0</v>
      </c>
      <c r="X169" s="33">
        <f t="shared" si="77"/>
        <v>0</v>
      </c>
      <c r="Y169" s="38">
        <f t="shared" si="78"/>
        <v>0</v>
      </c>
      <c r="AA169" s="71">
        <v>164</v>
      </c>
      <c r="AB169" s="33">
        <f t="shared" si="79"/>
        <v>0</v>
      </c>
      <c r="AC169" s="305">
        <f t="shared" si="99"/>
        <v>0</v>
      </c>
      <c r="AD169" s="100">
        <f t="shared" si="80"/>
        <v>0</v>
      </c>
      <c r="AE169" s="100">
        <f t="shared" si="81"/>
        <v>0</v>
      </c>
      <c r="AF169" s="194">
        <f t="shared" si="95"/>
        <v>0</v>
      </c>
      <c r="AG169" s="194">
        <f t="shared" si="96"/>
        <v>0</v>
      </c>
      <c r="AH169" s="194">
        <f t="shared" si="97"/>
        <v>0</v>
      </c>
      <c r="AI169" s="199">
        <f t="shared" si="98"/>
        <v>0</v>
      </c>
      <c r="AK169" s="71">
        <v>164</v>
      </c>
      <c r="AL169" s="33">
        <f t="shared" si="82"/>
        <v>0</v>
      </c>
      <c r="AM169" s="33">
        <f t="shared" si="83"/>
        <v>0</v>
      </c>
      <c r="AN169" s="33">
        <f t="shared" si="84"/>
        <v>0</v>
      </c>
      <c r="AO169" s="33">
        <f t="shared" si="85"/>
        <v>0</v>
      </c>
      <c r="AP169" s="33">
        <f t="shared" si="86"/>
        <v>0</v>
      </c>
      <c r="AQ169" s="194">
        <f t="shared" si="72"/>
        <v>0</v>
      </c>
      <c r="AR169" s="194">
        <f t="shared" si="72"/>
        <v>0</v>
      </c>
      <c r="AS169" s="194">
        <f t="shared" si="72"/>
        <v>0</v>
      </c>
      <c r="AT169" s="194">
        <f t="shared" si="72"/>
        <v>0</v>
      </c>
      <c r="AU169" s="33"/>
      <c r="AV169" s="33"/>
      <c r="AW169" s="33"/>
      <c r="AX169" s="33"/>
      <c r="AY169" s="76"/>
    </row>
    <row r="170" spans="3:51">
      <c r="C170" s="166" t="s">
        <v>45</v>
      </c>
      <c r="D170" s="4">
        <v>0.75</v>
      </c>
      <c r="E170" s="188" t="s">
        <v>227</v>
      </c>
      <c r="F170" s="343">
        <f>IF(OR(Tableau145[[#This Row],[Type]]="Feuillus",Tableau145[[#This Row],[Type]]="Peupliers"),1.56,1.3)</f>
        <v>1.56</v>
      </c>
      <c r="I170" s="55">
        <v>165</v>
      </c>
      <c r="J170" s="33">
        <f t="shared" si="89"/>
        <v>0</v>
      </c>
      <c r="K170" s="33">
        <f t="shared" si="90"/>
        <v>0</v>
      </c>
      <c r="L170" s="33">
        <f t="shared" si="91"/>
        <v>0</v>
      </c>
      <c r="M170" s="33">
        <f t="shared" si="92"/>
        <v>0</v>
      </c>
      <c r="N170" s="33">
        <f t="shared" si="73"/>
        <v>0</v>
      </c>
      <c r="O170" s="34">
        <f t="shared" si="74"/>
        <v>0</v>
      </c>
      <c r="P170" s="55">
        <v>165</v>
      </c>
      <c r="Q170" s="33">
        <f t="shared" si="87"/>
        <v>0</v>
      </c>
      <c r="R170" s="33">
        <f t="shared" si="93"/>
        <v>0</v>
      </c>
      <c r="S170" s="33">
        <f t="shared" si="94"/>
        <v>0</v>
      </c>
      <c r="T170" s="33">
        <f t="shared" si="75"/>
        <v>0</v>
      </c>
      <c r="U170" s="33">
        <f t="shared" si="88"/>
        <v>0</v>
      </c>
      <c r="V170" s="33">
        <f t="shared" si="76"/>
        <v>0</v>
      </c>
      <c r="W170" s="33">
        <v>0</v>
      </c>
      <c r="X170" s="33">
        <f t="shared" si="77"/>
        <v>0</v>
      </c>
      <c r="Y170" s="38">
        <f t="shared" si="78"/>
        <v>0</v>
      </c>
      <c r="AA170" s="71">
        <v>165</v>
      </c>
      <c r="AB170" s="33">
        <f t="shared" si="79"/>
        <v>0</v>
      </c>
      <c r="AC170" s="305">
        <f t="shared" si="99"/>
        <v>0</v>
      </c>
      <c r="AD170" s="100">
        <f t="shared" si="80"/>
        <v>0</v>
      </c>
      <c r="AE170" s="100">
        <f t="shared" si="81"/>
        <v>0</v>
      </c>
      <c r="AF170" s="194">
        <f t="shared" si="95"/>
        <v>0</v>
      </c>
      <c r="AG170" s="194">
        <f t="shared" si="96"/>
        <v>0</v>
      </c>
      <c r="AH170" s="194">
        <f t="shared" si="97"/>
        <v>0</v>
      </c>
      <c r="AI170" s="199">
        <f t="shared" si="98"/>
        <v>0</v>
      </c>
      <c r="AK170" s="71">
        <v>165</v>
      </c>
      <c r="AL170" s="33">
        <f t="shared" si="82"/>
        <v>0</v>
      </c>
      <c r="AM170" s="33">
        <f t="shared" si="83"/>
        <v>0</v>
      </c>
      <c r="AN170" s="33">
        <f t="shared" si="84"/>
        <v>0</v>
      </c>
      <c r="AO170" s="33">
        <f t="shared" si="85"/>
        <v>0</v>
      </c>
      <c r="AP170" s="33">
        <f t="shared" si="86"/>
        <v>0</v>
      </c>
      <c r="AQ170" s="194">
        <f t="shared" ref="AQ170:AT205" si="100">IF($AK170&lt;=$F$18,$AL170*AM170,)</f>
        <v>0</v>
      </c>
      <c r="AR170" s="194">
        <f t="shared" si="100"/>
        <v>0</v>
      </c>
      <c r="AS170" s="194">
        <f t="shared" si="100"/>
        <v>0</v>
      </c>
      <c r="AT170" s="194">
        <f t="shared" si="100"/>
        <v>0</v>
      </c>
      <c r="AU170" s="33"/>
      <c r="AV170" s="33"/>
      <c r="AW170" s="33"/>
      <c r="AX170" s="33"/>
      <c r="AY170" s="76"/>
    </row>
    <row r="171" spans="3:51">
      <c r="C171" s="166" t="s">
        <v>46</v>
      </c>
      <c r="D171" s="4">
        <v>0.52</v>
      </c>
      <c r="E171" s="188" t="s">
        <v>227</v>
      </c>
      <c r="F171" s="343">
        <f>IF(OR(Tableau145[[#This Row],[Type]]="Feuillus",Tableau145[[#This Row],[Type]]="Peupliers"),1.56,1.3)</f>
        <v>1.56</v>
      </c>
      <c r="I171" s="55">
        <v>166</v>
      </c>
      <c r="J171" s="33">
        <f t="shared" si="89"/>
        <v>0</v>
      </c>
      <c r="K171" s="33">
        <f t="shared" si="90"/>
        <v>0</v>
      </c>
      <c r="L171" s="33">
        <f t="shared" si="91"/>
        <v>0</v>
      </c>
      <c r="M171" s="33">
        <f t="shared" si="92"/>
        <v>0</v>
      </c>
      <c r="N171" s="33">
        <f t="shared" si="73"/>
        <v>0</v>
      </c>
      <c r="O171" s="34">
        <f t="shared" si="74"/>
        <v>0</v>
      </c>
      <c r="P171" s="55">
        <v>166</v>
      </c>
      <c r="Q171" s="33">
        <f t="shared" si="87"/>
        <v>0</v>
      </c>
      <c r="R171" s="33">
        <f t="shared" si="93"/>
        <v>0</v>
      </c>
      <c r="S171" s="33">
        <f t="shared" si="94"/>
        <v>0</v>
      </c>
      <c r="T171" s="33">
        <f t="shared" si="75"/>
        <v>0</v>
      </c>
      <c r="U171" s="33">
        <f t="shared" si="88"/>
        <v>0</v>
      </c>
      <c r="V171" s="33">
        <f t="shared" si="76"/>
        <v>0</v>
      </c>
      <c r="W171" s="33">
        <v>0</v>
      </c>
      <c r="X171" s="33">
        <f t="shared" si="77"/>
        <v>0</v>
      </c>
      <c r="Y171" s="38">
        <f t="shared" si="78"/>
        <v>0</v>
      </c>
      <c r="AA171" s="71">
        <v>166</v>
      </c>
      <c r="AB171" s="33">
        <f t="shared" si="79"/>
        <v>0</v>
      </c>
      <c r="AC171" s="305">
        <f t="shared" si="99"/>
        <v>0</v>
      </c>
      <c r="AD171" s="100">
        <f t="shared" si="80"/>
        <v>0</v>
      </c>
      <c r="AE171" s="100">
        <f t="shared" si="81"/>
        <v>0</v>
      </c>
      <c r="AF171" s="194">
        <f t="shared" si="95"/>
        <v>0</v>
      </c>
      <c r="AG171" s="194">
        <f t="shared" si="96"/>
        <v>0</v>
      </c>
      <c r="AH171" s="194">
        <f t="shared" si="97"/>
        <v>0</v>
      </c>
      <c r="AI171" s="199">
        <f t="shared" si="98"/>
        <v>0</v>
      </c>
      <c r="AK171" s="71">
        <v>166</v>
      </c>
      <c r="AL171" s="33">
        <f t="shared" si="82"/>
        <v>0</v>
      </c>
      <c r="AM171" s="33">
        <f t="shared" si="83"/>
        <v>0</v>
      </c>
      <c r="AN171" s="33">
        <f t="shared" si="84"/>
        <v>0</v>
      </c>
      <c r="AO171" s="33">
        <f t="shared" si="85"/>
        <v>0</v>
      </c>
      <c r="AP171" s="33">
        <f t="shared" si="86"/>
        <v>0</v>
      </c>
      <c r="AQ171" s="194">
        <f t="shared" si="100"/>
        <v>0</v>
      </c>
      <c r="AR171" s="194">
        <f t="shared" si="100"/>
        <v>0</v>
      </c>
      <c r="AS171" s="194">
        <f t="shared" si="100"/>
        <v>0</v>
      </c>
      <c r="AT171" s="194">
        <f t="shared" si="100"/>
        <v>0</v>
      </c>
      <c r="AU171" s="33"/>
      <c r="AV171" s="33"/>
      <c r="AW171" s="33"/>
      <c r="AX171" s="33"/>
      <c r="AY171" s="76"/>
    </row>
    <row r="172" spans="3:51">
      <c r="C172" s="166" t="s">
        <v>47</v>
      </c>
      <c r="D172" s="4">
        <v>0.35</v>
      </c>
      <c r="E172" s="188" t="s">
        <v>229</v>
      </c>
      <c r="F172" s="343">
        <f>IF(OR(Tableau145[[#This Row],[Type]]="Feuillus",Tableau145[[#This Row],[Type]]="Peupliers"),1.56,1.3)</f>
        <v>1.56</v>
      </c>
      <c r="I172" s="55">
        <v>167</v>
      </c>
      <c r="J172" s="33">
        <f t="shared" si="89"/>
        <v>0</v>
      </c>
      <c r="K172" s="33">
        <f t="shared" si="90"/>
        <v>0</v>
      </c>
      <c r="L172" s="33">
        <f t="shared" si="91"/>
        <v>0</v>
      </c>
      <c r="M172" s="33">
        <f t="shared" si="92"/>
        <v>0</v>
      </c>
      <c r="N172" s="33">
        <f t="shared" si="73"/>
        <v>0</v>
      </c>
      <c r="O172" s="34">
        <f t="shared" si="74"/>
        <v>0</v>
      </c>
      <c r="P172" s="55">
        <v>167</v>
      </c>
      <c r="Q172" s="33">
        <f t="shared" si="87"/>
        <v>0</v>
      </c>
      <c r="R172" s="33">
        <f t="shared" si="93"/>
        <v>0</v>
      </c>
      <c r="S172" s="33">
        <f t="shared" si="94"/>
        <v>0</v>
      </c>
      <c r="T172" s="33">
        <f t="shared" si="75"/>
        <v>0</v>
      </c>
      <c r="U172" s="33">
        <f t="shared" si="88"/>
        <v>0</v>
      </c>
      <c r="V172" s="33">
        <f t="shared" si="76"/>
        <v>0</v>
      </c>
      <c r="W172" s="33">
        <v>0</v>
      </c>
      <c r="X172" s="33">
        <f t="shared" si="77"/>
        <v>0</v>
      </c>
      <c r="Y172" s="38">
        <f t="shared" si="78"/>
        <v>0</v>
      </c>
      <c r="AA172" s="71">
        <v>167</v>
      </c>
      <c r="AB172" s="33">
        <f t="shared" si="79"/>
        <v>0</v>
      </c>
      <c r="AC172" s="305">
        <f t="shared" si="99"/>
        <v>0</v>
      </c>
      <c r="AD172" s="100">
        <f t="shared" si="80"/>
        <v>0</v>
      </c>
      <c r="AE172" s="100">
        <f t="shared" si="81"/>
        <v>0</v>
      </c>
      <c r="AF172" s="194">
        <f t="shared" si="95"/>
        <v>0</v>
      </c>
      <c r="AG172" s="194">
        <f t="shared" si="96"/>
        <v>0</v>
      </c>
      <c r="AH172" s="194">
        <f t="shared" si="97"/>
        <v>0</v>
      </c>
      <c r="AI172" s="199">
        <f t="shared" si="98"/>
        <v>0</v>
      </c>
      <c r="AK172" s="71">
        <v>167</v>
      </c>
      <c r="AL172" s="33">
        <f t="shared" si="82"/>
        <v>0</v>
      </c>
      <c r="AM172" s="33">
        <f t="shared" si="83"/>
        <v>0</v>
      </c>
      <c r="AN172" s="33">
        <f t="shared" si="84"/>
        <v>0</v>
      </c>
      <c r="AO172" s="33">
        <f t="shared" si="85"/>
        <v>0</v>
      </c>
      <c r="AP172" s="33">
        <f t="shared" si="86"/>
        <v>0</v>
      </c>
      <c r="AQ172" s="194">
        <f t="shared" si="100"/>
        <v>0</v>
      </c>
      <c r="AR172" s="194">
        <f t="shared" si="100"/>
        <v>0</v>
      </c>
      <c r="AS172" s="194">
        <f t="shared" si="100"/>
        <v>0</v>
      </c>
      <c r="AT172" s="194">
        <f t="shared" si="100"/>
        <v>0</v>
      </c>
      <c r="AU172" s="33"/>
      <c r="AV172" s="33"/>
      <c r="AW172" s="33"/>
      <c r="AX172" s="33"/>
      <c r="AY172" s="76"/>
    </row>
    <row r="173" spans="3:51">
      <c r="C173" s="166" t="s">
        <v>48</v>
      </c>
      <c r="D173" s="4">
        <v>0.37</v>
      </c>
      <c r="E173" s="188" t="s">
        <v>227</v>
      </c>
      <c r="F173" s="343">
        <f>IF(OR(Tableau145[[#This Row],[Type]]="Feuillus",Tableau145[[#This Row],[Type]]="Peupliers"),1.56,1.3)</f>
        <v>1.56</v>
      </c>
      <c r="I173" s="55">
        <v>168</v>
      </c>
      <c r="J173" s="33">
        <f t="shared" si="89"/>
        <v>0</v>
      </c>
      <c r="K173" s="33">
        <f t="shared" si="90"/>
        <v>0</v>
      </c>
      <c r="L173" s="33">
        <f t="shared" si="91"/>
        <v>0</v>
      </c>
      <c r="M173" s="33">
        <f t="shared" si="92"/>
        <v>0</v>
      </c>
      <c r="N173" s="33">
        <f t="shared" si="73"/>
        <v>0</v>
      </c>
      <c r="O173" s="34">
        <f t="shared" si="74"/>
        <v>0</v>
      </c>
      <c r="P173" s="55">
        <v>168</v>
      </c>
      <c r="Q173" s="33">
        <f t="shared" si="87"/>
        <v>0</v>
      </c>
      <c r="R173" s="33">
        <f t="shared" si="93"/>
        <v>0</v>
      </c>
      <c r="S173" s="33">
        <f t="shared" si="94"/>
        <v>0</v>
      </c>
      <c r="T173" s="33">
        <f t="shared" si="75"/>
        <v>0</v>
      </c>
      <c r="U173" s="33">
        <f t="shared" si="88"/>
        <v>0</v>
      </c>
      <c r="V173" s="33">
        <f t="shared" si="76"/>
        <v>0</v>
      </c>
      <c r="W173" s="33">
        <v>0</v>
      </c>
      <c r="X173" s="33">
        <f t="shared" si="77"/>
        <v>0</v>
      </c>
      <c r="Y173" s="38">
        <f t="shared" si="78"/>
        <v>0</v>
      </c>
      <c r="AA173" s="71">
        <v>168</v>
      </c>
      <c r="AB173" s="33">
        <f t="shared" si="79"/>
        <v>0</v>
      </c>
      <c r="AC173" s="305">
        <f t="shared" si="99"/>
        <v>0</v>
      </c>
      <c r="AD173" s="100">
        <f t="shared" si="80"/>
        <v>0</v>
      </c>
      <c r="AE173" s="100">
        <f t="shared" si="81"/>
        <v>0</v>
      </c>
      <c r="AF173" s="194">
        <f t="shared" si="95"/>
        <v>0</v>
      </c>
      <c r="AG173" s="194">
        <f t="shared" si="96"/>
        <v>0</v>
      </c>
      <c r="AH173" s="194">
        <f t="shared" si="97"/>
        <v>0</v>
      </c>
      <c r="AI173" s="199">
        <f t="shared" si="98"/>
        <v>0</v>
      </c>
      <c r="AK173" s="71">
        <v>168</v>
      </c>
      <c r="AL173" s="33">
        <f t="shared" si="82"/>
        <v>0</v>
      </c>
      <c r="AM173" s="33">
        <f t="shared" si="83"/>
        <v>0</v>
      </c>
      <c r="AN173" s="33">
        <f t="shared" si="84"/>
        <v>0</v>
      </c>
      <c r="AO173" s="33">
        <f t="shared" si="85"/>
        <v>0</v>
      </c>
      <c r="AP173" s="33">
        <f t="shared" si="86"/>
        <v>0</v>
      </c>
      <c r="AQ173" s="194">
        <f t="shared" si="100"/>
        <v>0</v>
      </c>
      <c r="AR173" s="194">
        <f t="shared" si="100"/>
        <v>0</v>
      </c>
      <c r="AS173" s="194">
        <f t="shared" si="100"/>
        <v>0</v>
      </c>
      <c r="AT173" s="194">
        <f t="shared" si="100"/>
        <v>0</v>
      </c>
      <c r="AU173" s="33"/>
      <c r="AV173" s="33"/>
      <c r="AW173" s="33"/>
      <c r="AX173" s="33"/>
      <c r="AY173" s="76"/>
    </row>
    <row r="174" spans="3:51">
      <c r="C174" s="166" t="s">
        <v>49</v>
      </c>
      <c r="D174" s="4">
        <v>0.45</v>
      </c>
      <c r="E174" s="188" t="s">
        <v>228</v>
      </c>
      <c r="F174" s="343">
        <f>IF(OR(Tableau145[[#This Row],[Type]]="Feuillus",Tableau145[[#This Row],[Type]]="Peupliers"),1.56,1.3)</f>
        <v>1.3</v>
      </c>
      <c r="I174" s="55">
        <v>169</v>
      </c>
      <c r="J174" s="33">
        <f t="shared" si="89"/>
        <v>0</v>
      </c>
      <c r="K174" s="33">
        <f t="shared" si="90"/>
        <v>0</v>
      </c>
      <c r="L174" s="33">
        <f t="shared" si="91"/>
        <v>0</v>
      </c>
      <c r="M174" s="33">
        <f t="shared" si="92"/>
        <v>0</v>
      </c>
      <c r="N174" s="33">
        <f t="shared" si="73"/>
        <v>0</v>
      </c>
      <c r="O174" s="34">
        <f t="shared" si="74"/>
        <v>0</v>
      </c>
      <c r="P174" s="55">
        <v>169</v>
      </c>
      <c r="Q174" s="33">
        <f t="shared" si="87"/>
        <v>0</v>
      </c>
      <c r="R174" s="33">
        <f t="shared" si="93"/>
        <v>0</v>
      </c>
      <c r="S174" s="33">
        <f t="shared" si="94"/>
        <v>0</v>
      </c>
      <c r="T174" s="33">
        <f t="shared" si="75"/>
        <v>0</v>
      </c>
      <c r="U174" s="33">
        <f t="shared" si="88"/>
        <v>0</v>
      </c>
      <c r="V174" s="33">
        <f t="shared" si="76"/>
        <v>0</v>
      </c>
      <c r="W174" s="33">
        <v>0</v>
      </c>
      <c r="X174" s="33">
        <f t="shared" si="77"/>
        <v>0</v>
      </c>
      <c r="Y174" s="38">
        <f t="shared" si="78"/>
        <v>0</v>
      </c>
      <c r="AA174" s="71">
        <v>169</v>
      </c>
      <c r="AB174" s="33">
        <f t="shared" si="79"/>
        <v>0</v>
      </c>
      <c r="AC174" s="305">
        <f t="shared" si="99"/>
        <v>0</v>
      </c>
      <c r="AD174" s="100">
        <f t="shared" si="80"/>
        <v>0</v>
      </c>
      <c r="AE174" s="100">
        <f t="shared" si="81"/>
        <v>0</v>
      </c>
      <c r="AF174" s="194">
        <f t="shared" si="95"/>
        <v>0</v>
      </c>
      <c r="AG174" s="194">
        <f t="shared" si="96"/>
        <v>0</v>
      </c>
      <c r="AH174" s="194">
        <f t="shared" si="97"/>
        <v>0</v>
      </c>
      <c r="AI174" s="199">
        <f t="shared" si="98"/>
        <v>0</v>
      </c>
      <c r="AK174" s="71">
        <v>169</v>
      </c>
      <c r="AL174" s="33">
        <f t="shared" si="82"/>
        <v>0</v>
      </c>
      <c r="AM174" s="33">
        <f t="shared" si="83"/>
        <v>0</v>
      </c>
      <c r="AN174" s="33">
        <f t="shared" si="84"/>
        <v>0</v>
      </c>
      <c r="AO174" s="33">
        <f t="shared" si="85"/>
        <v>0</v>
      </c>
      <c r="AP174" s="33">
        <f t="shared" si="86"/>
        <v>0</v>
      </c>
      <c r="AQ174" s="194">
        <f t="shared" si="100"/>
        <v>0</v>
      </c>
      <c r="AR174" s="194">
        <f t="shared" si="100"/>
        <v>0</v>
      </c>
      <c r="AS174" s="194">
        <f t="shared" si="100"/>
        <v>0</v>
      </c>
      <c r="AT174" s="194">
        <f t="shared" si="100"/>
        <v>0</v>
      </c>
      <c r="AU174" s="33"/>
      <c r="AV174" s="33"/>
      <c r="AW174" s="33"/>
      <c r="AX174" s="33"/>
      <c r="AY174" s="76"/>
    </row>
    <row r="175" spans="3:51">
      <c r="C175" s="166" t="s">
        <v>50</v>
      </c>
      <c r="D175" s="4">
        <v>0.39</v>
      </c>
      <c r="E175" s="188" t="s">
        <v>228</v>
      </c>
      <c r="F175" s="343">
        <f>IF(OR(Tableau145[[#This Row],[Type]]="Feuillus",Tableau145[[#This Row],[Type]]="Peupliers"),1.56,1.3)</f>
        <v>1.3</v>
      </c>
      <c r="I175" s="55">
        <v>170</v>
      </c>
      <c r="J175" s="33">
        <f t="shared" si="89"/>
        <v>0</v>
      </c>
      <c r="K175" s="33">
        <f t="shared" si="90"/>
        <v>0</v>
      </c>
      <c r="L175" s="33">
        <f t="shared" si="91"/>
        <v>0</v>
      </c>
      <c r="M175" s="33">
        <f t="shared" si="92"/>
        <v>0</v>
      </c>
      <c r="N175" s="33">
        <f t="shared" si="73"/>
        <v>0</v>
      </c>
      <c r="O175" s="34">
        <f t="shared" si="74"/>
        <v>0</v>
      </c>
      <c r="P175" s="55">
        <v>170</v>
      </c>
      <c r="Q175" s="33">
        <f t="shared" si="87"/>
        <v>0</v>
      </c>
      <c r="R175" s="33">
        <f t="shared" si="93"/>
        <v>0</v>
      </c>
      <c r="S175" s="33">
        <f t="shared" si="94"/>
        <v>0</v>
      </c>
      <c r="T175" s="33">
        <f t="shared" si="75"/>
        <v>0</v>
      </c>
      <c r="U175" s="33">
        <f t="shared" si="88"/>
        <v>0</v>
      </c>
      <c r="V175" s="33">
        <f t="shared" si="76"/>
        <v>0</v>
      </c>
      <c r="W175" s="33">
        <v>0</v>
      </c>
      <c r="X175" s="33">
        <f t="shared" si="77"/>
        <v>0</v>
      </c>
      <c r="Y175" s="38">
        <f t="shared" si="78"/>
        <v>0</v>
      </c>
      <c r="AA175" s="71">
        <v>170</v>
      </c>
      <c r="AB175" s="33">
        <f t="shared" si="79"/>
        <v>0</v>
      </c>
      <c r="AC175" s="305">
        <f t="shared" si="99"/>
        <v>0</v>
      </c>
      <c r="AD175" s="100">
        <f t="shared" si="80"/>
        <v>0</v>
      </c>
      <c r="AE175" s="100">
        <f t="shared" si="81"/>
        <v>0</v>
      </c>
      <c r="AF175" s="194">
        <f t="shared" si="95"/>
        <v>0</v>
      </c>
      <c r="AG175" s="194">
        <f t="shared" si="96"/>
        <v>0</v>
      </c>
      <c r="AH175" s="194">
        <f t="shared" si="97"/>
        <v>0</v>
      </c>
      <c r="AI175" s="199">
        <f t="shared" si="98"/>
        <v>0</v>
      </c>
      <c r="AK175" s="71">
        <v>170</v>
      </c>
      <c r="AL175" s="33">
        <f t="shared" si="82"/>
        <v>0</v>
      </c>
      <c r="AM175" s="33">
        <f t="shared" si="83"/>
        <v>0</v>
      </c>
      <c r="AN175" s="33">
        <f t="shared" si="84"/>
        <v>0</v>
      </c>
      <c r="AO175" s="33">
        <f t="shared" si="85"/>
        <v>0</v>
      </c>
      <c r="AP175" s="33">
        <f t="shared" si="86"/>
        <v>0</v>
      </c>
      <c r="AQ175" s="194">
        <f t="shared" si="100"/>
        <v>0</v>
      </c>
      <c r="AR175" s="194">
        <f t="shared" si="100"/>
        <v>0</v>
      </c>
      <c r="AS175" s="194">
        <f t="shared" si="100"/>
        <v>0</v>
      </c>
      <c r="AT175" s="194">
        <f t="shared" si="100"/>
        <v>0</v>
      </c>
      <c r="AU175" s="33"/>
      <c r="AV175" s="33"/>
      <c r="AW175" s="33"/>
      <c r="AX175" s="33"/>
      <c r="AY175" s="76"/>
    </row>
    <row r="176" spans="3:51">
      <c r="C176" s="166" t="s">
        <v>51</v>
      </c>
      <c r="D176" s="4">
        <v>0.44</v>
      </c>
      <c r="E176" s="188" t="s">
        <v>228</v>
      </c>
      <c r="F176" s="343">
        <f>IF(OR(Tableau145[[#This Row],[Type]]="Feuillus",Tableau145[[#This Row],[Type]]="Peupliers"),1.56,1.3)</f>
        <v>1.3</v>
      </c>
      <c r="I176" s="55">
        <v>171</v>
      </c>
      <c r="J176" s="33">
        <f t="shared" si="89"/>
        <v>0</v>
      </c>
      <c r="K176" s="33">
        <f t="shared" si="90"/>
        <v>0</v>
      </c>
      <c r="L176" s="33">
        <f t="shared" si="91"/>
        <v>0</v>
      </c>
      <c r="M176" s="33">
        <f t="shared" si="92"/>
        <v>0</v>
      </c>
      <c r="N176" s="33">
        <f t="shared" si="73"/>
        <v>0</v>
      </c>
      <c r="O176" s="34">
        <f t="shared" si="74"/>
        <v>0</v>
      </c>
      <c r="P176" s="55">
        <v>171</v>
      </c>
      <c r="Q176" s="33">
        <f t="shared" si="87"/>
        <v>0</v>
      </c>
      <c r="R176" s="33">
        <f t="shared" si="93"/>
        <v>0</v>
      </c>
      <c r="S176" s="33">
        <f t="shared" si="94"/>
        <v>0</v>
      </c>
      <c r="T176" s="33">
        <f t="shared" si="75"/>
        <v>0</v>
      </c>
      <c r="U176" s="33">
        <f t="shared" si="88"/>
        <v>0</v>
      </c>
      <c r="V176" s="33">
        <f t="shared" si="76"/>
        <v>0</v>
      </c>
      <c r="W176" s="33">
        <v>0</v>
      </c>
      <c r="X176" s="33">
        <f t="shared" si="77"/>
        <v>0</v>
      </c>
      <c r="Y176" s="38">
        <f t="shared" si="78"/>
        <v>0</v>
      </c>
      <c r="AA176" s="71">
        <v>171</v>
      </c>
      <c r="AB176" s="33">
        <f t="shared" si="79"/>
        <v>0</v>
      </c>
      <c r="AC176" s="305">
        <f t="shared" si="99"/>
        <v>0</v>
      </c>
      <c r="AD176" s="100">
        <f t="shared" si="80"/>
        <v>0</v>
      </c>
      <c r="AE176" s="100">
        <f t="shared" si="81"/>
        <v>0</v>
      </c>
      <c r="AF176" s="194">
        <f t="shared" si="95"/>
        <v>0</v>
      </c>
      <c r="AG176" s="194">
        <f t="shared" si="96"/>
        <v>0</v>
      </c>
      <c r="AH176" s="194">
        <f t="shared" si="97"/>
        <v>0</v>
      </c>
      <c r="AI176" s="199">
        <f t="shared" si="98"/>
        <v>0</v>
      </c>
      <c r="AK176" s="71">
        <v>171</v>
      </c>
      <c r="AL176" s="33">
        <f t="shared" si="82"/>
        <v>0</v>
      </c>
      <c r="AM176" s="33">
        <f t="shared" si="83"/>
        <v>0</v>
      </c>
      <c r="AN176" s="33">
        <f t="shared" si="84"/>
        <v>0</v>
      </c>
      <c r="AO176" s="33">
        <f t="shared" si="85"/>
        <v>0</v>
      </c>
      <c r="AP176" s="33">
        <f t="shared" si="86"/>
        <v>0</v>
      </c>
      <c r="AQ176" s="194">
        <f t="shared" si="100"/>
        <v>0</v>
      </c>
      <c r="AR176" s="194">
        <f t="shared" si="100"/>
        <v>0</v>
      </c>
      <c r="AS176" s="194">
        <f t="shared" si="100"/>
        <v>0</v>
      </c>
      <c r="AT176" s="194">
        <f t="shared" si="100"/>
        <v>0</v>
      </c>
      <c r="AU176" s="33"/>
      <c r="AV176" s="33"/>
      <c r="AW176" s="33"/>
      <c r="AX176" s="33"/>
      <c r="AY176" s="76"/>
    </row>
    <row r="177" spans="3:51">
      <c r="C177" s="166" t="s">
        <v>52</v>
      </c>
      <c r="D177" s="4">
        <v>0.46</v>
      </c>
      <c r="E177" s="188" t="s">
        <v>228</v>
      </c>
      <c r="F177" s="343">
        <f>IF(OR(Tableau145[[#This Row],[Type]]="Feuillus",Tableau145[[#This Row],[Type]]="Peupliers"),1.56,1.3)</f>
        <v>1.3</v>
      </c>
      <c r="I177" s="55">
        <v>172</v>
      </c>
      <c r="J177" s="33">
        <f t="shared" si="89"/>
        <v>0</v>
      </c>
      <c r="K177" s="33">
        <f t="shared" si="90"/>
        <v>0</v>
      </c>
      <c r="L177" s="33">
        <f t="shared" si="91"/>
        <v>0</v>
      </c>
      <c r="M177" s="33">
        <f t="shared" si="92"/>
        <v>0</v>
      </c>
      <c r="N177" s="33">
        <f t="shared" si="73"/>
        <v>0</v>
      </c>
      <c r="O177" s="34">
        <f t="shared" si="74"/>
        <v>0</v>
      </c>
      <c r="P177" s="55">
        <v>172</v>
      </c>
      <c r="Q177" s="33">
        <f t="shared" si="87"/>
        <v>0</v>
      </c>
      <c r="R177" s="33">
        <f t="shared" si="93"/>
        <v>0</v>
      </c>
      <c r="S177" s="33">
        <f t="shared" si="94"/>
        <v>0</v>
      </c>
      <c r="T177" s="33">
        <f t="shared" si="75"/>
        <v>0</v>
      </c>
      <c r="U177" s="33">
        <f t="shared" si="88"/>
        <v>0</v>
      </c>
      <c r="V177" s="33">
        <f t="shared" si="76"/>
        <v>0</v>
      </c>
      <c r="W177" s="33">
        <v>0</v>
      </c>
      <c r="X177" s="33">
        <f t="shared" si="77"/>
        <v>0</v>
      </c>
      <c r="Y177" s="38">
        <f t="shared" si="78"/>
        <v>0</v>
      </c>
      <c r="AA177" s="71">
        <v>172</v>
      </c>
      <c r="AB177" s="33">
        <f t="shared" si="79"/>
        <v>0</v>
      </c>
      <c r="AC177" s="305">
        <f t="shared" si="99"/>
        <v>0</v>
      </c>
      <c r="AD177" s="100">
        <f t="shared" si="80"/>
        <v>0</v>
      </c>
      <c r="AE177" s="100">
        <f t="shared" si="81"/>
        <v>0</v>
      </c>
      <c r="AF177" s="194">
        <f t="shared" si="95"/>
        <v>0</v>
      </c>
      <c r="AG177" s="194">
        <f t="shared" si="96"/>
        <v>0</v>
      </c>
      <c r="AH177" s="194">
        <f t="shared" si="97"/>
        <v>0</v>
      </c>
      <c r="AI177" s="199">
        <f t="shared" si="98"/>
        <v>0</v>
      </c>
      <c r="AK177" s="71">
        <v>172</v>
      </c>
      <c r="AL177" s="33">
        <f t="shared" si="82"/>
        <v>0</v>
      </c>
      <c r="AM177" s="33">
        <f t="shared" si="83"/>
        <v>0</v>
      </c>
      <c r="AN177" s="33">
        <f t="shared" si="84"/>
        <v>0</v>
      </c>
      <c r="AO177" s="33">
        <f t="shared" si="85"/>
        <v>0</v>
      </c>
      <c r="AP177" s="33">
        <f t="shared" si="86"/>
        <v>0</v>
      </c>
      <c r="AQ177" s="194">
        <f t="shared" si="100"/>
        <v>0</v>
      </c>
      <c r="AR177" s="194">
        <f t="shared" si="100"/>
        <v>0</v>
      </c>
      <c r="AS177" s="194">
        <f t="shared" si="100"/>
        <v>0</v>
      </c>
      <c r="AT177" s="194">
        <f t="shared" si="100"/>
        <v>0</v>
      </c>
      <c r="AU177" s="33"/>
      <c r="AV177" s="33"/>
      <c r="AW177" s="33"/>
      <c r="AX177" s="33"/>
      <c r="AY177" s="76"/>
    </row>
    <row r="178" spans="3:51" ht="30">
      <c r="C178" s="166" t="s">
        <v>53</v>
      </c>
      <c r="D178" s="4">
        <v>0.46</v>
      </c>
      <c r="E178" s="188" t="s">
        <v>230</v>
      </c>
      <c r="F178" s="343">
        <f>IF(OR(Tableau145[[#This Row],[Type]]="Feuillus",Tableau145[[#This Row],[Type]]="Peupliers"),1.56,1.3)</f>
        <v>1.3</v>
      </c>
      <c r="I178" s="55">
        <v>173</v>
      </c>
      <c r="J178" s="33">
        <f t="shared" si="89"/>
        <v>0</v>
      </c>
      <c r="K178" s="33">
        <f t="shared" si="90"/>
        <v>0</v>
      </c>
      <c r="L178" s="33">
        <f t="shared" si="91"/>
        <v>0</v>
      </c>
      <c r="M178" s="33">
        <f t="shared" si="92"/>
        <v>0</v>
      </c>
      <c r="N178" s="33">
        <f t="shared" si="73"/>
        <v>0</v>
      </c>
      <c r="O178" s="34">
        <f t="shared" si="74"/>
        <v>0</v>
      </c>
      <c r="P178" s="55">
        <v>173</v>
      </c>
      <c r="Q178" s="33">
        <f t="shared" si="87"/>
        <v>0</v>
      </c>
      <c r="R178" s="33">
        <f t="shared" si="93"/>
        <v>0</v>
      </c>
      <c r="S178" s="33">
        <f t="shared" si="94"/>
        <v>0</v>
      </c>
      <c r="T178" s="33">
        <f t="shared" si="75"/>
        <v>0</v>
      </c>
      <c r="U178" s="33">
        <f t="shared" si="88"/>
        <v>0</v>
      </c>
      <c r="V178" s="33">
        <f t="shared" si="76"/>
        <v>0</v>
      </c>
      <c r="W178" s="33">
        <v>0</v>
      </c>
      <c r="X178" s="33">
        <f t="shared" si="77"/>
        <v>0</v>
      </c>
      <c r="Y178" s="38">
        <f t="shared" si="78"/>
        <v>0</v>
      </c>
      <c r="AA178" s="71">
        <v>173</v>
      </c>
      <c r="AB178" s="33">
        <f t="shared" si="79"/>
        <v>0</v>
      </c>
      <c r="AC178" s="305">
        <f t="shared" si="99"/>
        <v>0</v>
      </c>
      <c r="AD178" s="100">
        <f t="shared" si="80"/>
        <v>0</v>
      </c>
      <c r="AE178" s="100">
        <f t="shared" si="81"/>
        <v>0</v>
      </c>
      <c r="AF178" s="194">
        <f t="shared" si="95"/>
        <v>0</v>
      </c>
      <c r="AG178" s="194">
        <f t="shared" si="96"/>
        <v>0</v>
      </c>
      <c r="AH178" s="194">
        <f t="shared" si="97"/>
        <v>0</v>
      </c>
      <c r="AI178" s="199">
        <f t="shared" si="98"/>
        <v>0</v>
      </c>
      <c r="AK178" s="71">
        <v>173</v>
      </c>
      <c r="AL178" s="33">
        <f t="shared" si="82"/>
        <v>0</v>
      </c>
      <c r="AM178" s="33">
        <f t="shared" si="83"/>
        <v>0</v>
      </c>
      <c r="AN178" s="33">
        <f t="shared" si="84"/>
        <v>0</v>
      </c>
      <c r="AO178" s="33">
        <f t="shared" si="85"/>
        <v>0</v>
      </c>
      <c r="AP178" s="33">
        <f t="shared" si="86"/>
        <v>0</v>
      </c>
      <c r="AQ178" s="194">
        <f t="shared" si="100"/>
        <v>0</v>
      </c>
      <c r="AR178" s="194">
        <f t="shared" si="100"/>
        <v>0</v>
      </c>
      <c r="AS178" s="194">
        <f t="shared" si="100"/>
        <v>0</v>
      </c>
      <c r="AT178" s="194">
        <f t="shared" si="100"/>
        <v>0</v>
      </c>
      <c r="AU178" s="33"/>
      <c r="AV178" s="33"/>
      <c r="AW178" s="33"/>
      <c r="AX178" s="33"/>
      <c r="AY178" s="76"/>
    </row>
    <row r="179" spans="3:51">
      <c r="C179" s="166" t="s">
        <v>54</v>
      </c>
      <c r="D179" s="4">
        <v>0.44</v>
      </c>
      <c r="E179" s="188" t="s">
        <v>228</v>
      </c>
      <c r="F179" s="343">
        <f>IF(OR(Tableau145[[#This Row],[Type]]="Feuillus",Tableau145[[#This Row],[Type]]="Peupliers"),1.56,1.3)</f>
        <v>1.3</v>
      </c>
      <c r="I179" s="55">
        <v>174</v>
      </c>
      <c r="J179" s="33">
        <f t="shared" si="89"/>
        <v>0</v>
      </c>
      <c r="K179" s="33">
        <f t="shared" si="90"/>
        <v>0</v>
      </c>
      <c r="L179" s="33">
        <f t="shared" si="91"/>
        <v>0</v>
      </c>
      <c r="M179" s="33">
        <f t="shared" si="92"/>
        <v>0</v>
      </c>
      <c r="N179" s="33">
        <f t="shared" si="73"/>
        <v>0</v>
      </c>
      <c r="O179" s="34">
        <f t="shared" si="74"/>
        <v>0</v>
      </c>
      <c r="P179" s="55">
        <v>174</v>
      </c>
      <c r="Q179" s="33">
        <f t="shared" si="87"/>
        <v>0</v>
      </c>
      <c r="R179" s="33">
        <f t="shared" si="93"/>
        <v>0</v>
      </c>
      <c r="S179" s="33">
        <f t="shared" si="94"/>
        <v>0</v>
      </c>
      <c r="T179" s="33">
        <f t="shared" si="75"/>
        <v>0</v>
      </c>
      <c r="U179" s="33">
        <f t="shared" si="88"/>
        <v>0</v>
      </c>
      <c r="V179" s="33">
        <f t="shared" si="76"/>
        <v>0</v>
      </c>
      <c r="W179" s="33">
        <v>0</v>
      </c>
      <c r="X179" s="33">
        <f t="shared" si="77"/>
        <v>0</v>
      </c>
      <c r="Y179" s="38">
        <f t="shared" si="78"/>
        <v>0</v>
      </c>
      <c r="AA179" s="71">
        <v>174</v>
      </c>
      <c r="AB179" s="33">
        <f t="shared" si="79"/>
        <v>0</v>
      </c>
      <c r="AC179" s="305">
        <f t="shared" si="99"/>
        <v>0</v>
      </c>
      <c r="AD179" s="100">
        <f t="shared" si="80"/>
        <v>0</v>
      </c>
      <c r="AE179" s="100">
        <f t="shared" si="81"/>
        <v>0</v>
      </c>
      <c r="AF179" s="194">
        <f t="shared" si="95"/>
        <v>0</v>
      </c>
      <c r="AG179" s="194">
        <f t="shared" si="96"/>
        <v>0</v>
      </c>
      <c r="AH179" s="194">
        <f t="shared" si="97"/>
        <v>0</v>
      </c>
      <c r="AI179" s="199">
        <f t="shared" si="98"/>
        <v>0</v>
      </c>
      <c r="AK179" s="71">
        <v>174</v>
      </c>
      <c r="AL179" s="33">
        <f t="shared" si="82"/>
        <v>0</v>
      </c>
      <c r="AM179" s="33">
        <f t="shared" si="83"/>
        <v>0</v>
      </c>
      <c r="AN179" s="33">
        <f t="shared" si="84"/>
        <v>0</v>
      </c>
      <c r="AO179" s="33">
        <f t="shared" si="85"/>
        <v>0</v>
      </c>
      <c r="AP179" s="33">
        <f t="shared" si="86"/>
        <v>0</v>
      </c>
      <c r="AQ179" s="194">
        <f t="shared" si="100"/>
        <v>0</v>
      </c>
      <c r="AR179" s="194">
        <f t="shared" si="100"/>
        <v>0</v>
      </c>
      <c r="AS179" s="194">
        <f t="shared" si="100"/>
        <v>0</v>
      </c>
      <c r="AT179" s="194">
        <f t="shared" si="100"/>
        <v>0</v>
      </c>
      <c r="AU179" s="33"/>
      <c r="AV179" s="33"/>
      <c r="AW179" s="33"/>
      <c r="AX179" s="33"/>
      <c r="AY179" s="76"/>
    </row>
    <row r="180" spans="3:51">
      <c r="C180" s="166" t="s">
        <v>55</v>
      </c>
      <c r="D180" s="4">
        <v>0.46</v>
      </c>
      <c r="E180" s="188" t="s">
        <v>228</v>
      </c>
      <c r="F180" s="343">
        <f>IF(OR(Tableau145[[#This Row],[Type]]="Feuillus",Tableau145[[#This Row],[Type]]="Peupliers"),1.56,1.3)</f>
        <v>1.3</v>
      </c>
      <c r="I180" s="55">
        <v>175</v>
      </c>
      <c r="J180" s="33">
        <f t="shared" si="89"/>
        <v>0</v>
      </c>
      <c r="K180" s="33">
        <f t="shared" si="90"/>
        <v>0</v>
      </c>
      <c r="L180" s="33">
        <f t="shared" si="91"/>
        <v>0</v>
      </c>
      <c r="M180" s="33">
        <f t="shared" si="92"/>
        <v>0</v>
      </c>
      <c r="N180" s="33">
        <f t="shared" si="73"/>
        <v>0</v>
      </c>
      <c r="O180" s="34">
        <f t="shared" si="74"/>
        <v>0</v>
      </c>
      <c r="P180" s="55">
        <v>175</v>
      </c>
      <c r="Q180" s="33">
        <f t="shared" si="87"/>
        <v>0</v>
      </c>
      <c r="R180" s="33">
        <f t="shared" si="93"/>
        <v>0</v>
      </c>
      <c r="S180" s="33">
        <f t="shared" si="94"/>
        <v>0</v>
      </c>
      <c r="T180" s="33">
        <f t="shared" si="75"/>
        <v>0</v>
      </c>
      <c r="U180" s="33">
        <f t="shared" si="88"/>
        <v>0</v>
      </c>
      <c r="V180" s="33">
        <f t="shared" si="76"/>
        <v>0</v>
      </c>
      <c r="W180" s="33">
        <v>0</v>
      </c>
      <c r="X180" s="33">
        <f t="shared" si="77"/>
        <v>0</v>
      </c>
      <c r="Y180" s="38">
        <f t="shared" si="78"/>
        <v>0</v>
      </c>
      <c r="AA180" s="71">
        <v>175</v>
      </c>
      <c r="AB180" s="33">
        <f t="shared" si="79"/>
        <v>0</v>
      </c>
      <c r="AC180" s="305">
        <f t="shared" si="99"/>
        <v>0</v>
      </c>
      <c r="AD180" s="100">
        <f t="shared" si="80"/>
        <v>0</v>
      </c>
      <c r="AE180" s="100">
        <f t="shared" si="81"/>
        <v>0</v>
      </c>
      <c r="AF180" s="194">
        <f t="shared" si="95"/>
        <v>0</v>
      </c>
      <c r="AG180" s="194">
        <f t="shared" si="96"/>
        <v>0</v>
      </c>
      <c r="AH180" s="194">
        <f t="shared" si="97"/>
        <v>0</v>
      </c>
      <c r="AI180" s="199">
        <f t="shared" si="98"/>
        <v>0</v>
      </c>
      <c r="AK180" s="71">
        <v>175</v>
      </c>
      <c r="AL180" s="33">
        <f t="shared" si="82"/>
        <v>0</v>
      </c>
      <c r="AM180" s="33">
        <f t="shared" si="83"/>
        <v>0</v>
      </c>
      <c r="AN180" s="33">
        <f t="shared" si="84"/>
        <v>0</v>
      </c>
      <c r="AO180" s="33">
        <f t="shared" si="85"/>
        <v>0</v>
      </c>
      <c r="AP180" s="33">
        <f t="shared" si="86"/>
        <v>0</v>
      </c>
      <c r="AQ180" s="194">
        <f t="shared" si="100"/>
        <v>0</v>
      </c>
      <c r="AR180" s="194">
        <f t="shared" si="100"/>
        <v>0</v>
      </c>
      <c r="AS180" s="194">
        <f t="shared" si="100"/>
        <v>0</v>
      </c>
      <c r="AT180" s="194">
        <f t="shared" si="100"/>
        <v>0</v>
      </c>
      <c r="AU180" s="33"/>
      <c r="AV180" s="33"/>
      <c r="AW180" s="33"/>
      <c r="AX180" s="33"/>
      <c r="AY180" s="76"/>
    </row>
    <row r="181" spans="3:51">
      <c r="C181" s="166" t="s">
        <v>56</v>
      </c>
      <c r="D181" s="4">
        <v>0.48</v>
      </c>
      <c r="E181" s="188" t="s">
        <v>228</v>
      </c>
      <c r="F181" s="343">
        <f>IF(OR(Tableau145[[#This Row],[Type]]="Feuillus",Tableau145[[#This Row],[Type]]="Peupliers"),1.56,1.3)</f>
        <v>1.3</v>
      </c>
      <c r="I181" s="55">
        <v>176</v>
      </c>
      <c r="J181" s="33">
        <f t="shared" si="89"/>
        <v>0</v>
      </c>
      <c r="K181" s="33">
        <f t="shared" si="90"/>
        <v>0</v>
      </c>
      <c r="L181" s="33">
        <f t="shared" si="91"/>
        <v>0</v>
      </c>
      <c r="M181" s="33">
        <f t="shared" si="92"/>
        <v>0</v>
      </c>
      <c r="N181" s="33">
        <f t="shared" si="73"/>
        <v>0</v>
      </c>
      <c r="O181" s="34">
        <f t="shared" si="74"/>
        <v>0</v>
      </c>
      <c r="P181" s="55">
        <v>176</v>
      </c>
      <c r="Q181" s="33">
        <f t="shared" si="87"/>
        <v>0</v>
      </c>
      <c r="R181" s="33">
        <f t="shared" si="93"/>
        <v>0</v>
      </c>
      <c r="S181" s="33">
        <f t="shared" si="94"/>
        <v>0</v>
      </c>
      <c r="T181" s="33">
        <f t="shared" si="75"/>
        <v>0</v>
      </c>
      <c r="U181" s="33">
        <f t="shared" si="88"/>
        <v>0</v>
      </c>
      <c r="V181" s="33">
        <f t="shared" si="76"/>
        <v>0</v>
      </c>
      <c r="W181" s="33">
        <v>0</v>
      </c>
      <c r="X181" s="33">
        <f t="shared" si="77"/>
        <v>0</v>
      </c>
      <c r="Y181" s="38">
        <f t="shared" si="78"/>
        <v>0</v>
      </c>
      <c r="AA181" s="71">
        <v>176</v>
      </c>
      <c r="AB181" s="33">
        <f t="shared" si="79"/>
        <v>0</v>
      </c>
      <c r="AC181" s="305">
        <f t="shared" si="99"/>
        <v>0</v>
      </c>
      <c r="AD181" s="100">
        <f t="shared" si="80"/>
        <v>0</v>
      </c>
      <c r="AE181" s="100">
        <f t="shared" si="81"/>
        <v>0</v>
      </c>
      <c r="AF181" s="194">
        <f t="shared" si="95"/>
        <v>0</v>
      </c>
      <c r="AG181" s="194">
        <f t="shared" si="96"/>
        <v>0</v>
      </c>
      <c r="AH181" s="194">
        <f t="shared" si="97"/>
        <v>0</v>
      </c>
      <c r="AI181" s="199">
        <f t="shared" si="98"/>
        <v>0</v>
      </c>
      <c r="AK181" s="71">
        <v>176</v>
      </c>
      <c r="AL181" s="33">
        <f t="shared" si="82"/>
        <v>0</v>
      </c>
      <c r="AM181" s="33">
        <f t="shared" si="83"/>
        <v>0</v>
      </c>
      <c r="AN181" s="33">
        <f t="shared" si="84"/>
        <v>0</v>
      </c>
      <c r="AO181" s="33">
        <f t="shared" si="85"/>
        <v>0</v>
      </c>
      <c r="AP181" s="33">
        <f t="shared" si="86"/>
        <v>0</v>
      </c>
      <c r="AQ181" s="194">
        <f t="shared" si="100"/>
        <v>0</v>
      </c>
      <c r="AR181" s="194">
        <f t="shared" si="100"/>
        <v>0</v>
      </c>
      <c r="AS181" s="194">
        <f t="shared" si="100"/>
        <v>0</v>
      </c>
      <c r="AT181" s="194">
        <f t="shared" si="100"/>
        <v>0</v>
      </c>
      <c r="AU181" s="33"/>
      <c r="AV181" s="33"/>
      <c r="AW181" s="33"/>
      <c r="AX181" s="33"/>
      <c r="AY181" s="76"/>
    </row>
    <row r="182" spans="3:51">
      <c r="C182" s="166" t="s">
        <v>57</v>
      </c>
      <c r="D182" s="4">
        <v>0.44</v>
      </c>
      <c r="E182" s="188" t="s">
        <v>228</v>
      </c>
      <c r="F182" s="343">
        <f>IF(OR(Tableau145[[#This Row],[Type]]="Feuillus",Tableau145[[#This Row],[Type]]="Peupliers"),1.56,1.3)</f>
        <v>1.3</v>
      </c>
      <c r="I182" s="55">
        <v>177</v>
      </c>
      <c r="J182" s="33">
        <f t="shared" si="89"/>
        <v>0</v>
      </c>
      <c r="K182" s="33">
        <f t="shared" si="90"/>
        <v>0</v>
      </c>
      <c r="L182" s="33">
        <f t="shared" si="91"/>
        <v>0</v>
      </c>
      <c r="M182" s="33">
        <f t="shared" si="92"/>
        <v>0</v>
      </c>
      <c r="N182" s="33">
        <f t="shared" si="73"/>
        <v>0</v>
      </c>
      <c r="O182" s="34">
        <f t="shared" si="74"/>
        <v>0</v>
      </c>
      <c r="P182" s="55">
        <v>177</v>
      </c>
      <c r="Q182" s="33">
        <f t="shared" si="87"/>
        <v>0</v>
      </c>
      <c r="R182" s="33">
        <f t="shared" si="93"/>
        <v>0</v>
      </c>
      <c r="S182" s="33">
        <f t="shared" si="94"/>
        <v>0</v>
      </c>
      <c r="T182" s="33">
        <f t="shared" si="75"/>
        <v>0</v>
      </c>
      <c r="U182" s="33">
        <f t="shared" si="88"/>
        <v>0</v>
      </c>
      <c r="V182" s="33">
        <f t="shared" si="76"/>
        <v>0</v>
      </c>
      <c r="W182" s="33">
        <v>0</v>
      </c>
      <c r="X182" s="33">
        <f t="shared" si="77"/>
        <v>0</v>
      </c>
      <c r="Y182" s="38">
        <f t="shared" si="78"/>
        <v>0</v>
      </c>
      <c r="AA182" s="71">
        <v>177</v>
      </c>
      <c r="AB182" s="33">
        <f t="shared" si="79"/>
        <v>0</v>
      </c>
      <c r="AC182" s="305">
        <f t="shared" si="99"/>
        <v>0</v>
      </c>
      <c r="AD182" s="100">
        <f t="shared" si="80"/>
        <v>0</v>
      </c>
      <c r="AE182" s="100">
        <f t="shared" si="81"/>
        <v>0</v>
      </c>
      <c r="AF182" s="194">
        <f t="shared" si="95"/>
        <v>0</v>
      </c>
      <c r="AG182" s="194">
        <f t="shared" si="96"/>
        <v>0</v>
      </c>
      <c r="AH182" s="194">
        <f t="shared" si="97"/>
        <v>0</v>
      </c>
      <c r="AI182" s="199">
        <f t="shared" si="98"/>
        <v>0</v>
      </c>
      <c r="AK182" s="71">
        <v>177</v>
      </c>
      <c r="AL182" s="33">
        <f t="shared" si="82"/>
        <v>0</v>
      </c>
      <c r="AM182" s="33">
        <f t="shared" si="83"/>
        <v>0</v>
      </c>
      <c r="AN182" s="33">
        <f t="shared" si="84"/>
        <v>0</v>
      </c>
      <c r="AO182" s="33">
        <f t="shared" si="85"/>
        <v>0</v>
      </c>
      <c r="AP182" s="33">
        <f t="shared" si="86"/>
        <v>0</v>
      </c>
      <c r="AQ182" s="194">
        <f t="shared" si="100"/>
        <v>0</v>
      </c>
      <c r="AR182" s="194">
        <f t="shared" si="100"/>
        <v>0</v>
      </c>
      <c r="AS182" s="194">
        <f t="shared" si="100"/>
        <v>0</v>
      </c>
      <c r="AT182" s="194">
        <f t="shared" si="100"/>
        <v>0</v>
      </c>
      <c r="AU182" s="33"/>
      <c r="AV182" s="33"/>
      <c r="AW182" s="33"/>
      <c r="AX182" s="33"/>
      <c r="AY182" s="76"/>
    </row>
    <row r="183" spans="3:51">
      <c r="C183" s="166" t="s">
        <v>58</v>
      </c>
      <c r="D183" s="4">
        <v>0.34</v>
      </c>
      <c r="E183" s="188" t="s">
        <v>228</v>
      </c>
      <c r="F183" s="343">
        <f>IF(OR(Tableau145[[#This Row],[Type]]="Feuillus",Tableau145[[#This Row],[Type]]="Peupliers"),1.56,1.3)</f>
        <v>1.3</v>
      </c>
      <c r="I183" s="55">
        <v>178</v>
      </c>
      <c r="J183" s="33">
        <f t="shared" si="89"/>
        <v>0</v>
      </c>
      <c r="K183" s="33">
        <f t="shared" si="90"/>
        <v>0</v>
      </c>
      <c r="L183" s="33">
        <f t="shared" si="91"/>
        <v>0</v>
      </c>
      <c r="M183" s="33">
        <f t="shared" si="92"/>
        <v>0</v>
      </c>
      <c r="N183" s="33">
        <f t="shared" si="73"/>
        <v>0</v>
      </c>
      <c r="O183" s="34">
        <f t="shared" si="74"/>
        <v>0</v>
      </c>
      <c r="P183" s="55">
        <v>178</v>
      </c>
      <c r="Q183" s="33">
        <f t="shared" si="87"/>
        <v>0</v>
      </c>
      <c r="R183" s="33">
        <f t="shared" si="93"/>
        <v>0</v>
      </c>
      <c r="S183" s="33">
        <f t="shared" si="94"/>
        <v>0</v>
      </c>
      <c r="T183" s="33">
        <f t="shared" si="75"/>
        <v>0</v>
      </c>
      <c r="U183" s="33">
        <f t="shared" si="88"/>
        <v>0</v>
      </c>
      <c r="V183" s="33">
        <f t="shared" si="76"/>
        <v>0</v>
      </c>
      <c r="W183" s="33">
        <v>0</v>
      </c>
      <c r="X183" s="33">
        <f t="shared" si="77"/>
        <v>0</v>
      </c>
      <c r="Y183" s="38">
        <f t="shared" si="78"/>
        <v>0</v>
      </c>
      <c r="AA183" s="71">
        <v>178</v>
      </c>
      <c r="AB183" s="33">
        <f t="shared" si="79"/>
        <v>0</v>
      </c>
      <c r="AC183" s="305">
        <f t="shared" si="99"/>
        <v>0</v>
      </c>
      <c r="AD183" s="100">
        <f t="shared" si="80"/>
        <v>0</v>
      </c>
      <c r="AE183" s="100">
        <f t="shared" si="81"/>
        <v>0</v>
      </c>
      <c r="AF183" s="194">
        <f t="shared" si="95"/>
        <v>0</v>
      </c>
      <c r="AG183" s="194">
        <f t="shared" si="96"/>
        <v>0</v>
      </c>
      <c r="AH183" s="194">
        <f t="shared" si="97"/>
        <v>0</v>
      </c>
      <c r="AI183" s="199">
        <f t="shared" si="98"/>
        <v>0</v>
      </c>
      <c r="AK183" s="71">
        <v>178</v>
      </c>
      <c r="AL183" s="33">
        <f t="shared" si="82"/>
        <v>0</v>
      </c>
      <c r="AM183" s="33">
        <f t="shared" si="83"/>
        <v>0</v>
      </c>
      <c r="AN183" s="33">
        <f t="shared" si="84"/>
        <v>0</v>
      </c>
      <c r="AO183" s="33">
        <f t="shared" si="85"/>
        <v>0</v>
      </c>
      <c r="AP183" s="33">
        <f t="shared" si="86"/>
        <v>0</v>
      </c>
      <c r="AQ183" s="194">
        <f t="shared" si="100"/>
        <v>0</v>
      </c>
      <c r="AR183" s="194">
        <f t="shared" si="100"/>
        <v>0</v>
      </c>
      <c r="AS183" s="194">
        <f t="shared" si="100"/>
        <v>0</v>
      </c>
      <c r="AT183" s="194">
        <f t="shared" si="100"/>
        <v>0</v>
      </c>
      <c r="AU183" s="33"/>
      <c r="AV183" s="33"/>
      <c r="AW183" s="33"/>
      <c r="AX183" s="33"/>
      <c r="AY183" s="76"/>
    </row>
    <row r="184" spans="3:51">
      <c r="C184" s="166" t="s">
        <v>59</v>
      </c>
      <c r="D184" s="4">
        <v>0.5</v>
      </c>
      <c r="E184" s="188" t="s">
        <v>227</v>
      </c>
      <c r="F184" s="343">
        <f>IF(OR(Tableau145[[#This Row],[Type]]="Feuillus",Tableau145[[#This Row],[Type]]="Peupliers"),1.56,1.3)</f>
        <v>1.56</v>
      </c>
      <c r="I184" s="55">
        <v>179</v>
      </c>
      <c r="J184" s="33">
        <f t="shared" si="89"/>
        <v>0</v>
      </c>
      <c r="K184" s="33">
        <f t="shared" si="90"/>
        <v>0</v>
      </c>
      <c r="L184" s="33">
        <f t="shared" si="91"/>
        <v>0</v>
      </c>
      <c r="M184" s="33">
        <f t="shared" si="92"/>
        <v>0</v>
      </c>
      <c r="N184" s="33">
        <f t="shared" si="73"/>
        <v>0</v>
      </c>
      <c r="O184" s="34">
        <f t="shared" si="74"/>
        <v>0</v>
      </c>
      <c r="P184" s="55">
        <v>179</v>
      </c>
      <c r="Q184" s="33">
        <f t="shared" si="87"/>
        <v>0</v>
      </c>
      <c r="R184" s="33">
        <f t="shared" si="93"/>
        <v>0</v>
      </c>
      <c r="S184" s="33">
        <f t="shared" si="94"/>
        <v>0</v>
      </c>
      <c r="T184" s="33">
        <f t="shared" si="75"/>
        <v>0</v>
      </c>
      <c r="U184" s="33">
        <f t="shared" si="88"/>
        <v>0</v>
      </c>
      <c r="V184" s="33">
        <f t="shared" si="76"/>
        <v>0</v>
      </c>
      <c r="W184" s="33">
        <v>0</v>
      </c>
      <c r="X184" s="33">
        <f t="shared" si="77"/>
        <v>0</v>
      </c>
      <c r="Y184" s="38">
        <f t="shared" si="78"/>
        <v>0</v>
      </c>
      <c r="AA184" s="71">
        <v>179</v>
      </c>
      <c r="AB184" s="33">
        <f t="shared" si="79"/>
        <v>0</v>
      </c>
      <c r="AC184" s="305">
        <f t="shared" si="99"/>
        <v>0</v>
      </c>
      <c r="AD184" s="100">
        <f t="shared" si="80"/>
        <v>0</v>
      </c>
      <c r="AE184" s="100">
        <f t="shared" si="81"/>
        <v>0</v>
      </c>
      <c r="AF184" s="194">
        <f t="shared" si="95"/>
        <v>0</v>
      </c>
      <c r="AG184" s="194">
        <f t="shared" si="96"/>
        <v>0</v>
      </c>
      <c r="AH184" s="194">
        <f t="shared" si="97"/>
        <v>0</v>
      </c>
      <c r="AI184" s="199">
        <f t="shared" si="98"/>
        <v>0</v>
      </c>
      <c r="AK184" s="71">
        <v>179</v>
      </c>
      <c r="AL184" s="33">
        <f t="shared" si="82"/>
        <v>0</v>
      </c>
      <c r="AM184" s="33">
        <f t="shared" si="83"/>
        <v>0</v>
      </c>
      <c r="AN184" s="33">
        <f t="shared" si="84"/>
        <v>0</v>
      </c>
      <c r="AO184" s="33">
        <f t="shared" si="85"/>
        <v>0</v>
      </c>
      <c r="AP184" s="33">
        <f t="shared" si="86"/>
        <v>0</v>
      </c>
      <c r="AQ184" s="194">
        <f t="shared" si="100"/>
        <v>0</v>
      </c>
      <c r="AR184" s="194">
        <f t="shared" si="100"/>
        <v>0</v>
      </c>
      <c r="AS184" s="194">
        <f t="shared" si="100"/>
        <v>0</v>
      </c>
      <c r="AT184" s="194">
        <f t="shared" si="100"/>
        <v>0</v>
      </c>
      <c r="AU184" s="33"/>
      <c r="AV184" s="33"/>
      <c r="AW184" s="33"/>
      <c r="AX184" s="33"/>
      <c r="AY184" s="76"/>
    </row>
    <row r="185" spans="3:51">
      <c r="C185" s="166" t="s">
        <v>60</v>
      </c>
      <c r="D185" s="4">
        <v>0.57999999999999996</v>
      </c>
      <c r="E185" s="188" t="s">
        <v>227</v>
      </c>
      <c r="F185" s="343">
        <f>IF(OR(Tableau145[[#This Row],[Type]]="Feuillus",Tableau145[[#This Row],[Type]]="Peupliers"),1.56,1.3)</f>
        <v>1.56</v>
      </c>
      <c r="I185" s="55">
        <v>180</v>
      </c>
      <c r="J185" s="33">
        <f t="shared" si="89"/>
        <v>0</v>
      </c>
      <c r="K185" s="33">
        <f t="shared" si="90"/>
        <v>0</v>
      </c>
      <c r="L185" s="33">
        <f t="shared" si="91"/>
        <v>0</v>
      </c>
      <c r="M185" s="33">
        <f t="shared" si="92"/>
        <v>0</v>
      </c>
      <c r="N185" s="33">
        <f t="shared" si="73"/>
        <v>0</v>
      </c>
      <c r="O185" s="34">
        <f t="shared" si="74"/>
        <v>0</v>
      </c>
      <c r="P185" s="55">
        <v>180</v>
      </c>
      <c r="Q185" s="33">
        <f t="shared" si="87"/>
        <v>0</v>
      </c>
      <c r="R185" s="33">
        <f t="shared" si="93"/>
        <v>0</v>
      </c>
      <c r="S185" s="33">
        <f t="shared" si="94"/>
        <v>0</v>
      </c>
      <c r="T185" s="33">
        <f t="shared" si="75"/>
        <v>0</v>
      </c>
      <c r="U185" s="33">
        <f t="shared" si="88"/>
        <v>0</v>
      </c>
      <c r="V185" s="33">
        <f t="shared" si="76"/>
        <v>0</v>
      </c>
      <c r="W185" s="33">
        <v>0</v>
      </c>
      <c r="X185" s="33">
        <f t="shared" si="77"/>
        <v>0</v>
      </c>
      <c r="Y185" s="38">
        <f t="shared" si="78"/>
        <v>0</v>
      </c>
      <c r="AA185" s="71">
        <v>180</v>
      </c>
      <c r="AB185" s="33">
        <f t="shared" si="79"/>
        <v>0</v>
      </c>
      <c r="AC185" s="305">
        <f t="shared" si="99"/>
        <v>0</v>
      </c>
      <c r="AD185" s="100">
        <f t="shared" si="80"/>
        <v>0</v>
      </c>
      <c r="AE185" s="100">
        <f t="shared" si="81"/>
        <v>0</v>
      </c>
      <c r="AF185" s="194">
        <f t="shared" si="95"/>
        <v>0</v>
      </c>
      <c r="AG185" s="194">
        <f t="shared" si="96"/>
        <v>0</v>
      </c>
      <c r="AH185" s="194">
        <f t="shared" si="97"/>
        <v>0</v>
      </c>
      <c r="AI185" s="199">
        <f t="shared" si="98"/>
        <v>0</v>
      </c>
      <c r="AK185" s="71">
        <v>180</v>
      </c>
      <c r="AL185" s="33">
        <f t="shared" si="82"/>
        <v>0</v>
      </c>
      <c r="AM185" s="33">
        <f t="shared" si="83"/>
        <v>0</v>
      </c>
      <c r="AN185" s="33">
        <f t="shared" si="84"/>
        <v>0</v>
      </c>
      <c r="AO185" s="33">
        <f t="shared" si="85"/>
        <v>0</v>
      </c>
      <c r="AP185" s="33">
        <f t="shared" si="86"/>
        <v>0</v>
      </c>
      <c r="AQ185" s="194">
        <f t="shared" si="100"/>
        <v>0</v>
      </c>
      <c r="AR185" s="194">
        <f t="shared" si="100"/>
        <v>0</v>
      </c>
      <c r="AS185" s="194">
        <f t="shared" si="100"/>
        <v>0</v>
      </c>
      <c r="AT185" s="194">
        <f t="shared" si="100"/>
        <v>0</v>
      </c>
      <c r="AU185" s="33"/>
      <c r="AV185" s="33"/>
      <c r="AW185" s="33"/>
      <c r="AX185" s="33"/>
      <c r="AY185" s="76"/>
    </row>
    <row r="186" spans="3:51">
      <c r="C186" s="166" t="s">
        <v>61</v>
      </c>
      <c r="D186" s="4">
        <v>0.37</v>
      </c>
      <c r="E186" s="188" t="s">
        <v>228</v>
      </c>
      <c r="F186" s="343">
        <f>IF(OR(Tableau145[[#This Row],[Type]]="Feuillus",Tableau145[[#This Row],[Type]]="Peupliers"),1.56,1.3)</f>
        <v>1.3</v>
      </c>
      <c r="I186" s="55">
        <v>181</v>
      </c>
      <c r="J186" s="33">
        <f t="shared" si="89"/>
        <v>0</v>
      </c>
      <c r="K186" s="33">
        <f t="shared" si="90"/>
        <v>0</v>
      </c>
      <c r="L186" s="33">
        <f t="shared" si="91"/>
        <v>0</v>
      </c>
      <c r="M186" s="33">
        <f t="shared" si="92"/>
        <v>0</v>
      </c>
      <c r="N186" s="33">
        <f t="shared" si="73"/>
        <v>0</v>
      </c>
      <c r="O186" s="34">
        <f t="shared" si="74"/>
        <v>0</v>
      </c>
      <c r="P186" s="55">
        <v>181</v>
      </c>
      <c r="Q186" s="33">
        <f t="shared" si="87"/>
        <v>0</v>
      </c>
      <c r="R186" s="33">
        <f t="shared" si="93"/>
        <v>0</v>
      </c>
      <c r="S186" s="33">
        <f t="shared" si="94"/>
        <v>0</v>
      </c>
      <c r="T186" s="33">
        <f t="shared" si="75"/>
        <v>0</v>
      </c>
      <c r="U186" s="33">
        <f t="shared" si="88"/>
        <v>0</v>
      </c>
      <c r="V186" s="33">
        <f t="shared" si="76"/>
        <v>0</v>
      </c>
      <c r="W186" s="33">
        <v>0</v>
      </c>
      <c r="X186" s="33">
        <f t="shared" si="77"/>
        <v>0</v>
      </c>
      <c r="Y186" s="38">
        <f t="shared" si="78"/>
        <v>0</v>
      </c>
      <c r="AA186" s="71">
        <v>181</v>
      </c>
      <c r="AB186" s="33">
        <f t="shared" si="79"/>
        <v>0</v>
      </c>
      <c r="AC186" s="305">
        <f t="shared" si="99"/>
        <v>0</v>
      </c>
      <c r="AD186" s="100">
        <f t="shared" si="80"/>
        <v>0</v>
      </c>
      <c r="AE186" s="100">
        <f t="shared" si="81"/>
        <v>0</v>
      </c>
      <c r="AF186" s="194">
        <f t="shared" si="95"/>
        <v>0</v>
      </c>
      <c r="AG186" s="194">
        <f t="shared" si="96"/>
        <v>0</v>
      </c>
      <c r="AH186" s="194">
        <f t="shared" si="97"/>
        <v>0</v>
      </c>
      <c r="AI186" s="199">
        <f t="shared" si="98"/>
        <v>0</v>
      </c>
      <c r="AK186" s="71">
        <v>181</v>
      </c>
      <c r="AL186" s="33">
        <f t="shared" si="82"/>
        <v>0</v>
      </c>
      <c r="AM186" s="33">
        <f t="shared" si="83"/>
        <v>0</v>
      </c>
      <c r="AN186" s="33">
        <f t="shared" si="84"/>
        <v>0</v>
      </c>
      <c r="AO186" s="33">
        <f t="shared" si="85"/>
        <v>0</v>
      </c>
      <c r="AP186" s="33">
        <f t="shared" si="86"/>
        <v>0</v>
      </c>
      <c r="AQ186" s="194">
        <f t="shared" si="100"/>
        <v>0</v>
      </c>
      <c r="AR186" s="194">
        <f t="shared" si="100"/>
        <v>0</v>
      </c>
      <c r="AS186" s="194">
        <f t="shared" si="100"/>
        <v>0</v>
      </c>
      <c r="AT186" s="194">
        <f t="shared" si="100"/>
        <v>0</v>
      </c>
      <c r="AU186" s="33"/>
      <c r="AV186" s="33"/>
      <c r="AW186" s="33"/>
      <c r="AX186" s="33"/>
      <c r="AY186" s="76"/>
    </row>
    <row r="187" spans="3:51">
      <c r="C187" s="166" t="s">
        <v>62</v>
      </c>
      <c r="D187" s="4">
        <v>0.37</v>
      </c>
      <c r="E187" s="188" t="s">
        <v>228</v>
      </c>
      <c r="F187" s="343">
        <f>IF(OR(Tableau145[[#This Row],[Type]]="Feuillus",Tableau145[[#This Row],[Type]]="Peupliers"),1.56,1.3)</f>
        <v>1.3</v>
      </c>
      <c r="I187" s="55">
        <v>182</v>
      </c>
      <c r="J187" s="33">
        <f t="shared" si="89"/>
        <v>0</v>
      </c>
      <c r="K187" s="33">
        <f t="shared" si="90"/>
        <v>0</v>
      </c>
      <c r="L187" s="33">
        <f t="shared" si="91"/>
        <v>0</v>
      </c>
      <c r="M187" s="33">
        <f t="shared" si="92"/>
        <v>0</v>
      </c>
      <c r="N187" s="33">
        <f t="shared" si="73"/>
        <v>0</v>
      </c>
      <c r="O187" s="34">
        <f t="shared" si="74"/>
        <v>0</v>
      </c>
      <c r="P187" s="55">
        <v>182</v>
      </c>
      <c r="Q187" s="33">
        <f t="shared" si="87"/>
        <v>0</v>
      </c>
      <c r="R187" s="33">
        <f t="shared" si="93"/>
        <v>0</v>
      </c>
      <c r="S187" s="33">
        <f t="shared" si="94"/>
        <v>0</v>
      </c>
      <c r="T187" s="33">
        <f t="shared" si="75"/>
        <v>0</v>
      </c>
      <c r="U187" s="33">
        <f t="shared" si="88"/>
        <v>0</v>
      </c>
      <c r="V187" s="33">
        <f t="shared" si="76"/>
        <v>0</v>
      </c>
      <c r="W187" s="33">
        <v>0</v>
      </c>
      <c r="X187" s="33">
        <f t="shared" si="77"/>
        <v>0</v>
      </c>
      <c r="Y187" s="38">
        <f t="shared" si="78"/>
        <v>0</v>
      </c>
      <c r="AA187" s="71">
        <v>182</v>
      </c>
      <c r="AB187" s="33">
        <f t="shared" si="79"/>
        <v>0</v>
      </c>
      <c r="AC187" s="305">
        <f t="shared" si="99"/>
        <v>0</v>
      </c>
      <c r="AD187" s="100">
        <f t="shared" si="80"/>
        <v>0</v>
      </c>
      <c r="AE187" s="100">
        <f t="shared" si="81"/>
        <v>0</v>
      </c>
      <c r="AF187" s="194">
        <f t="shared" si="95"/>
        <v>0</v>
      </c>
      <c r="AG187" s="194">
        <f t="shared" si="96"/>
        <v>0</v>
      </c>
      <c r="AH187" s="194">
        <f t="shared" si="97"/>
        <v>0</v>
      </c>
      <c r="AI187" s="199">
        <f t="shared" si="98"/>
        <v>0</v>
      </c>
      <c r="AK187" s="71">
        <v>182</v>
      </c>
      <c r="AL187" s="33">
        <f t="shared" si="82"/>
        <v>0</v>
      </c>
      <c r="AM187" s="33">
        <f t="shared" si="83"/>
        <v>0</v>
      </c>
      <c r="AN187" s="33">
        <f t="shared" si="84"/>
        <v>0</v>
      </c>
      <c r="AO187" s="33">
        <f t="shared" si="85"/>
        <v>0</v>
      </c>
      <c r="AP187" s="33">
        <f t="shared" si="86"/>
        <v>0</v>
      </c>
      <c r="AQ187" s="194">
        <f t="shared" si="100"/>
        <v>0</v>
      </c>
      <c r="AR187" s="194">
        <f t="shared" si="100"/>
        <v>0</v>
      </c>
      <c r="AS187" s="194">
        <f t="shared" si="100"/>
        <v>0</v>
      </c>
      <c r="AT187" s="194">
        <f t="shared" si="100"/>
        <v>0</v>
      </c>
      <c r="AU187" s="33"/>
      <c r="AV187" s="33"/>
      <c r="AW187" s="33"/>
      <c r="AX187" s="33"/>
      <c r="AY187" s="76"/>
    </row>
    <row r="188" spans="3:51">
      <c r="C188" s="166" t="s">
        <v>63</v>
      </c>
      <c r="D188" s="4">
        <v>0.38</v>
      </c>
      <c r="E188" s="188" t="s">
        <v>228</v>
      </c>
      <c r="F188" s="343">
        <f>IF(OR(Tableau145[[#This Row],[Type]]="Feuillus",Tableau145[[#This Row],[Type]]="Peupliers"),1.56,1.3)</f>
        <v>1.3</v>
      </c>
      <c r="I188" s="55">
        <v>183</v>
      </c>
      <c r="J188" s="33">
        <f t="shared" si="89"/>
        <v>0</v>
      </c>
      <c r="K188" s="33">
        <f t="shared" si="90"/>
        <v>0</v>
      </c>
      <c r="L188" s="33">
        <f t="shared" si="91"/>
        <v>0</v>
      </c>
      <c r="M188" s="33">
        <f t="shared" si="92"/>
        <v>0</v>
      </c>
      <c r="N188" s="33">
        <f t="shared" si="73"/>
        <v>0</v>
      </c>
      <c r="O188" s="34">
        <f t="shared" si="74"/>
        <v>0</v>
      </c>
      <c r="P188" s="55">
        <v>183</v>
      </c>
      <c r="Q188" s="33">
        <f t="shared" si="87"/>
        <v>0</v>
      </c>
      <c r="R188" s="33">
        <f t="shared" si="93"/>
        <v>0</v>
      </c>
      <c r="S188" s="33">
        <f t="shared" si="94"/>
        <v>0</v>
      </c>
      <c r="T188" s="33">
        <f t="shared" si="75"/>
        <v>0</v>
      </c>
      <c r="U188" s="33">
        <f t="shared" si="88"/>
        <v>0</v>
      </c>
      <c r="V188" s="33">
        <f t="shared" si="76"/>
        <v>0</v>
      </c>
      <c r="W188" s="33">
        <v>0</v>
      </c>
      <c r="X188" s="33">
        <f t="shared" si="77"/>
        <v>0</v>
      </c>
      <c r="Y188" s="38">
        <f t="shared" si="78"/>
        <v>0</v>
      </c>
      <c r="AA188" s="71">
        <v>183</v>
      </c>
      <c r="AB188" s="33">
        <f t="shared" si="79"/>
        <v>0</v>
      </c>
      <c r="AC188" s="305">
        <f t="shared" si="99"/>
        <v>0</v>
      </c>
      <c r="AD188" s="100">
        <f t="shared" si="80"/>
        <v>0</v>
      </c>
      <c r="AE188" s="100">
        <f t="shared" si="81"/>
        <v>0</v>
      </c>
      <c r="AF188" s="194">
        <f t="shared" si="95"/>
        <v>0</v>
      </c>
      <c r="AG188" s="194">
        <f t="shared" si="96"/>
        <v>0</v>
      </c>
      <c r="AH188" s="194">
        <f t="shared" si="97"/>
        <v>0</v>
      </c>
      <c r="AI188" s="199">
        <f t="shared" si="98"/>
        <v>0</v>
      </c>
      <c r="AK188" s="71">
        <v>183</v>
      </c>
      <c r="AL188" s="33">
        <f t="shared" si="82"/>
        <v>0</v>
      </c>
      <c r="AM188" s="33">
        <f t="shared" si="83"/>
        <v>0</v>
      </c>
      <c r="AN188" s="33">
        <f t="shared" si="84"/>
        <v>0</v>
      </c>
      <c r="AO188" s="33">
        <f t="shared" si="85"/>
        <v>0</v>
      </c>
      <c r="AP188" s="33">
        <f t="shared" si="86"/>
        <v>0</v>
      </c>
      <c r="AQ188" s="194">
        <f t="shared" si="100"/>
        <v>0</v>
      </c>
      <c r="AR188" s="194">
        <f t="shared" si="100"/>
        <v>0</v>
      </c>
      <c r="AS188" s="194">
        <f t="shared" si="100"/>
        <v>0</v>
      </c>
      <c r="AT188" s="194">
        <f t="shared" si="100"/>
        <v>0</v>
      </c>
      <c r="AU188" s="33"/>
      <c r="AV188" s="33"/>
      <c r="AW188" s="33"/>
      <c r="AX188" s="33"/>
      <c r="AY188" s="76"/>
    </row>
    <row r="189" spans="3:51">
      <c r="C189" s="166" t="s">
        <v>64</v>
      </c>
      <c r="D189" s="4">
        <v>0.36</v>
      </c>
      <c r="E189" s="188" t="s">
        <v>228</v>
      </c>
      <c r="F189" s="343">
        <f>IF(OR(Tableau145[[#This Row],[Type]]="Feuillus",Tableau145[[#This Row],[Type]]="Peupliers"),1.56,1.3)</f>
        <v>1.3</v>
      </c>
      <c r="I189" s="55">
        <v>184</v>
      </c>
      <c r="J189" s="33">
        <f t="shared" si="89"/>
        <v>0</v>
      </c>
      <c r="K189" s="33">
        <f t="shared" si="90"/>
        <v>0</v>
      </c>
      <c r="L189" s="33">
        <f t="shared" si="91"/>
        <v>0</v>
      </c>
      <c r="M189" s="33">
        <f t="shared" si="92"/>
        <v>0</v>
      </c>
      <c r="N189" s="33">
        <f t="shared" si="73"/>
        <v>0</v>
      </c>
      <c r="O189" s="34">
        <f t="shared" si="74"/>
        <v>0</v>
      </c>
      <c r="P189" s="55">
        <v>184</v>
      </c>
      <c r="Q189" s="33">
        <f t="shared" si="87"/>
        <v>0</v>
      </c>
      <c r="R189" s="33">
        <f t="shared" si="93"/>
        <v>0</v>
      </c>
      <c r="S189" s="33">
        <f t="shared" si="94"/>
        <v>0</v>
      </c>
      <c r="T189" s="33">
        <f t="shared" si="75"/>
        <v>0</v>
      </c>
      <c r="U189" s="33">
        <f t="shared" si="88"/>
        <v>0</v>
      </c>
      <c r="V189" s="33">
        <f t="shared" si="76"/>
        <v>0</v>
      </c>
      <c r="W189" s="33">
        <v>0</v>
      </c>
      <c r="X189" s="33">
        <f t="shared" si="77"/>
        <v>0</v>
      </c>
      <c r="Y189" s="38">
        <f t="shared" si="78"/>
        <v>0</v>
      </c>
      <c r="AA189" s="71">
        <v>184</v>
      </c>
      <c r="AB189" s="33">
        <f t="shared" si="79"/>
        <v>0</v>
      </c>
      <c r="AC189" s="305">
        <f t="shared" si="99"/>
        <v>0</v>
      </c>
      <c r="AD189" s="100">
        <f t="shared" si="80"/>
        <v>0</v>
      </c>
      <c r="AE189" s="100">
        <f t="shared" si="81"/>
        <v>0</v>
      </c>
      <c r="AF189" s="194">
        <f t="shared" si="95"/>
        <v>0</v>
      </c>
      <c r="AG189" s="194">
        <f t="shared" si="96"/>
        <v>0</v>
      </c>
      <c r="AH189" s="194">
        <f t="shared" si="97"/>
        <v>0</v>
      </c>
      <c r="AI189" s="199">
        <f t="shared" si="98"/>
        <v>0</v>
      </c>
      <c r="AK189" s="71">
        <v>184</v>
      </c>
      <c r="AL189" s="33">
        <f t="shared" si="82"/>
        <v>0</v>
      </c>
      <c r="AM189" s="33">
        <f t="shared" si="83"/>
        <v>0</v>
      </c>
      <c r="AN189" s="33">
        <f t="shared" si="84"/>
        <v>0</v>
      </c>
      <c r="AO189" s="33">
        <f t="shared" si="85"/>
        <v>0</v>
      </c>
      <c r="AP189" s="33">
        <f t="shared" si="86"/>
        <v>0</v>
      </c>
      <c r="AQ189" s="194">
        <f t="shared" si="100"/>
        <v>0</v>
      </c>
      <c r="AR189" s="194">
        <f t="shared" si="100"/>
        <v>0</v>
      </c>
      <c r="AS189" s="194">
        <f t="shared" si="100"/>
        <v>0</v>
      </c>
      <c r="AT189" s="194">
        <f t="shared" si="100"/>
        <v>0</v>
      </c>
      <c r="AU189" s="33"/>
      <c r="AV189" s="33"/>
      <c r="AW189" s="33"/>
      <c r="AX189" s="33"/>
      <c r="AY189" s="76"/>
    </row>
    <row r="190" spans="3:51">
      <c r="C190" s="166" t="s">
        <v>65</v>
      </c>
      <c r="D190" s="4">
        <v>0.37</v>
      </c>
      <c r="E190" s="188" t="s">
        <v>227</v>
      </c>
      <c r="F190" s="343">
        <f>IF(OR(Tableau145[[#This Row],[Type]]="Feuillus",Tableau145[[#This Row],[Type]]="Peupliers"),1.56,1.3)</f>
        <v>1.56</v>
      </c>
      <c r="I190" s="55">
        <v>185</v>
      </c>
      <c r="J190" s="33">
        <f t="shared" si="89"/>
        <v>0</v>
      </c>
      <c r="K190" s="33">
        <f t="shared" si="90"/>
        <v>0</v>
      </c>
      <c r="L190" s="33">
        <f t="shared" si="91"/>
        <v>0</v>
      </c>
      <c r="M190" s="33">
        <f t="shared" si="92"/>
        <v>0</v>
      </c>
      <c r="N190" s="33">
        <f t="shared" si="73"/>
        <v>0</v>
      </c>
      <c r="O190" s="34">
        <f t="shared" si="74"/>
        <v>0</v>
      </c>
      <c r="P190" s="55">
        <v>185</v>
      </c>
      <c r="Q190" s="33">
        <f t="shared" si="87"/>
        <v>0</v>
      </c>
      <c r="R190" s="33">
        <f t="shared" si="93"/>
        <v>0</v>
      </c>
      <c r="S190" s="33">
        <f t="shared" si="94"/>
        <v>0</v>
      </c>
      <c r="T190" s="33">
        <f t="shared" si="75"/>
        <v>0</v>
      </c>
      <c r="U190" s="33">
        <f t="shared" si="88"/>
        <v>0</v>
      </c>
      <c r="V190" s="33">
        <f t="shared" si="76"/>
        <v>0</v>
      </c>
      <c r="W190" s="33">
        <v>0</v>
      </c>
      <c r="X190" s="33">
        <f t="shared" si="77"/>
        <v>0</v>
      </c>
      <c r="Y190" s="38">
        <f t="shared" si="78"/>
        <v>0</v>
      </c>
      <c r="AA190" s="71">
        <v>185</v>
      </c>
      <c r="AB190" s="33">
        <f t="shared" si="79"/>
        <v>0</v>
      </c>
      <c r="AC190" s="305">
        <f t="shared" si="99"/>
        <v>0</v>
      </c>
      <c r="AD190" s="100">
        <f t="shared" si="80"/>
        <v>0</v>
      </c>
      <c r="AE190" s="100">
        <f t="shared" si="81"/>
        <v>0</v>
      </c>
      <c r="AF190" s="194">
        <f t="shared" si="95"/>
        <v>0</v>
      </c>
      <c r="AG190" s="194">
        <f t="shared" si="96"/>
        <v>0</v>
      </c>
      <c r="AH190" s="194">
        <f t="shared" si="97"/>
        <v>0</v>
      </c>
      <c r="AI190" s="199">
        <f t="shared" si="98"/>
        <v>0</v>
      </c>
      <c r="AK190" s="71">
        <v>185</v>
      </c>
      <c r="AL190" s="33">
        <f t="shared" si="82"/>
        <v>0</v>
      </c>
      <c r="AM190" s="33">
        <f t="shared" si="83"/>
        <v>0</v>
      </c>
      <c r="AN190" s="33">
        <f t="shared" si="84"/>
        <v>0</v>
      </c>
      <c r="AO190" s="33">
        <f t="shared" si="85"/>
        <v>0</v>
      </c>
      <c r="AP190" s="33">
        <f t="shared" si="86"/>
        <v>0</v>
      </c>
      <c r="AQ190" s="194">
        <f t="shared" si="100"/>
        <v>0</v>
      </c>
      <c r="AR190" s="194">
        <f t="shared" si="100"/>
        <v>0</v>
      </c>
      <c r="AS190" s="194">
        <f t="shared" si="100"/>
        <v>0</v>
      </c>
      <c r="AT190" s="194">
        <f t="shared" si="100"/>
        <v>0</v>
      </c>
      <c r="AU190" s="33"/>
      <c r="AV190" s="33"/>
      <c r="AW190" s="33"/>
      <c r="AX190" s="33"/>
      <c r="AY190" s="76"/>
    </row>
    <row r="191" spans="3:51">
      <c r="C191" s="166" t="s">
        <v>66</v>
      </c>
      <c r="D191" s="4">
        <v>0.53</v>
      </c>
      <c r="E191" s="188" t="s">
        <v>227</v>
      </c>
      <c r="F191" s="343">
        <f>IF(OR(Tableau145[[#This Row],[Type]]="Feuillus",Tableau145[[#This Row],[Type]]="Peupliers"),1.56,1.3)</f>
        <v>1.56</v>
      </c>
      <c r="I191" s="55">
        <v>186</v>
      </c>
      <c r="J191" s="33">
        <f t="shared" si="89"/>
        <v>0</v>
      </c>
      <c r="K191" s="33">
        <f t="shared" si="90"/>
        <v>0</v>
      </c>
      <c r="L191" s="33">
        <f t="shared" si="91"/>
        <v>0</v>
      </c>
      <c r="M191" s="33">
        <f t="shared" si="92"/>
        <v>0</v>
      </c>
      <c r="N191" s="33">
        <f t="shared" si="73"/>
        <v>0</v>
      </c>
      <c r="O191" s="34">
        <f t="shared" si="74"/>
        <v>0</v>
      </c>
      <c r="P191" s="55">
        <v>186</v>
      </c>
      <c r="Q191" s="33">
        <f t="shared" si="87"/>
        <v>0</v>
      </c>
      <c r="R191" s="33">
        <f t="shared" si="93"/>
        <v>0</v>
      </c>
      <c r="S191" s="33">
        <f t="shared" si="94"/>
        <v>0</v>
      </c>
      <c r="T191" s="33">
        <f t="shared" si="75"/>
        <v>0</v>
      </c>
      <c r="U191" s="33">
        <f t="shared" si="88"/>
        <v>0</v>
      </c>
      <c r="V191" s="33">
        <f t="shared" si="76"/>
        <v>0</v>
      </c>
      <c r="W191" s="33">
        <v>0</v>
      </c>
      <c r="X191" s="33">
        <f t="shared" si="77"/>
        <v>0</v>
      </c>
      <c r="Y191" s="38">
        <f t="shared" si="78"/>
        <v>0</v>
      </c>
      <c r="AA191" s="71">
        <v>186</v>
      </c>
      <c r="AB191" s="33">
        <f t="shared" si="79"/>
        <v>0</v>
      </c>
      <c r="AC191" s="305">
        <f t="shared" si="99"/>
        <v>0</v>
      </c>
      <c r="AD191" s="100">
        <f t="shared" si="80"/>
        <v>0</v>
      </c>
      <c r="AE191" s="100">
        <f t="shared" si="81"/>
        <v>0</v>
      </c>
      <c r="AF191" s="194">
        <f t="shared" si="95"/>
        <v>0</v>
      </c>
      <c r="AG191" s="194">
        <f t="shared" si="96"/>
        <v>0</v>
      </c>
      <c r="AH191" s="194">
        <f t="shared" si="97"/>
        <v>0</v>
      </c>
      <c r="AI191" s="199">
        <f t="shared" si="98"/>
        <v>0</v>
      </c>
      <c r="AK191" s="71">
        <v>186</v>
      </c>
      <c r="AL191" s="33">
        <f t="shared" si="82"/>
        <v>0</v>
      </c>
      <c r="AM191" s="33">
        <f t="shared" si="83"/>
        <v>0</v>
      </c>
      <c r="AN191" s="33">
        <f t="shared" si="84"/>
        <v>0</v>
      </c>
      <c r="AO191" s="33">
        <f t="shared" si="85"/>
        <v>0</v>
      </c>
      <c r="AP191" s="33">
        <f t="shared" si="86"/>
        <v>0</v>
      </c>
      <c r="AQ191" s="194">
        <f t="shared" si="100"/>
        <v>0</v>
      </c>
      <c r="AR191" s="194">
        <f t="shared" si="100"/>
        <v>0</v>
      </c>
      <c r="AS191" s="194">
        <f t="shared" si="100"/>
        <v>0</v>
      </c>
      <c r="AT191" s="194">
        <f t="shared" si="100"/>
        <v>0</v>
      </c>
      <c r="AU191" s="33"/>
      <c r="AV191" s="33"/>
      <c r="AW191" s="33"/>
      <c r="AX191" s="33"/>
      <c r="AY191" s="76"/>
    </row>
    <row r="192" spans="3:51">
      <c r="C192" s="166" t="s">
        <v>67</v>
      </c>
      <c r="D192" s="4">
        <v>0.43</v>
      </c>
      <c r="E192" s="188" t="s">
        <v>227</v>
      </c>
      <c r="F192" s="343">
        <f>IF(OR(Tableau145[[#This Row],[Type]]="Feuillus",Tableau145[[#This Row],[Type]]="Peupliers"),1.56,1.3)</f>
        <v>1.56</v>
      </c>
      <c r="I192" s="55">
        <v>187</v>
      </c>
      <c r="J192" s="33">
        <f t="shared" si="89"/>
        <v>0</v>
      </c>
      <c r="K192" s="33">
        <f t="shared" si="90"/>
        <v>0</v>
      </c>
      <c r="L192" s="33">
        <f t="shared" si="91"/>
        <v>0</v>
      </c>
      <c r="M192" s="33">
        <f t="shared" si="92"/>
        <v>0</v>
      </c>
      <c r="N192" s="33">
        <f t="shared" si="73"/>
        <v>0</v>
      </c>
      <c r="O192" s="34">
        <f t="shared" si="74"/>
        <v>0</v>
      </c>
      <c r="P192" s="55">
        <v>187</v>
      </c>
      <c r="Q192" s="33">
        <f t="shared" si="87"/>
        <v>0</v>
      </c>
      <c r="R192" s="33">
        <f t="shared" si="93"/>
        <v>0</v>
      </c>
      <c r="S192" s="33">
        <f t="shared" si="94"/>
        <v>0</v>
      </c>
      <c r="T192" s="33">
        <f t="shared" si="75"/>
        <v>0</v>
      </c>
      <c r="U192" s="33">
        <f t="shared" si="88"/>
        <v>0</v>
      </c>
      <c r="V192" s="33">
        <f t="shared" si="76"/>
        <v>0</v>
      </c>
      <c r="W192" s="33">
        <v>0</v>
      </c>
      <c r="X192" s="33">
        <f t="shared" si="77"/>
        <v>0</v>
      </c>
      <c r="Y192" s="38">
        <f t="shared" si="78"/>
        <v>0</v>
      </c>
      <c r="AA192" s="71">
        <v>187</v>
      </c>
      <c r="AB192" s="33">
        <f t="shared" si="79"/>
        <v>0</v>
      </c>
      <c r="AC192" s="305">
        <f t="shared" si="99"/>
        <v>0</v>
      </c>
      <c r="AD192" s="100">
        <f t="shared" si="80"/>
        <v>0</v>
      </c>
      <c r="AE192" s="100">
        <f t="shared" si="81"/>
        <v>0</v>
      </c>
      <c r="AF192" s="194">
        <f t="shared" si="95"/>
        <v>0</v>
      </c>
      <c r="AG192" s="194">
        <f t="shared" si="96"/>
        <v>0</v>
      </c>
      <c r="AH192" s="194">
        <f t="shared" si="97"/>
        <v>0</v>
      </c>
      <c r="AI192" s="199">
        <f t="shared" si="98"/>
        <v>0</v>
      </c>
      <c r="AK192" s="71">
        <v>187</v>
      </c>
      <c r="AL192" s="33">
        <f t="shared" si="82"/>
        <v>0</v>
      </c>
      <c r="AM192" s="33">
        <f t="shared" si="83"/>
        <v>0</v>
      </c>
      <c r="AN192" s="33">
        <f t="shared" si="84"/>
        <v>0</v>
      </c>
      <c r="AO192" s="33">
        <f t="shared" si="85"/>
        <v>0</v>
      </c>
      <c r="AP192" s="33">
        <f t="shared" si="86"/>
        <v>0</v>
      </c>
      <c r="AQ192" s="194">
        <f t="shared" si="100"/>
        <v>0</v>
      </c>
      <c r="AR192" s="194">
        <f t="shared" si="100"/>
        <v>0</v>
      </c>
      <c r="AS192" s="194">
        <f t="shared" si="100"/>
        <v>0</v>
      </c>
      <c r="AT192" s="194">
        <f t="shared" si="100"/>
        <v>0</v>
      </c>
      <c r="AU192" s="33"/>
      <c r="AV192" s="33"/>
      <c r="AW192" s="33"/>
      <c r="AX192" s="33"/>
      <c r="AY192" s="76"/>
    </row>
    <row r="193" spans="3:51">
      <c r="C193" s="166" t="s">
        <v>68</v>
      </c>
      <c r="D193" s="4">
        <v>0.38</v>
      </c>
      <c r="E193" s="188" t="s">
        <v>227</v>
      </c>
      <c r="F193" s="343">
        <f>IF(OR(Tableau145[[#This Row],[Type]]="Feuillus",Tableau145[[#This Row],[Type]]="Peupliers"),1.56,1.3)</f>
        <v>1.56</v>
      </c>
      <c r="I193" s="55">
        <v>188</v>
      </c>
      <c r="J193" s="33">
        <f t="shared" si="89"/>
        <v>0</v>
      </c>
      <c r="K193" s="33">
        <f t="shared" si="90"/>
        <v>0</v>
      </c>
      <c r="L193" s="33">
        <f t="shared" si="91"/>
        <v>0</v>
      </c>
      <c r="M193" s="33">
        <f t="shared" si="92"/>
        <v>0</v>
      </c>
      <c r="N193" s="33">
        <f t="shared" si="73"/>
        <v>0</v>
      </c>
      <c r="O193" s="34">
        <f t="shared" si="74"/>
        <v>0</v>
      </c>
      <c r="P193" s="55">
        <v>188</v>
      </c>
      <c r="Q193" s="33">
        <f t="shared" si="87"/>
        <v>0</v>
      </c>
      <c r="R193" s="33">
        <f t="shared" si="93"/>
        <v>0</v>
      </c>
      <c r="S193" s="33">
        <f t="shared" si="94"/>
        <v>0</v>
      </c>
      <c r="T193" s="33">
        <f t="shared" si="75"/>
        <v>0</v>
      </c>
      <c r="U193" s="33">
        <f t="shared" si="88"/>
        <v>0</v>
      </c>
      <c r="V193" s="33">
        <f t="shared" si="76"/>
        <v>0</v>
      </c>
      <c r="W193" s="33">
        <v>0</v>
      </c>
      <c r="X193" s="33">
        <f t="shared" si="77"/>
        <v>0</v>
      </c>
      <c r="Y193" s="38">
        <f t="shared" si="78"/>
        <v>0</v>
      </c>
      <c r="AA193" s="71">
        <v>188</v>
      </c>
      <c r="AB193" s="33">
        <f t="shared" si="79"/>
        <v>0</v>
      </c>
      <c r="AC193" s="305">
        <f t="shared" si="99"/>
        <v>0</v>
      </c>
      <c r="AD193" s="100">
        <f t="shared" si="80"/>
        <v>0</v>
      </c>
      <c r="AE193" s="100">
        <f t="shared" si="81"/>
        <v>0</v>
      </c>
      <c r="AF193" s="194">
        <f t="shared" si="95"/>
        <v>0</v>
      </c>
      <c r="AG193" s="194">
        <f t="shared" si="96"/>
        <v>0</v>
      </c>
      <c r="AH193" s="194">
        <f t="shared" si="97"/>
        <v>0</v>
      </c>
      <c r="AI193" s="199">
        <f t="shared" si="98"/>
        <v>0</v>
      </c>
      <c r="AK193" s="71">
        <v>188</v>
      </c>
      <c r="AL193" s="33">
        <f t="shared" si="82"/>
        <v>0</v>
      </c>
      <c r="AM193" s="33">
        <f t="shared" si="83"/>
        <v>0</v>
      </c>
      <c r="AN193" s="33">
        <f t="shared" si="84"/>
        <v>0</v>
      </c>
      <c r="AO193" s="33">
        <f t="shared" si="85"/>
        <v>0</v>
      </c>
      <c r="AP193" s="33">
        <f t="shared" si="86"/>
        <v>0</v>
      </c>
      <c r="AQ193" s="194">
        <f t="shared" si="100"/>
        <v>0</v>
      </c>
      <c r="AR193" s="194">
        <f t="shared" si="100"/>
        <v>0</v>
      </c>
      <c r="AS193" s="194">
        <f t="shared" si="100"/>
        <v>0</v>
      </c>
      <c r="AT193" s="194">
        <f t="shared" si="100"/>
        <v>0</v>
      </c>
      <c r="AU193" s="33"/>
      <c r="AV193" s="33"/>
      <c r="AW193" s="33"/>
      <c r="AX193" s="33"/>
      <c r="AY193" s="76"/>
    </row>
    <row r="194" spans="3:51">
      <c r="C194" s="168" t="s">
        <v>69</v>
      </c>
      <c r="D194" s="3">
        <v>0.42</v>
      </c>
      <c r="E194" s="188" t="s">
        <v>228</v>
      </c>
      <c r="F194" s="343">
        <f>IF(OR(Tableau145[[#This Row],[Type]]="Feuillus",Tableau145[[#This Row],[Type]]="Peupliers"),1.56,1.3)</f>
        <v>1.3</v>
      </c>
      <c r="I194" s="55">
        <v>189</v>
      </c>
      <c r="J194" s="33">
        <f t="shared" si="89"/>
        <v>0</v>
      </c>
      <c r="K194" s="33">
        <f t="shared" si="90"/>
        <v>0</v>
      </c>
      <c r="L194" s="33">
        <f t="shared" si="91"/>
        <v>0</v>
      </c>
      <c r="M194" s="33">
        <f t="shared" si="92"/>
        <v>0</v>
      </c>
      <c r="N194" s="33">
        <f t="shared" si="73"/>
        <v>0</v>
      </c>
      <c r="O194" s="34">
        <f t="shared" si="74"/>
        <v>0</v>
      </c>
      <c r="P194" s="55">
        <v>189</v>
      </c>
      <c r="Q194" s="33">
        <f t="shared" si="87"/>
        <v>0</v>
      </c>
      <c r="R194" s="33">
        <f t="shared" si="93"/>
        <v>0</v>
      </c>
      <c r="S194" s="33">
        <f t="shared" si="94"/>
        <v>0</v>
      </c>
      <c r="T194" s="33">
        <f t="shared" si="75"/>
        <v>0</v>
      </c>
      <c r="U194" s="33">
        <f t="shared" si="88"/>
        <v>0</v>
      </c>
      <c r="V194" s="33">
        <f t="shared" si="76"/>
        <v>0</v>
      </c>
      <c r="W194" s="33">
        <v>0</v>
      </c>
      <c r="X194" s="33">
        <f t="shared" si="77"/>
        <v>0</v>
      </c>
      <c r="Y194" s="38">
        <f t="shared" si="78"/>
        <v>0</v>
      </c>
      <c r="AA194" s="71">
        <v>189</v>
      </c>
      <c r="AB194" s="33">
        <f t="shared" si="79"/>
        <v>0</v>
      </c>
      <c r="AC194" s="305">
        <f t="shared" si="99"/>
        <v>0</v>
      </c>
      <c r="AD194" s="100">
        <f t="shared" si="80"/>
        <v>0</v>
      </c>
      <c r="AE194" s="100">
        <f t="shared" si="81"/>
        <v>0</v>
      </c>
      <c r="AF194" s="194">
        <f t="shared" si="95"/>
        <v>0</v>
      </c>
      <c r="AG194" s="194">
        <f t="shared" si="96"/>
        <v>0</v>
      </c>
      <c r="AH194" s="194">
        <f t="shared" si="97"/>
        <v>0</v>
      </c>
      <c r="AI194" s="199">
        <f t="shared" si="98"/>
        <v>0</v>
      </c>
      <c r="AK194" s="71">
        <v>189</v>
      </c>
      <c r="AL194" s="33">
        <f t="shared" si="82"/>
        <v>0</v>
      </c>
      <c r="AM194" s="33">
        <f t="shared" si="83"/>
        <v>0</v>
      </c>
      <c r="AN194" s="33">
        <f t="shared" si="84"/>
        <v>0</v>
      </c>
      <c r="AO194" s="33">
        <f t="shared" si="85"/>
        <v>0</v>
      </c>
      <c r="AP194" s="33">
        <f t="shared" si="86"/>
        <v>0</v>
      </c>
      <c r="AQ194" s="194">
        <f t="shared" si="100"/>
        <v>0</v>
      </c>
      <c r="AR194" s="194">
        <f t="shared" si="100"/>
        <v>0</v>
      </c>
      <c r="AS194" s="194">
        <f t="shared" si="100"/>
        <v>0</v>
      </c>
      <c r="AT194" s="194">
        <f t="shared" si="100"/>
        <v>0</v>
      </c>
      <c r="AU194" s="33"/>
      <c r="AV194" s="33"/>
      <c r="AW194" s="33"/>
      <c r="AX194" s="33"/>
      <c r="AY194" s="76"/>
    </row>
    <row r="195" spans="3:51">
      <c r="C195" s="168" t="s">
        <v>70</v>
      </c>
      <c r="D195" s="3">
        <v>0.56999999999999995</v>
      </c>
      <c r="E195" s="188" t="s">
        <v>227</v>
      </c>
      <c r="F195" s="343">
        <f>IF(OR(Tableau145[[#This Row],[Type]]="Feuillus",Tableau145[[#This Row],[Type]]="Peupliers"),1.56,1.3)</f>
        <v>1.56</v>
      </c>
      <c r="I195" s="55">
        <v>190</v>
      </c>
      <c r="J195" s="33">
        <f t="shared" si="89"/>
        <v>0</v>
      </c>
      <c r="K195" s="33">
        <f t="shared" si="90"/>
        <v>0</v>
      </c>
      <c r="L195" s="33">
        <f t="shared" si="91"/>
        <v>0</v>
      </c>
      <c r="M195" s="33">
        <f t="shared" si="92"/>
        <v>0</v>
      </c>
      <c r="N195" s="33">
        <f t="shared" si="73"/>
        <v>0</v>
      </c>
      <c r="O195" s="34">
        <f t="shared" si="74"/>
        <v>0</v>
      </c>
      <c r="P195" s="55">
        <v>190</v>
      </c>
      <c r="Q195" s="33">
        <f t="shared" si="87"/>
        <v>0</v>
      </c>
      <c r="R195" s="33">
        <f t="shared" si="93"/>
        <v>0</v>
      </c>
      <c r="S195" s="33">
        <f t="shared" si="94"/>
        <v>0</v>
      </c>
      <c r="T195" s="33">
        <f t="shared" si="75"/>
        <v>0</v>
      </c>
      <c r="U195" s="33">
        <f t="shared" si="88"/>
        <v>0</v>
      </c>
      <c r="V195" s="33">
        <f t="shared" si="76"/>
        <v>0</v>
      </c>
      <c r="W195" s="33">
        <v>0</v>
      </c>
      <c r="X195" s="33">
        <f t="shared" si="77"/>
        <v>0</v>
      </c>
      <c r="Y195" s="38">
        <f t="shared" si="78"/>
        <v>0</v>
      </c>
      <c r="AA195" s="71">
        <v>190</v>
      </c>
      <c r="AB195" s="33">
        <f t="shared" si="79"/>
        <v>0</v>
      </c>
      <c r="AC195" s="305">
        <f t="shared" si="99"/>
        <v>0</v>
      </c>
      <c r="AD195" s="100">
        <f t="shared" si="80"/>
        <v>0</v>
      </c>
      <c r="AE195" s="100">
        <f t="shared" si="81"/>
        <v>0</v>
      </c>
      <c r="AF195" s="194">
        <f t="shared" si="95"/>
        <v>0</v>
      </c>
      <c r="AG195" s="194">
        <f t="shared" si="96"/>
        <v>0</v>
      </c>
      <c r="AH195" s="194">
        <f t="shared" si="97"/>
        <v>0</v>
      </c>
      <c r="AI195" s="199">
        <f t="shared" si="98"/>
        <v>0</v>
      </c>
      <c r="AK195" s="71">
        <v>190</v>
      </c>
      <c r="AL195" s="33">
        <f t="shared" si="82"/>
        <v>0</v>
      </c>
      <c r="AM195" s="33">
        <f t="shared" si="83"/>
        <v>0</v>
      </c>
      <c r="AN195" s="33">
        <f t="shared" si="84"/>
        <v>0</v>
      </c>
      <c r="AO195" s="33">
        <f t="shared" si="85"/>
        <v>0</v>
      </c>
      <c r="AP195" s="33">
        <f t="shared" si="86"/>
        <v>0</v>
      </c>
      <c r="AQ195" s="194">
        <f t="shared" si="100"/>
        <v>0</v>
      </c>
      <c r="AR195" s="194">
        <f t="shared" si="100"/>
        <v>0</v>
      </c>
      <c r="AS195" s="194">
        <f t="shared" si="100"/>
        <v>0</v>
      </c>
      <c r="AT195" s="194">
        <f t="shared" si="100"/>
        <v>0</v>
      </c>
      <c r="AU195" s="33"/>
      <c r="AV195" s="33"/>
      <c r="AW195" s="33"/>
      <c r="AX195" s="33"/>
      <c r="AY195" s="76"/>
    </row>
    <row r="196" spans="3:51">
      <c r="C196" s="168" t="s">
        <v>71</v>
      </c>
      <c r="D196" s="3">
        <v>0.54</v>
      </c>
      <c r="E196" s="188"/>
      <c r="F196" s="343">
        <f>IF(OR(Tableau145[[#This Row],[Type]]="Feuillus",Tableau145[[#This Row],[Type]]="Peupliers"),1.56,1.3)</f>
        <v>1.3</v>
      </c>
      <c r="I196" s="55">
        <v>191</v>
      </c>
      <c r="J196" s="33">
        <f t="shared" si="89"/>
        <v>0</v>
      </c>
      <c r="K196" s="33">
        <f t="shared" si="90"/>
        <v>0</v>
      </c>
      <c r="L196" s="33">
        <f t="shared" si="91"/>
        <v>0</v>
      </c>
      <c r="M196" s="33">
        <f t="shared" si="92"/>
        <v>0</v>
      </c>
      <c r="N196" s="33">
        <f t="shared" si="73"/>
        <v>0</v>
      </c>
      <c r="O196" s="34">
        <f t="shared" si="74"/>
        <v>0</v>
      </c>
      <c r="P196" s="55">
        <v>191</v>
      </c>
      <c r="Q196" s="33">
        <f t="shared" si="87"/>
        <v>0</v>
      </c>
      <c r="R196" s="33">
        <f t="shared" si="93"/>
        <v>0</v>
      </c>
      <c r="S196" s="33">
        <f t="shared" si="94"/>
        <v>0</v>
      </c>
      <c r="T196" s="33">
        <f t="shared" si="75"/>
        <v>0</v>
      </c>
      <c r="U196" s="33">
        <f t="shared" si="88"/>
        <v>0</v>
      </c>
      <c r="V196" s="33">
        <f t="shared" si="76"/>
        <v>0</v>
      </c>
      <c r="W196" s="33">
        <v>0</v>
      </c>
      <c r="X196" s="33">
        <f t="shared" si="77"/>
        <v>0</v>
      </c>
      <c r="Y196" s="38">
        <f t="shared" si="78"/>
        <v>0</v>
      </c>
      <c r="AA196" s="71">
        <v>191</v>
      </c>
      <c r="AB196" s="33">
        <f t="shared" si="79"/>
        <v>0</v>
      </c>
      <c r="AC196" s="305">
        <f t="shared" si="99"/>
        <v>0</v>
      </c>
      <c r="AD196" s="100">
        <f t="shared" si="80"/>
        <v>0</v>
      </c>
      <c r="AE196" s="100">
        <f t="shared" si="81"/>
        <v>0</v>
      </c>
      <c r="AF196" s="194">
        <f t="shared" si="95"/>
        <v>0</v>
      </c>
      <c r="AG196" s="194">
        <f t="shared" si="96"/>
        <v>0</v>
      </c>
      <c r="AH196" s="194">
        <f t="shared" si="97"/>
        <v>0</v>
      </c>
      <c r="AI196" s="199">
        <f t="shared" si="98"/>
        <v>0</v>
      </c>
      <c r="AK196" s="71">
        <v>191</v>
      </c>
      <c r="AL196" s="33">
        <f t="shared" si="82"/>
        <v>0</v>
      </c>
      <c r="AM196" s="33">
        <f t="shared" si="83"/>
        <v>0</v>
      </c>
      <c r="AN196" s="33">
        <f t="shared" si="84"/>
        <v>0</v>
      </c>
      <c r="AO196" s="33">
        <f t="shared" si="85"/>
        <v>0</v>
      </c>
      <c r="AP196" s="33">
        <f t="shared" si="86"/>
        <v>0</v>
      </c>
      <c r="AQ196" s="194">
        <f t="shared" si="100"/>
        <v>0</v>
      </c>
      <c r="AR196" s="194">
        <f t="shared" si="100"/>
        <v>0</v>
      </c>
      <c r="AS196" s="194">
        <f t="shared" si="100"/>
        <v>0</v>
      </c>
      <c r="AT196" s="194">
        <f t="shared" si="100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89"/>
        <v>0</v>
      </c>
      <c r="K197" s="33">
        <f t="shared" si="90"/>
        <v>0</v>
      </c>
      <c r="L197" s="33">
        <f t="shared" si="91"/>
        <v>0</v>
      </c>
      <c r="M197" s="33">
        <f t="shared" si="92"/>
        <v>0</v>
      </c>
      <c r="N197" s="33">
        <f t="shared" ref="N197:N204" si="101">IF(P198&lt;=$F$18,0,)</f>
        <v>0</v>
      </c>
      <c r="O197" s="34">
        <f t="shared" ref="O197:O205" si="102">((J197+K197)*0.475+L197+M197+N197)*44/12</f>
        <v>0</v>
      </c>
      <c r="P197" s="55">
        <v>192</v>
      </c>
      <c r="Q197" s="33">
        <f t="shared" si="87"/>
        <v>0</v>
      </c>
      <c r="R197" s="33">
        <f t="shared" si="93"/>
        <v>0</v>
      </c>
      <c r="S197" s="33">
        <f t="shared" si="94"/>
        <v>0</v>
      </c>
      <c r="T197" s="33">
        <f t="shared" ref="T197:T205" si="103">IF(S197=0,0,EXP(-1.0587+0.8836*LN(S197)+0.284))</f>
        <v>0</v>
      </c>
      <c r="U197" s="33">
        <f t="shared" si="88"/>
        <v>0</v>
      </c>
      <c r="V197" s="33">
        <f t="shared" ref="V197:V205" si="104">IF(P197&lt;=$F$18,IF(P197&lt;=30,P197*($F$16-$F$6)/30,$F$16-$F$6),)</f>
        <v>0</v>
      </c>
      <c r="W197" s="33">
        <v>0</v>
      </c>
      <c r="X197" s="33">
        <f t="shared" ref="X197:X205" si="105">((S197+T197)*0.475+U197+V197+W197)*44/12</f>
        <v>0</v>
      </c>
      <c r="Y197" s="38">
        <f t="shared" ref="Y197:Y205" si="106">IF(P197&lt;=$F$18,X197-O197,)</f>
        <v>0</v>
      </c>
      <c r="AA197" s="71">
        <v>192</v>
      </c>
      <c r="AB197" s="33">
        <f t="shared" ref="AB197:AB205" si="107">IF(AA197&lt;=$F$18,IFERROR(VLOOKUP($AA197,$B$82:$G$94,2,FALSE),0),)</f>
        <v>0</v>
      </c>
      <c r="AC197" s="305">
        <f t="shared" si="99"/>
        <v>0</v>
      </c>
      <c r="AD197" s="100">
        <f t="shared" ref="AD197:AD205" si="108">IF(AA197&lt;=$F$18,IFERROR(VLOOKUP($AA197,$B$82:$G$94,4,FALSE),0),)</f>
        <v>0</v>
      </c>
      <c r="AE197" s="100">
        <f t="shared" ref="AE197:AE205" si="109">IF(AA197&lt;=$F$18,IFERROR(VLOOKUP($AA197,$B$82:$G$94,5,FALSE),0),)</f>
        <v>0</v>
      </c>
      <c r="AF197" s="194">
        <f t="shared" si="95"/>
        <v>0</v>
      </c>
      <c r="AG197" s="194">
        <f t="shared" si="96"/>
        <v>0</v>
      </c>
      <c r="AH197" s="194">
        <f t="shared" si="97"/>
        <v>0</v>
      </c>
      <c r="AI197" s="199">
        <f t="shared" si="98"/>
        <v>0</v>
      </c>
      <c r="AK197" s="71">
        <v>192</v>
      </c>
      <c r="AL197" s="33">
        <f t="shared" ref="AL197:AL205" si="110">IF(AK197&lt;=$F$18,IFERROR(VLOOKUP($AA197,$B$82:$G$94,2,FALSE),0),)</f>
        <v>0</v>
      </c>
      <c r="AM197" s="33">
        <f t="shared" ref="AM197:AM205" si="111">IF(AK197&lt;=$F$18,IFERROR(VLOOKUP($AA197,$B$82:$G$94,3,FALSE),0),)</f>
        <v>0</v>
      </c>
      <c r="AN197" s="33">
        <f t="shared" ref="AN197:AN205" si="112">IF(AK197&lt;=$F$18,IFERROR(VLOOKUP($AA197,$B$82:$G$94,4,FALSE),0),)</f>
        <v>0</v>
      </c>
      <c r="AO197" s="33">
        <f t="shared" ref="AO197:AO205" si="113">IF(AK197&lt;=$F$18,IFERROR(VLOOKUP($AA197,$B$82:$G$94,5,FALSE),0),)</f>
        <v>0</v>
      </c>
      <c r="AP197" s="33">
        <f t="shared" ref="AP197:AP205" si="114">IF(AK197&lt;=$F$18,IFERROR(VLOOKUP($AA197,$B$82:$G$94,6,FALSE),0),)</f>
        <v>0</v>
      </c>
      <c r="AQ197" s="194">
        <f t="shared" si="100"/>
        <v>0</v>
      </c>
      <c r="AR197" s="194">
        <f t="shared" si="100"/>
        <v>0</v>
      </c>
      <c r="AS197" s="194">
        <f t="shared" si="100"/>
        <v>0</v>
      </c>
      <c r="AT197" s="194">
        <f t="shared" si="100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89"/>
        <v>0</v>
      </c>
      <c r="K198" s="33">
        <f t="shared" si="90"/>
        <v>0</v>
      </c>
      <c r="L198" s="33">
        <f t="shared" si="91"/>
        <v>0</v>
      </c>
      <c r="M198" s="33">
        <f t="shared" si="92"/>
        <v>0</v>
      </c>
      <c r="N198" s="33">
        <f t="shared" si="101"/>
        <v>0</v>
      </c>
      <c r="O198" s="34">
        <f t="shared" si="102"/>
        <v>0</v>
      </c>
      <c r="P198" s="55">
        <v>193</v>
      </c>
      <c r="Q198" s="33">
        <f t="shared" ref="Q198:Q205" si="115">IF(P198&lt;=$F$18,LOOKUP(P198-1,$B$25:$B$78,$G$25:$G$78),)</f>
        <v>0</v>
      </c>
      <c r="R198" s="33">
        <f t="shared" si="93"/>
        <v>0</v>
      </c>
      <c r="S198" s="33">
        <f t="shared" si="94"/>
        <v>0</v>
      </c>
      <c r="T198" s="33">
        <f t="shared" si="103"/>
        <v>0</v>
      </c>
      <c r="U198" s="33">
        <f t="shared" ref="U198:U205" si="116">IF(P198&lt;=$F$18,$F$5+($F$15-$F$5)*(1-EXP(-0.0175*P198)),)</f>
        <v>0</v>
      </c>
      <c r="V198" s="33">
        <f t="shared" si="104"/>
        <v>0</v>
      </c>
      <c r="W198" s="33">
        <v>0</v>
      </c>
      <c r="X198" s="33">
        <f t="shared" si="105"/>
        <v>0</v>
      </c>
      <c r="Y198" s="38">
        <f t="shared" si="106"/>
        <v>0</v>
      </c>
      <c r="AA198" s="71">
        <v>193</v>
      </c>
      <c r="AB198" s="33">
        <f t="shared" si="107"/>
        <v>0</v>
      </c>
      <c r="AC198" s="305">
        <f t="shared" si="99"/>
        <v>0</v>
      </c>
      <c r="AD198" s="100">
        <f t="shared" si="108"/>
        <v>0</v>
      </c>
      <c r="AE198" s="100">
        <f t="shared" si="109"/>
        <v>0</v>
      </c>
      <c r="AF198" s="194">
        <f t="shared" si="95"/>
        <v>0</v>
      </c>
      <c r="AG198" s="194">
        <f t="shared" si="96"/>
        <v>0</v>
      </c>
      <c r="AH198" s="194">
        <f t="shared" si="97"/>
        <v>0</v>
      </c>
      <c r="AI198" s="199">
        <f t="shared" si="98"/>
        <v>0</v>
      </c>
      <c r="AK198" s="71">
        <v>193</v>
      </c>
      <c r="AL198" s="33">
        <f t="shared" si="110"/>
        <v>0</v>
      </c>
      <c r="AM198" s="33">
        <f t="shared" si="111"/>
        <v>0</v>
      </c>
      <c r="AN198" s="33">
        <f t="shared" si="112"/>
        <v>0</v>
      </c>
      <c r="AO198" s="33">
        <f t="shared" si="113"/>
        <v>0</v>
      </c>
      <c r="AP198" s="33">
        <f t="shared" si="114"/>
        <v>0</v>
      </c>
      <c r="AQ198" s="194">
        <f t="shared" si="100"/>
        <v>0</v>
      </c>
      <c r="AR198" s="194">
        <f t="shared" si="100"/>
        <v>0</v>
      </c>
      <c r="AS198" s="194">
        <f t="shared" si="100"/>
        <v>0</v>
      </c>
      <c r="AT198" s="194">
        <f t="shared" si="100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17">IF($I199&lt;=$F$10,$F$11*$F$13+J198,)</f>
        <v>0</v>
      </c>
      <c r="K199" s="33">
        <f t="shared" ref="K199:K205" si="118">IF(J199=0,0,EXP(-1.0587+0.8836*LN(J199)+0.284))</f>
        <v>0</v>
      </c>
      <c r="L199" s="33">
        <f t="shared" ref="L199:L205" si="119">IF(I199&lt;=$F$10,$F$5+($F$8-$F$5)*(1-EXP(-0.0175*I199)),)</f>
        <v>0</v>
      </c>
      <c r="M199" s="33">
        <f t="shared" ref="M199:M205" si="120">IF(I199&lt;=$F$10,IF(I199&lt;=30,I199*($F$9-$F$6)/30,$F$9-$F$6),)</f>
        <v>0</v>
      </c>
      <c r="N199" s="33">
        <f t="shared" si="101"/>
        <v>0</v>
      </c>
      <c r="O199" s="34">
        <f t="shared" si="102"/>
        <v>0</v>
      </c>
      <c r="P199" s="55">
        <v>194</v>
      </c>
      <c r="Q199" s="33">
        <f t="shared" si="115"/>
        <v>0</v>
      </c>
      <c r="R199" s="33">
        <f t="shared" ref="R199:R205" si="121">IF(P199&lt;=$F$18,Q199+R198,)</f>
        <v>0</v>
      </c>
      <c r="S199" s="33">
        <f t="shared" ref="S199:S205" si="122">$F$19*R199</f>
        <v>0</v>
      </c>
      <c r="T199" s="33">
        <f t="shared" si="103"/>
        <v>0</v>
      </c>
      <c r="U199" s="33">
        <f t="shared" si="116"/>
        <v>0</v>
      </c>
      <c r="V199" s="33">
        <f t="shared" si="104"/>
        <v>0</v>
      </c>
      <c r="W199" s="33">
        <v>0</v>
      </c>
      <c r="X199" s="33">
        <f t="shared" si="105"/>
        <v>0</v>
      </c>
      <c r="Y199" s="38">
        <f t="shared" si="106"/>
        <v>0</v>
      </c>
      <c r="AA199" s="71">
        <v>194</v>
      </c>
      <c r="AB199" s="33">
        <f t="shared" si="107"/>
        <v>0</v>
      </c>
      <c r="AC199" s="305">
        <f t="shared" si="99"/>
        <v>0</v>
      </c>
      <c r="AD199" s="100">
        <f t="shared" si="108"/>
        <v>0</v>
      </c>
      <c r="AE199" s="100">
        <f t="shared" si="109"/>
        <v>0</v>
      </c>
      <c r="AF199" s="194">
        <f t="shared" si="95"/>
        <v>0</v>
      </c>
      <c r="AG199" s="194">
        <f t="shared" si="96"/>
        <v>0</v>
      </c>
      <c r="AH199" s="194">
        <f t="shared" si="97"/>
        <v>0</v>
      </c>
      <c r="AI199" s="199">
        <f t="shared" si="98"/>
        <v>0</v>
      </c>
      <c r="AK199" s="71">
        <v>194</v>
      </c>
      <c r="AL199" s="33">
        <f t="shared" si="110"/>
        <v>0</v>
      </c>
      <c r="AM199" s="33">
        <f t="shared" si="111"/>
        <v>0</v>
      </c>
      <c r="AN199" s="33">
        <f t="shared" si="112"/>
        <v>0</v>
      </c>
      <c r="AO199" s="33">
        <f t="shared" si="113"/>
        <v>0</v>
      </c>
      <c r="AP199" s="33">
        <f t="shared" si="114"/>
        <v>0</v>
      </c>
      <c r="AQ199" s="194">
        <f t="shared" si="100"/>
        <v>0</v>
      </c>
      <c r="AR199" s="194">
        <f t="shared" si="100"/>
        <v>0</v>
      </c>
      <c r="AS199" s="194">
        <f t="shared" si="100"/>
        <v>0</v>
      </c>
      <c r="AT199" s="194">
        <f t="shared" si="100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17"/>
        <v>0</v>
      </c>
      <c r="K200" s="33">
        <f t="shared" si="118"/>
        <v>0</v>
      </c>
      <c r="L200" s="33">
        <f t="shared" si="119"/>
        <v>0</v>
      </c>
      <c r="M200" s="33">
        <f t="shared" si="120"/>
        <v>0</v>
      </c>
      <c r="N200" s="33">
        <f t="shared" si="101"/>
        <v>0</v>
      </c>
      <c r="O200" s="34">
        <f t="shared" si="102"/>
        <v>0</v>
      </c>
      <c r="P200" s="55">
        <v>195</v>
      </c>
      <c r="Q200" s="33">
        <f t="shared" si="115"/>
        <v>0</v>
      </c>
      <c r="R200" s="33">
        <f t="shared" si="121"/>
        <v>0</v>
      </c>
      <c r="S200" s="33">
        <f t="shared" si="122"/>
        <v>0</v>
      </c>
      <c r="T200" s="33">
        <f t="shared" si="103"/>
        <v>0</v>
      </c>
      <c r="U200" s="33">
        <f t="shared" si="116"/>
        <v>0</v>
      </c>
      <c r="V200" s="33">
        <f t="shared" si="104"/>
        <v>0</v>
      </c>
      <c r="W200" s="33">
        <v>0</v>
      </c>
      <c r="X200" s="33">
        <f t="shared" si="105"/>
        <v>0</v>
      </c>
      <c r="Y200" s="38">
        <f t="shared" si="106"/>
        <v>0</v>
      </c>
      <c r="AA200" s="71">
        <v>195</v>
      </c>
      <c r="AB200" s="33">
        <f t="shared" si="107"/>
        <v>0</v>
      </c>
      <c r="AC200" s="305">
        <f t="shared" si="99"/>
        <v>0</v>
      </c>
      <c r="AD200" s="100">
        <f t="shared" si="108"/>
        <v>0</v>
      </c>
      <c r="AE200" s="100">
        <f t="shared" si="109"/>
        <v>0</v>
      </c>
      <c r="AF200" s="194">
        <f t="shared" si="95"/>
        <v>0</v>
      </c>
      <c r="AG200" s="194">
        <f t="shared" si="96"/>
        <v>0</v>
      </c>
      <c r="AH200" s="194">
        <f t="shared" si="97"/>
        <v>0</v>
      </c>
      <c r="AI200" s="199">
        <f t="shared" si="98"/>
        <v>0</v>
      </c>
      <c r="AK200" s="71">
        <v>195</v>
      </c>
      <c r="AL200" s="33">
        <f t="shared" si="110"/>
        <v>0</v>
      </c>
      <c r="AM200" s="33">
        <f t="shared" si="111"/>
        <v>0</v>
      </c>
      <c r="AN200" s="33">
        <f t="shared" si="112"/>
        <v>0</v>
      </c>
      <c r="AO200" s="33">
        <f t="shared" si="113"/>
        <v>0</v>
      </c>
      <c r="AP200" s="33">
        <f t="shared" si="114"/>
        <v>0</v>
      </c>
      <c r="AQ200" s="194">
        <f t="shared" si="100"/>
        <v>0</v>
      </c>
      <c r="AR200" s="194">
        <f t="shared" si="100"/>
        <v>0</v>
      </c>
      <c r="AS200" s="194">
        <f t="shared" si="100"/>
        <v>0</v>
      </c>
      <c r="AT200" s="194">
        <f t="shared" si="100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17"/>
        <v>0</v>
      </c>
      <c r="K201" s="33">
        <f t="shared" si="118"/>
        <v>0</v>
      </c>
      <c r="L201" s="33">
        <f t="shared" si="119"/>
        <v>0</v>
      </c>
      <c r="M201" s="33">
        <f t="shared" si="120"/>
        <v>0</v>
      </c>
      <c r="N201" s="33">
        <f t="shared" si="101"/>
        <v>0</v>
      </c>
      <c r="O201" s="34">
        <f t="shared" si="102"/>
        <v>0</v>
      </c>
      <c r="P201" s="55">
        <v>196</v>
      </c>
      <c r="Q201" s="33">
        <f t="shared" si="115"/>
        <v>0</v>
      </c>
      <c r="R201" s="33">
        <f t="shared" si="121"/>
        <v>0</v>
      </c>
      <c r="S201" s="33">
        <f t="shared" si="122"/>
        <v>0</v>
      </c>
      <c r="T201" s="33">
        <f t="shared" si="103"/>
        <v>0</v>
      </c>
      <c r="U201" s="33">
        <f t="shared" si="116"/>
        <v>0</v>
      </c>
      <c r="V201" s="33">
        <f t="shared" si="104"/>
        <v>0</v>
      </c>
      <c r="W201" s="33">
        <v>0</v>
      </c>
      <c r="X201" s="33">
        <f t="shared" si="105"/>
        <v>0</v>
      </c>
      <c r="Y201" s="38">
        <f t="shared" si="106"/>
        <v>0</v>
      </c>
      <c r="AA201" s="71">
        <v>196</v>
      </c>
      <c r="AB201" s="33">
        <f t="shared" si="107"/>
        <v>0</v>
      </c>
      <c r="AC201" s="305">
        <f t="shared" si="99"/>
        <v>0</v>
      </c>
      <c r="AD201" s="100">
        <f t="shared" si="108"/>
        <v>0</v>
      </c>
      <c r="AE201" s="100">
        <f t="shared" si="109"/>
        <v>0</v>
      </c>
      <c r="AF201" s="194">
        <f t="shared" si="95"/>
        <v>0</v>
      </c>
      <c r="AG201" s="194">
        <f t="shared" si="96"/>
        <v>0</v>
      </c>
      <c r="AH201" s="194">
        <f t="shared" si="97"/>
        <v>0</v>
      </c>
      <c r="AI201" s="199">
        <f t="shared" si="98"/>
        <v>0</v>
      </c>
      <c r="AK201" s="71">
        <v>196</v>
      </c>
      <c r="AL201" s="33">
        <f t="shared" si="110"/>
        <v>0</v>
      </c>
      <c r="AM201" s="33">
        <f t="shared" si="111"/>
        <v>0</v>
      </c>
      <c r="AN201" s="33">
        <f t="shared" si="112"/>
        <v>0</v>
      </c>
      <c r="AO201" s="33">
        <f t="shared" si="113"/>
        <v>0</v>
      </c>
      <c r="AP201" s="33">
        <f t="shared" si="114"/>
        <v>0</v>
      </c>
      <c r="AQ201" s="194">
        <f t="shared" si="100"/>
        <v>0</v>
      </c>
      <c r="AR201" s="194">
        <f t="shared" si="100"/>
        <v>0</v>
      </c>
      <c r="AS201" s="194">
        <f t="shared" si="100"/>
        <v>0</v>
      </c>
      <c r="AT201" s="194">
        <f t="shared" si="100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17"/>
        <v>0</v>
      </c>
      <c r="K202" s="33">
        <f t="shared" si="118"/>
        <v>0</v>
      </c>
      <c r="L202" s="33">
        <f t="shared" si="119"/>
        <v>0</v>
      </c>
      <c r="M202" s="33">
        <f t="shared" si="120"/>
        <v>0</v>
      </c>
      <c r="N202" s="33">
        <f t="shared" si="101"/>
        <v>0</v>
      </c>
      <c r="O202" s="34">
        <f t="shared" si="102"/>
        <v>0</v>
      </c>
      <c r="P202" s="55">
        <v>197</v>
      </c>
      <c r="Q202" s="33">
        <f t="shared" si="115"/>
        <v>0</v>
      </c>
      <c r="R202" s="33">
        <f t="shared" si="121"/>
        <v>0</v>
      </c>
      <c r="S202" s="33">
        <f t="shared" si="122"/>
        <v>0</v>
      </c>
      <c r="T202" s="33">
        <f t="shared" si="103"/>
        <v>0</v>
      </c>
      <c r="U202" s="33">
        <f t="shared" si="116"/>
        <v>0</v>
      </c>
      <c r="V202" s="33">
        <f t="shared" si="104"/>
        <v>0</v>
      </c>
      <c r="W202" s="33">
        <v>0</v>
      </c>
      <c r="X202" s="33">
        <f t="shared" si="105"/>
        <v>0</v>
      </c>
      <c r="Y202" s="38">
        <f t="shared" si="106"/>
        <v>0</v>
      </c>
      <c r="AA202" s="71">
        <v>197</v>
      </c>
      <c r="AB202" s="33">
        <f t="shared" si="107"/>
        <v>0</v>
      </c>
      <c r="AC202" s="305">
        <f t="shared" si="99"/>
        <v>0</v>
      </c>
      <c r="AD202" s="100">
        <f t="shared" si="108"/>
        <v>0</v>
      </c>
      <c r="AE202" s="100">
        <f t="shared" si="109"/>
        <v>0</v>
      </c>
      <c r="AF202" s="194">
        <f t="shared" si="95"/>
        <v>0</v>
      </c>
      <c r="AG202" s="194">
        <f t="shared" si="96"/>
        <v>0</v>
      </c>
      <c r="AH202" s="194">
        <f t="shared" si="97"/>
        <v>0</v>
      </c>
      <c r="AI202" s="199">
        <f t="shared" si="98"/>
        <v>0</v>
      </c>
      <c r="AK202" s="71">
        <v>197</v>
      </c>
      <c r="AL202" s="33">
        <f t="shared" si="110"/>
        <v>0</v>
      </c>
      <c r="AM202" s="33">
        <f t="shared" si="111"/>
        <v>0</v>
      </c>
      <c r="AN202" s="33">
        <f t="shared" si="112"/>
        <v>0</v>
      </c>
      <c r="AO202" s="33">
        <f t="shared" si="113"/>
        <v>0</v>
      </c>
      <c r="AP202" s="33">
        <f t="shared" si="114"/>
        <v>0</v>
      </c>
      <c r="AQ202" s="194">
        <f t="shared" si="100"/>
        <v>0</v>
      </c>
      <c r="AR202" s="194">
        <f t="shared" si="100"/>
        <v>0</v>
      </c>
      <c r="AS202" s="194">
        <f t="shared" si="100"/>
        <v>0</v>
      </c>
      <c r="AT202" s="194">
        <f t="shared" si="100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17"/>
        <v>0</v>
      </c>
      <c r="K203" s="33">
        <f t="shared" si="118"/>
        <v>0</v>
      </c>
      <c r="L203" s="33">
        <f t="shared" si="119"/>
        <v>0</v>
      </c>
      <c r="M203" s="33">
        <f t="shared" si="120"/>
        <v>0</v>
      </c>
      <c r="N203" s="33">
        <f t="shared" si="101"/>
        <v>0</v>
      </c>
      <c r="O203" s="34">
        <f t="shared" si="102"/>
        <v>0</v>
      </c>
      <c r="P203" s="55">
        <v>198</v>
      </c>
      <c r="Q203" s="33">
        <f t="shared" si="115"/>
        <v>0</v>
      </c>
      <c r="R203" s="33">
        <f t="shared" si="121"/>
        <v>0</v>
      </c>
      <c r="S203" s="33">
        <f t="shared" si="122"/>
        <v>0</v>
      </c>
      <c r="T203" s="33">
        <f t="shared" si="103"/>
        <v>0</v>
      </c>
      <c r="U203" s="33">
        <f t="shared" si="116"/>
        <v>0</v>
      </c>
      <c r="V203" s="33">
        <f t="shared" si="104"/>
        <v>0</v>
      </c>
      <c r="W203" s="33">
        <v>0</v>
      </c>
      <c r="X203" s="33">
        <f t="shared" si="105"/>
        <v>0</v>
      </c>
      <c r="Y203" s="38">
        <f t="shared" si="106"/>
        <v>0</v>
      </c>
      <c r="AA203" s="71">
        <v>198</v>
      </c>
      <c r="AB203" s="33">
        <f t="shared" si="107"/>
        <v>0</v>
      </c>
      <c r="AC203" s="305">
        <f t="shared" si="99"/>
        <v>0</v>
      </c>
      <c r="AD203" s="100">
        <f t="shared" si="108"/>
        <v>0</v>
      </c>
      <c r="AE203" s="100">
        <f t="shared" si="109"/>
        <v>0</v>
      </c>
      <c r="AF203" s="194">
        <f t="shared" si="95"/>
        <v>0</v>
      </c>
      <c r="AG203" s="194">
        <f t="shared" si="96"/>
        <v>0</v>
      </c>
      <c r="AH203" s="194">
        <f t="shared" si="97"/>
        <v>0</v>
      </c>
      <c r="AI203" s="199">
        <f t="shared" si="98"/>
        <v>0</v>
      </c>
      <c r="AK203" s="71">
        <v>198</v>
      </c>
      <c r="AL203" s="33">
        <f t="shared" si="110"/>
        <v>0</v>
      </c>
      <c r="AM203" s="33">
        <f t="shared" si="111"/>
        <v>0</v>
      </c>
      <c r="AN203" s="33">
        <f t="shared" si="112"/>
        <v>0</v>
      </c>
      <c r="AO203" s="33">
        <f t="shared" si="113"/>
        <v>0</v>
      </c>
      <c r="AP203" s="33">
        <f t="shared" si="114"/>
        <v>0</v>
      </c>
      <c r="AQ203" s="194">
        <f t="shared" si="100"/>
        <v>0</v>
      </c>
      <c r="AR203" s="194">
        <f t="shared" si="100"/>
        <v>0</v>
      </c>
      <c r="AS203" s="194">
        <f t="shared" si="100"/>
        <v>0</v>
      </c>
      <c r="AT203" s="194">
        <f t="shared" si="100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17"/>
        <v>0</v>
      </c>
      <c r="K204" s="33">
        <f t="shared" si="118"/>
        <v>0</v>
      </c>
      <c r="L204" s="33">
        <f t="shared" si="119"/>
        <v>0</v>
      </c>
      <c r="M204" s="33">
        <f t="shared" si="120"/>
        <v>0</v>
      </c>
      <c r="N204" s="33">
        <f t="shared" si="101"/>
        <v>0</v>
      </c>
      <c r="O204" s="34">
        <f t="shared" si="102"/>
        <v>0</v>
      </c>
      <c r="P204" s="55">
        <v>199</v>
      </c>
      <c r="Q204" s="33">
        <f t="shared" si="115"/>
        <v>0</v>
      </c>
      <c r="R204" s="33">
        <f t="shared" si="121"/>
        <v>0</v>
      </c>
      <c r="S204" s="33">
        <f t="shared" si="122"/>
        <v>0</v>
      </c>
      <c r="T204" s="33">
        <f t="shared" si="103"/>
        <v>0</v>
      </c>
      <c r="U204" s="33">
        <f t="shared" si="116"/>
        <v>0</v>
      </c>
      <c r="V204" s="33">
        <f t="shared" si="104"/>
        <v>0</v>
      </c>
      <c r="W204" s="33">
        <v>0</v>
      </c>
      <c r="X204" s="33">
        <f t="shared" si="105"/>
        <v>0</v>
      </c>
      <c r="Y204" s="38">
        <f t="shared" si="106"/>
        <v>0</v>
      </c>
      <c r="AA204" s="71">
        <v>199</v>
      </c>
      <c r="AB204" s="33">
        <f t="shared" si="107"/>
        <v>0</v>
      </c>
      <c r="AC204" s="305">
        <f t="shared" si="99"/>
        <v>0</v>
      </c>
      <c r="AD204" s="100">
        <f t="shared" si="108"/>
        <v>0</v>
      </c>
      <c r="AE204" s="100">
        <f t="shared" si="109"/>
        <v>0</v>
      </c>
      <c r="AF204" s="194">
        <f t="shared" si="95"/>
        <v>0</v>
      </c>
      <c r="AG204" s="194">
        <f t="shared" si="96"/>
        <v>0</v>
      </c>
      <c r="AH204" s="194">
        <f t="shared" si="97"/>
        <v>0</v>
      </c>
      <c r="AI204" s="199">
        <f t="shared" si="98"/>
        <v>0</v>
      </c>
      <c r="AK204" s="71">
        <v>199</v>
      </c>
      <c r="AL204" s="33">
        <f t="shared" si="110"/>
        <v>0</v>
      </c>
      <c r="AM204" s="33">
        <f t="shared" si="111"/>
        <v>0</v>
      </c>
      <c r="AN204" s="33">
        <f t="shared" si="112"/>
        <v>0</v>
      </c>
      <c r="AO204" s="33">
        <f t="shared" si="113"/>
        <v>0</v>
      </c>
      <c r="AP204" s="33">
        <f t="shared" si="114"/>
        <v>0</v>
      </c>
      <c r="AQ204" s="194">
        <f t="shared" si="100"/>
        <v>0</v>
      </c>
      <c r="AR204" s="194">
        <f t="shared" si="100"/>
        <v>0</v>
      </c>
      <c r="AS204" s="194">
        <f t="shared" si="100"/>
        <v>0</v>
      </c>
      <c r="AT204" s="194">
        <f t="shared" si="100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17"/>
        <v>0</v>
      </c>
      <c r="K205" s="33">
        <f t="shared" si="118"/>
        <v>0</v>
      </c>
      <c r="L205" s="33">
        <f t="shared" si="119"/>
        <v>0</v>
      </c>
      <c r="M205" s="33">
        <f t="shared" si="120"/>
        <v>0</v>
      </c>
      <c r="N205" s="35">
        <f>IF(F208&lt;=$F$18,0,)</f>
        <v>0</v>
      </c>
      <c r="O205" s="34">
        <f t="shared" si="102"/>
        <v>0</v>
      </c>
      <c r="P205" s="56">
        <v>200</v>
      </c>
      <c r="Q205" s="35">
        <f t="shared" si="115"/>
        <v>0</v>
      </c>
      <c r="R205" s="35">
        <f t="shared" si="121"/>
        <v>0</v>
      </c>
      <c r="S205" s="35">
        <f t="shared" si="122"/>
        <v>0</v>
      </c>
      <c r="T205" s="35">
        <f t="shared" si="103"/>
        <v>0</v>
      </c>
      <c r="U205" s="35">
        <f t="shared" si="116"/>
        <v>0</v>
      </c>
      <c r="V205" s="35">
        <f t="shared" si="104"/>
        <v>0</v>
      </c>
      <c r="W205" s="35">
        <v>0</v>
      </c>
      <c r="X205" s="155">
        <f t="shared" si="105"/>
        <v>0</v>
      </c>
      <c r="Y205" s="39">
        <f t="shared" si="106"/>
        <v>0</v>
      </c>
      <c r="AA205" s="72">
        <v>200</v>
      </c>
      <c r="AB205" s="143">
        <f t="shared" si="107"/>
        <v>0</v>
      </c>
      <c r="AC205" s="305">
        <f t="shared" si="99"/>
        <v>0</v>
      </c>
      <c r="AD205" s="101">
        <f t="shared" si="108"/>
        <v>0</v>
      </c>
      <c r="AE205" s="101">
        <f t="shared" si="109"/>
        <v>0</v>
      </c>
      <c r="AF205" s="196">
        <f t="shared" si="95"/>
        <v>0</v>
      </c>
      <c r="AG205" s="196">
        <f t="shared" si="96"/>
        <v>0</v>
      </c>
      <c r="AH205" s="196">
        <f t="shared" si="97"/>
        <v>0</v>
      </c>
      <c r="AI205" s="203">
        <f t="shared" si="98"/>
        <v>0</v>
      </c>
      <c r="AK205" s="72">
        <v>200</v>
      </c>
      <c r="AL205" s="143">
        <f t="shared" si="110"/>
        <v>0</v>
      </c>
      <c r="AM205" s="35">
        <f t="shared" si="111"/>
        <v>0</v>
      </c>
      <c r="AN205" s="35">
        <f t="shared" si="112"/>
        <v>0</v>
      </c>
      <c r="AO205" s="35">
        <f t="shared" si="113"/>
        <v>0</v>
      </c>
      <c r="AP205" s="35">
        <f t="shared" si="114"/>
        <v>0</v>
      </c>
      <c r="AQ205" s="196">
        <f t="shared" si="100"/>
        <v>0</v>
      </c>
      <c r="AR205" s="196">
        <f t="shared" si="100"/>
        <v>0</v>
      </c>
      <c r="AS205" s="196">
        <f t="shared" si="100"/>
        <v>0</v>
      </c>
      <c r="AT205" s="196">
        <f t="shared" si="100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4">
    <dataValidation type="list" allowBlank="1" showInputMessage="1" showErrorMessage="1" sqref="D8:E8 D5:E5 D15" xr:uid="{00000000-0002-0000-0400-000000000000}">
      <formula1>$B$97:$B$100</formula1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F12" xr:uid="{00000000-0002-0000-0400-000002000000}">
      <formula1>$C$194:$C$195</formula1>
    </dataValidation>
    <dataValidation type="list" allowBlank="1" showInputMessage="1" showErrorMessage="1" sqref="F17" xr:uid="{00000000-0002-0000-0400-000003000000}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B3:AY207"/>
  <sheetViews>
    <sheetView topLeftCell="A13" zoomScale="85" zoomScaleNormal="85" workbookViewId="0">
      <selection activeCell="B25" sqref="B25:D5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401" t="s">
        <v>171</v>
      </c>
      <c r="J3" s="402"/>
      <c r="K3" s="402"/>
      <c r="L3" s="402"/>
      <c r="M3" s="402"/>
      <c r="N3" s="402"/>
      <c r="O3" s="403"/>
      <c r="P3" s="404" t="s">
        <v>143</v>
      </c>
      <c r="Q3" s="405"/>
      <c r="R3" s="405"/>
      <c r="S3" s="405"/>
      <c r="T3" s="405"/>
      <c r="U3" s="405"/>
      <c r="V3" s="405"/>
      <c r="W3" s="405"/>
      <c r="X3" s="406"/>
      <c r="Y3" s="90"/>
      <c r="Z3" s="90"/>
      <c r="AA3" s="392" t="s">
        <v>158</v>
      </c>
      <c r="AB3" s="393"/>
      <c r="AC3" s="393"/>
      <c r="AD3" s="393"/>
      <c r="AE3" s="393"/>
      <c r="AF3" s="393"/>
      <c r="AG3" s="393"/>
      <c r="AH3" s="393"/>
      <c r="AI3" s="394"/>
      <c r="AJ3" s="90"/>
      <c r="AK3" s="392" t="s">
        <v>170</v>
      </c>
      <c r="AL3" s="393"/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4"/>
    </row>
    <row r="4" spans="2:51" ht="45" customHeight="1">
      <c r="B4" s="396" t="s">
        <v>172</v>
      </c>
      <c r="C4" s="396"/>
      <c r="D4" s="396"/>
      <c r="E4" s="396"/>
      <c r="F4" s="396"/>
      <c r="I4" s="59" t="s">
        <v>76</v>
      </c>
      <c r="J4" s="342" t="s">
        <v>107</v>
      </c>
      <c r="K4" s="342" t="s">
        <v>108</v>
      </c>
      <c r="L4" s="342" t="s">
        <v>72</v>
      </c>
      <c r="M4" s="342" t="s">
        <v>109</v>
      </c>
      <c r="N4" s="342" t="s">
        <v>110</v>
      </c>
      <c r="O4" s="88" t="s">
        <v>112</v>
      </c>
      <c r="P4" s="59" t="s">
        <v>76</v>
      </c>
      <c r="Q4" s="61" t="s">
        <v>117</v>
      </c>
      <c r="R4" s="61" t="s">
        <v>118</v>
      </c>
      <c r="S4" s="62" t="s">
        <v>104</v>
      </c>
      <c r="T4" s="63" t="s">
        <v>103</v>
      </c>
      <c r="U4" s="342" t="s">
        <v>3</v>
      </c>
      <c r="V4" s="342" t="s">
        <v>105</v>
      </c>
      <c r="W4" s="342" t="s">
        <v>106</v>
      </c>
      <c r="X4" s="89" t="s">
        <v>111</v>
      </c>
      <c r="Y4" s="66" t="s">
        <v>119</v>
      </c>
      <c r="AA4" s="70" t="s">
        <v>76</v>
      </c>
      <c r="AB4" s="61" t="s">
        <v>145</v>
      </c>
      <c r="AC4" s="62" t="s">
        <v>146</v>
      </c>
      <c r="AD4" s="68" t="s">
        <v>147</v>
      </c>
      <c r="AE4" s="64" t="s">
        <v>148</v>
      </c>
      <c r="AF4" s="64" t="s">
        <v>149</v>
      </c>
      <c r="AG4" s="64" t="s">
        <v>150</v>
      </c>
      <c r="AH4" s="64" t="s">
        <v>151</v>
      </c>
      <c r="AI4" s="75" t="s">
        <v>152</v>
      </c>
      <c r="AK4" s="70" t="s">
        <v>76</v>
      </c>
      <c r="AL4" s="61" t="s">
        <v>145</v>
      </c>
      <c r="AM4" s="62" t="s">
        <v>146</v>
      </c>
      <c r="AN4" s="68" t="s">
        <v>147</v>
      </c>
      <c r="AO4" s="64" t="s">
        <v>148</v>
      </c>
      <c r="AP4" s="64" t="s">
        <v>160</v>
      </c>
      <c r="AQ4" s="193" t="s">
        <v>186</v>
      </c>
      <c r="AR4" s="193" t="s">
        <v>187</v>
      </c>
      <c r="AS4" s="193" t="s">
        <v>188</v>
      </c>
      <c r="AT4" s="193" t="s">
        <v>189</v>
      </c>
      <c r="AU4" s="64" t="s">
        <v>161</v>
      </c>
      <c r="AV4" s="64" t="s">
        <v>162</v>
      </c>
      <c r="AW4" s="64" t="s">
        <v>163</v>
      </c>
      <c r="AX4" s="64" t="s">
        <v>164</v>
      </c>
      <c r="AY4" s="75" t="s">
        <v>152</v>
      </c>
    </row>
    <row r="5" spans="2:51">
      <c r="B5" s="385" t="s">
        <v>132</v>
      </c>
      <c r="C5" s="91" t="s">
        <v>73</v>
      </c>
      <c r="D5" s="397" t="s">
        <v>1</v>
      </c>
      <c r="E5" s="39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5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4">
        <v>0</v>
      </c>
      <c r="AR5" s="194">
        <v>0</v>
      </c>
      <c r="AS5" s="194">
        <v>0</v>
      </c>
      <c r="AT5" s="194">
        <v>0</v>
      </c>
      <c r="AU5" s="33"/>
      <c r="AV5" s="33"/>
      <c r="AW5" s="33"/>
      <c r="AX5" s="33"/>
      <c r="AY5" s="164">
        <v>0</v>
      </c>
    </row>
    <row r="6" spans="2:51">
      <c r="B6" s="386"/>
      <c r="C6" s="98" t="s">
        <v>74</v>
      </c>
      <c r="D6" s="388" t="s">
        <v>259</v>
      </c>
      <c r="E6" s="388"/>
      <c r="F6" s="99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7.1066666666666674</v>
      </c>
      <c r="R6" s="33">
        <f>IF(P6&lt;=$F$18,Q6+R5,)</f>
        <v>7.1066666666666674</v>
      </c>
      <c r="S6" s="33">
        <f>$F$19*R6</f>
        <v>2.7005333333333335</v>
      </c>
      <c r="T6" s="33">
        <f t="shared" si="2"/>
        <v>1.1086153316713554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174.44670121114032</v>
      </c>
      <c r="Y6" s="38">
        <f t="shared" si="5"/>
        <v>-2.5892005939377896</v>
      </c>
      <c r="AA6" s="71">
        <v>1</v>
      </c>
      <c r="AB6" s="33">
        <f t="shared" si="6"/>
        <v>0</v>
      </c>
      <c r="AC6" s="305">
        <f t="shared" si="7"/>
        <v>0</v>
      </c>
      <c r="AD6" s="100">
        <f t="shared" si="8"/>
        <v>0</v>
      </c>
      <c r="AE6" s="100">
        <f t="shared" si="9"/>
        <v>0</v>
      </c>
      <c r="AF6" s="194">
        <f>IF(OR(AA6&lt;=$F$18,AA6&lt;=30),EXP(-LN(2)/$D$104)*AF5+((1-EXP(-LN(2)/$D$104))/(LN(2)/$D$104))*$AB6*AC6*0.475*$F$19*44/12,)</f>
        <v>0</v>
      </c>
      <c r="AG6" s="194">
        <f>IF(OR(AA6&lt;=$F$18,AA6&lt;=30),EXP(-LN(2)/$D$106)*AG5+((1-EXP(-LN(2)/$D$106))/(LN(2)/$D$106))*$AB6*AD6*0.475*$F$19*44/12,)</f>
        <v>0</v>
      </c>
      <c r="AH6" s="194">
        <f>IF(OR(AA6&lt;=$F$18,AA6&lt;=30),EXP(-LN(2)/$D$105)*AH5+((1-EXP(-LN(2)/$D$105))/(LN(2)/$D$105))*$AB6*AE6*0.475*$F$19*44/12,)</f>
        <v>0</v>
      </c>
      <c r="AI6" s="199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4">
        <f t="shared" ref="AQ6:AT24" si="17">IF($AK6&lt;=$F$18,$AL6*AM6,)</f>
        <v>0</v>
      </c>
      <c r="AR6" s="194">
        <f t="shared" si="17"/>
        <v>0</v>
      </c>
      <c r="AS6" s="194">
        <f t="shared" si="17"/>
        <v>0</v>
      </c>
      <c r="AT6" s="194">
        <f t="shared" si="17"/>
        <v>0</v>
      </c>
      <c r="AU6" s="33"/>
      <c r="AV6" s="33"/>
      <c r="AW6" s="33"/>
      <c r="AX6" s="33"/>
      <c r="AY6" s="164">
        <f>IF(AK6&lt;=$F$18,AL6*$G$108+AY5,)</f>
        <v>0</v>
      </c>
    </row>
    <row r="7" spans="2:51">
      <c r="B7" s="385" t="s">
        <v>133</v>
      </c>
      <c r="C7" s="398"/>
      <c r="D7" s="399"/>
      <c r="E7" s="399"/>
      <c r="F7" s="40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7.1066666666666674</v>
      </c>
      <c r="R7" s="33">
        <f t="shared" ref="R7:R70" si="22">IF(P7&lt;=$F$18,Q7+R6,)</f>
        <v>14.213333333333335</v>
      </c>
      <c r="S7" s="33">
        <f t="shared" ref="S7:S70" si="23">$F$19*R7</f>
        <v>5.4010666666666669</v>
      </c>
      <c r="T7" s="33">
        <f t="shared" si="2"/>
        <v>2.0453657746498846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183.56648445612714</v>
      </c>
      <c r="Y7" s="38">
        <f t="shared" si="5"/>
        <v>6.5305826510490306</v>
      </c>
      <c r="AA7" s="71">
        <v>2</v>
      </c>
      <c r="AB7" s="33">
        <f t="shared" si="6"/>
        <v>0</v>
      </c>
      <c r="AC7" s="305">
        <f t="shared" si="7"/>
        <v>0</v>
      </c>
      <c r="AD7" s="100">
        <f t="shared" si="8"/>
        <v>0</v>
      </c>
      <c r="AE7" s="100">
        <f t="shared" si="9"/>
        <v>0</v>
      </c>
      <c r="AF7" s="194">
        <f>IF(OR(AA7&lt;=$F$18,AA7&lt;=30),EXP(-LN(2)/$D$104)*AF6+((1-EXP(-LN(2)/$D$104))/(LN(2)/$D$104))*$AB7*AC7*0.475*$F$19*44/12,)</f>
        <v>0</v>
      </c>
      <c r="AG7" s="194">
        <f>IF(OR(AA7&lt;=$F$18,AA7&lt;=30),EXP(-LN(2)/$D$106)*AG6+((1-EXP(-LN(2)/$D$106))/(LN(2)/$D$106))*$AB7*AD7*0.475*$F$19*44/12,)</f>
        <v>0</v>
      </c>
      <c r="AH7" s="194">
        <f>IF(OR(AA7&lt;=$F$18,AA7&lt;=30),EXP(-LN(2)/$D$105)*AH6+((1-EXP(-LN(2)/$D$105))/(LN(2)/$D$105))*$AB7*AE7*0.475*$F$19*44/12,)</f>
        <v>0</v>
      </c>
      <c r="AI7" s="199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4">
        <f t="shared" si="17"/>
        <v>0</v>
      </c>
      <c r="AR7" s="194">
        <f t="shared" si="17"/>
        <v>0</v>
      </c>
      <c r="AS7" s="194">
        <f t="shared" si="17"/>
        <v>0</v>
      </c>
      <c r="AT7" s="194">
        <f t="shared" si="17"/>
        <v>0</v>
      </c>
      <c r="AU7" s="33"/>
      <c r="AV7" s="33"/>
      <c r="AW7" s="33"/>
      <c r="AX7" s="33"/>
      <c r="AY7" s="164">
        <f t="shared" ref="AY7:AY35" si="24">IF(AK7&lt;=$F$18,AL7*$G$108+AY6,)</f>
        <v>0</v>
      </c>
    </row>
    <row r="8" spans="2:51">
      <c r="B8" s="395"/>
      <c r="C8" s="93" t="s">
        <v>73</v>
      </c>
      <c r="D8" s="391" t="s">
        <v>1</v>
      </c>
      <c r="E8" s="39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7.1066666666666674</v>
      </c>
      <c r="R8" s="33">
        <f t="shared" si="22"/>
        <v>21.32</v>
      </c>
      <c r="S8" s="33">
        <f t="shared" si="23"/>
        <v>8.1015999999999995</v>
      </c>
      <c r="T8" s="33">
        <f t="shared" si="2"/>
        <v>2.9266124856583668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192.5624906490732</v>
      </c>
      <c r="Y8" s="38">
        <f t="shared" si="5"/>
        <v>15.526588843995086</v>
      </c>
      <c r="AA8" s="71">
        <v>3</v>
      </c>
      <c r="AB8" s="33">
        <f t="shared" si="6"/>
        <v>0</v>
      </c>
      <c r="AC8" s="305">
        <f t="shared" si="7"/>
        <v>0</v>
      </c>
      <c r="AD8" s="100">
        <f t="shared" si="8"/>
        <v>0</v>
      </c>
      <c r="AE8" s="100">
        <f t="shared" si="9"/>
        <v>0</v>
      </c>
      <c r="AF8" s="194">
        <f>IF(OR(AA8&lt;=$F$18,AA8&lt;=30),EXP(-LN(2)/$D$104)*AF7+((1-EXP(-LN(2)/$D$104))/(LN(2)/$D$104))*$AB8*AC8*0.475*$F$19*44/12,)</f>
        <v>0</v>
      </c>
      <c r="AG8" s="194">
        <f>IF(OR(AA8&lt;=$F$18,AA8&lt;=30),EXP(-LN(2)/$D$106)*AG7+((1-EXP(-LN(2)/$D$106))/(LN(2)/$D$106))*$AB8*AD8*0.475*$F$19*44/12,)</f>
        <v>0</v>
      </c>
      <c r="AH8" s="194">
        <f>IF(OR(AA8&lt;=$F$18,AA8&lt;=30),EXP(-LN(2)/$D$105)*AH7+((1-EXP(-LN(2)/$D$105))/(LN(2)/$D$105))*$AB8*AE8*0.475*$F$19*44/12,)</f>
        <v>0</v>
      </c>
      <c r="AI8" s="199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4">
        <f t="shared" si="17"/>
        <v>0</v>
      </c>
      <c r="AR8" s="194">
        <f t="shared" si="17"/>
        <v>0</v>
      </c>
      <c r="AS8" s="194">
        <f t="shared" si="17"/>
        <v>0</v>
      </c>
      <c r="AT8" s="194">
        <f t="shared" si="17"/>
        <v>0</v>
      </c>
      <c r="AU8" s="33"/>
      <c r="AV8" s="33"/>
      <c r="AW8" s="33"/>
      <c r="AX8" s="33"/>
      <c r="AY8" s="164">
        <f t="shared" si="24"/>
        <v>0</v>
      </c>
    </row>
    <row r="9" spans="2:51">
      <c r="B9" s="395"/>
      <c r="C9" s="93" t="s">
        <v>74</v>
      </c>
      <c r="D9" s="387" t="str">
        <f>IF(D8=$B$100,"totale","néant")</f>
        <v>néant</v>
      </c>
      <c r="E9" s="38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7.1066666666666674</v>
      </c>
      <c r="R9" s="33">
        <f t="shared" si="22"/>
        <v>28.426666666666669</v>
      </c>
      <c r="S9" s="33">
        <f t="shared" si="23"/>
        <v>10.802133333333334</v>
      </c>
      <c r="T9" s="33">
        <f t="shared" si="2"/>
        <v>3.7736454048511314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201.47227003318156</v>
      </c>
      <c r="Y9" s="38">
        <f t="shared" si="5"/>
        <v>24.436368228103447</v>
      </c>
      <c r="AA9" s="71">
        <v>4</v>
      </c>
      <c r="AB9" s="33">
        <f t="shared" si="6"/>
        <v>0</v>
      </c>
      <c r="AC9" s="305">
        <f t="shared" si="7"/>
        <v>0</v>
      </c>
      <c r="AD9" s="100">
        <f t="shared" si="8"/>
        <v>0</v>
      </c>
      <c r="AE9" s="100">
        <f t="shared" si="9"/>
        <v>0</v>
      </c>
      <c r="AF9" s="194">
        <f>IF(OR(AA9&lt;=$F$18,AA9&lt;=30),EXP(-LN(2)/$D$104)*AF8+((1-EXP(-LN(2)/$D$104))/(LN(2)/$D$104))*$AB9*AC9*0.475*$F$19*44/12,)</f>
        <v>0</v>
      </c>
      <c r="AG9" s="194">
        <f>IF(OR(AA9&lt;=$F$18,AA9&lt;=30),EXP(-LN(2)/$D$106)*AG8+((1-EXP(-LN(2)/$D$106))/(LN(2)/$D$106))*$AB9*AD9*0.475*$F$19*44/12,)</f>
        <v>0</v>
      </c>
      <c r="AH9" s="194">
        <f>IF(OR(AA9&lt;=$F$18,AA9&lt;=30),EXP(-LN(2)/$D$105)*AH8+((1-EXP(-LN(2)/$D$105))/(LN(2)/$D$105))*$AB9*AE9*0.475*$F$19*44/12,)</f>
        <v>0</v>
      </c>
      <c r="AI9" s="199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4">
        <f t="shared" si="17"/>
        <v>0</v>
      </c>
      <c r="AR9" s="194">
        <f t="shared" si="17"/>
        <v>0</v>
      </c>
      <c r="AS9" s="194">
        <f t="shared" si="17"/>
        <v>0</v>
      </c>
      <c r="AT9" s="194">
        <f t="shared" si="17"/>
        <v>0</v>
      </c>
      <c r="AU9" s="33"/>
      <c r="AV9" s="33"/>
      <c r="AW9" s="33"/>
      <c r="AX9" s="33"/>
      <c r="AY9" s="164">
        <f t="shared" si="24"/>
        <v>0</v>
      </c>
    </row>
    <row r="10" spans="2:51">
      <c r="B10" s="395"/>
      <c r="C10" s="389" t="s">
        <v>123</v>
      </c>
      <c r="D10" s="384" t="s">
        <v>135</v>
      </c>
      <c r="E10" s="384"/>
      <c r="F10" s="95">
        <f>F18</f>
        <v>65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7.1066666666666674</v>
      </c>
      <c r="R10" s="33">
        <f t="shared" si="22"/>
        <v>35.533333333333339</v>
      </c>
      <c r="S10" s="33">
        <f t="shared" si="23"/>
        <v>13.502666666666668</v>
      </c>
      <c r="T10" s="33">
        <f t="shared" si="2"/>
        <v>4.5961138310365017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210.31309057661369</v>
      </c>
      <c r="Y10" s="38">
        <f t="shared" si="5"/>
        <v>33.277188771535577</v>
      </c>
      <c r="AA10" s="71">
        <v>5</v>
      </c>
      <c r="AB10" s="33">
        <f t="shared" si="6"/>
        <v>0</v>
      </c>
      <c r="AC10" s="305">
        <f t="shared" si="7"/>
        <v>0</v>
      </c>
      <c r="AD10" s="100">
        <f t="shared" si="8"/>
        <v>0</v>
      </c>
      <c r="AE10" s="100">
        <f t="shared" si="9"/>
        <v>0</v>
      </c>
      <c r="AF10" s="194">
        <f t="shared" ref="AF10:AF24" si="25">IF(OR(AA10&lt;=$F$18,AA10&lt;=30),EXP(-LN(2)/$D$104)*AF9+((1-EXP(-LN(2)/$D$104))/(LN(2)/$D$104))*$AB10*AC10*0.475*$F$19*44/12,)</f>
        <v>0</v>
      </c>
      <c r="AG10" s="194">
        <f t="shared" ref="AG10:AG24" si="26">IF(OR(AA10&lt;=$F$18,AA10&lt;=30),EXP(-LN(2)/$D$106)*AG9+((1-EXP(-LN(2)/$D$106))/(LN(2)/$D$106))*$AB10*AD10*0.475*$F$19*44/12,)</f>
        <v>0</v>
      </c>
      <c r="AH10" s="194">
        <f t="shared" ref="AH10:AH24" si="27">IF(OR(AA10&lt;=$F$18,AA10&lt;=30),EXP(-LN(2)/$D$105)*AH9+((1-EXP(-LN(2)/$D$105))/(LN(2)/$D$105))*$AB10*AE10*0.475*$F$19*44/12,)</f>
        <v>0</v>
      </c>
      <c r="AI10" s="199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4">
        <f t="shared" si="17"/>
        <v>0</v>
      </c>
      <c r="AR10" s="194">
        <f t="shared" si="17"/>
        <v>0</v>
      </c>
      <c r="AS10" s="194">
        <f t="shared" si="17"/>
        <v>0</v>
      </c>
      <c r="AT10" s="194">
        <f t="shared" si="17"/>
        <v>0</v>
      </c>
      <c r="AU10" s="33"/>
      <c r="AV10" s="33"/>
      <c r="AW10" s="33"/>
      <c r="AX10" s="33"/>
      <c r="AY10" s="164">
        <f t="shared" si="24"/>
        <v>0</v>
      </c>
    </row>
    <row r="11" spans="2:51">
      <c r="B11" s="395"/>
      <c r="C11" s="389"/>
      <c r="D11" s="387" t="s">
        <v>138</v>
      </c>
      <c r="E11" s="38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7.1066666666666674</v>
      </c>
      <c r="R11" s="33">
        <f t="shared" si="22"/>
        <v>42.640000000000008</v>
      </c>
      <c r="S11" s="33">
        <f t="shared" si="23"/>
        <v>16.203200000000002</v>
      </c>
      <c r="T11" s="33">
        <f t="shared" si="2"/>
        <v>5.3995221271242331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219.09499313433366</v>
      </c>
      <c r="Y11" s="38">
        <f t="shared" si="5"/>
        <v>42.059091329255551</v>
      </c>
      <c r="AA11" s="71">
        <v>6</v>
      </c>
      <c r="AB11" s="33">
        <f t="shared" si="6"/>
        <v>0</v>
      </c>
      <c r="AC11" s="305">
        <f t="shared" si="7"/>
        <v>0</v>
      </c>
      <c r="AD11" s="100">
        <f t="shared" si="8"/>
        <v>0</v>
      </c>
      <c r="AE11" s="100">
        <f t="shared" si="9"/>
        <v>0</v>
      </c>
      <c r="AF11" s="194">
        <f t="shared" si="25"/>
        <v>0</v>
      </c>
      <c r="AG11" s="194">
        <f t="shared" si="26"/>
        <v>0</v>
      </c>
      <c r="AH11" s="194">
        <f t="shared" si="27"/>
        <v>0</v>
      </c>
      <c r="AI11" s="199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4">
        <f t="shared" si="17"/>
        <v>0</v>
      </c>
      <c r="AR11" s="194">
        <f t="shared" si="17"/>
        <v>0</v>
      </c>
      <c r="AS11" s="194">
        <f t="shared" si="17"/>
        <v>0</v>
      </c>
      <c r="AT11" s="194">
        <f t="shared" si="17"/>
        <v>0</v>
      </c>
      <c r="AU11" s="33"/>
      <c r="AV11" s="33"/>
      <c r="AW11" s="33"/>
      <c r="AX11" s="33"/>
      <c r="AY11" s="164">
        <f t="shared" si="24"/>
        <v>0</v>
      </c>
    </row>
    <row r="12" spans="2:51" ht="16">
      <c r="B12" s="395"/>
      <c r="C12" s="389"/>
      <c r="D12" s="384" t="s">
        <v>130</v>
      </c>
      <c r="E12" s="38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7.1066666666666674</v>
      </c>
      <c r="R12" s="33">
        <f t="shared" si="22"/>
        <v>49.746666666666677</v>
      </c>
      <c r="S12" s="33">
        <f t="shared" si="23"/>
        <v>18.903733333333339</v>
      </c>
      <c r="T12" s="33">
        <f t="shared" si="2"/>
        <v>6.1874187430529366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227.82460413544231</v>
      </c>
      <c r="Y12" s="38">
        <f t="shared" si="5"/>
        <v>50.788702330364202</v>
      </c>
      <c r="AA12" s="71">
        <v>7</v>
      </c>
      <c r="AB12" s="33">
        <f t="shared" si="6"/>
        <v>0</v>
      </c>
      <c r="AC12" s="305">
        <f t="shared" si="7"/>
        <v>0</v>
      </c>
      <c r="AD12" s="100">
        <f t="shared" si="8"/>
        <v>0</v>
      </c>
      <c r="AE12" s="100">
        <f t="shared" si="9"/>
        <v>0</v>
      </c>
      <c r="AF12" s="194">
        <f t="shared" si="25"/>
        <v>0</v>
      </c>
      <c r="AG12" s="194">
        <f t="shared" si="26"/>
        <v>0</v>
      </c>
      <c r="AH12" s="194">
        <f t="shared" si="27"/>
        <v>0</v>
      </c>
      <c r="AI12" s="199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4">
        <f t="shared" si="17"/>
        <v>0</v>
      </c>
      <c r="AR12" s="194">
        <f t="shared" si="17"/>
        <v>0</v>
      </c>
      <c r="AS12" s="194">
        <f t="shared" si="17"/>
        <v>0</v>
      </c>
      <c r="AT12" s="194">
        <f t="shared" si="17"/>
        <v>0</v>
      </c>
      <c r="AU12" s="33"/>
      <c r="AV12" s="33"/>
      <c r="AW12" s="33"/>
      <c r="AX12" s="33"/>
      <c r="AY12" s="164">
        <f t="shared" si="24"/>
        <v>0</v>
      </c>
    </row>
    <row r="13" spans="2:51">
      <c r="B13" s="386"/>
      <c r="C13" s="390"/>
      <c r="D13" s="388" t="s">
        <v>154</v>
      </c>
      <c r="E13" s="38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7.1066666666666674</v>
      </c>
      <c r="R13" s="33">
        <f t="shared" si="22"/>
        <v>56.853333333333346</v>
      </c>
      <c r="S13" s="33">
        <f t="shared" si="23"/>
        <v>21.604266666666671</v>
      </c>
      <c r="T13" s="33">
        <f t="shared" si="2"/>
        <v>6.9622753142975888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236.50666681640004</v>
      </c>
      <c r="Y13" s="38">
        <f t="shared" si="5"/>
        <v>59.47076501132193</v>
      </c>
      <c r="AA13" s="71">
        <v>8</v>
      </c>
      <c r="AB13" s="33">
        <f t="shared" si="6"/>
        <v>0</v>
      </c>
      <c r="AC13" s="305">
        <f t="shared" si="7"/>
        <v>0</v>
      </c>
      <c r="AD13" s="100">
        <f t="shared" si="8"/>
        <v>0</v>
      </c>
      <c r="AE13" s="100">
        <f t="shared" si="9"/>
        <v>0</v>
      </c>
      <c r="AF13" s="194">
        <f t="shared" si="25"/>
        <v>0</v>
      </c>
      <c r="AG13" s="194">
        <f t="shared" si="26"/>
        <v>0</v>
      </c>
      <c r="AH13" s="194">
        <f t="shared" si="27"/>
        <v>0</v>
      </c>
      <c r="AI13" s="199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4">
        <f t="shared" si="17"/>
        <v>0</v>
      </c>
      <c r="AR13" s="194">
        <f t="shared" si="17"/>
        <v>0</v>
      </c>
      <c r="AS13" s="194">
        <f t="shared" si="17"/>
        <v>0</v>
      </c>
      <c r="AT13" s="194">
        <f t="shared" si="17"/>
        <v>0</v>
      </c>
      <c r="AU13" s="33"/>
      <c r="AV13" s="33"/>
      <c r="AW13" s="33"/>
      <c r="AX13" s="33"/>
      <c r="AY13" s="164">
        <f t="shared" si="24"/>
        <v>0</v>
      </c>
    </row>
    <row r="14" spans="2:51">
      <c r="B14" s="385" t="s">
        <v>131</v>
      </c>
      <c r="C14" s="381"/>
      <c r="D14" s="382"/>
      <c r="E14" s="382"/>
      <c r="F14" s="38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7.1066666666666674</v>
      </c>
      <c r="R14" s="33">
        <f t="shared" si="22"/>
        <v>63.960000000000015</v>
      </c>
      <c r="S14" s="33">
        <f t="shared" si="23"/>
        <v>24.304800000000007</v>
      </c>
      <c r="T14" s="33">
        <f t="shared" si="2"/>
        <v>7.7259085243740104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245.14477609917415</v>
      </c>
      <c r="Y14" s="38">
        <f t="shared" si="5"/>
        <v>68.10887429409604</v>
      </c>
      <c r="AA14" s="71">
        <v>9</v>
      </c>
      <c r="AB14" s="33">
        <f t="shared" si="6"/>
        <v>0</v>
      </c>
      <c r="AC14" s="305">
        <f t="shared" si="7"/>
        <v>0</v>
      </c>
      <c r="AD14" s="100">
        <f t="shared" si="8"/>
        <v>0</v>
      </c>
      <c r="AE14" s="100">
        <f t="shared" si="9"/>
        <v>0</v>
      </c>
      <c r="AF14" s="194">
        <f t="shared" si="25"/>
        <v>0</v>
      </c>
      <c r="AG14" s="194">
        <f t="shared" si="26"/>
        <v>0</v>
      </c>
      <c r="AH14" s="194">
        <f t="shared" si="27"/>
        <v>0</v>
      </c>
      <c r="AI14" s="199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4">
        <f t="shared" si="17"/>
        <v>0</v>
      </c>
      <c r="AR14" s="194">
        <f t="shared" si="17"/>
        <v>0</v>
      </c>
      <c r="AS14" s="194">
        <f t="shared" si="17"/>
        <v>0</v>
      </c>
      <c r="AT14" s="194">
        <f t="shared" si="17"/>
        <v>0</v>
      </c>
      <c r="AU14" s="33"/>
      <c r="AV14" s="33"/>
      <c r="AW14" s="33"/>
      <c r="AX14" s="33"/>
      <c r="AY14" s="164">
        <f t="shared" si="24"/>
        <v>0</v>
      </c>
    </row>
    <row r="15" spans="2:51">
      <c r="B15" s="395"/>
      <c r="C15" s="93" t="s">
        <v>73</v>
      </c>
      <c r="D15" s="391" t="s">
        <v>134</v>
      </c>
      <c r="E15" s="39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7.1066666666666674</v>
      </c>
      <c r="R15" s="33">
        <f t="shared" si="22"/>
        <v>71.066666666666677</v>
      </c>
      <c r="S15" s="33">
        <f t="shared" si="23"/>
        <v>27.005333333333336</v>
      </c>
      <c r="T15" s="33">
        <f t="shared" si="2"/>
        <v>8.4797076658000208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253.74177505853547</v>
      </c>
      <c r="Y15" s="38">
        <f t="shared" si="5"/>
        <v>76.705873253457355</v>
      </c>
      <c r="AA15" s="71">
        <v>10</v>
      </c>
      <c r="AB15" s="33">
        <f t="shared" si="6"/>
        <v>0</v>
      </c>
      <c r="AC15" s="305">
        <f t="shared" si="7"/>
        <v>0</v>
      </c>
      <c r="AD15" s="100">
        <f t="shared" si="8"/>
        <v>0</v>
      </c>
      <c r="AE15" s="100">
        <f t="shared" si="9"/>
        <v>0</v>
      </c>
      <c r="AF15" s="194">
        <f t="shared" si="25"/>
        <v>0</v>
      </c>
      <c r="AG15" s="194">
        <f t="shared" si="26"/>
        <v>0</v>
      </c>
      <c r="AH15" s="194">
        <f t="shared" si="27"/>
        <v>0</v>
      </c>
      <c r="AI15" s="199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4">
        <f t="shared" si="17"/>
        <v>0</v>
      </c>
      <c r="AR15" s="194">
        <f t="shared" si="17"/>
        <v>0</v>
      </c>
      <c r="AS15" s="194">
        <f t="shared" si="17"/>
        <v>0</v>
      </c>
      <c r="AT15" s="194">
        <f t="shared" si="17"/>
        <v>0</v>
      </c>
      <c r="AU15" s="33"/>
      <c r="AV15" s="33"/>
      <c r="AW15" s="33"/>
      <c r="AX15" s="33"/>
      <c r="AY15" s="164">
        <f t="shared" si="24"/>
        <v>0</v>
      </c>
    </row>
    <row r="16" spans="2:51">
      <c r="B16" s="395"/>
      <c r="C16" s="93" t="s">
        <v>74</v>
      </c>
      <c r="D16" s="387" t="s">
        <v>137</v>
      </c>
      <c r="E16" s="38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7.1066666666666674</v>
      </c>
      <c r="R16" s="33">
        <f t="shared" si="22"/>
        <v>78.173333333333346</v>
      </c>
      <c r="S16" s="33">
        <f t="shared" si="23"/>
        <v>29.705866666666672</v>
      </c>
      <c r="T16" s="33">
        <f t="shared" si="2"/>
        <v>9.2247680936608774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262.29998748335129</v>
      </c>
      <c r="Y16" s="38">
        <f t="shared" si="5"/>
        <v>85.264085678273176</v>
      </c>
      <c r="AA16" s="71">
        <v>11</v>
      </c>
      <c r="AB16" s="33">
        <f t="shared" si="6"/>
        <v>0</v>
      </c>
      <c r="AC16" s="305">
        <f t="shared" si="7"/>
        <v>0</v>
      </c>
      <c r="AD16" s="100">
        <f t="shared" si="8"/>
        <v>0</v>
      </c>
      <c r="AE16" s="100">
        <f t="shared" si="9"/>
        <v>0</v>
      </c>
      <c r="AF16" s="194">
        <f t="shared" si="25"/>
        <v>0</v>
      </c>
      <c r="AG16" s="194">
        <f t="shared" si="26"/>
        <v>0</v>
      </c>
      <c r="AH16" s="194">
        <f t="shared" si="27"/>
        <v>0</v>
      </c>
      <c r="AI16" s="199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4">
        <f t="shared" si="17"/>
        <v>0</v>
      </c>
      <c r="AR16" s="194">
        <f t="shared" si="17"/>
        <v>0</v>
      </c>
      <c r="AS16" s="194">
        <f t="shared" si="17"/>
        <v>0</v>
      </c>
      <c r="AT16" s="194">
        <f t="shared" si="17"/>
        <v>0</v>
      </c>
      <c r="AU16" s="33"/>
      <c r="AV16" s="33"/>
      <c r="AW16" s="33"/>
      <c r="AX16" s="33"/>
      <c r="AY16" s="164">
        <f t="shared" si="24"/>
        <v>0</v>
      </c>
    </row>
    <row r="17" spans="2:51" ht="16">
      <c r="B17" s="395"/>
      <c r="C17" s="389" t="s">
        <v>123</v>
      </c>
      <c r="D17" s="384" t="s">
        <v>130</v>
      </c>
      <c r="E17" s="384"/>
      <c r="F17" s="96" t="s">
        <v>63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7.1066666666666674</v>
      </c>
      <c r="R17" s="33">
        <f t="shared" si="22"/>
        <v>85.280000000000015</v>
      </c>
      <c r="S17" s="33">
        <f t="shared" si="23"/>
        <v>32.406400000000005</v>
      </c>
      <c r="T17" s="33">
        <f t="shared" si="2"/>
        <v>9.9619745846691856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270.82136318769835</v>
      </c>
      <c r="Y17" s="38">
        <f t="shared" si="5"/>
        <v>93.785461382620241</v>
      </c>
      <c r="AA17" s="71">
        <v>12</v>
      </c>
      <c r="AB17" s="33">
        <f t="shared" si="6"/>
        <v>0</v>
      </c>
      <c r="AC17" s="305">
        <f t="shared" si="7"/>
        <v>0</v>
      </c>
      <c r="AD17" s="100">
        <f t="shared" si="8"/>
        <v>0</v>
      </c>
      <c r="AE17" s="100">
        <f t="shared" si="9"/>
        <v>0</v>
      </c>
      <c r="AF17" s="194">
        <f t="shared" si="25"/>
        <v>0</v>
      </c>
      <c r="AG17" s="194">
        <f t="shared" si="26"/>
        <v>0</v>
      </c>
      <c r="AH17" s="194">
        <f t="shared" si="27"/>
        <v>0</v>
      </c>
      <c r="AI17" s="199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4">
        <f t="shared" si="17"/>
        <v>0</v>
      </c>
      <c r="AR17" s="194">
        <f t="shared" si="17"/>
        <v>0</v>
      </c>
      <c r="AS17" s="194">
        <f t="shared" si="17"/>
        <v>0</v>
      </c>
      <c r="AT17" s="194">
        <f t="shared" si="17"/>
        <v>0</v>
      </c>
      <c r="AU17" s="33"/>
      <c r="AV17" s="33"/>
      <c r="AW17" s="33"/>
      <c r="AX17" s="33"/>
      <c r="AY17" s="164">
        <f t="shared" si="24"/>
        <v>0</v>
      </c>
    </row>
    <row r="18" spans="2:51">
      <c r="B18" s="395"/>
      <c r="C18" s="389"/>
      <c r="D18" s="384" t="s">
        <v>135</v>
      </c>
      <c r="E18" s="384"/>
      <c r="F18" s="97">
        <v>65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7.1066666666666674</v>
      </c>
      <c r="R18" s="33">
        <f t="shared" si="22"/>
        <v>92.386666666666684</v>
      </c>
      <c r="S18" s="33">
        <f t="shared" si="23"/>
        <v>35.106933333333338</v>
      </c>
      <c r="T18" s="33">
        <f t="shared" si="2"/>
        <v>10.692056043801903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279.30757341679606</v>
      </c>
      <c r="Y18" s="38">
        <f t="shared" si="5"/>
        <v>102.27167161171795</v>
      </c>
      <c r="AA18" s="71">
        <v>13</v>
      </c>
      <c r="AB18" s="33">
        <f t="shared" si="6"/>
        <v>0</v>
      </c>
      <c r="AC18" s="305">
        <f t="shared" si="7"/>
        <v>0</v>
      </c>
      <c r="AD18" s="100">
        <f t="shared" si="8"/>
        <v>0</v>
      </c>
      <c r="AE18" s="100">
        <f t="shared" si="9"/>
        <v>0</v>
      </c>
      <c r="AF18" s="194">
        <f t="shared" si="25"/>
        <v>0</v>
      </c>
      <c r="AG18" s="194">
        <f t="shared" si="26"/>
        <v>0</v>
      </c>
      <c r="AH18" s="194">
        <f t="shared" si="27"/>
        <v>0</v>
      </c>
      <c r="AI18" s="199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4">
        <f t="shared" si="17"/>
        <v>0</v>
      </c>
      <c r="AR18" s="194">
        <f t="shared" si="17"/>
        <v>0</v>
      </c>
      <c r="AS18" s="194">
        <f t="shared" si="17"/>
        <v>0</v>
      </c>
      <c r="AT18" s="194">
        <f t="shared" si="17"/>
        <v>0</v>
      </c>
      <c r="AU18" s="33"/>
      <c r="AV18" s="33"/>
      <c r="AW18" s="33"/>
      <c r="AX18" s="33"/>
      <c r="AY18" s="164">
        <f t="shared" si="24"/>
        <v>0</v>
      </c>
    </row>
    <row r="19" spans="2:51">
      <c r="B19" s="395"/>
      <c r="C19" s="389"/>
      <c r="D19" s="387" t="s">
        <v>154</v>
      </c>
      <c r="E19" s="387"/>
      <c r="F19" s="36">
        <f>IF(ISBLANK(F$17),,VLOOKUP(F$17,C131:D195,2,FALSE))</f>
        <v>0.38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7.1066666666666674</v>
      </c>
      <c r="R19" s="33">
        <f t="shared" si="22"/>
        <v>99.493333333333354</v>
      </c>
      <c r="S19" s="33">
        <f t="shared" si="23"/>
        <v>37.807466666666677</v>
      </c>
      <c r="T19" s="33">
        <f t="shared" si="2"/>
        <v>11.415622866579085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287.76007604267625</v>
      </c>
      <c r="Y19" s="38">
        <f t="shared" si="5"/>
        <v>110.72417423759813</v>
      </c>
      <c r="AA19" s="71">
        <v>14</v>
      </c>
      <c r="AB19" s="33">
        <f t="shared" si="6"/>
        <v>0</v>
      </c>
      <c r="AC19" s="305">
        <f t="shared" si="7"/>
        <v>0</v>
      </c>
      <c r="AD19" s="100">
        <f t="shared" si="8"/>
        <v>0</v>
      </c>
      <c r="AE19" s="100">
        <f t="shared" si="9"/>
        <v>0</v>
      </c>
      <c r="AF19" s="194">
        <f t="shared" si="25"/>
        <v>0</v>
      </c>
      <c r="AG19" s="194">
        <f t="shared" si="26"/>
        <v>0</v>
      </c>
      <c r="AH19" s="194">
        <f t="shared" si="27"/>
        <v>0</v>
      </c>
      <c r="AI19" s="199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4">
        <f t="shared" si="17"/>
        <v>0</v>
      </c>
      <c r="AR19" s="194">
        <f t="shared" si="17"/>
        <v>0</v>
      </c>
      <c r="AS19" s="194">
        <f t="shared" si="17"/>
        <v>0</v>
      </c>
      <c r="AT19" s="194">
        <f t="shared" si="17"/>
        <v>0</v>
      </c>
      <c r="AU19" s="33"/>
      <c r="AV19" s="33"/>
      <c r="AW19" s="33"/>
      <c r="AX19" s="33"/>
      <c r="AY19" s="164">
        <f t="shared" si="24"/>
        <v>0</v>
      </c>
    </row>
    <row r="20" spans="2:51">
      <c r="B20" s="395"/>
      <c r="C20" s="389"/>
      <c r="D20" s="387" t="s">
        <v>139</v>
      </c>
      <c r="E20" s="387"/>
      <c r="F20" s="36">
        <f>IF(ISBLANK(F$17),,VLOOKUP(F17,Tableau14594[#All],4,FALSE))</f>
        <v>1.3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7.1066666666666674</v>
      </c>
      <c r="R20" s="33">
        <f t="shared" si="22"/>
        <v>106.60000000000002</v>
      </c>
      <c r="S20" s="33">
        <f t="shared" si="23"/>
        <v>40.50800000000001</v>
      </c>
      <c r="T20" s="33">
        <f t="shared" si="2"/>
        <v>12.133193308033782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296.18016161103986</v>
      </c>
      <c r="Y20" s="38">
        <f t="shared" si="5"/>
        <v>119.14425980596175</v>
      </c>
      <c r="AA20" s="71">
        <v>15</v>
      </c>
      <c r="AB20" s="33">
        <f t="shared" si="6"/>
        <v>0</v>
      </c>
      <c r="AC20" s="305">
        <f t="shared" si="7"/>
        <v>0</v>
      </c>
      <c r="AD20" s="100">
        <f t="shared" si="8"/>
        <v>0</v>
      </c>
      <c r="AE20" s="100">
        <f t="shared" si="9"/>
        <v>0</v>
      </c>
      <c r="AF20" s="194">
        <f t="shared" si="25"/>
        <v>0</v>
      </c>
      <c r="AG20" s="194">
        <f t="shared" si="26"/>
        <v>0</v>
      </c>
      <c r="AH20" s="194">
        <f t="shared" si="27"/>
        <v>0</v>
      </c>
      <c r="AI20" s="199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4">
        <f t="shared" si="17"/>
        <v>0</v>
      </c>
      <c r="AR20" s="194">
        <f t="shared" si="17"/>
        <v>0</v>
      </c>
      <c r="AS20" s="194">
        <f t="shared" si="17"/>
        <v>0</v>
      </c>
      <c r="AT20" s="194">
        <f t="shared" si="17"/>
        <v>0</v>
      </c>
      <c r="AU20" s="33"/>
      <c r="AV20" s="33"/>
      <c r="AW20" s="33"/>
      <c r="AX20" s="33"/>
      <c r="AY20" s="164">
        <f t="shared" si="24"/>
        <v>0</v>
      </c>
    </row>
    <row r="21" spans="2:51">
      <c r="B21" s="386"/>
      <c r="C21" s="390"/>
      <c r="D21" s="388" t="s">
        <v>142</v>
      </c>
      <c r="E21" s="388"/>
      <c r="F21" s="102">
        <f>20.5*10%</f>
        <v>2.0500000000000003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0</v>
      </c>
      <c r="R21" s="33">
        <f t="shared" si="22"/>
        <v>106.60000000000002</v>
      </c>
      <c r="S21" s="33">
        <f t="shared" si="23"/>
        <v>40.50800000000001</v>
      </c>
      <c r="T21" s="33">
        <f t="shared" si="2"/>
        <v>12.133193308033782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298.62545760027291</v>
      </c>
      <c r="Y21" s="38">
        <f t="shared" si="5"/>
        <v>121.5895557951948</v>
      </c>
      <c r="AA21" s="71">
        <v>16</v>
      </c>
      <c r="AB21" s="33">
        <f t="shared" si="6"/>
        <v>0</v>
      </c>
      <c r="AC21" s="305">
        <f t="shared" si="7"/>
        <v>0</v>
      </c>
      <c r="AD21" s="100">
        <f t="shared" si="8"/>
        <v>0.56000000000000005</v>
      </c>
      <c r="AE21" s="100">
        <f t="shared" si="9"/>
        <v>0.44</v>
      </c>
      <c r="AF21" s="194">
        <f t="shared" si="25"/>
        <v>0</v>
      </c>
      <c r="AG21" s="194">
        <f t="shared" si="26"/>
        <v>0</v>
      </c>
      <c r="AH21" s="194">
        <f t="shared" si="27"/>
        <v>0</v>
      </c>
      <c r="AI21" s="199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4">
        <f t="shared" si="17"/>
        <v>0</v>
      </c>
      <c r="AR21" s="194">
        <f t="shared" si="17"/>
        <v>0</v>
      </c>
      <c r="AS21" s="194">
        <f t="shared" si="17"/>
        <v>0</v>
      </c>
      <c r="AT21" s="194">
        <f t="shared" si="17"/>
        <v>0</v>
      </c>
      <c r="AU21" s="33"/>
      <c r="AV21" s="33"/>
      <c r="AW21" s="33"/>
      <c r="AX21" s="33"/>
      <c r="AY21" s="164">
        <f t="shared" si="24"/>
        <v>0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44.524999999999991</v>
      </c>
      <c r="R22" s="33">
        <f t="shared" si="22"/>
        <v>151.125</v>
      </c>
      <c r="S22" s="33">
        <f t="shared" si="23"/>
        <v>57.427500000000002</v>
      </c>
      <c r="T22" s="33">
        <f t="shared" si="2"/>
        <v>16.516210820591226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338.15142066173581</v>
      </c>
      <c r="Y22" s="38">
        <f t="shared" si="5"/>
        <v>161.1155188566577</v>
      </c>
      <c r="AA22" s="71">
        <v>17</v>
      </c>
      <c r="AB22" s="33">
        <f t="shared" si="6"/>
        <v>0</v>
      </c>
      <c r="AC22" s="305">
        <f t="shared" si="7"/>
        <v>0</v>
      </c>
      <c r="AD22" s="100">
        <f t="shared" si="8"/>
        <v>0</v>
      </c>
      <c r="AE22" s="100">
        <f t="shared" si="9"/>
        <v>0</v>
      </c>
      <c r="AF22" s="194">
        <f t="shared" si="25"/>
        <v>0</v>
      </c>
      <c r="AG22" s="194">
        <f t="shared" si="26"/>
        <v>0</v>
      </c>
      <c r="AH22" s="194">
        <f t="shared" si="27"/>
        <v>0</v>
      </c>
      <c r="AI22" s="199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4">
        <f t="shared" si="17"/>
        <v>0</v>
      </c>
      <c r="AR22" s="194">
        <f t="shared" si="17"/>
        <v>0</v>
      </c>
      <c r="AS22" s="194">
        <f t="shared" si="17"/>
        <v>0</v>
      </c>
      <c r="AT22" s="194">
        <f t="shared" si="17"/>
        <v>0</v>
      </c>
      <c r="AU22" s="33"/>
      <c r="AV22" s="33"/>
      <c r="AW22" s="33"/>
      <c r="AX22" s="33"/>
      <c r="AY22" s="164">
        <f t="shared" si="24"/>
        <v>0</v>
      </c>
    </row>
    <row r="23" spans="2:51">
      <c r="B23" s="407" t="s">
        <v>141</v>
      </c>
      <c r="C23" s="408"/>
      <c r="D23" s="408"/>
      <c r="E23" s="408"/>
      <c r="F23" s="408"/>
      <c r="G23" s="40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44.524999999999991</v>
      </c>
      <c r="R23" s="33">
        <f t="shared" si="22"/>
        <v>195.64999999999998</v>
      </c>
      <c r="S23" s="33">
        <f t="shared" si="23"/>
        <v>74.346999999999994</v>
      </c>
      <c r="T23" s="33">
        <f t="shared" si="2"/>
        <v>20.749156591709855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377.39515925589768</v>
      </c>
      <c r="Y23" s="38">
        <f t="shared" si="5"/>
        <v>200.35925745081957</v>
      </c>
      <c r="AA23" s="71">
        <v>18</v>
      </c>
      <c r="AB23" s="33">
        <f t="shared" si="6"/>
        <v>0</v>
      </c>
      <c r="AC23" s="305">
        <f t="shared" si="7"/>
        <v>0</v>
      </c>
      <c r="AD23" s="100">
        <f t="shared" si="8"/>
        <v>0</v>
      </c>
      <c r="AE23" s="100">
        <f t="shared" si="9"/>
        <v>0</v>
      </c>
      <c r="AF23" s="194">
        <f t="shared" si="25"/>
        <v>0</v>
      </c>
      <c r="AG23" s="194">
        <f t="shared" si="26"/>
        <v>0</v>
      </c>
      <c r="AH23" s="194">
        <f t="shared" si="27"/>
        <v>0</v>
      </c>
      <c r="AI23" s="199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4">
        <f t="shared" si="17"/>
        <v>0</v>
      </c>
      <c r="AR23" s="194">
        <f t="shared" si="17"/>
        <v>0</v>
      </c>
      <c r="AS23" s="194">
        <f t="shared" si="17"/>
        <v>0</v>
      </c>
      <c r="AT23" s="194">
        <f t="shared" si="17"/>
        <v>0</v>
      </c>
      <c r="AU23" s="33"/>
      <c r="AV23" s="33"/>
      <c r="AW23" s="33"/>
      <c r="AX23" s="33"/>
      <c r="AY23" s="164">
        <f t="shared" si="24"/>
        <v>0</v>
      </c>
    </row>
    <row r="24" spans="2:51">
      <c r="B24" s="47" t="s">
        <v>113</v>
      </c>
      <c r="C24" s="48" t="s">
        <v>114</v>
      </c>
      <c r="D24" s="48" t="s">
        <v>83</v>
      </c>
      <c r="E24" s="48" t="s">
        <v>116</v>
      </c>
      <c r="F24" s="48" t="s">
        <v>115</v>
      </c>
      <c r="G24" s="49" t="s">
        <v>140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44.524999999999991</v>
      </c>
      <c r="R24" s="33">
        <f t="shared" si="22"/>
        <v>240.17499999999995</v>
      </c>
      <c r="S24" s="33">
        <f t="shared" si="23"/>
        <v>91.266499999999979</v>
      </c>
      <c r="T24" s="33">
        <f t="shared" si="2"/>
        <v>24.870425433032516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416.42390603888845</v>
      </c>
      <c r="Y24" s="38">
        <f t="shared" si="5"/>
        <v>239.38800423381034</v>
      </c>
      <c r="AA24" s="71">
        <v>19</v>
      </c>
      <c r="AB24" s="33">
        <f t="shared" si="6"/>
        <v>0</v>
      </c>
      <c r="AC24" s="305">
        <f t="shared" si="7"/>
        <v>0</v>
      </c>
      <c r="AD24" s="100">
        <f t="shared" si="8"/>
        <v>0</v>
      </c>
      <c r="AE24" s="100">
        <f t="shared" si="9"/>
        <v>0</v>
      </c>
      <c r="AF24" s="194">
        <f t="shared" si="25"/>
        <v>0</v>
      </c>
      <c r="AG24" s="194">
        <f t="shared" si="26"/>
        <v>0</v>
      </c>
      <c r="AH24" s="194">
        <f t="shared" si="27"/>
        <v>0</v>
      </c>
      <c r="AI24" s="199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4">
        <f t="shared" si="17"/>
        <v>0</v>
      </c>
      <c r="AR24" s="194">
        <f t="shared" si="17"/>
        <v>0</v>
      </c>
      <c r="AS24" s="194">
        <f t="shared" si="17"/>
        <v>0</v>
      </c>
      <c r="AT24" s="194">
        <f t="shared" si="17"/>
        <v>0</v>
      </c>
      <c r="AU24" s="33"/>
      <c r="AV24" s="33"/>
      <c r="AW24" s="33"/>
      <c r="AX24" s="33"/>
      <c r="AY24" s="164">
        <f t="shared" si="24"/>
        <v>0</v>
      </c>
    </row>
    <row r="25" spans="2:51">
      <c r="B25" s="45">
        <v>0</v>
      </c>
      <c r="C25" s="334">
        <v>15</v>
      </c>
      <c r="D25" s="136">
        <f>D26+0</f>
        <v>82</v>
      </c>
      <c r="E25" s="140">
        <f t="shared" ref="E25:E52" si="29">$F$20</f>
        <v>1.3</v>
      </c>
      <c r="F25" s="46">
        <f t="shared" ref="F25:F52" si="30">D25*E25</f>
        <v>106.60000000000001</v>
      </c>
      <c r="G25" s="50">
        <f>F25/(C25-B25)</f>
        <v>7.1066666666666674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44.524999999999991</v>
      </c>
      <c r="R25" s="33">
        <f t="shared" si="22"/>
        <v>284.69999999999993</v>
      </c>
      <c r="S25" s="33">
        <f t="shared" si="23"/>
        <v>108.18599999999998</v>
      </c>
      <c r="T25" s="33">
        <f t="shared" si="2"/>
        <v>28.903179285438036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455.27835680903354</v>
      </c>
      <c r="Y25" s="38">
        <f t="shared" si="5"/>
        <v>278.24245500395546</v>
      </c>
      <c r="AA25" s="71">
        <v>20</v>
      </c>
      <c r="AB25" s="33">
        <f t="shared" si="6"/>
        <v>0</v>
      </c>
      <c r="AC25" s="305">
        <f t="shared" si="7"/>
        <v>0</v>
      </c>
      <c r="AD25" s="100">
        <f t="shared" si="8"/>
        <v>0</v>
      </c>
      <c r="AE25" s="100">
        <f t="shared" si="9"/>
        <v>0</v>
      </c>
      <c r="AF25" s="194">
        <f>IF(OR(AA25&lt;=$F$18,AA25&lt;=30),EXP(-LN(2)/$D$104)*AF24+((1-EXP(-LN(2)/$D$104))/(LN(2)/$D$104))*$AB25*AC25*0.475*$F$19*44/12,)</f>
        <v>0</v>
      </c>
      <c r="AG25" s="194">
        <f>IF(OR(AA25&lt;=$F$18,AA25&lt;=30),EXP(-LN(2)/$D$106)*AG24+((1-EXP(-LN(2)/$D$106))/(LN(2)/$D$106))*$AB25*AD25*0.475*$F$19*44/12,)</f>
        <v>0</v>
      </c>
      <c r="AH25" s="194">
        <f>IF(OR(AA25&lt;=$F$18,AA25&lt;=30),EXP(-LN(2)/$D$105)*AH24+((1-EXP(-LN(2)/$D$105))/(LN(2)/$D$105))*$AB25*AE25*0.475*$F$19*44/12,)</f>
        <v>0</v>
      </c>
      <c r="AI25" s="199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4">
        <f>IF($AK25&lt;=$F$18,$AL25*AM25,)</f>
        <v>0</v>
      </c>
      <c r="AR25" s="194">
        <f>IF($AK25&lt;=$F$18,$AL25*AN25,)</f>
        <v>0</v>
      </c>
      <c r="AS25" s="194">
        <f>IF($AK25&lt;=$F$18,$AL25*AO25,)</f>
        <v>0</v>
      </c>
      <c r="AT25" s="194">
        <f>IF($AK25&lt;=$F$18,$AL25*AP25,)</f>
        <v>0</v>
      </c>
      <c r="AU25" s="33"/>
      <c r="AV25" s="33"/>
      <c r="AW25" s="33"/>
      <c r="AX25" s="33"/>
      <c r="AY25" s="164">
        <f t="shared" si="24"/>
        <v>0</v>
      </c>
    </row>
    <row r="26" spans="2:51">
      <c r="B26" s="40">
        <f t="shared" ref="B26:B52" si="31">C25</f>
        <v>15</v>
      </c>
      <c r="C26" s="41">
        <f>B26+1</f>
        <v>16</v>
      </c>
      <c r="D26" s="137">
        <v>82</v>
      </c>
      <c r="E26" s="141">
        <f t="shared" si="29"/>
        <v>1.3</v>
      </c>
      <c r="F26" s="42">
        <f t="shared" si="30"/>
        <v>106.60000000000001</v>
      </c>
      <c r="G26" s="142">
        <f>(F26-F25)/(C26-B26)</f>
        <v>0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-114.39999999999998</v>
      </c>
      <c r="R26" s="33">
        <f t="shared" si="22"/>
        <v>170.29999999999995</v>
      </c>
      <c r="S26" s="33">
        <f t="shared" si="23"/>
        <v>64.713999999999984</v>
      </c>
      <c r="T26" s="33">
        <f t="shared" si="2"/>
        <v>18.354819319966147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363.53572202481541</v>
      </c>
      <c r="Y26" s="38">
        <f t="shared" si="5"/>
        <v>186.4998202197373</v>
      </c>
      <c r="AA26" s="71">
        <v>21</v>
      </c>
      <c r="AB26" s="33">
        <f t="shared" si="6"/>
        <v>88</v>
      </c>
      <c r="AC26" s="305">
        <f t="shared" si="7"/>
        <v>0</v>
      </c>
      <c r="AD26" s="100">
        <f t="shared" si="8"/>
        <v>0.56000000000000005</v>
      </c>
      <c r="AE26" s="100">
        <f t="shared" si="9"/>
        <v>0.44</v>
      </c>
      <c r="AF26" s="194">
        <f>IF(OR(AA26&lt;=$F$18,AA26&lt;=30),EXP(-LN(2)/$D$104)*AF25+((1-EXP(-LN(2)/$D$104))/(LN(2)/$D$104))*$AB26*AC26*0.475*$F$19*44/12,)</f>
        <v>0</v>
      </c>
      <c r="AG26" s="194">
        <f>IF(OR(AA26&lt;=$F$18,AA26&lt;=30),EXP(-LN(2)/$D$106)*AG25+((1-EXP(-LN(2)/$D$106))/(LN(2)/$D$106))*$AB26*AD26*0.475*$F$19*44/12,)</f>
        <v>32.167154601838909</v>
      </c>
      <c r="AH26" s="194">
        <f>IF(OR(AA26&lt;=$F$18,AA26&lt;=30),EXP(-LN(2)/$D$105)*AH25+((1-EXP(-LN(2)/$D$105))/(LN(2)/$D$105))*$AB26*AE26*0.475*$F$19*44/12,)</f>
        <v>21.656977072751033</v>
      </c>
      <c r="AI26" s="199">
        <f>IF(OR(AA26&lt;=$F$18,AA26&lt;=30),SUM(AF26:AH26),)</f>
        <v>53.824131674589943</v>
      </c>
      <c r="AK26" s="71">
        <v>21</v>
      </c>
      <c r="AL26" s="33">
        <f t="shared" si="10"/>
        <v>88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4">
        <f t="shared" ref="AQ26:AT35" si="32">IF($AK26&lt;=$F$18,$AL26*AM26,)</f>
        <v>0</v>
      </c>
      <c r="AR26" s="194">
        <f t="shared" si="32"/>
        <v>49.28</v>
      </c>
      <c r="AS26" s="194">
        <f t="shared" si="32"/>
        <v>38.72</v>
      </c>
      <c r="AT26" s="194">
        <f t="shared" si="32"/>
        <v>0</v>
      </c>
      <c r="AU26" s="33"/>
      <c r="AV26" s="33"/>
      <c r="AW26" s="33"/>
      <c r="AX26" s="33"/>
      <c r="AY26" s="164">
        <f t="shared" si="24"/>
        <v>37.839999999999996</v>
      </c>
    </row>
    <row r="27" spans="2:51">
      <c r="B27" s="40">
        <f t="shared" si="31"/>
        <v>16</v>
      </c>
      <c r="C27" s="152">
        <f>C25+5</f>
        <v>20</v>
      </c>
      <c r="D27" s="137">
        <f>D28+88</f>
        <v>219</v>
      </c>
      <c r="E27" s="141">
        <f t="shared" si="29"/>
        <v>1.3</v>
      </c>
      <c r="F27" s="42">
        <f t="shared" si="30"/>
        <v>284.7</v>
      </c>
      <c r="G27" s="51">
        <f t="shared" ref="G27:G52" si="33">(F27-F26)/(C27-B27)</f>
        <v>44.524999999999991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60.45</v>
      </c>
      <c r="R27" s="33">
        <f t="shared" si="22"/>
        <v>230.74999999999994</v>
      </c>
      <c r="S27" s="33">
        <f t="shared" si="23"/>
        <v>87.684999999999974</v>
      </c>
      <c r="T27" s="33">
        <f t="shared" si="2"/>
        <v>24.006058800685025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415.70950798132804</v>
      </c>
      <c r="Y27" s="38">
        <f t="shared" si="5"/>
        <v>238.67360617624993</v>
      </c>
      <c r="AA27" s="71">
        <v>22</v>
      </c>
      <c r="AB27" s="33">
        <f t="shared" si="6"/>
        <v>0</v>
      </c>
      <c r="AC27" s="305">
        <f t="shared" si="7"/>
        <v>0</v>
      </c>
      <c r="AD27" s="100">
        <f t="shared" si="8"/>
        <v>0</v>
      </c>
      <c r="AE27" s="100">
        <f t="shared" si="9"/>
        <v>0</v>
      </c>
      <c r="AF27" s="194">
        <f t="shared" ref="AF27:AF90" si="34">IF(OR(AA27&lt;=$F$18,AA27&lt;=30),EXP(-LN(2)/$D$104)*AF26+((1-EXP(-LN(2)/$D$104))/(LN(2)/$D$104))*$AB27*AC27*0.475*$F$19*44/12,)</f>
        <v>0</v>
      </c>
      <c r="AG27" s="194">
        <f t="shared" ref="AG27:AG90" si="35">IF(OR(AA27&lt;=$F$18,AA27&lt;=30),EXP(-LN(2)/$D$106)*AG26+((1-EXP(-LN(2)/$D$106))/(LN(2)/$D$106))*$AB27*AD27*0.475*$F$19*44/12,)</f>
        <v>31.287542067654481</v>
      </c>
      <c r="AH27" s="194">
        <f t="shared" ref="AH27:AH90" si="36">IF(OR(AA27&lt;=$F$18,AA27&lt;=30),EXP(-LN(2)/$D$105)*AH26+((1-EXP(-LN(2)/$D$105))/(LN(2)/$D$105))*$AB27*AE27*0.475*$F$19*44/12,)</f>
        <v>15.313795348143842</v>
      </c>
      <c r="AI27" s="199">
        <f t="shared" ref="AI27:AI90" si="37">IF(OR(AA27&lt;=$F$18,AA27&lt;=30),SUM(AF27:AH27),)</f>
        <v>46.601337415798326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4">
        <f t="shared" si="32"/>
        <v>0</v>
      </c>
      <c r="AR27" s="194">
        <f t="shared" si="32"/>
        <v>0</v>
      </c>
      <c r="AS27" s="194">
        <f t="shared" si="32"/>
        <v>0</v>
      </c>
      <c r="AT27" s="194">
        <f t="shared" si="32"/>
        <v>0</v>
      </c>
      <c r="AU27" s="33"/>
      <c r="AV27" s="33"/>
      <c r="AW27" s="33"/>
      <c r="AX27" s="33"/>
      <c r="AY27" s="164">
        <f t="shared" si="24"/>
        <v>37.839999999999996</v>
      </c>
    </row>
    <row r="28" spans="2:51">
      <c r="B28" s="40">
        <f t="shared" si="31"/>
        <v>20</v>
      </c>
      <c r="C28" s="152">
        <f>C26+5</f>
        <v>21</v>
      </c>
      <c r="D28" s="137">
        <v>131</v>
      </c>
      <c r="E28" s="141">
        <f t="shared" si="29"/>
        <v>1.3</v>
      </c>
      <c r="F28" s="42">
        <f t="shared" si="30"/>
        <v>170.3</v>
      </c>
      <c r="G28" s="51">
        <f t="shared" si="33"/>
        <v>-114.39999999999998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60.45</v>
      </c>
      <c r="R28" s="33">
        <f t="shared" si="22"/>
        <v>291.19999999999993</v>
      </c>
      <c r="S28" s="33">
        <f t="shared" si="23"/>
        <v>110.65599999999998</v>
      </c>
      <c r="T28" s="33">
        <f t="shared" si="2"/>
        <v>29.485489763046573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467.56495804685255</v>
      </c>
      <c r="Y28" s="38">
        <f t="shared" si="5"/>
        <v>290.52905624177447</v>
      </c>
      <c r="AA28" s="71">
        <v>23</v>
      </c>
      <c r="AB28" s="33">
        <f t="shared" si="6"/>
        <v>0</v>
      </c>
      <c r="AC28" s="305">
        <f t="shared" si="7"/>
        <v>0</v>
      </c>
      <c r="AD28" s="100">
        <f t="shared" si="8"/>
        <v>0</v>
      </c>
      <c r="AE28" s="100">
        <f t="shared" si="9"/>
        <v>0</v>
      </c>
      <c r="AF28" s="194">
        <f t="shared" si="34"/>
        <v>0</v>
      </c>
      <c r="AG28" s="194">
        <f t="shared" si="35"/>
        <v>30.431982584474142</v>
      </c>
      <c r="AH28" s="194">
        <f t="shared" si="36"/>
        <v>10.828488536375518</v>
      </c>
      <c r="AI28" s="199">
        <f t="shared" si="37"/>
        <v>41.260471120849658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4">
        <f t="shared" si="32"/>
        <v>0</v>
      </c>
      <c r="AR28" s="194">
        <f t="shared" si="32"/>
        <v>0</v>
      </c>
      <c r="AS28" s="194">
        <f t="shared" si="32"/>
        <v>0</v>
      </c>
      <c r="AT28" s="194">
        <f t="shared" si="32"/>
        <v>0</v>
      </c>
      <c r="AU28" s="33"/>
      <c r="AV28" s="33"/>
      <c r="AW28" s="33"/>
      <c r="AX28" s="33"/>
      <c r="AY28" s="164">
        <f t="shared" si="24"/>
        <v>37.839999999999996</v>
      </c>
    </row>
    <row r="29" spans="2:51">
      <c r="B29" s="40">
        <f t="shared" si="31"/>
        <v>21</v>
      </c>
      <c r="C29" s="152">
        <f t="shared" ref="C29:C52" si="38">C27+5</f>
        <v>25</v>
      </c>
      <c r="D29" s="137">
        <f>D30+91</f>
        <v>317</v>
      </c>
      <c r="E29" s="141">
        <f t="shared" si="29"/>
        <v>1.3</v>
      </c>
      <c r="F29" s="42">
        <f t="shared" si="30"/>
        <v>412.1</v>
      </c>
      <c r="G29" s="51">
        <f t="shared" si="33"/>
        <v>60.45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60.45</v>
      </c>
      <c r="R29" s="33">
        <f t="shared" si="22"/>
        <v>351.64999999999992</v>
      </c>
      <c r="S29" s="33">
        <f t="shared" si="23"/>
        <v>133.62699999999998</v>
      </c>
      <c r="T29" s="33">
        <f t="shared" si="2"/>
        <v>34.833105586354982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519.17205874652143</v>
      </c>
      <c r="Y29" s="38">
        <f t="shared" si="5"/>
        <v>342.13615694144335</v>
      </c>
      <c r="AA29" s="71">
        <v>24</v>
      </c>
      <c r="AB29" s="33">
        <f t="shared" si="6"/>
        <v>0</v>
      </c>
      <c r="AC29" s="305">
        <f t="shared" si="7"/>
        <v>0</v>
      </c>
      <c r="AD29" s="100">
        <f t="shared" si="8"/>
        <v>0</v>
      </c>
      <c r="AE29" s="100">
        <f t="shared" si="9"/>
        <v>0</v>
      </c>
      <c r="AF29" s="194">
        <f t="shared" si="34"/>
        <v>0</v>
      </c>
      <c r="AG29" s="194">
        <f t="shared" si="35"/>
        <v>29.599818420353284</v>
      </c>
      <c r="AH29" s="194">
        <f t="shared" si="36"/>
        <v>7.6568976740719226</v>
      </c>
      <c r="AI29" s="199">
        <f t="shared" si="37"/>
        <v>37.256716094425208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4">
        <f t="shared" si="32"/>
        <v>0</v>
      </c>
      <c r="AR29" s="194">
        <f t="shared" si="32"/>
        <v>0</v>
      </c>
      <c r="AS29" s="194">
        <f t="shared" si="32"/>
        <v>0</v>
      </c>
      <c r="AT29" s="194">
        <f t="shared" si="32"/>
        <v>0</v>
      </c>
      <c r="AU29" s="33"/>
      <c r="AV29" s="33"/>
      <c r="AW29" s="33"/>
      <c r="AX29" s="33"/>
      <c r="AY29" s="164">
        <f t="shared" si="24"/>
        <v>37.839999999999996</v>
      </c>
    </row>
    <row r="30" spans="2:51">
      <c r="B30" s="40">
        <f t="shared" si="31"/>
        <v>25</v>
      </c>
      <c r="C30" s="152">
        <f t="shared" si="38"/>
        <v>26</v>
      </c>
      <c r="D30" s="137">
        <v>226</v>
      </c>
      <c r="E30" s="141">
        <f t="shared" si="29"/>
        <v>1.3</v>
      </c>
      <c r="F30" s="42">
        <f t="shared" si="30"/>
        <v>293.8</v>
      </c>
      <c r="G30" s="51">
        <f t="shared" si="33"/>
        <v>-118.30000000000001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60.45</v>
      </c>
      <c r="R30" s="33">
        <f t="shared" si="22"/>
        <v>412.09999999999991</v>
      </c>
      <c r="S30" s="33">
        <f t="shared" si="23"/>
        <v>156.59799999999996</v>
      </c>
      <c r="T30" s="33">
        <f t="shared" si="2"/>
        <v>40.07422765723534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570.57523713601688</v>
      </c>
      <c r="Y30" s="38">
        <f t="shared" si="5"/>
        <v>393.5393353309388</v>
      </c>
      <c r="AA30" s="71">
        <v>25</v>
      </c>
      <c r="AB30" s="33">
        <f t="shared" si="6"/>
        <v>0</v>
      </c>
      <c r="AC30" s="305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4">
        <f t="shared" si="34"/>
        <v>0</v>
      </c>
      <c r="AG30" s="194">
        <f t="shared" si="35"/>
        <v>28.790409829061925</v>
      </c>
      <c r="AH30" s="194">
        <f t="shared" si="36"/>
        <v>5.4142442681877601</v>
      </c>
      <c r="AI30" s="199">
        <f t="shared" si="37"/>
        <v>34.204654097249687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4">
        <f t="shared" si="32"/>
        <v>0</v>
      </c>
      <c r="AR30" s="194">
        <f t="shared" si="32"/>
        <v>0</v>
      </c>
      <c r="AS30" s="194">
        <f t="shared" si="32"/>
        <v>0</v>
      </c>
      <c r="AT30" s="194">
        <f t="shared" si="32"/>
        <v>0</v>
      </c>
      <c r="AU30" s="33"/>
      <c r="AV30" s="33"/>
      <c r="AW30" s="33"/>
      <c r="AX30" s="33"/>
      <c r="AY30" s="164">
        <f t="shared" si="24"/>
        <v>37.839999999999996</v>
      </c>
    </row>
    <row r="31" spans="2:51">
      <c r="B31" s="40">
        <f t="shared" si="31"/>
        <v>26</v>
      </c>
      <c r="C31" s="152">
        <f t="shared" si="38"/>
        <v>30</v>
      </c>
      <c r="D31" s="137">
        <f>D32+91</f>
        <v>429</v>
      </c>
      <c r="E31" s="141">
        <f t="shared" si="29"/>
        <v>1.3</v>
      </c>
      <c r="F31" s="42">
        <f t="shared" si="30"/>
        <v>557.70000000000005</v>
      </c>
      <c r="G31" s="51">
        <f t="shared" si="33"/>
        <v>65.975000000000009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-118.30000000000001</v>
      </c>
      <c r="R31" s="33">
        <f t="shared" si="22"/>
        <v>293.7999999999999</v>
      </c>
      <c r="S31" s="33">
        <f t="shared" si="23"/>
        <v>111.64399999999996</v>
      </c>
      <c r="T31" s="33">
        <f t="shared" si="2"/>
        <v>29.717988736923768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476.49217776599903</v>
      </c>
      <c r="Y31" s="38">
        <f t="shared" si="5"/>
        <v>299.45627596092095</v>
      </c>
      <c r="AA31" s="71">
        <v>26</v>
      </c>
      <c r="AB31" s="33">
        <f t="shared" si="6"/>
        <v>91</v>
      </c>
      <c r="AC31" s="305">
        <f t="shared" ref="AC31:AC94" si="39">IF(AA31&lt;=$F$18,IFERROR(VLOOKUP($AA31,$B$82:$G$94,3,FALSE),0),)*50%</f>
        <v>0</v>
      </c>
      <c r="AD31" s="100">
        <f t="shared" si="8"/>
        <v>0.56000000000000005</v>
      </c>
      <c r="AE31" s="100">
        <f t="shared" si="9"/>
        <v>0.44</v>
      </c>
      <c r="AF31" s="194">
        <f t="shared" si="34"/>
        <v>0</v>
      </c>
      <c r="AG31" s="194">
        <f t="shared" si="35"/>
        <v>61.266896703347783</v>
      </c>
      <c r="AH31" s="194">
        <f t="shared" si="36"/>
        <v>26.22373194635805</v>
      </c>
      <c r="AI31" s="199">
        <f t="shared" si="37"/>
        <v>87.490628649705826</v>
      </c>
      <c r="AK31" s="71">
        <v>26</v>
      </c>
      <c r="AL31" s="33">
        <f t="shared" si="10"/>
        <v>91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4">
        <f t="shared" si="32"/>
        <v>0</v>
      </c>
      <c r="AR31" s="194">
        <f t="shared" si="32"/>
        <v>50.960000000000008</v>
      </c>
      <c r="AS31" s="194">
        <f t="shared" si="32"/>
        <v>40.04</v>
      </c>
      <c r="AT31" s="194">
        <f t="shared" si="32"/>
        <v>0</v>
      </c>
      <c r="AU31" s="33"/>
      <c r="AV31" s="33"/>
      <c r="AW31" s="33"/>
      <c r="AX31" s="33"/>
      <c r="AY31" s="164">
        <f t="shared" si="24"/>
        <v>76.97</v>
      </c>
    </row>
    <row r="32" spans="2:51">
      <c r="B32" s="40">
        <f t="shared" si="31"/>
        <v>30</v>
      </c>
      <c r="C32" s="152">
        <f t="shared" si="38"/>
        <v>31</v>
      </c>
      <c r="D32" s="137">
        <v>338</v>
      </c>
      <c r="E32" s="141">
        <f t="shared" si="29"/>
        <v>1.3</v>
      </c>
      <c r="F32" s="42">
        <f t="shared" si="30"/>
        <v>439.40000000000003</v>
      </c>
      <c r="G32" s="51">
        <f t="shared" si="33"/>
        <v>-118.30000000000001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65.975000000000009</v>
      </c>
      <c r="R32" s="33">
        <f t="shared" si="22"/>
        <v>359.77499999999992</v>
      </c>
      <c r="S32" s="33">
        <f t="shared" si="23"/>
        <v>136.71449999999996</v>
      </c>
      <c r="T32" s="33">
        <f t="shared" si="2"/>
        <v>35.543306482930952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532.5335224970014</v>
      </c>
      <c r="Y32" s="38">
        <f t="shared" si="5"/>
        <v>355.49762069192332</v>
      </c>
      <c r="AA32" s="71">
        <v>27</v>
      </c>
      <c r="AB32" s="33">
        <f t="shared" si="6"/>
        <v>0</v>
      </c>
      <c r="AC32" s="305">
        <f t="shared" si="39"/>
        <v>0</v>
      </c>
      <c r="AD32" s="100">
        <f t="shared" si="8"/>
        <v>0</v>
      </c>
      <c r="AE32" s="100">
        <f t="shared" si="9"/>
        <v>0</v>
      </c>
      <c r="AF32" s="194">
        <f t="shared" si="34"/>
        <v>0</v>
      </c>
      <c r="AG32" s="194">
        <f t="shared" si="35"/>
        <v>59.591550191108666</v>
      </c>
      <c r="AH32" s="194">
        <f t="shared" si="36"/>
        <v>18.54297868728808</v>
      </c>
      <c r="AI32" s="199">
        <f t="shared" si="37"/>
        <v>78.13452887839675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4">
        <f t="shared" si="32"/>
        <v>0</v>
      </c>
      <c r="AR32" s="194">
        <f t="shared" si="32"/>
        <v>0</v>
      </c>
      <c r="AS32" s="194">
        <f t="shared" si="32"/>
        <v>0</v>
      </c>
      <c r="AT32" s="194">
        <f t="shared" si="32"/>
        <v>0</v>
      </c>
      <c r="AU32" s="33"/>
      <c r="AV32" s="33"/>
      <c r="AW32" s="33"/>
      <c r="AX32" s="33"/>
      <c r="AY32" s="164">
        <f t="shared" si="24"/>
        <v>76.97</v>
      </c>
    </row>
    <row r="33" spans="2:51">
      <c r="B33" s="40">
        <f t="shared" si="31"/>
        <v>31</v>
      </c>
      <c r="C33" s="152">
        <f t="shared" si="38"/>
        <v>35</v>
      </c>
      <c r="D33" s="137">
        <f>D34+91</f>
        <v>536</v>
      </c>
      <c r="E33" s="141">
        <f t="shared" si="29"/>
        <v>1.3</v>
      </c>
      <c r="F33" s="42">
        <f t="shared" si="30"/>
        <v>696.80000000000007</v>
      </c>
      <c r="G33" s="51">
        <f t="shared" si="33"/>
        <v>64.350000000000009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65.975000000000009</v>
      </c>
      <c r="R33" s="33">
        <f t="shared" si="22"/>
        <v>425.74999999999994</v>
      </c>
      <c r="S33" s="33">
        <f t="shared" si="23"/>
        <v>161.78499999999997</v>
      </c>
      <c r="T33" s="33">
        <f t="shared" si="2"/>
        <v>41.244866804869112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588.34182077379774</v>
      </c>
      <c r="Y33" s="38">
        <f t="shared" si="5"/>
        <v>411.30591896871965</v>
      </c>
      <c r="AA33" s="71">
        <v>28</v>
      </c>
      <c r="AB33" s="33">
        <f t="shared" si="6"/>
        <v>0</v>
      </c>
      <c r="AC33" s="305">
        <f t="shared" si="39"/>
        <v>0</v>
      </c>
      <c r="AD33" s="100">
        <f t="shared" si="8"/>
        <v>0</v>
      </c>
      <c r="AE33" s="100">
        <f t="shared" si="9"/>
        <v>0</v>
      </c>
      <c r="AF33" s="194">
        <f t="shared" si="34"/>
        <v>0</v>
      </c>
      <c r="AG33" s="194">
        <f t="shared" si="35"/>
        <v>57.962016117349371</v>
      </c>
      <c r="AH33" s="194">
        <f t="shared" si="36"/>
        <v>13.111865973179027</v>
      </c>
      <c r="AI33" s="199">
        <f t="shared" si="37"/>
        <v>71.0738820905284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4">
        <f t="shared" si="32"/>
        <v>0</v>
      </c>
      <c r="AR33" s="194">
        <f t="shared" si="32"/>
        <v>0</v>
      </c>
      <c r="AS33" s="194">
        <f t="shared" si="32"/>
        <v>0</v>
      </c>
      <c r="AT33" s="194">
        <f t="shared" si="32"/>
        <v>0</v>
      </c>
      <c r="AU33" s="33"/>
      <c r="AV33" s="33"/>
      <c r="AW33" s="33"/>
      <c r="AX33" s="33"/>
      <c r="AY33" s="164">
        <f t="shared" si="24"/>
        <v>76.97</v>
      </c>
    </row>
    <row r="34" spans="2:51" ht="16" thickBot="1">
      <c r="B34" s="40">
        <f t="shared" si="31"/>
        <v>35</v>
      </c>
      <c r="C34" s="152">
        <f t="shared" si="38"/>
        <v>36</v>
      </c>
      <c r="D34" s="137">
        <v>445</v>
      </c>
      <c r="E34" s="141">
        <f t="shared" si="29"/>
        <v>1.3</v>
      </c>
      <c r="F34" s="42">
        <f t="shared" si="30"/>
        <v>578.5</v>
      </c>
      <c r="G34" s="51">
        <f t="shared" si="33"/>
        <v>-118.30000000000007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65.975000000000009</v>
      </c>
      <c r="R34" s="33">
        <f t="shared" si="22"/>
        <v>491.72499999999997</v>
      </c>
      <c r="S34" s="33">
        <f t="shared" si="23"/>
        <v>186.85549999999998</v>
      </c>
      <c r="T34" s="33">
        <f t="shared" si="2"/>
        <v>46.844074759176735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643.95465669500845</v>
      </c>
      <c r="Y34" s="38">
        <f t="shared" si="5"/>
        <v>466.91875488993037</v>
      </c>
      <c r="AA34" s="71">
        <v>29</v>
      </c>
      <c r="AB34" s="143">
        <f t="shared" si="6"/>
        <v>0</v>
      </c>
      <c r="AC34" s="305">
        <f t="shared" si="39"/>
        <v>0</v>
      </c>
      <c r="AD34" s="101">
        <f t="shared" si="8"/>
        <v>0</v>
      </c>
      <c r="AE34" s="101">
        <f t="shared" si="9"/>
        <v>0</v>
      </c>
      <c r="AF34" s="196">
        <f t="shared" si="34"/>
        <v>0</v>
      </c>
      <c r="AG34" s="196">
        <f t="shared" si="35"/>
        <v>56.377041738530501</v>
      </c>
      <c r="AH34" s="194">
        <f t="shared" si="36"/>
        <v>9.2714893436440402</v>
      </c>
      <c r="AI34" s="199">
        <f t="shared" si="37"/>
        <v>65.648531082174543</v>
      </c>
      <c r="AK34" s="71">
        <v>29</v>
      </c>
      <c r="AL34" s="143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4">
        <f t="shared" si="32"/>
        <v>0</v>
      </c>
      <c r="AR34" s="194">
        <f t="shared" si="32"/>
        <v>0</v>
      </c>
      <c r="AS34" s="194">
        <f t="shared" si="32"/>
        <v>0</v>
      </c>
      <c r="AT34" s="194">
        <f t="shared" si="32"/>
        <v>0</v>
      </c>
      <c r="AU34" s="33"/>
      <c r="AV34" s="33"/>
      <c r="AW34" s="33"/>
      <c r="AX34" s="33"/>
      <c r="AY34" s="164">
        <f t="shared" si="24"/>
        <v>76.97</v>
      </c>
    </row>
    <row r="35" spans="2:51" ht="16" thickBot="1">
      <c r="B35" s="40">
        <f t="shared" si="31"/>
        <v>36</v>
      </c>
      <c r="C35" s="152">
        <f t="shared" si="38"/>
        <v>40</v>
      </c>
      <c r="D35" s="137">
        <f>D36+91</f>
        <v>627</v>
      </c>
      <c r="E35" s="141">
        <f t="shared" si="29"/>
        <v>1.3</v>
      </c>
      <c r="F35" s="42">
        <f t="shared" si="30"/>
        <v>815.1</v>
      </c>
      <c r="G35" s="51">
        <f t="shared" si="33"/>
        <v>59.150000000000006</v>
      </c>
      <c r="I35" s="87">
        <v>30</v>
      </c>
      <c r="J35" s="159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65.975000000000009</v>
      </c>
      <c r="R35" s="54">
        <f t="shared" si="22"/>
        <v>557.69999999999993</v>
      </c>
      <c r="S35" s="53">
        <f t="shared" si="23"/>
        <v>211.92599999999999</v>
      </c>
      <c r="T35" s="54">
        <f t="shared" si="2"/>
        <v>52.356241262970116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699.39899513271484</v>
      </c>
      <c r="Y35" s="65">
        <f t="shared" si="5"/>
        <v>522.36309332763676</v>
      </c>
      <c r="AA35" s="73">
        <v>30</v>
      </c>
      <c r="AB35" s="143">
        <f t="shared" si="6"/>
        <v>0</v>
      </c>
      <c r="AC35" s="305">
        <f t="shared" si="39"/>
        <v>0</v>
      </c>
      <c r="AD35" s="101">
        <f t="shared" si="8"/>
        <v>0</v>
      </c>
      <c r="AE35" s="101">
        <f t="shared" si="9"/>
        <v>0</v>
      </c>
      <c r="AF35" s="200">
        <f t="shared" si="34"/>
        <v>0</v>
      </c>
      <c r="AG35" s="195">
        <f t="shared" si="35"/>
        <v>54.835408567450614</v>
      </c>
      <c r="AH35" s="201">
        <f t="shared" si="36"/>
        <v>6.5559329865895135</v>
      </c>
      <c r="AI35" s="202">
        <f t="shared" si="37"/>
        <v>61.391341554040125</v>
      </c>
      <c r="AK35" s="73">
        <v>30</v>
      </c>
      <c r="AL35" s="143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5">
        <f t="shared" si="32"/>
        <v>0</v>
      </c>
      <c r="AR35" s="195">
        <f t="shared" si="32"/>
        <v>0</v>
      </c>
      <c r="AS35" s="195">
        <f t="shared" si="32"/>
        <v>0</v>
      </c>
      <c r="AT35" s="195">
        <f t="shared" si="32"/>
        <v>0</v>
      </c>
      <c r="AU35" s="53"/>
      <c r="AV35" s="53"/>
      <c r="AW35" s="53"/>
      <c r="AX35" s="53"/>
      <c r="AY35" s="165">
        <f t="shared" si="24"/>
        <v>76.97</v>
      </c>
    </row>
    <row r="36" spans="2:51">
      <c r="B36" s="40">
        <f t="shared" si="31"/>
        <v>40</v>
      </c>
      <c r="C36" s="152">
        <f t="shared" si="38"/>
        <v>41</v>
      </c>
      <c r="D36" s="137">
        <v>536</v>
      </c>
      <c r="E36" s="141">
        <f t="shared" si="29"/>
        <v>1.3</v>
      </c>
      <c r="F36" s="42">
        <f t="shared" si="30"/>
        <v>696.80000000000007</v>
      </c>
      <c r="G36" s="51">
        <f t="shared" si="33"/>
        <v>-118.29999999999995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-118.30000000000001</v>
      </c>
      <c r="R36" s="33">
        <f t="shared" si="22"/>
        <v>439.39999999999992</v>
      </c>
      <c r="S36" s="33">
        <f t="shared" si="23"/>
        <v>166.97199999999998</v>
      </c>
      <c r="T36" s="33">
        <f t="shared" si="2"/>
        <v>42.411144586742886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604.72376670139477</v>
      </c>
      <c r="Y36" s="38">
        <f t="shared" si="5"/>
        <v>427.68786489631668</v>
      </c>
      <c r="AA36" s="71">
        <v>31</v>
      </c>
      <c r="AB36" s="33">
        <f t="shared" si="6"/>
        <v>91</v>
      </c>
      <c r="AC36" s="305">
        <f t="shared" si="39"/>
        <v>0.1</v>
      </c>
      <c r="AD36" s="100">
        <f t="shared" si="8"/>
        <v>0.44800000000000006</v>
      </c>
      <c r="AE36" s="100">
        <f t="shared" si="9"/>
        <v>0.35200000000000004</v>
      </c>
      <c r="AF36" s="194">
        <f t="shared" si="34"/>
        <v>5.96343785298291</v>
      </c>
      <c r="AG36" s="194">
        <f t="shared" si="35"/>
        <v>79.946941152571597</v>
      </c>
      <c r="AH36" s="194">
        <f t="shared" si="36"/>
        <v>22.551971159279695</v>
      </c>
      <c r="AI36" s="199">
        <f t="shared" si="37"/>
        <v>108.46235016483419</v>
      </c>
      <c r="AK36" s="71">
        <v>31</v>
      </c>
      <c r="AL36" s="33"/>
      <c r="AM36" s="33"/>
      <c r="AN36" s="33"/>
      <c r="AO36" s="33"/>
      <c r="AP36" s="33"/>
      <c r="AQ36" s="194"/>
      <c r="AR36" s="194"/>
      <c r="AS36" s="194"/>
      <c r="AT36" s="194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2">
        <f t="shared" si="38"/>
        <v>45</v>
      </c>
      <c r="D37" s="137">
        <f>D38+74</f>
        <v>701</v>
      </c>
      <c r="E37" s="141">
        <f t="shared" si="29"/>
        <v>1.3</v>
      </c>
      <c r="F37" s="42">
        <f t="shared" si="30"/>
        <v>911.30000000000007</v>
      </c>
      <c r="G37" s="51">
        <f t="shared" si="33"/>
        <v>53.625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64.350000000000009</v>
      </c>
      <c r="R37" s="33">
        <f t="shared" si="22"/>
        <v>503.74999999999994</v>
      </c>
      <c r="S37" s="33">
        <f t="shared" si="23"/>
        <v>191.42499999999998</v>
      </c>
      <c r="T37" s="33">
        <f t="shared" si="2"/>
        <v>47.854862982937973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657.71826384247549</v>
      </c>
      <c r="Y37" s="38">
        <f t="shared" si="5"/>
        <v>480.68236203739741</v>
      </c>
      <c r="AA37" s="71">
        <v>32</v>
      </c>
      <c r="AB37" s="33">
        <f t="shared" si="6"/>
        <v>0</v>
      </c>
      <c r="AC37" s="305">
        <f t="shared" si="39"/>
        <v>0</v>
      </c>
      <c r="AD37" s="100">
        <f t="shared" si="8"/>
        <v>0</v>
      </c>
      <c r="AE37" s="100">
        <f t="shared" si="9"/>
        <v>0</v>
      </c>
      <c r="AF37" s="194">
        <f t="shared" si="34"/>
        <v>5.8464984740238481</v>
      </c>
      <c r="AG37" s="194">
        <f t="shared" si="35"/>
        <v>77.760787842527606</v>
      </c>
      <c r="AH37" s="194">
        <f t="shared" si="36"/>
        <v>15.94665173585012</v>
      </c>
      <c r="AI37" s="199">
        <f t="shared" si="37"/>
        <v>99.553938052401577</v>
      </c>
      <c r="AK37" s="71">
        <v>32</v>
      </c>
      <c r="AL37" s="33"/>
      <c r="AM37" s="33"/>
      <c r="AN37" s="33"/>
      <c r="AO37" s="33"/>
      <c r="AP37" s="33"/>
      <c r="AQ37" s="194"/>
      <c r="AR37" s="194"/>
      <c r="AS37" s="194"/>
      <c r="AT37" s="194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2">
        <f t="shared" si="38"/>
        <v>46</v>
      </c>
      <c r="D38" s="137">
        <v>627</v>
      </c>
      <c r="E38" s="141">
        <f t="shared" si="29"/>
        <v>1.3</v>
      </c>
      <c r="F38" s="42">
        <f t="shared" si="30"/>
        <v>815.1</v>
      </c>
      <c r="G38" s="51">
        <f t="shared" si="33"/>
        <v>-96.200000000000045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64.350000000000009</v>
      </c>
      <c r="R38" s="33">
        <f t="shared" si="22"/>
        <v>568.09999999999991</v>
      </c>
      <c r="S38" s="33">
        <f t="shared" si="23"/>
        <v>215.87799999999996</v>
      </c>
      <c r="T38" s="33">
        <f t="shared" si="2"/>
        <v>53.218005570801388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710.5563888703532</v>
      </c>
      <c r="Y38" s="38">
        <f t="shared" si="5"/>
        <v>533.52048706527512</v>
      </c>
      <c r="AA38" s="71">
        <v>33</v>
      </c>
      <c r="AB38" s="33">
        <f t="shared" si="6"/>
        <v>0</v>
      </c>
      <c r="AC38" s="305">
        <f t="shared" si="39"/>
        <v>0</v>
      </c>
      <c r="AD38" s="100">
        <f t="shared" si="8"/>
        <v>0</v>
      </c>
      <c r="AE38" s="100">
        <f t="shared" si="9"/>
        <v>0</v>
      </c>
      <c r="AF38" s="194">
        <f t="shared" si="34"/>
        <v>5.7318522049601954</v>
      </c>
      <c r="AG38" s="194">
        <f t="shared" si="35"/>
        <v>75.634415009711574</v>
      </c>
      <c r="AH38" s="194">
        <f t="shared" si="36"/>
        <v>11.275985579639849</v>
      </c>
      <c r="AI38" s="199">
        <f t="shared" si="37"/>
        <v>92.642252794311617</v>
      </c>
      <c r="AK38" s="71">
        <v>33</v>
      </c>
      <c r="AL38" s="33"/>
      <c r="AM38" s="33"/>
      <c r="AN38" s="33"/>
      <c r="AO38" s="33"/>
      <c r="AP38" s="33"/>
      <c r="AQ38" s="194"/>
      <c r="AR38" s="194"/>
      <c r="AS38" s="194"/>
      <c r="AT38" s="194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2">
        <f t="shared" si="38"/>
        <v>50</v>
      </c>
      <c r="D39" s="137">
        <f>D40+63</f>
        <v>773</v>
      </c>
      <c r="E39" s="141">
        <f t="shared" si="29"/>
        <v>1.3</v>
      </c>
      <c r="F39" s="42">
        <f t="shared" si="30"/>
        <v>1004.9000000000001</v>
      </c>
      <c r="G39" s="51">
        <f t="shared" si="33"/>
        <v>47.450000000000017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64.350000000000009</v>
      </c>
      <c r="R39" s="33">
        <f t="shared" si="22"/>
        <v>632.44999999999993</v>
      </c>
      <c r="S39" s="33">
        <f t="shared" si="23"/>
        <v>240.33099999999999</v>
      </c>
      <c r="T39" s="33">
        <f t="shared" si="2"/>
        <v>58.510741031225642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763.25613042483349</v>
      </c>
      <c r="Y39" s="38">
        <f t="shared" si="5"/>
        <v>586.2202286197554</v>
      </c>
      <c r="AA39" s="71">
        <v>34</v>
      </c>
      <c r="AB39" s="33">
        <f t="shared" si="6"/>
        <v>0</v>
      </c>
      <c r="AC39" s="305">
        <f t="shared" si="39"/>
        <v>0</v>
      </c>
      <c r="AD39" s="100">
        <f t="shared" si="8"/>
        <v>0</v>
      </c>
      <c r="AE39" s="100">
        <f t="shared" si="9"/>
        <v>0</v>
      </c>
      <c r="AF39" s="194">
        <f t="shared" si="34"/>
        <v>5.6194540793055614</v>
      </c>
      <c r="AG39" s="194">
        <f t="shared" si="35"/>
        <v>73.566187953829996</v>
      </c>
      <c r="AH39" s="194">
        <f t="shared" si="36"/>
        <v>7.9733258679250607</v>
      </c>
      <c r="AI39" s="199">
        <f t="shared" si="37"/>
        <v>87.158967901060606</v>
      </c>
      <c r="AK39" s="71">
        <v>34</v>
      </c>
      <c r="AL39" s="33"/>
      <c r="AM39" s="33"/>
      <c r="AN39" s="33"/>
      <c r="AO39" s="33"/>
      <c r="AP39" s="33"/>
      <c r="AQ39" s="194"/>
      <c r="AR39" s="194"/>
      <c r="AS39" s="194"/>
      <c r="AT39" s="194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2">
        <f t="shared" si="38"/>
        <v>51</v>
      </c>
      <c r="D40" s="137">
        <v>710</v>
      </c>
      <c r="E40" s="141">
        <f t="shared" si="29"/>
        <v>1.3</v>
      </c>
      <c r="F40" s="42">
        <f t="shared" si="30"/>
        <v>923</v>
      </c>
      <c r="G40" s="51">
        <f t="shared" si="33"/>
        <v>-81.900000000000091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64.350000000000009</v>
      </c>
      <c r="R40" s="33">
        <f t="shared" si="22"/>
        <v>696.8</v>
      </c>
      <c r="S40" s="33">
        <f t="shared" si="23"/>
        <v>264.78399999999999</v>
      </c>
      <c r="T40" s="33">
        <f t="shared" si="2"/>
        <v>63.741048800076086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815.831659384707</v>
      </c>
      <c r="Y40" s="38">
        <f t="shared" si="5"/>
        <v>638.79575757962891</v>
      </c>
      <c r="AA40" s="71">
        <v>35</v>
      </c>
      <c r="AB40" s="33">
        <f t="shared" si="6"/>
        <v>0</v>
      </c>
      <c r="AC40" s="305">
        <f t="shared" si="39"/>
        <v>0</v>
      </c>
      <c r="AD40" s="100">
        <f t="shared" si="8"/>
        <v>0</v>
      </c>
      <c r="AE40" s="100">
        <f t="shared" si="9"/>
        <v>0</v>
      </c>
      <c r="AF40" s="194">
        <f t="shared" si="34"/>
        <v>5.5092600123389275</v>
      </c>
      <c r="AG40" s="194">
        <f t="shared" si="35"/>
        <v>71.554516675554822</v>
      </c>
      <c r="AH40" s="194">
        <f t="shared" si="36"/>
        <v>5.6379927898199256</v>
      </c>
      <c r="AI40" s="199">
        <f t="shared" si="37"/>
        <v>82.701769477713668</v>
      </c>
      <c r="AK40" s="71">
        <v>35</v>
      </c>
      <c r="AL40" s="33"/>
      <c r="AM40" s="33"/>
      <c r="AN40" s="33"/>
      <c r="AO40" s="33"/>
      <c r="AP40" s="33"/>
      <c r="AQ40" s="194"/>
      <c r="AR40" s="194"/>
      <c r="AS40" s="194"/>
      <c r="AT40" s="194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2">
        <f t="shared" si="38"/>
        <v>55</v>
      </c>
      <c r="D41" s="137">
        <f>D42+55</f>
        <v>839</v>
      </c>
      <c r="E41" s="141">
        <f t="shared" si="29"/>
        <v>1.3</v>
      </c>
      <c r="F41" s="42">
        <f t="shared" si="30"/>
        <v>1090.7</v>
      </c>
      <c r="G41" s="51">
        <f t="shared" si="33"/>
        <v>41.925000000000011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-118.30000000000007</v>
      </c>
      <c r="R41" s="33">
        <f t="shared" si="22"/>
        <v>578.49999999999989</v>
      </c>
      <c r="S41" s="33">
        <f t="shared" si="23"/>
        <v>219.82999999999996</v>
      </c>
      <c r="T41" s="33">
        <f t="shared" si="2"/>
        <v>54.077935398372958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721.5687390598672</v>
      </c>
      <c r="Y41" s="38">
        <f t="shared" si="5"/>
        <v>544.53283725478911</v>
      </c>
      <c r="AA41" s="71">
        <v>36</v>
      </c>
      <c r="AB41" s="33">
        <f t="shared" si="6"/>
        <v>91</v>
      </c>
      <c r="AC41" s="305">
        <f t="shared" si="39"/>
        <v>0.15</v>
      </c>
      <c r="AD41" s="100">
        <f t="shared" si="8"/>
        <v>0.39200000000000002</v>
      </c>
      <c r="AE41" s="100">
        <f t="shared" si="9"/>
        <v>0.308</v>
      </c>
      <c r="AF41" s="194">
        <f t="shared" si="34"/>
        <v>14.34638356328813</v>
      </c>
      <c r="AG41" s="194">
        <f t="shared" si="35"/>
        <v>92.882488155731679</v>
      </c>
      <c r="AH41" s="194">
        <f t="shared" si="36"/>
        <v>19.66336111048799</v>
      </c>
      <c r="AI41" s="199">
        <f t="shared" si="37"/>
        <v>126.8922328295078</v>
      </c>
      <c r="AK41" s="71">
        <v>36</v>
      </c>
      <c r="AL41" s="33"/>
      <c r="AM41" s="33"/>
      <c r="AN41" s="33"/>
      <c r="AO41" s="33"/>
      <c r="AP41" s="33"/>
      <c r="AQ41" s="194"/>
      <c r="AR41" s="194"/>
      <c r="AS41" s="194"/>
      <c r="AT41" s="194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2">
        <f t="shared" si="38"/>
        <v>56</v>
      </c>
      <c r="D42" s="137">
        <v>784</v>
      </c>
      <c r="E42" s="141">
        <f t="shared" si="29"/>
        <v>1.3</v>
      </c>
      <c r="F42" s="42">
        <f t="shared" si="30"/>
        <v>1019.2</v>
      </c>
      <c r="G42" s="51">
        <f t="shared" si="33"/>
        <v>-71.5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59.150000000000006</v>
      </c>
      <c r="R42" s="33">
        <f t="shared" si="22"/>
        <v>637.64999999999986</v>
      </c>
      <c r="S42" s="33">
        <f t="shared" si="23"/>
        <v>242.30699999999996</v>
      </c>
      <c r="T42" s="33">
        <f t="shared" si="2"/>
        <v>58.935616070181503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770.0235749595704</v>
      </c>
      <c r="Y42" s="38">
        <f t="shared" si="5"/>
        <v>592.98767315449231</v>
      </c>
      <c r="AA42" s="71">
        <v>37</v>
      </c>
      <c r="AB42" s="33">
        <f t="shared" si="6"/>
        <v>0</v>
      </c>
      <c r="AC42" s="305">
        <f t="shared" si="39"/>
        <v>0</v>
      </c>
      <c r="AD42" s="100">
        <f t="shared" si="8"/>
        <v>0</v>
      </c>
      <c r="AE42" s="100">
        <f t="shared" si="9"/>
        <v>0</v>
      </c>
      <c r="AF42" s="194">
        <f t="shared" si="34"/>
        <v>14.065059732041991</v>
      </c>
      <c r="AG42" s="194">
        <f t="shared" si="35"/>
        <v>90.342611632635425</v>
      </c>
      <c r="AH42" s="194">
        <f t="shared" si="36"/>
        <v>13.9040959821459</v>
      </c>
      <c r="AI42" s="199">
        <f t="shared" si="37"/>
        <v>118.31176734682332</v>
      </c>
      <c r="AK42" s="71">
        <v>37</v>
      </c>
      <c r="AL42" s="33"/>
      <c r="AM42" s="33"/>
      <c r="AN42" s="33"/>
      <c r="AO42" s="33"/>
      <c r="AP42" s="33"/>
      <c r="AQ42" s="194"/>
      <c r="AR42" s="194"/>
      <c r="AS42" s="194"/>
      <c r="AT42" s="194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2">
        <f t="shared" si="38"/>
        <v>60</v>
      </c>
      <c r="D43" s="137">
        <f>D44+48</f>
        <v>895</v>
      </c>
      <c r="E43" s="141">
        <f t="shared" si="29"/>
        <v>1.3</v>
      </c>
      <c r="F43" s="42">
        <f t="shared" si="30"/>
        <v>1163.5</v>
      </c>
      <c r="G43" s="51">
        <f t="shared" si="33"/>
        <v>36.074999999999989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59.150000000000006</v>
      </c>
      <c r="R43" s="33">
        <f t="shared" si="22"/>
        <v>696.79999999999984</v>
      </c>
      <c r="S43" s="33">
        <f t="shared" si="23"/>
        <v>264.78399999999993</v>
      </c>
      <c r="T43" s="33">
        <f t="shared" si="2"/>
        <v>63.741048800076086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818.3727199536911</v>
      </c>
      <c r="Y43" s="38">
        <f t="shared" si="5"/>
        <v>641.33681814861302</v>
      </c>
      <c r="AA43" s="71">
        <v>38</v>
      </c>
      <c r="AB43" s="33">
        <f t="shared" si="6"/>
        <v>0</v>
      </c>
      <c r="AC43" s="305">
        <f t="shared" si="39"/>
        <v>0</v>
      </c>
      <c r="AD43" s="100">
        <f t="shared" si="8"/>
        <v>0</v>
      </c>
      <c r="AE43" s="100">
        <f t="shared" si="9"/>
        <v>0</v>
      </c>
      <c r="AF43" s="194">
        <f t="shared" si="34"/>
        <v>13.789252489535995</v>
      </c>
      <c r="AG43" s="194">
        <f t="shared" si="35"/>
        <v>87.872188166629542</v>
      </c>
      <c r="AH43" s="194">
        <f t="shared" si="36"/>
        <v>9.831680555243997</v>
      </c>
      <c r="AI43" s="199">
        <f t="shared" si="37"/>
        <v>111.49312121140953</v>
      </c>
      <c r="AK43" s="71">
        <v>38</v>
      </c>
      <c r="AL43" s="33"/>
      <c r="AM43" s="33"/>
      <c r="AN43" s="33"/>
      <c r="AO43" s="33"/>
      <c r="AP43" s="33"/>
      <c r="AQ43" s="194"/>
      <c r="AR43" s="194"/>
      <c r="AS43" s="194"/>
      <c r="AT43" s="194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2">
        <f t="shared" si="38"/>
        <v>61</v>
      </c>
      <c r="D44" s="137">
        <v>847</v>
      </c>
      <c r="E44" s="141">
        <f t="shared" si="29"/>
        <v>1.3</v>
      </c>
      <c r="F44" s="42">
        <f t="shared" si="30"/>
        <v>1101.1000000000001</v>
      </c>
      <c r="G44" s="51">
        <f t="shared" si="33"/>
        <v>-62.399999999999864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59.150000000000006</v>
      </c>
      <c r="R44" s="33">
        <f t="shared" si="22"/>
        <v>755.94999999999982</v>
      </c>
      <c r="S44" s="33">
        <f t="shared" si="23"/>
        <v>287.26099999999991</v>
      </c>
      <c r="T44" s="33">
        <f t="shared" si="2"/>
        <v>68.499173075263911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866.62503186285824</v>
      </c>
      <c r="Y44" s="38">
        <f t="shared" si="5"/>
        <v>689.58913005778015</v>
      </c>
      <c r="AA44" s="71">
        <v>39</v>
      </c>
      <c r="AB44" s="33">
        <f t="shared" si="6"/>
        <v>0</v>
      </c>
      <c r="AC44" s="305">
        <f t="shared" si="39"/>
        <v>0</v>
      </c>
      <c r="AD44" s="100">
        <f t="shared" si="8"/>
        <v>0</v>
      </c>
      <c r="AE44" s="100">
        <f t="shared" si="9"/>
        <v>0</v>
      </c>
      <c r="AF44" s="194">
        <f t="shared" si="34"/>
        <v>13.518853658829734</v>
      </c>
      <c r="AG44" s="194">
        <f t="shared" si="35"/>
        <v>85.469318560215513</v>
      </c>
      <c r="AH44" s="194">
        <f t="shared" si="36"/>
        <v>6.9520479910729511</v>
      </c>
      <c r="AI44" s="199">
        <f t="shared" si="37"/>
        <v>105.9402202101182</v>
      </c>
      <c r="AK44" s="71">
        <v>39</v>
      </c>
      <c r="AL44" s="33"/>
      <c r="AM44" s="33"/>
      <c r="AN44" s="33"/>
      <c r="AO44" s="33"/>
      <c r="AP44" s="33"/>
      <c r="AQ44" s="194"/>
      <c r="AR44" s="194"/>
      <c r="AS44" s="194"/>
      <c r="AT44" s="194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2">
        <f t="shared" si="38"/>
        <v>65</v>
      </c>
      <c r="D45" s="137">
        <f>D46+43</f>
        <v>942</v>
      </c>
      <c r="E45" s="141">
        <f t="shared" si="29"/>
        <v>1.3</v>
      </c>
      <c r="F45" s="42">
        <f t="shared" si="30"/>
        <v>1224.6000000000001</v>
      </c>
      <c r="G45" s="51">
        <f t="shared" si="33"/>
        <v>30.875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59.150000000000006</v>
      </c>
      <c r="R45" s="33">
        <f t="shared" si="22"/>
        <v>815.0999999999998</v>
      </c>
      <c r="S45" s="33">
        <f t="shared" si="23"/>
        <v>309.73799999999994</v>
      </c>
      <c r="T45" s="33">
        <f t="shared" si="2"/>
        <v>73.214111451653551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914.787941264084</v>
      </c>
      <c r="Y45" s="38">
        <f t="shared" si="5"/>
        <v>737.75203945900591</v>
      </c>
      <c r="AA45" s="71">
        <v>40</v>
      </c>
      <c r="AB45" s="33">
        <f t="shared" si="6"/>
        <v>0</v>
      </c>
      <c r="AC45" s="305">
        <f t="shared" si="39"/>
        <v>0</v>
      </c>
      <c r="AD45" s="100">
        <f t="shared" si="8"/>
        <v>0</v>
      </c>
      <c r="AE45" s="100">
        <f t="shared" si="9"/>
        <v>0</v>
      </c>
      <c r="AF45" s="194">
        <f t="shared" si="34"/>
        <v>13.25375718426662</v>
      </c>
      <c r="AG45" s="194">
        <f t="shared" si="35"/>
        <v>83.132155549550305</v>
      </c>
      <c r="AH45" s="194">
        <f t="shared" si="36"/>
        <v>4.9158402776219985</v>
      </c>
      <c r="AI45" s="199">
        <f t="shared" si="37"/>
        <v>101.30175301143892</v>
      </c>
      <c r="AK45" s="71">
        <v>40</v>
      </c>
      <c r="AL45" s="33"/>
      <c r="AM45" s="33"/>
      <c r="AN45" s="33"/>
      <c r="AO45" s="33"/>
      <c r="AP45" s="33"/>
      <c r="AQ45" s="194"/>
      <c r="AR45" s="194"/>
      <c r="AS45" s="194"/>
      <c r="AT45" s="194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2">
        <f t="shared" si="38"/>
        <v>66</v>
      </c>
      <c r="D46" s="137">
        <v>899</v>
      </c>
      <c r="E46" s="141">
        <f t="shared" si="29"/>
        <v>1.3</v>
      </c>
      <c r="F46" s="42">
        <f t="shared" si="30"/>
        <v>1168.7</v>
      </c>
      <c r="G46" s="51">
        <f t="shared" si="33"/>
        <v>-55.900000000000091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-118.29999999999995</v>
      </c>
      <c r="R46" s="33">
        <f t="shared" si="22"/>
        <v>696.79999999999984</v>
      </c>
      <c r="S46" s="33">
        <f t="shared" si="23"/>
        <v>264.78399999999993</v>
      </c>
      <c r="T46" s="33">
        <f t="shared" si="2"/>
        <v>63.741048800076086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820.78381625463635</v>
      </c>
      <c r="Y46" s="38">
        <f t="shared" si="5"/>
        <v>643.74791444955827</v>
      </c>
      <c r="AA46" s="71">
        <v>41</v>
      </c>
      <c r="AB46" s="33">
        <f t="shared" si="6"/>
        <v>91</v>
      </c>
      <c r="AC46" s="305">
        <f t="shared" si="39"/>
        <v>0.2</v>
      </c>
      <c r="AD46" s="100">
        <f t="shared" si="8"/>
        <v>0.33600000000000002</v>
      </c>
      <c r="AE46" s="100">
        <f t="shared" si="9"/>
        <v>0.26400000000000001</v>
      </c>
      <c r="AF46" s="194">
        <f t="shared" si="34"/>
        <v>24.920734795842627</v>
      </c>
      <c r="AG46" s="194">
        <f t="shared" si="35"/>
        <v>100.81715967136783</v>
      </c>
      <c r="AH46" s="194">
        <f t="shared" si="36"/>
        <v>16.913193861129731</v>
      </c>
      <c r="AI46" s="199">
        <f t="shared" si="37"/>
        <v>142.65108832834019</v>
      </c>
      <c r="AK46" s="71">
        <v>41</v>
      </c>
      <c r="AL46" s="33"/>
      <c r="AM46" s="33"/>
      <c r="AN46" s="33"/>
      <c r="AO46" s="33"/>
      <c r="AP46" s="33"/>
      <c r="AQ46" s="194"/>
      <c r="AR46" s="194"/>
      <c r="AS46" s="194"/>
      <c r="AT46" s="194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2">
        <f t="shared" si="38"/>
        <v>70</v>
      </c>
      <c r="D47" s="137">
        <f>D48+38</f>
        <v>978</v>
      </c>
      <c r="E47" s="141">
        <f t="shared" si="29"/>
        <v>1.3</v>
      </c>
      <c r="F47" s="42">
        <f t="shared" si="30"/>
        <v>1271.4000000000001</v>
      </c>
      <c r="G47" s="51">
        <f t="shared" si="33"/>
        <v>25.675000000000011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53.625</v>
      </c>
      <c r="R47" s="33">
        <f t="shared" si="22"/>
        <v>750.42499999999984</v>
      </c>
      <c r="S47" s="33">
        <f t="shared" si="23"/>
        <v>285.16149999999993</v>
      </c>
      <c r="T47" s="33">
        <f t="shared" si="2"/>
        <v>68.056619915749707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864.56689178056524</v>
      </c>
      <c r="Y47" s="38">
        <f t="shared" si="5"/>
        <v>687.53098997548716</v>
      </c>
      <c r="AA47" s="71">
        <v>42</v>
      </c>
      <c r="AB47" s="33">
        <f t="shared" si="6"/>
        <v>0</v>
      </c>
      <c r="AC47" s="305">
        <f t="shared" si="39"/>
        <v>0</v>
      </c>
      <c r="AD47" s="100">
        <f t="shared" si="8"/>
        <v>0</v>
      </c>
      <c r="AE47" s="100">
        <f t="shared" si="9"/>
        <v>0</v>
      </c>
      <c r="AF47" s="194">
        <f t="shared" si="34"/>
        <v>24.43205438664349</v>
      </c>
      <c r="AG47" s="194">
        <f t="shared" si="35"/>
        <v>98.060309138410275</v>
      </c>
      <c r="AH47" s="194">
        <f t="shared" si="36"/>
        <v>11.95943407072752</v>
      </c>
      <c r="AI47" s="199">
        <f t="shared" si="37"/>
        <v>134.45179759578127</v>
      </c>
      <c r="AK47" s="71">
        <v>42</v>
      </c>
      <c r="AL47" s="33"/>
      <c r="AM47" s="33"/>
      <c r="AN47" s="33"/>
      <c r="AO47" s="33"/>
      <c r="AP47" s="33"/>
      <c r="AQ47" s="194"/>
      <c r="AR47" s="194"/>
      <c r="AS47" s="194"/>
      <c r="AT47" s="194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2">
        <f t="shared" si="38"/>
        <v>71</v>
      </c>
      <c r="D48" s="137">
        <v>940</v>
      </c>
      <c r="E48" s="141">
        <f t="shared" si="29"/>
        <v>1.3</v>
      </c>
      <c r="F48" s="42">
        <f t="shared" si="30"/>
        <v>1222</v>
      </c>
      <c r="G48" s="51">
        <f t="shared" si="33"/>
        <v>-49.400000000000091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53.625</v>
      </c>
      <c r="R48" s="33">
        <f t="shared" si="22"/>
        <v>804.04999999999984</v>
      </c>
      <c r="S48" s="33">
        <f t="shared" si="23"/>
        <v>305.53899999999993</v>
      </c>
      <c r="T48" s="33">
        <f t="shared" si="2"/>
        <v>72.336411349209584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908.27418956630527</v>
      </c>
      <c r="Y48" s="38">
        <f t="shared" si="5"/>
        <v>731.23828776122718</v>
      </c>
      <c r="AA48" s="71">
        <v>43</v>
      </c>
      <c r="AB48" s="33">
        <f t="shared" si="6"/>
        <v>0</v>
      </c>
      <c r="AC48" s="305">
        <f t="shared" si="39"/>
        <v>0</v>
      </c>
      <c r="AD48" s="100">
        <f t="shared" si="8"/>
        <v>0</v>
      </c>
      <c r="AE48" s="100">
        <f t="shared" si="9"/>
        <v>0</v>
      </c>
      <c r="AF48" s="194">
        <f t="shared" si="34"/>
        <v>23.952956702203128</v>
      </c>
      <c r="AG48" s="194">
        <f t="shared" si="35"/>
        <v>95.378844828252909</v>
      </c>
      <c r="AH48" s="194">
        <f t="shared" si="36"/>
        <v>8.4565969305648654</v>
      </c>
      <c r="AI48" s="199">
        <f t="shared" si="37"/>
        <v>127.7883984610209</v>
      </c>
      <c r="AK48" s="71">
        <v>43</v>
      </c>
      <c r="AL48" s="33"/>
      <c r="AM48" s="33"/>
      <c r="AN48" s="33"/>
      <c r="AO48" s="33"/>
      <c r="AP48" s="33"/>
      <c r="AQ48" s="194"/>
      <c r="AR48" s="194"/>
      <c r="AS48" s="194"/>
      <c r="AT48" s="194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2">
        <f t="shared" si="38"/>
        <v>75</v>
      </c>
      <c r="D49" s="137">
        <f>D50+33</f>
        <v>1005</v>
      </c>
      <c r="E49" s="141">
        <f t="shared" si="29"/>
        <v>1.3</v>
      </c>
      <c r="F49" s="42">
        <f t="shared" si="30"/>
        <v>1306.5</v>
      </c>
      <c r="G49" s="51">
        <f t="shared" si="33"/>
        <v>21.125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53.625</v>
      </c>
      <c r="R49" s="33">
        <f t="shared" si="22"/>
        <v>857.67499999999984</v>
      </c>
      <c r="S49" s="33">
        <f t="shared" si="23"/>
        <v>325.91649999999993</v>
      </c>
      <c r="T49" s="33">
        <f t="shared" si="2"/>
        <v>76.583080896683342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951.91057213319402</v>
      </c>
      <c r="Y49" s="38">
        <f t="shared" si="5"/>
        <v>774.87467032811594</v>
      </c>
      <c r="AA49" s="71">
        <v>44</v>
      </c>
      <c r="AB49" s="33">
        <f t="shared" si="6"/>
        <v>0</v>
      </c>
      <c r="AC49" s="305">
        <f t="shared" si="39"/>
        <v>0</v>
      </c>
      <c r="AD49" s="100">
        <f t="shared" si="8"/>
        <v>0</v>
      </c>
      <c r="AE49" s="100">
        <f t="shared" si="9"/>
        <v>0</v>
      </c>
      <c r="AF49" s="194">
        <f t="shared" si="34"/>
        <v>23.483253831133908</v>
      </c>
      <c r="AG49" s="194">
        <f t="shared" si="35"/>
        <v>92.77070530066888</v>
      </c>
      <c r="AH49" s="194">
        <f t="shared" si="36"/>
        <v>5.9797170353637599</v>
      </c>
      <c r="AI49" s="199">
        <f t="shared" si="37"/>
        <v>122.23367616716655</v>
      </c>
      <c r="AK49" s="71">
        <v>44</v>
      </c>
      <c r="AL49" s="33"/>
      <c r="AM49" s="33"/>
      <c r="AN49" s="33"/>
      <c r="AO49" s="33"/>
      <c r="AP49" s="33"/>
      <c r="AQ49" s="194"/>
      <c r="AR49" s="194"/>
      <c r="AS49" s="194"/>
      <c r="AT49" s="194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2">
        <f t="shared" si="38"/>
        <v>76</v>
      </c>
      <c r="D50" s="137">
        <v>972</v>
      </c>
      <c r="E50" s="141">
        <f t="shared" si="29"/>
        <v>1.3</v>
      </c>
      <c r="F50" s="42">
        <f t="shared" si="30"/>
        <v>1263.6000000000001</v>
      </c>
      <c r="G50" s="51">
        <f t="shared" si="33"/>
        <v>-42.899999999999864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53.625</v>
      </c>
      <c r="R50" s="33">
        <f t="shared" si="22"/>
        <v>911.29999999999984</v>
      </c>
      <c r="S50" s="33">
        <f t="shared" si="23"/>
        <v>346.29399999999993</v>
      </c>
      <c r="T50" s="33">
        <f t="shared" si="2"/>
        <v>80.798935219391822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995.4802863912746</v>
      </c>
      <c r="Y50" s="38">
        <f t="shared" si="5"/>
        <v>818.44438458619652</v>
      </c>
      <c r="AA50" s="71">
        <v>45</v>
      </c>
      <c r="AB50" s="33">
        <f t="shared" si="6"/>
        <v>0</v>
      </c>
      <c r="AC50" s="305">
        <f t="shared" si="39"/>
        <v>0</v>
      </c>
      <c r="AD50" s="100">
        <f t="shared" si="8"/>
        <v>0</v>
      </c>
      <c r="AE50" s="100">
        <f t="shared" si="9"/>
        <v>0</v>
      </c>
      <c r="AF50" s="194">
        <f t="shared" si="34"/>
        <v>23.022761546875895</v>
      </c>
      <c r="AG50" s="194">
        <f t="shared" si="35"/>
        <v>90.233885485622721</v>
      </c>
      <c r="AH50" s="194">
        <f t="shared" si="36"/>
        <v>4.2282984652824327</v>
      </c>
      <c r="AI50" s="199">
        <f t="shared" si="37"/>
        <v>117.48494549778106</v>
      </c>
      <c r="AK50" s="71">
        <v>45</v>
      </c>
      <c r="AL50" s="33"/>
      <c r="AM50" s="33"/>
      <c r="AN50" s="33"/>
      <c r="AO50" s="33"/>
      <c r="AP50" s="33"/>
      <c r="AQ50" s="194"/>
      <c r="AR50" s="194"/>
      <c r="AS50" s="194"/>
      <c r="AT50" s="194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2">
        <f t="shared" si="38"/>
        <v>80</v>
      </c>
      <c r="D51" s="137">
        <f>D52+29</f>
        <v>1020</v>
      </c>
      <c r="E51" s="141">
        <f t="shared" si="29"/>
        <v>1.3</v>
      </c>
      <c r="F51" s="42">
        <f t="shared" si="30"/>
        <v>1326</v>
      </c>
      <c r="G51" s="51">
        <f t="shared" si="33"/>
        <v>15.599999999999966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-96.200000000000045</v>
      </c>
      <c r="R51" s="33">
        <f t="shared" si="22"/>
        <v>815.0999999999998</v>
      </c>
      <c r="S51" s="33">
        <f t="shared" si="23"/>
        <v>309.73799999999994</v>
      </c>
      <c r="T51" s="33">
        <f t="shared" si="2"/>
        <v>73.214111451653551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919.32520084368878</v>
      </c>
      <c r="Y51" s="38">
        <f t="shared" si="5"/>
        <v>742.28929903861069</v>
      </c>
      <c r="AA51" s="71">
        <v>46</v>
      </c>
      <c r="AB51" s="33">
        <f t="shared" si="6"/>
        <v>74</v>
      </c>
      <c r="AC51" s="305">
        <f t="shared" si="39"/>
        <v>0.25</v>
      </c>
      <c r="AD51" s="100">
        <f t="shared" si="8"/>
        <v>0.28000000000000003</v>
      </c>
      <c r="AE51" s="100">
        <f t="shared" si="9"/>
        <v>0.22</v>
      </c>
      <c r="AF51" s="194">
        <f t="shared" si="34"/>
        <v>34.694771793701577</v>
      </c>
      <c r="AG51" s="194">
        <f t="shared" si="35"/>
        <v>101.29126150850682</v>
      </c>
      <c r="AH51" s="194">
        <f t="shared" si="36"/>
        <v>12.095632968724926</v>
      </c>
      <c r="AI51" s="199">
        <f t="shared" si="37"/>
        <v>148.08166627093331</v>
      </c>
      <c r="AK51" s="71">
        <v>46</v>
      </c>
      <c r="AL51" s="33"/>
      <c r="AM51" s="33"/>
      <c r="AN51" s="33"/>
      <c r="AO51" s="33"/>
      <c r="AP51" s="33"/>
      <c r="AQ51" s="194"/>
      <c r="AR51" s="194"/>
      <c r="AS51" s="194"/>
      <c r="AT51" s="194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2">
        <f t="shared" si="38"/>
        <v>81</v>
      </c>
      <c r="D52" s="137">
        <v>991</v>
      </c>
      <c r="E52" s="141">
        <f t="shared" si="29"/>
        <v>1.3</v>
      </c>
      <c r="F52" s="42">
        <f t="shared" si="30"/>
        <v>1288.3</v>
      </c>
      <c r="G52" s="51">
        <f t="shared" si="33"/>
        <v>-37.700000000000045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47.450000000000017</v>
      </c>
      <c r="R52" s="33">
        <f t="shared" si="22"/>
        <v>862.54999999999984</v>
      </c>
      <c r="S52" s="33">
        <f t="shared" si="23"/>
        <v>327.76899999999995</v>
      </c>
      <c r="T52" s="33">
        <f t="shared" si="2"/>
        <v>76.967581496322865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957.97745063695754</v>
      </c>
      <c r="Y52" s="38">
        <f t="shared" si="5"/>
        <v>780.94154883187946</v>
      </c>
      <c r="AA52" s="71">
        <v>47</v>
      </c>
      <c r="AB52" s="33">
        <f t="shared" si="6"/>
        <v>0</v>
      </c>
      <c r="AC52" s="305">
        <f t="shared" si="39"/>
        <v>0</v>
      </c>
      <c r="AD52" s="100">
        <f t="shared" si="8"/>
        <v>0</v>
      </c>
      <c r="AE52" s="100">
        <f t="shared" si="9"/>
        <v>0</v>
      </c>
      <c r="AF52" s="194">
        <f t="shared" si="34"/>
        <v>34.014428480548339</v>
      </c>
      <c r="AG52" s="194">
        <f t="shared" si="35"/>
        <v>98.521446635880764</v>
      </c>
      <c r="AH52" s="194">
        <f t="shared" si="36"/>
        <v>8.5529040949289676</v>
      </c>
      <c r="AI52" s="199">
        <f t="shared" si="37"/>
        <v>141.08877921135809</v>
      </c>
      <c r="AK52" s="71">
        <v>47</v>
      </c>
      <c r="AL52" s="33"/>
      <c r="AM52" s="33"/>
      <c r="AN52" s="33"/>
      <c r="AO52" s="33"/>
      <c r="AP52" s="33"/>
      <c r="AQ52" s="194"/>
      <c r="AR52" s="194"/>
      <c r="AS52" s="194"/>
      <c r="AT52" s="194"/>
      <c r="AU52" s="33"/>
      <c r="AV52" s="33"/>
      <c r="AW52" s="33"/>
      <c r="AX52" s="33"/>
      <c r="AY52" s="76"/>
    </row>
    <row r="53" spans="2:51">
      <c r="B53" s="40"/>
      <c r="C53" s="152"/>
      <c r="D53" s="137"/>
      <c r="E53" s="141"/>
      <c r="F53" s="42"/>
      <c r="G53" s="51"/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47.450000000000017</v>
      </c>
      <c r="R53" s="33">
        <f t="shared" si="22"/>
        <v>909.99999999999989</v>
      </c>
      <c r="S53" s="33">
        <f t="shared" si="23"/>
        <v>345.79999999999995</v>
      </c>
      <c r="T53" s="33">
        <f t="shared" si="2"/>
        <v>80.697080911635538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996.57561794009962</v>
      </c>
      <c r="Y53" s="38">
        <f t="shared" si="5"/>
        <v>819.53971613502154</v>
      </c>
      <c r="AA53" s="71">
        <v>48</v>
      </c>
      <c r="AB53" s="33">
        <f t="shared" si="6"/>
        <v>0</v>
      </c>
      <c r="AC53" s="305">
        <f t="shared" si="39"/>
        <v>0</v>
      </c>
      <c r="AD53" s="100">
        <f t="shared" si="8"/>
        <v>0</v>
      </c>
      <c r="AE53" s="100">
        <f t="shared" si="9"/>
        <v>0</v>
      </c>
      <c r="AF53" s="194">
        <f t="shared" si="34"/>
        <v>33.347426284797585</v>
      </c>
      <c r="AG53" s="194">
        <f t="shared" si="35"/>
        <v>95.827372496604895</v>
      </c>
      <c r="AH53" s="194">
        <f t="shared" si="36"/>
        <v>6.047816484362464</v>
      </c>
      <c r="AI53" s="199">
        <f t="shared" si="37"/>
        <v>135.22261526576494</v>
      </c>
      <c r="AK53" s="71">
        <v>48</v>
      </c>
      <c r="AL53" s="33"/>
      <c r="AM53" s="33"/>
      <c r="AN53" s="33"/>
      <c r="AO53" s="33"/>
      <c r="AP53" s="33"/>
      <c r="AQ53" s="194"/>
      <c r="AR53" s="194"/>
      <c r="AS53" s="194"/>
      <c r="AT53" s="194"/>
      <c r="AU53" s="33"/>
      <c r="AV53" s="33"/>
      <c r="AW53" s="33"/>
      <c r="AX53" s="33"/>
      <c r="AY53" s="76"/>
    </row>
    <row r="54" spans="2:51">
      <c r="B54" s="40"/>
      <c r="C54" s="152"/>
      <c r="D54" s="137"/>
      <c r="E54" s="141"/>
      <c r="F54" s="42"/>
      <c r="G54" s="51"/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47.450000000000017</v>
      </c>
      <c r="R54" s="33">
        <f t="shared" si="22"/>
        <v>957.44999999999993</v>
      </c>
      <c r="S54" s="33">
        <f t="shared" si="23"/>
        <v>363.83099999999996</v>
      </c>
      <c r="T54" s="33">
        <f t="shared" si="2"/>
        <v>84.404002150481745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1035.1223419030475</v>
      </c>
      <c r="Y54" s="38">
        <f t="shared" si="5"/>
        <v>858.08644009796944</v>
      </c>
      <c r="AA54" s="71">
        <v>49</v>
      </c>
      <c r="AB54" s="33">
        <f t="shared" si="6"/>
        <v>0</v>
      </c>
      <c r="AC54" s="305">
        <f t="shared" si="39"/>
        <v>0</v>
      </c>
      <c r="AD54" s="100">
        <f t="shared" si="8"/>
        <v>0</v>
      </c>
      <c r="AE54" s="100">
        <f t="shared" si="9"/>
        <v>0</v>
      </c>
      <c r="AF54" s="194">
        <f t="shared" si="34"/>
        <v>32.693503595274336</v>
      </c>
      <c r="AG54" s="194">
        <f t="shared" si="35"/>
        <v>93.206967956342737</v>
      </c>
      <c r="AH54" s="194">
        <f t="shared" si="36"/>
        <v>4.2764520474644838</v>
      </c>
      <c r="AI54" s="199">
        <f t="shared" si="37"/>
        <v>130.17692359908156</v>
      </c>
      <c r="AK54" s="71">
        <v>49</v>
      </c>
      <c r="AL54" s="33"/>
      <c r="AM54" s="33"/>
      <c r="AN54" s="33"/>
      <c r="AO54" s="33"/>
      <c r="AP54" s="33"/>
      <c r="AQ54" s="194"/>
      <c r="AR54" s="194"/>
      <c r="AS54" s="194"/>
      <c r="AT54" s="194"/>
      <c r="AU54" s="33"/>
      <c r="AV54" s="33"/>
      <c r="AW54" s="33"/>
      <c r="AX54" s="33"/>
      <c r="AY54" s="76"/>
    </row>
    <row r="55" spans="2:51">
      <c r="B55" s="40"/>
      <c r="C55" s="152"/>
      <c r="D55" s="137"/>
      <c r="E55" s="141"/>
      <c r="F55" s="42"/>
      <c r="G55" s="51"/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47.450000000000017</v>
      </c>
      <c r="R55" s="33">
        <f t="shared" si="22"/>
        <v>1004.9</v>
      </c>
      <c r="S55" s="33">
        <f t="shared" si="23"/>
        <v>381.86200000000002</v>
      </c>
      <c r="T55" s="33">
        <f t="shared" si="2"/>
        <v>88.089591852559622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1073.6200040060114</v>
      </c>
      <c r="Y55" s="38">
        <f t="shared" si="5"/>
        <v>896.58410220093333</v>
      </c>
      <c r="AA55" s="71">
        <v>50</v>
      </c>
      <c r="AB55" s="33">
        <f t="shared" si="6"/>
        <v>0</v>
      </c>
      <c r="AC55" s="305">
        <f t="shared" si="39"/>
        <v>0</v>
      </c>
      <c r="AD55" s="100">
        <f t="shared" si="8"/>
        <v>0</v>
      </c>
      <c r="AE55" s="100">
        <f t="shared" si="9"/>
        <v>0</v>
      </c>
      <c r="AF55" s="194">
        <f t="shared" si="34"/>
        <v>32.052403930839183</v>
      </c>
      <c r="AG55" s="194">
        <f t="shared" si="35"/>
        <v>90.658218516035134</v>
      </c>
      <c r="AH55" s="194">
        <f t="shared" si="36"/>
        <v>3.023908242181232</v>
      </c>
      <c r="AI55" s="199">
        <f t="shared" si="37"/>
        <v>125.73453068905555</v>
      </c>
      <c r="AK55" s="71">
        <v>50</v>
      </c>
      <c r="AL55" s="33"/>
      <c r="AM55" s="33"/>
      <c r="AN55" s="33"/>
      <c r="AO55" s="33"/>
      <c r="AP55" s="33"/>
      <c r="AQ55" s="194"/>
      <c r="AR55" s="194"/>
      <c r="AS55" s="194"/>
      <c r="AT55" s="194"/>
      <c r="AU55" s="33"/>
      <c r="AV55" s="33"/>
      <c r="AW55" s="33"/>
      <c r="AX55" s="33"/>
      <c r="AY55" s="76"/>
    </row>
    <row r="56" spans="2:51">
      <c r="B56" s="40"/>
      <c r="C56" s="152"/>
      <c r="D56" s="137"/>
      <c r="E56" s="141"/>
      <c r="F56" s="42"/>
      <c r="G56" s="51"/>
      <c r="I56" s="55">
        <v>51</v>
      </c>
      <c r="J56" s="33">
        <f t="shared" si="18"/>
        <v>5</v>
      </c>
      <c r="K56" s="33">
        <f t="shared" si="19"/>
        <v>1.910565629709926</v>
      </c>
      <c r="L56" s="33">
        <f t="shared" si="20"/>
        <v>45</v>
      </c>
      <c r="M56" s="33">
        <f t="shared" si="21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5"/>
        <v>-81.900000000000091</v>
      </c>
      <c r="R56" s="33">
        <f t="shared" si="22"/>
        <v>922.99999999999989</v>
      </c>
      <c r="S56" s="33">
        <f t="shared" si="23"/>
        <v>350.73999999999995</v>
      </c>
      <c r="T56" s="33">
        <f t="shared" si="2"/>
        <v>81.714866188271557</v>
      </c>
      <c r="U56" s="33">
        <f t="shared" si="16"/>
        <v>59.759240109976403</v>
      </c>
      <c r="V56" s="33">
        <f t="shared" si="3"/>
        <v>10</v>
      </c>
      <c r="W56" s="33">
        <v>0</v>
      </c>
      <c r="X56" s="33">
        <f t="shared" si="4"/>
        <v>1008.9761056811531</v>
      </c>
      <c r="Y56" s="38">
        <f t="shared" si="5"/>
        <v>831.94020387607497</v>
      </c>
      <c r="AA56" s="71">
        <v>51</v>
      </c>
      <c r="AB56" s="33">
        <f t="shared" si="6"/>
        <v>63</v>
      </c>
      <c r="AC56" s="305">
        <f t="shared" si="39"/>
        <v>0.3</v>
      </c>
      <c r="AD56" s="100">
        <f t="shared" si="8"/>
        <v>0.22400000000000003</v>
      </c>
      <c r="AE56" s="100">
        <f t="shared" si="9"/>
        <v>0.17600000000000002</v>
      </c>
      <c r="AF56" s="194">
        <f t="shared" si="34"/>
        <v>43.809477534448227</v>
      </c>
      <c r="AG56" s="194">
        <f t="shared" si="35"/>
        <v>97.390668126459516</v>
      </c>
      <c r="AH56" s="194">
        <f t="shared" si="36"/>
        <v>8.3399967309291281</v>
      </c>
      <c r="AI56" s="199">
        <f t="shared" si="37"/>
        <v>149.54014239183687</v>
      </c>
      <c r="AK56" s="71">
        <v>51</v>
      </c>
      <c r="AL56" s="33"/>
      <c r="AM56" s="33"/>
      <c r="AN56" s="33"/>
      <c r="AO56" s="33"/>
      <c r="AP56" s="33"/>
      <c r="AQ56" s="194"/>
      <c r="AR56" s="194"/>
      <c r="AS56" s="194"/>
      <c r="AT56" s="194"/>
      <c r="AU56" s="33"/>
      <c r="AV56" s="33"/>
      <c r="AW56" s="33"/>
      <c r="AX56" s="33"/>
      <c r="AY56" s="76"/>
    </row>
    <row r="57" spans="2:51">
      <c r="B57" s="40"/>
      <c r="C57" s="152"/>
      <c r="D57" s="137"/>
      <c r="E57" s="141"/>
      <c r="F57" s="42"/>
      <c r="G57" s="51"/>
      <c r="I57" s="55">
        <v>52</v>
      </c>
      <c r="J57" s="33">
        <f t="shared" si="18"/>
        <v>5</v>
      </c>
      <c r="K57" s="33">
        <f t="shared" si="19"/>
        <v>1.910565629709926</v>
      </c>
      <c r="L57" s="33">
        <f t="shared" si="20"/>
        <v>45</v>
      </c>
      <c r="M57" s="33">
        <f t="shared" si="21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5"/>
        <v>41.925000000000011</v>
      </c>
      <c r="R57" s="33">
        <f t="shared" si="22"/>
        <v>964.92499999999995</v>
      </c>
      <c r="S57" s="33">
        <f t="shared" si="23"/>
        <v>366.67149999999998</v>
      </c>
      <c r="T57" s="33">
        <f t="shared" si="2"/>
        <v>84.985994174370944</v>
      </c>
      <c r="U57" s="33">
        <f t="shared" si="16"/>
        <v>59.936894399159101</v>
      </c>
      <c r="V57" s="33">
        <f t="shared" si="3"/>
        <v>10</v>
      </c>
      <c r="W57" s="33">
        <v>0</v>
      </c>
      <c r="X57" s="33">
        <f t="shared" si="4"/>
        <v>1043.0720818172795</v>
      </c>
      <c r="Y57" s="38">
        <f t="shared" si="5"/>
        <v>866.03618001220138</v>
      </c>
      <c r="AA57" s="71">
        <v>52</v>
      </c>
      <c r="AB57" s="33">
        <f t="shared" si="6"/>
        <v>0</v>
      </c>
      <c r="AC57" s="305">
        <f t="shared" si="39"/>
        <v>0</v>
      </c>
      <c r="AD57" s="100">
        <f t="shared" si="8"/>
        <v>0</v>
      </c>
      <c r="AE57" s="100">
        <f t="shared" si="9"/>
        <v>0</v>
      </c>
      <c r="AF57" s="194">
        <f t="shared" si="34"/>
        <v>42.950400401140499</v>
      </c>
      <c r="AG57" s="194">
        <f t="shared" si="35"/>
        <v>94.727515184988832</v>
      </c>
      <c r="AH57" s="194">
        <f t="shared" si="36"/>
        <v>5.8972682435136248</v>
      </c>
      <c r="AI57" s="199">
        <f t="shared" si="37"/>
        <v>143.57518382964295</v>
      </c>
      <c r="AK57" s="71">
        <v>52</v>
      </c>
      <c r="AL57" s="33"/>
      <c r="AM57" s="33"/>
      <c r="AN57" s="33"/>
      <c r="AO57" s="33"/>
      <c r="AP57" s="33"/>
      <c r="AQ57" s="194"/>
      <c r="AR57" s="194"/>
      <c r="AS57" s="194"/>
      <c r="AT57" s="194"/>
      <c r="AU57" s="33"/>
      <c r="AV57" s="33"/>
      <c r="AW57" s="33"/>
      <c r="AX57" s="33"/>
      <c r="AY57" s="76"/>
    </row>
    <row r="58" spans="2:51">
      <c r="B58" s="40"/>
      <c r="C58" s="152"/>
      <c r="D58" s="137"/>
      <c r="E58" s="141"/>
      <c r="F58" s="42"/>
      <c r="G58" s="51"/>
      <c r="I58" s="55">
        <v>53</v>
      </c>
      <c r="J58" s="33">
        <f t="shared" si="18"/>
        <v>5</v>
      </c>
      <c r="K58" s="33">
        <f t="shared" si="19"/>
        <v>1.910565629709926</v>
      </c>
      <c r="L58" s="33">
        <f t="shared" si="20"/>
        <v>45</v>
      </c>
      <c r="M58" s="33">
        <f t="shared" si="21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5"/>
        <v>41.925000000000011</v>
      </c>
      <c r="R58" s="33">
        <f t="shared" si="22"/>
        <v>1006.8499999999999</v>
      </c>
      <c r="S58" s="33">
        <f t="shared" si="23"/>
        <v>382.60299999999995</v>
      </c>
      <c r="T58" s="33">
        <f t="shared" si="2"/>
        <v>88.240614839310624</v>
      </c>
      <c r="U58" s="33">
        <f t="shared" si="16"/>
        <v>60.111466783599973</v>
      </c>
      <c r="V58" s="33">
        <f t="shared" si="3"/>
        <v>10</v>
      </c>
      <c r="W58" s="33">
        <v>0</v>
      </c>
      <c r="X58" s="33">
        <f t="shared" si="4"/>
        <v>1077.1280073849991</v>
      </c>
      <c r="Y58" s="38">
        <f t="shared" si="5"/>
        <v>900.09210557992105</v>
      </c>
      <c r="AA58" s="71">
        <v>53</v>
      </c>
      <c r="AB58" s="33">
        <f t="shared" si="6"/>
        <v>0</v>
      </c>
      <c r="AC58" s="305">
        <f t="shared" si="39"/>
        <v>0</v>
      </c>
      <c r="AD58" s="100">
        <f t="shared" si="8"/>
        <v>0</v>
      </c>
      <c r="AE58" s="100">
        <f t="shared" si="9"/>
        <v>0</v>
      </c>
      <c r="AF58" s="194">
        <f t="shared" si="34"/>
        <v>42.108169246431622</v>
      </c>
      <c r="AG58" s="194">
        <f t="shared" si="35"/>
        <v>92.137186300751793</v>
      </c>
      <c r="AH58" s="194">
        <f t="shared" si="36"/>
        <v>4.169998365464564</v>
      </c>
      <c r="AI58" s="199">
        <f t="shared" si="37"/>
        <v>138.41535391264796</v>
      </c>
      <c r="AK58" s="71">
        <v>53</v>
      </c>
      <c r="AL58" s="33"/>
      <c r="AM58" s="33"/>
      <c r="AN58" s="33"/>
      <c r="AO58" s="33"/>
      <c r="AP58" s="33"/>
      <c r="AQ58" s="194"/>
      <c r="AR58" s="194"/>
      <c r="AS58" s="194"/>
      <c r="AT58" s="194"/>
      <c r="AU58" s="33"/>
      <c r="AV58" s="33"/>
      <c r="AW58" s="33"/>
      <c r="AX58" s="33"/>
      <c r="AY58" s="76"/>
    </row>
    <row r="59" spans="2:51">
      <c r="B59" s="40"/>
      <c r="C59" s="152"/>
      <c r="D59" s="137"/>
      <c r="E59" s="141"/>
      <c r="F59" s="42"/>
      <c r="G59" s="51"/>
      <c r="I59" s="55">
        <v>54</v>
      </c>
      <c r="J59" s="33">
        <f t="shared" si="18"/>
        <v>5</v>
      </c>
      <c r="K59" s="33">
        <f t="shared" si="19"/>
        <v>1.910565629709926</v>
      </c>
      <c r="L59" s="33">
        <f t="shared" si="20"/>
        <v>45</v>
      </c>
      <c r="M59" s="33">
        <f t="shared" si="21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5"/>
        <v>41.925000000000011</v>
      </c>
      <c r="R59" s="33">
        <f t="shared" si="22"/>
        <v>1048.7749999999999</v>
      </c>
      <c r="S59" s="33">
        <f t="shared" si="23"/>
        <v>398.53449999999998</v>
      </c>
      <c r="T59" s="33">
        <f t="shared" si="2"/>
        <v>91.479494147701971</v>
      </c>
      <c r="U59" s="33">
        <f t="shared" si="16"/>
        <v>60.283010727456173</v>
      </c>
      <c r="V59" s="33">
        <f t="shared" si="3"/>
        <v>10</v>
      </c>
      <c r="W59" s="33">
        <v>0</v>
      </c>
      <c r="X59" s="33">
        <f t="shared" si="4"/>
        <v>1111.1454124745869</v>
      </c>
      <c r="Y59" s="38">
        <f t="shared" si="5"/>
        <v>934.10951066950884</v>
      </c>
      <c r="AA59" s="71">
        <v>54</v>
      </c>
      <c r="AB59" s="33">
        <f t="shared" si="6"/>
        <v>0</v>
      </c>
      <c r="AC59" s="305">
        <f t="shared" si="39"/>
        <v>0</v>
      </c>
      <c r="AD59" s="100">
        <f t="shared" si="8"/>
        <v>0</v>
      </c>
      <c r="AE59" s="100">
        <f t="shared" si="9"/>
        <v>0</v>
      </c>
      <c r="AF59" s="194">
        <f t="shared" si="34"/>
        <v>41.282453730956306</v>
      </c>
      <c r="AG59" s="194">
        <f t="shared" si="35"/>
        <v>89.617690096073687</v>
      </c>
      <c r="AH59" s="194">
        <f t="shared" si="36"/>
        <v>2.9486341217568124</v>
      </c>
      <c r="AI59" s="199">
        <f t="shared" si="37"/>
        <v>133.84877794878679</v>
      </c>
      <c r="AK59" s="71">
        <v>54</v>
      </c>
      <c r="AL59" s="33"/>
      <c r="AM59" s="33"/>
      <c r="AN59" s="33"/>
      <c r="AO59" s="33"/>
      <c r="AP59" s="33"/>
      <c r="AQ59" s="194"/>
      <c r="AR59" s="194"/>
      <c r="AS59" s="194"/>
      <c r="AT59" s="194"/>
      <c r="AU59" s="33"/>
      <c r="AV59" s="33"/>
      <c r="AW59" s="33"/>
      <c r="AX59" s="33"/>
      <c r="AY59" s="76"/>
    </row>
    <row r="60" spans="2:51">
      <c r="B60" s="40"/>
      <c r="C60" s="152"/>
      <c r="D60" s="137"/>
      <c r="E60" s="141"/>
      <c r="F60" s="42"/>
      <c r="G60" s="51"/>
      <c r="I60" s="55">
        <v>55</v>
      </c>
      <c r="J60" s="33">
        <f t="shared" si="18"/>
        <v>5</v>
      </c>
      <c r="K60" s="33">
        <f t="shared" si="19"/>
        <v>1.910565629709926</v>
      </c>
      <c r="L60" s="33">
        <f t="shared" si="20"/>
        <v>45</v>
      </c>
      <c r="M60" s="33">
        <f t="shared" si="21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5"/>
        <v>41.925000000000011</v>
      </c>
      <c r="R60" s="33">
        <f t="shared" si="22"/>
        <v>1090.6999999999998</v>
      </c>
      <c r="S60" s="33">
        <f t="shared" si="23"/>
        <v>414.46599999999995</v>
      </c>
      <c r="T60" s="33">
        <f t="shared" si="2"/>
        <v>94.703333358605178</v>
      </c>
      <c r="U60" s="33">
        <f t="shared" si="16"/>
        <v>60.45157876740128</v>
      </c>
      <c r="V60" s="33">
        <f t="shared" si="3"/>
        <v>10</v>
      </c>
      <c r="W60" s="33">
        <v>0</v>
      </c>
      <c r="X60" s="33">
        <f t="shared" si="4"/>
        <v>1145.1257110800418</v>
      </c>
      <c r="Y60" s="38">
        <f t="shared" si="5"/>
        <v>968.08980927496373</v>
      </c>
      <c r="AA60" s="71">
        <v>55</v>
      </c>
      <c r="AB60" s="33">
        <f t="shared" si="6"/>
        <v>0</v>
      </c>
      <c r="AC60" s="305">
        <f t="shared" si="39"/>
        <v>0</v>
      </c>
      <c r="AD60" s="100">
        <f t="shared" si="8"/>
        <v>0</v>
      </c>
      <c r="AE60" s="100">
        <f t="shared" si="9"/>
        <v>0</v>
      </c>
      <c r="AF60" s="194">
        <f t="shared" si="34"/>
        <v>40.472929993102731</v>
      </c>
      <c r="AG60" s="194">
        <f t="shared" si="35"/>
        <v>87.167089647607057</v>
      </c>
      <c r="AH60" s="194">
        <f t="shared" si="36"/>
        <v>2.084999182732282</v>
      </c>
      <c r="AI60" s="199">
        <f t="shared" si="37"/>
        <v>129.72501882344207</v>
      </c>
      <c r="AK60" s="71">
        <v>55</v>
      </c>
      <c r="AL60" s="33"/>
      <c r="AM60" s="33"/>
      <c r="AN60" s="33"/>
      <c r="AO60" s="33"/>
      <c r="AP60" s="33"/>
      <c r="AQ60" s="194"/>
      <c r="AR60" s="194"/>
      <c r="AS60" s="194"/>
      <c r="AT60" s="194"/>
      <c r="AU60" s="33"/>
      <c r="AV60" s="33"/>
      <c r="AW60" s="33"/>
      <c r="AX60" s="33"/>
      <c r="AY60" s="76"/>
    </row>
    <row r="61" spans="2:51">
      <c r="B61" s="40"/>
      <c r="C61" s="152"/>
      <c r="D61" s="137"/>
      <c r="E61" s="141"/>
      <c r="F61" s="42"/>
      <c r="G61" s="51"/>
      <c r="I61" s="55">
        <v>56</v>
      </c>
      <c r="J61" s="33">
        <f t="shared" si="18"/>
        <v>5</v>
      </c>
      <c r="K61" s="33">
        <f t="shared" si="19"/>
        <v>1.910565629709926</v>
      </c>
      <c r="L61" s="33">
        <f t="shared" si="20"/>
        <v>45</v>
      </c>
      <c r="M61" s="33">
        <f t="shared" si="21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5"/>
        <v>-71.5</v>
      </c>
      <c r="R61" s="33">
        <f t="shared" si="22"/>
        <v>1019.1999999999998</v>
      </c>
      <c r="S61" s="33">
        <f t="shared" si="23"/>
        <v>387.29599999999994</v>
      </c>
      <c r="T61" s="33">
        <f t="shared" si="2"/>
        <v>89.196306239747699</v>
      </c>
      <c r="U61" s="33">
        <f t="shared" si="16"/>
        <v>60.617222528715011</v>
      </c>
      <c r="V61" s="33">
        <f t="shared" si="3"/>
        <v>10</v>
      </c>
      <c r="W61" s="33">
        <v>0</v>
      </c>
      <c r="X61" s="33">
        <f t="shared" si="4"/>
        <v>1088.8205826395154</v>
      </c>
      <c r="Y61" s="38">
        <f t="shared" si="5"/>
        <v>911.78468083443727</v>
      </c>
      <c r="AA61" s="71">
        <v>56</v>
      </c>
      <c r="AB61" s="33">
        <f t="shared" si="6"/>
        <v>55</v>
      </c>
      <c r="AC61" s="305">
        <f t="shared" si="39"/>
        <v>0.35</v>
      </c>
      <c r="AD61" s="100">
        <f t="shared" si="8"/>
        <v>0.16800000000000004</v>
      </c>
      <c r="AE61" s="100">
        <f t="shared" si="9"/>
        <v>0.13200000000000003</v>
      </c>
      <c r="AF61" s="194">
        <f t="shared" si="34"/>
        <v>52.294245210990042</v>
      </c>
      <c r="AG61" s="194">
        <f t="shared" si="35"/>
        <v>90.814842485120025</v>
      </c>
      <c r="AH61" s="194">
        <f t="shared" si="36"/>
        <v>5.535000262019226</v>
      </c>
      <c r="AI61" s="199">
        <f t="shared" si="37"/>
        <v>148.64408795812929</v>
      </c>
      <c r="AK61" s="71">
        <v>56</v>
      </c>
      <c r="AL61" s="33"/>
      <c r="AM61" s="33"/>
      <c r="AN61" s="33"/>
      <c r="AO61" s="33"/>
      <c r="AP61" s="33"/>
      <c r="AQ61" s="194"/>
      <c r="AR61" s="194"/>
      <c r="AS61" s="194"/>
      <c r="AT61" s="194"/>
      <c r="AU61" s="33"/>
      <c r="AV61" s="33"/>
      <c r="AW61" s="33"/>
      <c r="AX61" s="33"/>
      <c r="AY61" s="76"/>
    </row>
    <row r="62" spans="2:51">
      <c r="B62" s="40"/>
      <c r="C62" s="152"/>
      <c r="D62" s="137"/>
      <c r="E62" s="141"/>
      <c r="F62" s="42"/>
      <c r="G62" s="51"/>
      <c r="I62" s="55">
        <v>57</v>
      </c>
      <c r="J62" s="33">
        <f t="shared" si="18"/>
        <v>5</v>
      </c>
      <c r="K62" s="33">
        <f t="shared" si="19"/>
        <v>1.910565629709926</v>
      </c>
      <c r="L62" s="33">
        <f t="shared" si="20"/>
        <v>45</v>
      </c>
      <c r="M62" s="33">
        <f t="shared" si="21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5"/>
        <v>36.074999999999989</v>
      </c>
      <c r="R62" s="33">
        <f t="shared" si="22"/>
        <v>1055.2749999999999</v>
      </c>
      <c r="S62" s="33">
        <f t="shared" si="23"/>
        <v>401.00449999999995</v>
      </c>
      <c r="T62" s="33">
        <f t="shared" si="2"/>
        <v>91.980282444467576</v>
      </c>
      <c r="U62" s="33">
        <f t="shared" si="16"/>
        <v>60.77999274109392</v>
      </c>
      <c r="V62" s="33">
        <f t="shared" si="3"/>
        <v>10</v>
      </c>
      <c r="W62" s="33">
        <v>0</v>
      </c>
      <c r="X62" s="33">
        <f t="shared" si="4"/>
        <v>1118.1418028081255</v>
      </c>
      <c r="Y62" s="38">
        <f t="shared" si="5"/>
        <v>941.10590100304739</v>
      </c>
      <c r="AA62" s="71">
        <v>57</v>
      </c>
      <c r="AB62" s="33">
        <f t="shared" si="6"/>
        <v>0</v>
      </c>
      <c r="AC62" s="305">
        <f t="shared" si="39"/>
        <v>0</v>
      </c>
      <c r="AD62" s="100">
        <f t="shared" si="8"/>
        <v>0</v>
      </c>
      <c r="AE62" s="100">
        <f t="shared" si="9"/>
        <v>0</v>
      </c>
      <c r="AF62" s="194">
        <f t="shared" si="34"/>
        <v>51.268786958742602</v>
      </c>
      <c r="AG62" s="194">
        <f t="shared" si="35"/>
        <v>88.331505841619418</v>
      </c>
      <c r="AH62" s="194">
        <f t="shared" si="36"/>
        <v>3.9138362191431124</v>
      </c>
      <c r="AI62" s="199">
        <f t="shared" si="37"/>
        <v>143.51412901950513</v>
      </c>
      <c r="AK62" s="71">
        <v>57</v>
      </c>
      <c r="AL62" s="33"/>
      <c r="AM62" s="33"/>
      <c r="AN62" s="33"/>
      <c r="AO62" s="33"/>
      <c r="AP62" s="33"/>
      <c r="AQ62" s="194"/>
      <c r="AR62" s="194"/>
      <c r="AS62" s="194"/>
      <c r="AT62" s="194"/>
      <c r="AU62" s="33"/>
      <c r="AV62" s="33"/>
      <c r="AW62" s="33"/>
      <c r="AX62" s="33"/>
      <c r="AY62" s="76"/>
    </row>
    <row r="63" spans="2:51">
      <c r="B63" s="40"/>
      <c r="C63" s="152"/>
      <c r="D63" s="137"/>
      <c r="E63" s="141"/>
      <c r="F63" s="42"/>
      <c r="G63" s="51"/>
      <c r="I63" s="55">
        <v>58</v>
      </c>
      <c r="J63" s="33">
        <f t="shared" si="18"/>
        <v>5</v>
      </c>
      <c r="K63" s="33">
        <f t="shared" si="19"/>
        <v>1.910565629709926</v>
      </c>
      <c r="L63" s="33">
        <f t="shared" si="20"/>
        <v>45</v>
      </c>
      <c r="M63" s="33">
        <f t="shared" si="21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5"/>
        <v>36.074999999999989</v>
      </c>
      <c r="R63" s="33">
        <f t="shared" si="22"/>
        <v>1091.3499999999999</v>
      </c>
      <c r="S63" s="33">
        <f t="shared" si="23"/>
        <v>414.71299999999997</v>
      </c>
      <c r="T63" s="33">
        <f t="shared" si="2"/>
        <v>94.753200440628063</v>
      </c>
      <c r="U63" s="33">
        <f t="shared" si="16"/>
        <v>60.939939254187742</v>
      </c>
      <c r="V63" s="33">
        <f t="shared" si="3"/>
        <v>10</v>
      </c>
      <c r="W63" s="33">
        <v>0</v>
      </c>
      <c r="X63" s="33">
        <f t="shared" si="4"/>
        <v>1147.4334096994487</v>
      </c>
      <c r="Y63" s="38">
        <f t="shared" si="5"/>
        <v>970.39750789437062</v>
      </c>
      <c r="AA63" s="71">
        <v>58</v>
      </c>
      <c r="AB63" s="33">
        <f t="shared" si="6"/>
        <v>0</v>
      </c>
      <c r="AC63" s="305">
        <f t="shared" si="39"/>
        <v>0</v>
      </c>
      <c r="AD63" s="100">
        <f t="shared" si="8"/>
        <v>0</v>
      </c>
      <c r="AE63" s="100">
        <f t="shared" si="9"/>
        <v>0</v>
      </c>
      <c r="AF63" s="194">
        <f t="shared" si="34"/>
        <v>50.263437317353961</v>
      </c>
      <c r="AG63" s="194">
        <f t="shared" si="35"/>
        <v>85.916076169228333</v>
      </c>
      <c r="AH63" s="194">
        <f t="shared" si="36"/>
        <v>2.7675001310096135</v>
      </c>
      <c r="AI63" s="199">
        <f t="shared" si="37"/>
        <v>138.94701361759192</v>
      </c>
      <c r="AK63" s="71">
        <v>58</v>
      </c>
      <c r="AL63" s="33"/>
      <c r="AM63" s="33"/>
      <c r="AN63" s="33"/>
      <c r="AO63" s="33"/>
      <c r="AP63" s="33"/>
      <c r="AQ63" s="194"/>
      <c r="AR63" s="194"/>
      <c r="AS63" s="194"/>
      <c r="AT63" s="194"/>
      <c r="AU63" s="33"/>
      <c r="AV63" s="33"/>
      <c r="AW63" s="33"/>
      <c r="AX63" s="33"/>
      <c r="AY63" s="76"/>
    </row>
    <row r="64" spans="2:51">
      <c r="B64" s="40"/>
      <c r="C64" s="152"/>
      <c r="D64" s="137"/>
      <c r="E64" s="141"/>
      <c r="F64" s="42"/>
      <c r="G64" s="51"/>
      <c r="I64" s="55">
        <v>59</v>
      </c>
      <c r="J64" s="33">
        <f t="shared" si="18"/>
        <v>5</v>
      </c>
      <c r="K64" s="33">
        <f t="shared" si="19"/>
        <v>1.910565629709926</v>
      </c>
      <c r="L64" s="33">
        <f t="shared" si="20"/>
        <v>45</v>
      </c>
      <c r="M64" s="33">
        <f t="shared" si="21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5"/>
        <v>36.074999999999989</v>
      </c>
      <c r="R64" s="33">
        <f t="shared" si="22"/>
        <v>1127.425</v>
      </c>
      <c r="S64" s="33">
        <f t="shared" si="23"/>
        <v>428.42149999999998</v>
      </c>
      <c r="T64" s="33">
        <f t="shared" si="2"/>
        <v>97.515467676335462</v>
      </c>
      <c r="U64" s="33">
        <f t="shared" si="16"/>
        <v>61.097111052866211</v>
      </c>
      <c r="V64" s="33">
        <f t="shared" si="3"/>
        <v>10</v>
      </c>
      <c r="W64" s="33">
        <v>0</v>
      </c>
      <c r="X64" s="33">
        <f t="shared" si="4"/>
        <v>1176.6962925634605</v>
      </c>
      <c r="Y64" s="38">
        <f t="shared" si="5"/>
        <v>999.66039075838239</v>
      </c>
      <c r="AA64" s="71">
        <v>59</v>
      </c>
      <c r="AB64" s="33">
        <f t="shared" si="6"/>
        <v>0</v>
      </c>
      <c r="AC64" s="305">
        <f t="shared" si="39"/>
        <v>0</v>
      </c>
      <c r="AD64" s="100">
        <f t="shared" si="8"/>
        <v>0</v>
      </c>
      <c r="AE64" s="100">
        <f t="shared" si="9"/>
        <v>0</v>
      </c>
      <c r="AF64" s="194">
        <f t="shared" si="34"/>
        <v>49.277801969230218</v>
      </c>
      <c r="AG64" s="194">
        <f t="shared" si="35"/>
        <v>83.566696548250704</v>
      </c>
      <c r="AH64" s="194">
        <f t="shared" si="36"/>
        <v>1.9569181095715564</v>
      </c>
      <c r="AI64" s="199">
        <f t="shared" si="37"/>
        <v>134.80141662705248</v>
      </c>
      <c r="AK64" s="71">
        <v>59</v>
      </c>
      <c r="AL64" s="33"/>
      <c r="AM64" s="33"/>
      <c r="AN64" s="33"/>
      <c r="AO64" s="33"/>
      <c r="AP64" s="33"/>
      <c r="AQ64" s="194"/>
      <c r="AR64" s="194"/>
      <c r="AS64" s="194"/>
      <c r="AT64" s="194"/>
      <c r="AU64" s="33"/>
      <c r="AV64" s="33"/>
      <c r="AW64" s="33"/>
      <c r="AX64" s="33"/>
      <c r="AY64" s="76"/>
    </row>
    <row r="65" spans="2:51">
      <c r="B65" s="40"/>
      <c r="C65" s="152"/>
      <c r="D65" s="137"/>
      <c r="E65" s="141"/>
      <c r="F65" s="42"/>
      <c r="G65" s="51"/>
      <c r="I65" s="55">
        <v>60</v>
      </c>
      <c r="J65" s="33">
        <f t="shared" si="18"/>
        <v>5</v>
      </c>
      <c r="K65" s="33">
        <f t="shared" si="19"/>
        <v>1.910565629709926</v>
      </c>
      <c r="L65" s="33">
        <f t="shared" si="20"/>
        <v>45</v>
      </c>
      <c r="M65" s="33">
        <f t="shared" si="21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5"/>
        <v>36.074999999999989</v>
      </c>
      <c r="R65" s="33">
        <f t="shared" si="22"/>
        <v>1163.5</v>
      </c>
      <c r="S65" s="33">
        <f t="shared" si="23"/>
        <v>442.13</v>
      </c>
      <c r="T65" s="33">
        <f t="shared" si="2"/>
        <v>100.26746404438613</v>
      </c>
      <c r="U65" s="33">
        <f t="shared" si="16"/>
        <v>61.251556272221123</v>
      </c>
      <c r="V65" s="33">
        <f t="shared" si="3"/>
        <v>10</v>
      </c>
      <c r="W65" s="33">
        <v>0</v>
      </c>
      <c r="X65" s="33">
        <f t="shared" si="4"/>
        <v>1205.9312895421165</v>
      </c>
      <c r="Y65" s="38">
        <f t="shared" si="5"/>
        <v>1028.8953877370384</v>
      </c>
      <c r="AA65" s="71">
        <v>60</v>
      </c>
      <c r="AB65" s="33">
        <f t="shared" si="6"/>
        <v>0</v>
      </c>
      <c r="AC65" s="305">
        <f t="shared" si="39"/>
        <v>0</v>
      </c>
      <c r="AD65" s="100">
        <f t="shared" si="8"/>
        <v>0</v>
      </c>
      <c r="AE65" s="100">
        <f t="shared" si="9"/>
        <v>0</v>
      </c>
      <c r="AF65" s="194">
        <f t="shared" si="34"/>
        <v>48.311494329104981</v>
      </c>
      <c r="AG65" s="194">
        <f t="shared" si="35"/>
        <v>81.281560836557205</v>
      </c>
      <c r="AH65" s="194">
        <f t="shared" si="36"/>
        <v>1.3837500655048069</v>
      </c>
      <c r="AI65" s="199">
        <f t="shared" si="37"/>
        <v>130.97680523116699</v>
      </c>
      <c r="AK65" s="71">
        <v>60</v>
      </c>
      <c r="AL65" s="33"/>
      <c r="AM65" s="33"/>
      <c r="AN65" s="33"/>
      <c r="AO65" s="33"/>
      <c r="AP65" s="33"/>
      <c r="AQ65" s="194"/>
      <c r="AR65" s="194"/>
      <c r="AS65" s="194"/>
      <c r="AT65" s="194"/>
      <c r="AU65" s="33"/>
      <c r="AV65" s="33"/>
      <c r="AW65" s="33"/>
      <c r="AX65" s="33"/>
      <c r="AY65" s="76"/>
    </row>
    <row r="66" spans="2:51">
      <c r="B66" s="40"/>
      <c r="C66" s="152"/>
      <c r="D66" s="137"/>
      <c r="E66" s="141"/>
      <c r="F66" s="42"/>
      <c r="G66" s="51"/>
      <c r="I66" s="55">
        <v>61</v>
      </c>
      <c r="J66" s="33">
        <f t="shared" si="18"/>
        <v>5</v>
      </c>
      <c r="K66" s="33">
        <f t="shared" si="19"/>
        <v>1.910565629709926</v>
      </c>
      <c r="L66" s="33">
        <f t="shared" si="20"/>
        <v>45</v>
      </c>
      <c r="M66" s="33">
        <f t="shared" si="21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5"/>
        <v>-62.399999999999864</v>
      </c>
      <c r="R66" s="33">
        <f t="shared" si="22"/>
        <v>1101.1000000000001</v>
      </c>
      <c r="S66" s="33">
        <f t="shared" si="23"/>
        <v>418.41800000000006</v>
      </c>
      <c r="T66" s="33">
        <f t="shared" si="2"/>
        <v>95.500793110404331</v>
      </c>
      <c r="U66" s="33">
        <f t="shared" si="16"/>
        <v>61.403322212307998</v>
      </c>
      <c r="V66" s="33">
        <f t="shared" si="3"/>
        <v>10</v>
      </c>
      <c r="W66" s="33">
        <v>0</v>
      </c>
      <c r="X66" s="33">
        <f t="shared" si="4"/>
        <v>1156.8874127790834</v>
      </c>
      <c r="Y66" s="38">
        <f t="shared" si="5"/>
        <v>979.85151097400535</v>
      </c>
      <c r="AA66" s="71">
        <v>61</v>
      </c>
      <c r="AB66" s="33">
        <f t="shared" si="6"/>
        <v>48</v>
      </c>
      <c r="AC66" s="305">
        <f t="shared" si="39"/>
        <v>0.4</v>
      </c>
      <c r="AD66" s="100">
        <f t="shared" si="8"/>
        <v>0.11199999999999999</v>
      </c>
      <c r="AE66" s="100">
        <f t="shared" si="9"/>
        <v>8.7999999999999981E-2</v>
      </c>
      <c r="AF66" s="194">
        <f t="shared" si="34"/>
        <v>59.946333939366092</v>
      </c>
      <c r="AG66" s="194">
        <f t="shared" si="35"/>
        <v>82.568056419452461</v>
      </c>
      <c r="AH66" s="194">
        <f t="shared" si="36"/>
        <v>3.3410383718131631</v>
      </c>
      <c r="AI66" s="199">
        <f t="shared" si="37"/>
        <v>145.85542873063173</v>
      </c>
      <c r="AK66" s="71">
        <v>61</v>
      </c>
      <c r="AL66" s="33"/>
      <c r="AM66" s="33"/>
      <c r="AN66" s="33"/>
      <c r="AO66" s="33"/>
      <c r="AP66" s="33"/>
      <c r="AQ66" s="194"/>
      <c r="AR66" s="194"/>
      <c r="AS66" s="194"/>
      <c r="AT66" s="194"/>
      <c r="AU66" s="33"/>
      <c r="AV66" s="33"/>
      <c r="AW66" s="33"/>
      <c r="AX66" s="33"/>
      <c r="AY66" s="76"/>
    </row>
    <row r="67" spans="2:51">
      <c r="B67" s="40"/>
      <c r="C67" s="152"/>
      <c r="D67" s="137"/>
      <c r="E67" s="141"/>
      <c r="F67" s="42"/>
      <c r="G67" s="51"/>
      <c r="I67" s="55">
        <v>62</v>
      </c>
      <c r="J67" s="33">
        <f t="shared" si="18"/>
        <v>5</v>
      </c>
      <c r="K67" s="33">
        <f t="shared" si="19"/>
        <v>1.910565629709926</v>
      </c>
      <c r="L67" s="33">
        <f t="shared" si="20"/>
        <v>45</v>
      </c>
      <c r="M67" s="33">
        <f t="shared" si="21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5"/>
        <v>30.875</v>
      </c>
      <c r="R67" s="33">
        <f t="shared" si="22"/>
        <v>1131.9750000000001</v>
      </c>
      <c r="S67" s="33">
        <f t="shared" si="23"/>
        <v>430.15050000000008</v>
      </c>
      <c r="T67" s="33">
        <f t="shared" si="2"/>
        <v>97.86312476152419</v>
      </c>
      <c r="U67" s="33">
        <f t="shared" si="16"/>
        <v>61.55245535263218</v>
      </c>
      <c r="V67" s="33">
        <f t="shared" si="3"/>
        <v>10</v>
      </c>
      <c r="W67" s="33">
        <v>0</v>
      </c>
      <c r="X67" s="33">
        <f t="shared" si="4"/>
        <v>1181.9827327526393</v>
      </c>
      <c r="Y67" s="38">
        <f t="shared" si="5"/>
        <v>1004.9468309475612</v>
      </c>
      <c r="AA67" s="71">
        <v>62</v>
      </c>
      <c r="AB67" s="33">
        <f t="shared" si="6"/>
        <v>0</v>
      </c>
      <c r="AC67" s="305">
        <f t="shared" si="39"/>
        <v>0</v>
      </c>
      <c r="AD67" s="100">
        <f t="shared" si="8"/>
        <v>0</v>
      </c>
      <c r="AE67" s="100">
        <f t="shared" si="9"/>
        <v>0</v>
      </c>
      <c r="AF67" s="194">
        <f t="shared" si="34"/>
        <v>58.770822894468466</v>
      </c>
      <c r="AG67" s="194">
        <f t="shared" si="35"/>
        <v>80.310228574597161</v>
      </c>
      <c r="AH67" s="194">
        <f t="shared" si="36"/>
        <v>2.3624708889135495</v>
      </c>
      <c r="AI67" s="199">
        <f t="shared" si="37"/>
        <v>141.44352235797919</v>
      </c>
      <c r="AK67" s="71">
        <v>62</v>
      </c>
      <c r="AL67" s="33"/>
      <c r="AM67" s="33"/>
      <c r="AN67" s="33"/>
      <c r="AO67" s="33"/>
      <c r="AP67" s="33"/>
      <c r="AQ67" s="194"/>
      <c r="AR67" s="194"/>
      <c r="AS67" s="194"/>
      <c r="AT67" s="194"/>
      <c r="AU67" s="33"/>
      <c r="AV67" s="33"/>
      <c r="AW67" s="33"/>
      <c r="AX67" s="33"/>
      <c r="AY67" s="76"/>
    </row>
    <row r="68" spans="2:51">
      <c r="B68" s="40"/>
      <c r="C68" s="152"/>
      <c r="D68" s="137"/>
      <c r="E68" s="141"/>
      <c r="F68" s="42"/>
      <c r="G68" s="51"/>
      <c r="I68" s="55">
        <v>63</v>
      </c>
      <c r="J68" s="33">
        <f t="shared" si="18"/>
        <v>5</v>
      </c>
      <c r="K68" s="33">
        <f t="shared" si="19"/>
        <v>1.910565629709926</v>
      </c>
      <c r="L68" s="33">
        <f t="shared" si="20"/>
        <v>45</v>
      </c>
      <c r="M68" s="33">
        <f t="shared" si="21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5"/>
        <v>30.875</v>
      </c>
      <c r="R68" s="33">
        <f t="shared" si="22"/>
        <v>1162.8500000000001</v>
      </c>
      <c r="S68" s="33">
        <f t="shared" si="23"/>
        <v>441.88300000000004</v>
      </c>
      <c r="T68" s="33">
        <f t="shared" si="2"/>
        <v>100.21796727765617</v>
      </c>
      <c r="U68" s="33">
        <f t="shared" si="16"/>
        <v>61.699001366383484</v>
      </c>
      <c r="V68" s="33">
        <f t="shared" si="3"/>
        <v>10</v>
      </c>
      <c r="W68" s="33">
        <v>0</v>
      </c>
      <c r="X68" s="33">
        <f t="shared" si="4"/>
        <v>1207.0555230186571</v>
      </c>
      <c r="Y68" s="38">
        <f t="shared" si="5"/>
        <v>1030.0196212135791</v>
      </c>
      <c r="AA68" s="71">
        <v>63</v>
      </c>
      <c r="AB68" s="33">
        <f t="shared" si="6"/>
        <v>0</v>
      </c>
      <c r="AC68" s="305">
        <f t="shared" si="39"/>
        <v>0</v>
      </c>
      <c r="AD68" s="100">
        <f t="shared" si="8"/>
        <v>0</v>
      </c>
      <c r="AE68" s="100">
        <f t="shared" si="9"/>
        <v>0</v>
      </c>
      <c r="AF68" s="194">
        <f t="shared" si="34"/>
        <v>57.61836290417034</v>
      </c>
      <c r="AG68" s="194">
        <f t="shared" si="35"/>
        <v>78.114141150893431</v>
      </c>
      <c r="AH68" s="194">
        <f t="shared" si="36"/>
        <v>1.6705191859065818</v>
      </c>
      <c r="AI68" s="199">
        <f t="shared" si="37"/>
        <v>137.40302324097036</v>
      </c>
      <c r="AK68" s="71">
        <v>63</v>
      </c>
      <c r="AL68" s="33"/>
      <c r="AM68" s="33"/>
      <c r="AN68" s="33"/>
      <c r="AO68" s="33"/>
      <c r="AP68" s="33"/>
      <c r="AQ68" s="194"/>
      <c r="AR68" s="194"/>
      <c r="AS68" s="194"/>
      <c r="AT68" s="194"/>
      <c r="AU68" s="33"/>
      <c r="AV68" s="33"/>
      <c r="AW68" s="33"/>
      <c r="AX68" s="33"/>
      <c r="AY68" s="76"/>
    </row>
    <row r="69" spans="2:51">
      <c r="B69" s="40"/>
      <c r="C69" s="152"/>
      <c r="D69" s="137"/>
      <c r="E69" s="141"/>
      <c r="F69" s="42"/>
      <c r="G69" s="51"/>
      <c r="I69" s="55">
        <v>64</v>
      </c>
      <c r="J69" s="33">
        <f t="shared" si="18"/>
        <v>5</v>
      </c>
      <c r="K69" s="33">
        <f t="shared" si="19"/>
        <v>1.910565629709926</v>
      </c>
      <c r="L69" s="33">
        <f t="shared" si="20"/>
        <v>45</v>
      </c>
      <c r="M69" s="33">
        <f t="shared" si="21"/>
        <v>0</v>
      </c>
      <c r="N69" s="33">
        <f t="shared" ref="N69:N132" si="40">IF(P70&lt;=$F$18,0,)</f>
        <v>0</v>
      </c>
      <c r="O69" s="34">
        <f t="shared" ref="O69:O132" si="41">((J69+K69)*0.475+L69+M69+N69)*44/12</f>
        <v>177.03590180507811</v>
      </c>
      <c r="P69" s="55">
        <v>64</v>
      </c>
      <c r="Q69" s="33">
        <f t="shared" si="15"/>
        <v>30.875</v>
      </c>
      <c r="R69" s="33">
        <f t="shared" si="22"/>
        <v>1193.7250000000001</v>
      </c>
      <c r="S69" s="33">
        <f t="shared" si="23"/>
        <v>453.61550000000005</v>
      </c>
      <c r="T69" s="33">
        <f t="shared" ref="T69:T132" si="42">IF(S69=0,0,EXP(-1.0587+0.8836*LN(S69)+0.284))</f>
        <v>102.56554235953905</v>
      </c>
      <c r="U69" s="33">
        <f t="shared" si="16"/>
        <v>61.843005134424018</v>
      </c>
      <c r="V69" s="33">
        <f t="shared" ref="V69:V132" si="43">IF(P69&lt;=$F$18,IF(P69&lt;=30,P69*($F$16-$F$6)/30,$F$16-$F$6),)</f>
        <v>10</v>
      </c>
      <c r="W69" s="33">
        <v>0</v>
      </c>
      <c r="X69" s="33">
        <f t="shared" ref="X69:X132" si="44">((S69+T69)*0.475+U69+V69+W69)*44/12</f>
        <v>1232.1063342690852</v>
      </c>
      <c r="Y69" s="38">
        <f t="shared" ref="Y69:Y132" si="45">IF(P69&lt;=$F$18,X69-O69,)</f>
        <v>1055.0704324640071</v>
      </c>
      <c r="AA69" s="71">
        <v>64</v>
      </c>
      <c r="AB69" s="33">
        <f t="shared" ref="AB69:AB132" si="46">IF(AA69&lt;=$F$18,IFERROR(VLOOKUP($AA69,$B$82:$G$94,2,FALSE),0),)</f>
        <v>0</v>
      </c>
      <c r="AC69" s="305">
        <f t="shared" si="39"/>
        <v>0</v>
      </c>
      <c r="AD69" s="100">
        <f t="shared" ref="AD69:AD132" si="47">IF(AA69&lt;=$F$18,IFERROR(VLOOKUP($AA69,$B$82:$G$94,4,FALSE),0),)</f>
        <v>0</v>
      </c>
      <c r="AE69" s="100">
        <f t="shared" ref="AE69:AE132" si="48">IF(AA69&lt;=$F$18,IFERROR(VLOOKUP($AA69,$B$82:$G$94,5,FALSE),0),)</f>
        <v>0</v>
      </c>
      <c r="AF69" s="194">
        <f t="shared" si="34"/>
        <v>56.488501951350777</v>
      </c>
      <c r="AG69" s="194">
        <f t="shared" si="35"/>
        <v>75.978105853278095</v>
      </c>
      <c r="AH69" s="194">
        <f t="shared" si="36"/>
        <v>1.181235444456775</v>
      </c>
      <c r="AI69" s="199">
        <f t="shared" si="37"/>
        <v>133.64784324908564</v>
      </c>
      <c r="AK69" s="71">
        <v>64</v>
      </c>
      <c r="AL69" s="33"/>
      <c r="AM69" s="33"/>
      <c r="AN69" s="33"/>
      <c r="AO69" s="33"/>
      <c r="AP69" s="33"/>
      <c r="AQ69" s="194"/>
      <c r="AR69" s="194"/>
      <c r="AS69" s="194"/>
      <c r="AT69" s="194"/>
      <c r="AU69" s="33"/>
      <c r="AV69" s="33"/>
      <c r="AW69" s="33"/>
      <c r="AX69" s="33"/>
      <c r="AY69" s="76"/>
    </row>
    <row r="70" spans="2:51">
      <c r="B70" s="40"/>
      <c r="C70" s="152"/>
      <c r="D70" s="137"/>
      <c r="E70" s="141"/>
      <c r="F70" s="42"/>
      <c r="G70" s="51"/>
      <c r="I70" s="55">
        <v>65</v>
      </c>
      <c r="J70" s="33">
        <f t="shared" si="18"/>
        <v>5</v>
      </c>
      <c r="K70" s="33">
        <f t="shared" si="19"/>
        <v>1.910565629709926</v>
      </c>
      <c r="L70" s="33">
        <f t="shared" si="20"/>
        <v>45</v>
      </c>
      <c r="M70" s="33">
        <f t="shared" si="21"/>
        <v>0</v>
      </c>
      <c r="N70" s="33">
        <f t="shared" si="40"/>
        <v>0</v>
      </c>
      <c r="O70" s="34">
        <f t="shared" si="41"/>
        <v>177.03590180507811</v>
      </c>
      <c r="P70" s="55">
        <v>65</v>
      </c>
      <c r="Q70" s="33">
        <f t="shared" ref="Q70:Q133" si="49">IF(P70&lt;=$F$18,LOOKUP(P70-1,$B$25:$B$78,$G$25:$G$78),)</f>
        <v>30.875</v>
      </c>
      <c r="R70" s="33">
        <f t="shared" si="22"/>
        <v>1224.6000000000001</v>
      </c>
      <c r="S70" s="33">
        <f t="shared" si="23"/>
        <v>465.34800000000007</v>
      </c>
      <c r="T70" s="33">
        <f t="shared" si="42"/>
        <v>104.90605958630692</v>
      </c>
      <c r="U70" s="33">
        <f t="shared" ref="U70:U133" si="50">IF(P70&lt;=$F$18,$F$5+($F$15-$F$5)*(1-EXP(-0.0175*P70)),)</f>
        <v>61.984510759033235</v>
      </c>
      <c r="V70" s="33">
        <f t="shared" si="43"/>
        <v>10</v>
      </c>
      <c r="W70" s="33">
        <v>0</v>
      </c>
      <c r="X70" s="33">
        <f t="shared" si="44"/>
        <v>1257.1356932292731</v>
      </c>
      <c r="Y70" s="38">
        <f t="shared" si="45"/>
        <v>1080.099791424195</v>
      </c>
      <c r="AA70" s="71">
        <v>65</v>
      </c>
      <c r="AB70" s="33">
        <f t="shared" si="46"/>
        <v>942</v>
      </c>
      <c r="AC70" s="305">
        <f t="shared" si="39"/>
        <v>0.47499999999999998</v>
      </c>
      <c r="AD70" s="100">
        <f t="shared" si="47"/>
        <v>2.8000000000000028E-2</v>
      </c>
      <c r="AE70" s="100">
        <f t="shared" si="48"/>
        <v>2.200000000000002E-2</v>
      </c>
      <c r="AF70" s="194">
        <f t="shared" si="34"/>
        <v>348.60500208236141</v>
      </c>
      <c r="AG70" s="194">
        <f t="shared" si="35"/>
        <v>91.117218982144067</v>
      </c>
      <c r="AH70" s="194">
        <f t="shared" si="36"/>
        <v>12.42666436711891</v>
      </c>
      <c r="AI70" s="199">
        <f t="shared" si="37"/>
        <v>452.14888543162436</v>
      </c>
      <c r="AK70" s="71">
        <v>65</v>
      </c>
      <c r="AL70" s="33"/>
      <c r="AM70" s="33"/>
      <c r="AN70" s="33"/>
      <c r="AO70" s="33"/>
      <c r="AP70" s="33"/>
      <c r="AQ70" s="194"/>
      <c r="AR70" s="194"/>
      <c r="AS70" s="194"/>
      <c r="AT70" s="194"/>
      <c r="AU70" s="33"/>
      <c r="AV70" s="33"/>
      <c r="AW70" s="33"/>
      <c r="AX70" s="33"/>
      <c r="AY70" s="76"/>
    </row>
    <row r="71" spans="2:51">
      <c r="B71" s="40"/>
      <c r="C71" s="152"/>
      <c r="D71" s="137"/>
      <c r="E71" s="141"/>
      <c r="F71" s="42"/>
      <c r="G71" s="51"/>
      <c r="I71" s="55">
        <v>66</v>
      </c>
      <c r="J71" s="33">
        <f t="shared" ref="J71:J134" si="51">IF($I71&lt;=$F$10,$F$11*$F$13+J70,)</f>
        <v>0</v>
      </c>
      <c r="K71" s="33">
        <f t="shared" ref="K71:K134" si="52">IF(J71=0,0,EXP(-1.0587+0.8836*LN(J71)+0.284))</f>
        <v>0</v>
      </c>
      <c r="L71" s="33">
        <f t="shared" ref="L71:L134" si="53">IF(I71&lt;=$F$10,$F$5+($F$8-$F$5)*(1-EXP(-0.0175*I71)),)</f>
        <v>0</v>
      </c>
      <c r="M71" s="33">
        <f t="shared" ref="M71:M134" si="54">IF(I71&lt;=$F$10,IF(I71&lt;=30,I71*($F$9-$F$6)/30,$F$9-$F$6),)</f>
        <v>0</v>
      </c>
      <c r="N71" s="33">
        <f t="shared" si="40"/>
        <v>0</v>
      </c>
      <c r="O71" s="34">
        <f t="shared" si="41"/>
        <v>0</v>
      </c>
      <c r="P71" s="55">
        <v>66</v>
      </c>
      <c r="Q71" s="33">
        <f t="shared" si="49"/>
        <v>0</v>
      </c>
      <c r="R71" s="33">
        <f t="shared" ref="R71:R134" si="55">IF(P71&lt;=$F$18,Q71+R70,)</f>
        <v>0</v>
      </c>
      <c r="S71" s="33">
        <f t="shared" ref="S71:S134" si="56">$F$19*R71</f>
        <v>0</v>
      </c>
      <c r="T71" s="33">
        <f t="shared" si="42"/>
        <v>0</v>
      </c>
      <c r="U71" s="33">
        <f t="shared" si="50"/>
        <v>0</v>
      </c>
      <c r="V71" s="33">
        <f t="shared" si="43"/>
        <v>0</v>
      </c>
      <c r="W71" s="33">
        <v>0</v>
      </c>
      <c r="X71" s="33">
        <f t="shared" si="44"/>
        <v>0</v>
      </c>
      <c r="Y71" s="38">
        <f t="shared" si="45"/>
        <v>0</v>
      </c>
      <c r="AA71" s="71">
        <v>66</v>
      </c>
      <c r="AB71" s="33">
        <f t="shared" si="46"/>
        <v>0</v>
      </c>
      <c r="AC71" s="305">
        <f t="shared" si="39"/>
        <v>0</v>
      </c>
      <c r="AD71" s="100">
        <f t="shared" si="47"/>
        <v>0</v>
      </c>
      <c r="AE71" s="100">
        <f t="shared" si="48"/>
        <v>0</v>
      </c>
      <c r="AF71" s="194">
        <f t="shared" si="34"/>
        <v>0</v>
      </c>
      <c r="AG71" s="194">
        <f t="shared" si="35"/>
        <v>0</v>
      </c>
      <c r="AH71" s="194">
        <f t="shared" si="36"/>
        <v>0</v>
      </c>
      <c r="AI71" s="199">
        <f t="shared" si="37"/>
        <v>0</v>
      </c>
      <c r="AK71" s="71">
        <v>66</v>
      </c>
      <c r="AL71" s="33"/>
      <c r="AM71" s="33"/>
      <c r="AN71" s="33"/>
      <c r="AO71" s="33"/>
      <c r="AP71" s="33"/>
      <c r="AQ71" s="194"/>
      <c r="AR71" s="194"/>
      <c r="AS71" s="194"/>
      <c r="AT71" s="194"/>
      <c r="AU71" s="33"/>
      <c r="AV71" s="33"/>
      <c r="AW71" s="33"/>
      <c r="AX71" s="33"/>
      <c r="AY71" s="76"/>
    </row>
    <row r="72" spans="2:51">
      <c r="B72" s="40"/>
      <c r="C72" s="152"/>
      <c r="D72" s="137"/>
      <c r="E72" s="141"/>
      <c r="F72" s="42"/>
      <c r="G72" s="51"/>
      <c r="I72" s="55">
        <v>67</v>
      </c>
      <c r="J72" s="33">
        <f t="shared" si="51"/>
        <v>0</v>
      </c>
      <c r="K72" s="33">
        <f t="shared" si="52"/>
        <v>0</v>
      </c>
      <c r="L72" s="33">
        <f t="shared" si="53"/>
        <v>0</v>
      </c>
      <c r="M72" s="33">
        <f t="shared" si="54"/>
        <v>0</v>
      </c>
      <c r="N72" s="33">
        <f t="shared" si="40"/>
        <v>0</v>
      </c>
      <c r="O72" s="34">
        <f t="shared" si="41"/>
        <v>0</v>
      </c>
      <c r="P72" s="55">
        <v>67</v>
      </c>
      <c r="Q72" s="33">
        <f t="shared" si="49"/>
        <v>0</v>
      </c>
      <c r="R72" s="33">
        <f t="shared" si="55"/>
        <v>0</v>
      </c>
      <c r="S72" s="33">
        <f t="shared" si="56"/>
        <v>0</v>
      </c>
      <c r="T72" s="33">
        <f t="shared" si="42"/>
        <v>0</v>
      </c>
      <c r="U72" s="33">
        <f t="shared" si="50"/>
        <v>0</v>
      </c>
      <c r="V72" s="33">
        <f t="shared" si="43"/>
        <v>0</v>
      </c>
      <c r="W72" s="33">
        <v>0</v>
      </c>
      <c r="X72" s="33">
        <f t="shared" si="44"/>
        <v>0</v>
      </c>
      <c r="Y72" s="38">
        <f t="shared" si="45"/>
        <v>0</v>
      </c>
      <c r="AA72" s="71">
        <v>67</v>
      </c>
      <c r="AB72" s="33">
        <f t="shared" si="46"/>
        <v>0</v>
      </c>
      <c r="AC72" s="305">
        <f t="shared" si="39"/>
        <v>0</v>
      </c>
      <c r="AD72" s="100">
        <f t="shared" si="47"/>
        <v>0</v>
      </c>
      <c r="AE72" s="100">
        <f t="shared" si="48"/>
        <v>0</v>
      </c>
      <c r="AF72" s="194">
        <f t="shared" si="34"/>
        <v>0</v>
      </c>
      <c r="AG72" s="194">
        <f t="shared" si="35"/>
        <v>0</v>
      </c>
      <c r="AH72" s="194">
        <f t="shared" si="36"/>
        <v>0</v>
      </c>
      <c r="AI72" s="199">
        <f t="shared" si="37"/>
        <v>0</v>
      </c>
      <c r="AK72" s="71">
        <v>67</v>
      </c>
      <c r="AL72" s="33"/>
      <c r="AM72" s="33"/>
      <c r="AN72" s="33"/>
      <c r="AO72" s="33"/>
      <c r="AP72" s="33"/>
      <c r="AQ72" s="194"/>
      <c r="AR72" s="194"/>
      <c r="AS72" s="194"/>
      <c r="AT72" s="194"/>
      <c r="AU72" s="33"/>
      <c r="AV72" s="33"/>
      <c r="AW72" s="33"/>
      <c r="AX72" s="33"/>
      <c r="AY72" s="76"/>
    </row>
    <row r="73" spans="2:51">
      <c r="B73" s="40"/>
      <c r="C73" s="152"/>
      <c r="D73" s="137"/>
      <c r="E73" s="141"/>
      <c r="F73" s="42"/>
      <c r="G73" s="51"/>
      <c r="I73" s="55">
        <v>68</v>
      </c>
      <c r="J73" s="33">
        <f t="shared" si="51"/>
        <v>0</v>
      </c>
      <c r="K73" s="33">
        <f t="shared" si="52"/>
        <v>0</v>
      </c>
      <c r="L73" s="33">
        <f t="shared" si="53"/>
        <v>0</v>
      </c>
      <c r="M73" s="33">
        <f t="shared" si="54"/>
        <v>0</v>
      </c>
      <c r="N73" s="33">
        <f t="shared" si="40"/>
        <v>0</v>
      </c>
      <c r="O73" s="34">
        <f t="shared" si="41"/>
        <v>0</v>
      </c>
      <c r="P73" s="55">
        <v>68</v>
      </c>
      <c r="Q73" s="33">
        <f t="shared" si="49"/>
        <v>0</v>
      </c>
      <c r="R73" s="33">
        <f t="shared" si="55"/>
        <v>0</v>
      </c>
      <c r="S73" s="33">
        <f t="shared" si="56"/>
        <v>0</v>
      </c>
      <c r="T73" s="33">
        <f t="shared" si="42"/>
        <v>0</v>
      </c>
      <c r="U73" s="33">
        <f t="shared" si="50"/>
        <v>0</v>
      </c>
      <c r="V73" s="33">
        <f t="shared" si="43"/>
        <v>0</v>
      </c>
      <c r="W73" s="33">
        <v>0</v>
      </c>
      <c r="X73" s="33">
        <f t="shared" si="44"/>
        <v>0</v>
      </c>
      <c r="Y73" s="38">
        <f t="shared" si="45"/>
        <v>0</v>
      </c>
      <c r="AA73" s="71">
        <v>68</v>
      </c>
      <c r="AB73" s="33">
        <f t="shared" si="46"/>
        <v>0</v>
      </c>
      <c r="AC73" s="305">
        <f t="shared" si="39"/>
        <v>0</v>
      </c>
      <c r="AD73" s="100">
        <f t="shared" si="47"/>
        <v>0</v>
      </c>
      <c r="AE73" s="100">
        <f t="shared" si="48"/>
        <v>0</v>
      </c>
      <c r="AF73" s="194">
        <f t="shared" si="34"/>
        <v>0</v>
      </c>
      <c r="AG73" s="194">
        <f t="shared" si="35"/>
        <v>0</v>
      </c>
      <c r="AH73" s="194">
        <f t="shared" si="36"/>
        <v>0</v>
      </c>
      <c r="AI73" s="199">
        <f t="shared" si="37"/>
        <v>0</v>
      </c>
      <c r="AK73" s="71">
        <v>68</v>
      </c>
      <c r="AL73" s="33"/>
      <c r="AM73" s="33"/>
      <c r="AN73" s="33"/>
      <c r="AO73" s="33"/>
      <c r="AP73" s="33"/>
      <c r="AQ73" s="194"/>
      <c r="AR73" s="194"/>
      <c r="AS73" s="194"/>
      <c r="AT73" s="194"/>
      <c r="AU73" s="33"/>
      <c r="AV73" s="33"/>
      <c r="AW73" s="33"/>
      <c r="AX73" s="33"/>
      <c r="AY73" s="76"/>
    </row>
    <row r="74" spans="2:51">
      <c r="B74" s="40"/>
      <c r="C74" s="152"/>
      <c r="D74" s="137"/>
      <c r="E74" s="141"/>
      <c r="F74" s="42"/>
      <c r="G74" s="51"/>
      <c r="I74" s="55">
        <v>69</v>
      </c>
      <c r="J74" s="33">
        <f t="shared" si="51"/>
        <v>0</v>
      </c>
      <c r="K74" s="33">
        <f t="shared" si="52"/>
        <v>0</v>
      </c>
      <c r="L74" s="33">
        <f t="shared" si="53"/>
        <v>0</v>
      </c>
      <c r="M74" s="33">
        <f t="shared" si="54"/>
        <v>0</v>
      </c>
      <c r="N74" s="33">
        <f t="shared" si="40"/>
        <v>0</v>
      </c>
      <c r="O74" s="34">
        <f t="shared" si="41"/>
        <v>0</v>
      </c>
      <c r="P74" s="55">
        <v>69</v>
      </c>
      <c r="Q74" s="33">
        <f t="shared" si="49"/>
        <v>0</v>
      </c>
      <c r="R74" s="33">
        <f t="shared" si="55"/>
        <v>0</v>
      </c>
      <c r="S74" s="33">
        <f t="shared" si="56"/>
        <v>0</v>
      </c>
      <c r="T74" s="33">
        <f t="shared" si="42"/>
        <v>0</v>
      </c>
      <c r="U74" s="33">
        <f t="shared" si="50"/>
        <v>0</v>
      </c>
      <c r="V74" s="33">
        <f t="shared" si="43"/>
        <v>0</v>
      </c>
      <c r="W74" s="33">
        <v>0</v>
      </c>
      <c r="X74" s="33">
        <f t="shared" si="44"/>
        <v>0</v>
      </c>
      <c r="Y74" s="38">
        <f t="shared" si="45"/>
        <v>0</v>
      </c>
      <c r="AA74" s="71">
        <v>69</v>
      </c>
      <c r="AB74" s="33">
        <f t="shared" si="46"/>
        <v>0</v>
      </c>
      <c r="AC74" s="305">
        <f t="shared" si="39"/>
        <v>0</v>
      </c>
      <c r="AD74" s="100">
        <f t="shared" si="47"/>
        <v>0</v>
      </c>
      <c r="AE74" s="100">
        <f t="shared" si="48"/>
        <v>0</v>
      </c>
      <c r="AF74" s="194">
        <f t="shared" si="34"/>
        <v>0</v>
      </c>
      <c r="AG74" s="194">
        <f t="shared" si="35"/>
        <v>0</v>
      </c>
      <c r="AH74" s="194">
        <f t="shared" si="36"/>
        <v>0</v>
      </c>
      <c r="AI74" s="199">
        <f t="shared" si="37"/>
        <v>0</v>
      </c>
      <c r="AK74" s="71">
        <v>69</v>
      </c>
      <c r="AL74" s="33"/>
      <c r="AM74" s="33"/>
      <c r="AN74" s="33"/>
      <c r="AO74" s="33"/>
      <c r="AP74" s="33"/>
      <c r="AQ74" s="194"/>
      <c r="AR74" s="194"/>
      <c r="AS74" s="194"/>
      <c r="AT74" s="194"/>
      <c r="AU74" s="33"/>
      <c r="AV74" s="33"/>
      <c r="AW74" s="33"/>
      <c r="AX74" s="33"/>
      <c r="AY74" s="76"/>
    </row>
    <row r="75" spans="2:51">
      <c r="B75" s="40"/>
      <c r="C75" s="152"/>
      <c r="D75" s="137"/>
      <c r="E75" s="141"/>
      <c r="F75" s="42"/>
      <c r="G75" s="51"/>
      <c r="I75" s="55">
        <v>70</v>
      </c>
      <c r="J75" s="33">
        <f t="shared" si="51"/>
        <v>0</v>
      </c>
      <c r="K75" s="33">
        <f t="shared" si="52"/>
        <v>0</v>
      </c>
      <c r="L75" s="33">
        <f t="shared" si="53"/>
        <v>0</v>
      </c>
      <c r="M75" s="33">
        <f t="shared" si="54"/>
        <v>0</v>
      </c>
      <c r="N75" s="33">
        <f t="shared" si="40"/>
        <v>0</v>
      </c>
      <c r="O75" s="34">
        <f t="shared" si="41"/>
        <v>0</v>
      </c>
      <c r="P75" s="55">
        <v>70</v>
      </c>
      <c r="Q75" s="33">
        <f t="shared" si="49"/>
        <v>0</v>
      </c>
      <c r="R75" s="33">
        <f t="shared" si="55"/>
        <v>0</v>
      </c>
      <c r="S75" s="33">
        <f t="shared" si="56"/>
        <v>0</v>
      </c>
      <c r="T75" s="33">
        <f t="shared" si="42"/>
        <v>0</v>
      </c>
      <c r="U75" s="33">
        <f t="shared" si="50"/>
        <v>0</v>
      </c>
      <c r="V75" s="33">
        <f t="shared" si="43"/>
        <v>0</v>
      </c>
      <c r="W75" s="33">
        <v>0</v>
      </c>
      <c r="X75" s="33">
        <f t="shared" si="44"/>
        <v>0</v>
      </c>
      <c r="Y75" s="38">
        <f t="shared" si="45"/>
        <v>0</v>
      </c>
      <c r="AA75" s="71">
        <v>70</v>
      </c>
      <c r="AB75" s="33">
        <f t="shared" si="46"/>
        <v>0</v>
      </c>
      <c r="AC75" s="305">
        <f t="shared" si="39"/>
        <v>0</v>
      </c>
      <c r="AD75" s="100">
        <f t="shared" si="47"/>
        <v>0</v>
      </c>
      <c r="AE75" s="100">
        <f t="shared" si="48"/>
        <v>0</v>
      </c>
      <c r="AF75" s="194">
        <f t="shared" si="34"/>
        <v>0</v>
      </c>
      <c r="AG75" s="194">
        <f t="shared" si="35"/>
        <v>0</v>
      </c>
      <c r="AH75" s="194">
        <f t="shared" si="36"/>
        <v>0</v>
      </c>
      <c r="AI75" s="199">
        <f t="shared" si="37"/>
        <v>0</v>
      </c>
      <c r="AK75" s="71">
        <v>70</v>
      </c>
      <c r="AL75" s="33"/>
      <c r="AM75" s="33"/>
      <c r="AN75" s="33"/>
      <c r="AO75" s="33"/>
      <c r="AP75" s="33"/>
      <c r="AQ75" s="194"/>
      <c r="AR75" s="194"/>
      <c r="AS75" s="194"/>
      <c r="AT75" s="194"/>
      <c r="AU75" s="33"/>
      <c r="AV75" s="33"/>
      <c r="AW75" s="33"/>
      <c r="AX75" s="33"/>
      <c r="AY75" s="76"/>
    </row>
    <row r="76" spans="2:51">
      <c r="B76" s="40"/>
      <c r="C76" s="152"/>
      <c r="D76" s="137"/>
      <c r="E76" s="141"/>
      <c r="F76" s="42"/>
      <c r="G76" s="51"/>
      <c r="I76" s="55">
        <v>71</v>
      </c>
      <c r="J76" s="33">
        <f t="shared" si="51"/>
        <v>0</v>
      </c>
      <c r="K76" s="33">
        <f t="shared" si="52"/>
        <v>0</v>
      </c>
      <c r="L76" s="33">
        <f t="shared" si="53"/>
        <v>0</v>
      </c>
      <c r="M76" s="33">
        <f t="shared" si="54"/>
        <v>0</v>
      </c>
      <c r="N76" s="33">
        <f t="shared" si="40"/>
        <v>0</v>
      </c>
      <c r="O76" s="34">
        <f t="shared" si="41"/>
        <v>0</v>
      </c>
      <c r="P76" s="55">
        <v>71</v>
      </c>
      <c r="Q76" s="33">
        <f t="shared" si="49"/>
        <v>0</v>
      </c>
      <c r="R76" s="33">
        <f t="shared" si="55"/>
        <v>0</v>
      </c>
      <c r="S76" s="33">
        <f t="shared" si="56"/>
        <v>0</v>
      </c>
      <c r="T76" s="33">
        <f t="shared" si="42"/>
        <v>0</v>
      </c>
      <c r="U76" s="33">
        <f t="shared" si="50"/>
        <v>0</v>
      </c>
      <c r="V76" s="33">
        <f t="shared" si="43"/>
        <v>0</v>
      </c>
      <c r="W76" s="33">
        <v>0</v>
      </c>
      <c r="X76" s="33">
        <f t="shared" si="44"/>
        <v>0</v>
      </c>
      <c r="Y76" s="38">
        <f t="shared" si="45"/>
        <v>0</v>
      </c>
      <c r="AA76" s="71">
        <v>71</v>
      </c>
      <c r="AB76" s="33">
        <f t="shared" si="46"/>
        <v>0</v>
      </c>
      <c r="AC76" s="305">
        <f t="shared" si="39"/>
        <v>0</v>
      </c>
      <c r="AD76" s="100">
        <f t="shared" si="47"/>
        <v>0</v>
      </c>
      <c r="AE76" s="100">
        <f t="shared" si="48"/>
        <v>0</v>
      </c>
      <c r="AF76" s="194">
        <f t="shared" si="34"/>
        <v>0</v>
      </c>
      <c r="AG76" s="194">
        <f t="shared" si="35"/>
        <v>0</v>
      </c>
      <c r="AH76" s="194">
        <f t="shared" si="36"/>
        <v>0</v>
      </c>
      <c r="AI76" s="199">
        <f t="shared" si="37"/>
        <v>0</v>
      </c>
      <c r="AK76" s="71">
        <v>71</v>
      </c>
      <c r="AL76" s="33"/>
      <c r="AM76" s="33"/>
      <c r="AN76" s="33"/>
      <c r="AO76" s="33"/>
      <c r="AP76" s="33"/>
      <c r="AQ76" s="194"/>
      <c r="AR76" s="194"/>
      <c r="AS76" s="194"/>
      <c r="AT76" s="194"/>
      <c r="AU76" s="33"/>
      <c r="AV76" s="33"/>
      <c r="AW76" s="33"/>
      <c r="AX76" s="33"/>
      <c r="AY76" s="76"/>
    </row>
    <row r="77" spans="2:51">
      <c r="B77" s="40"/>
      <c r="C77" s="152"/>
      <c r="D77" s="137"/>
      <c r="E77" s="141"/>
      <c r="F77" s="42"/>
      <c r="G77" s="51"/>
      <c r="I77" s="55">
        <v>72</v>
      </c>
      <c r="J77" s="33">
        <f t="shared" si="51"/>
        <v>0</v>
      </c>
      <c r="K77" s="33">
        <f t="shared" si="52"/>
        <v>0</v>
      </c>
      <c r="L77" s="33">
        <f t="shared" si="53"/>
        <v>0</v>
      </c>
      <c r="M77" s="33">
        <f t="shared" si="54"/>
        <v>0</v>
      </c>
      <c r="N77" s="33">
        <f t="shared" si="40"/>
        <v>0</v>
      </c>
      <c r="O77" s="34">
        <f t="shared" si="41"/>
        <v>0</v>
      </c>
      <c r="P77" s="55">
        <v>72</v>
      </c>
      <c r="Q77" s="33">
        <f t="shared" si="49"/>
        <v>0</v>
      </c>
      <c r="R77" s="33">
        <f t="shared" si="55"/>
        <v>0</v>
      </c>
      <c r="S77" s="33">
        <f t="shared" si="56"/>
        <v>0</v>
      </c>
      <c r="T77" s="33">
        <f t="shared" si="42"/>
        <v>0</v>
      </c>
      <c r="U77" s="33">
        <f t="shared" si="50"/>
        <v>0</v>
      </c>
      <c r="V77" s="33">
        <f t="shared" si="43"/>
        <v>0</v>
      </c>
      <c r="W77" s="33">
        <v>0</v>
      </c>
      <c r="X77" s="33">
        <f t="shared" si="44"/>
        <v>0</v>
      </c>
      <c r="Y77" s="38">
        <f t="shared" si="45"/>
        <v>0</v>
      </c>
      <c r="AA77" s="71">
        <v>72</v>
      </c>
      <c r="AB77" s="33">
        <f t="shared" si="46"/>
        <v>0</v>
      </c>
      <c r="AC77" s="305">
        <f t="shared" si="39"/>
        <v>0</v>
      </c>
      <c r="AD77" s="100">
        <f t="shared" si="47"/>
        <v>0</v>
      </c>
      <c r="AE77" s="100">
        <f t="shared" si="48"/>
        <v>0</v>
      </c>
      <c r="AF77" s="194">
        <f t="shared" si="34"/>
        <v>0</v>
      </c>
      <c r="AG77" s="194">
        <f t="shared" si="35"/>
        <v>0</v>
      </c>
      <c r="AH77" s="194">
        <f t="shared" si="36"/>
        <v>0</v>
      </c>
      <c r="AI77" s="199">
        <f t="shared" si="37"/>
        <v>0</v>
      </c>
      <c r="AK77" s="71">
        <v>72</v>
      </c>
      <c r="AL77" s="33"/>
      <c r="AM77" s="33"/>
      <c r="AN77" s="33"/>
      <c r="AO77" s="33"/>
      <c r="AP77" s="33"/>
      <c r="AQ77" s="194"/>
      <c r="AR77" s="194"/>
      <c r="AS77" s="194"/>
      <c r="AT77" s="194"/>
      <c r="AU77" s="33"/>
      <c r="AV77" s="33"/>
      <c r="AW77" s="33"/>
      <c r="AX77" s="33"/>
      <c r="AY77" s="76"/>
    </row>
    <row r="78" spans="2:51">
      <c r="B78" s="43"/>
      <c r="C78" s="153"/>
      <c r="D78" s="154"/>
      <c r="E78" s="144"/>
      <c r="F78" s="44"/>
      <c r="G78" s="52"/>
      <c r="I78" s="55">
        <v>73</v>
      </c>
      <c r="J78" s="33">
        <f t="shared" si="51"/>
        <v>0</v>
      </c>
      <c r="K78" s="33">
        <f t="shared" si="52"/>
        <v>0</v>
      </c>
      <c r="L78" s="33">
        <f t="shared" si="53"/>
        <v>0</v>
      </c>
      <c r="M78" s="33">
        <f t="shared" si="54"/>
        <v>0</v>
      </c>
      <c r="N78" s="33">
        <f t="shared" si="40"/>
        <v>0</v>
      </c>
      <c r="O78" s="34">
        <f t="shared" si="41"/>
        <v>0</v>
      </c>
      <c r="P78" s="55">
        <v>73</v>
      </c>
      <c r="Q78" s="33">
        <f t="shared" si="49"/>
        <v>0</v>
      </c>
      <c r="R78" s="33">
        <f t="shared" si="55"/>
        <v>0</v>
      </c>
      <c r="S78" s="33">
        <f t="shared" si="56"/>
        <v>0</v>
      </c>
      <c r="T78" s="33">
        <f t="shared" si="42"/>
        <v>0</v>
      </c>
      <c r="U78" s="33">
        <f t="shared" si="50"/>
        <v>0</v>
      </c>
      <c r="V78" s="33">
        <f t="shared" si="43"/>
        <v>0</v>
      </c>
      <c r="W78" s="33">
        <v>0</v>
      </c>
      <c r="X78" s="33">
        <f t="shared" si="44"/>
        <v>0</v>
      </c>
      <c r="Y78" s="38">
        <f t="shared" si="45"/>
        <v>0</v>
      </c>
      <c r="AA78" s="71">
        <v>73</v>
      </c>
      <c r="AB78" s="33">
        <f t="shared" si="46"/>
        <v>0</v>
      </c>
      <c r="AC78" s="305">
        <f t="shared" si="39"/>
        <v>0</v>
      </c>
      <c r="AD78" s="100">
        <f t="shared" si="47"/>
        <v>0</v>
      </c>
      <c r="AE78" s="100">
        <f t="shared" si="48"/>
        <v>0</v>
      </c>
      <c r="AF78" s="194">
        <f t="shared" si="34"/>
        <v>0</v>
      </c>
      <c r="AG78" s="194">
        <f t="shared" si="35"/>
        <v>0</v>
      </c>
      <c r="AH78" s="194">
        <f t="shared" si="36"/>
        <v>0</v>
      </c>
      <c r="AI78" s="199">
        <f t="shared" si="37"/>
        <v>0</v>
      </c>
      <c r="AK78" s="71">
        <v>73</v>
      </c>
      <c r="AL78" s="33"/>
      <c r="AM78" s="33"/>
      <c r="AN78" s="33"/>
      <c r="AO78" s="33"/>
      <c r="AP78" s="33"/>
      <c r="AQ78" s="194"/>
      <c r="AR78" s="194"/>
      <c r="AS78" s="194"/>
      <c r="AT78" s="194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1"/>
        <v>0</v>
      </c>
      <c r="K79" s="33">
        <f t="shared" si="52"/>
        <v>0</v>
      </c>
      <c r="L79" s="33">
        <f t="shared" si="53"/>
        <v>0</v>
      </c>
      <c r="M79" s="33">
        <f t="shared" si="54"/>
        <v>0</v>
      </c>
      <c r="N79" s="33">
        <f t="shared" si="40"/>
        <v>0</v>
      </c>
      <c r="O79" s="34">
        <f t="shared" si="41"/>
        <v>0</v>
      </c>
      <c r="P79" s="55">
        <v>74</v>
      </c>
      <c r="Q79" s="33">
        <f t="shared" si="49"/>
        <v>0</v>
      </c>
      <c r="R79" s="33">
        <f t="shared" si="55"/>
        <v>0</v>
      </c>
      <c r="S79" s="33">
        <f t="shared" si="56"/>
        <v>0</v>
      </c>
      <c r="T79" s="33">
        <f t="shared" si="42"/>
        <v>0</v>
      </c>
      <c r="U79" s="33">
        <f t="shared" si="50"/>
        <v>0</v>
      </c>
      <c r="V79" s="33">
        <f t="shared" si="43"/>
        <v>0</v>
      </c>
      <c r="W79" s="33">
        <v>0</v>
      </c>
      <c r="X79" s="33">
        <f t="shared" si="44"/>
        <v>0</v>
      </c>
      <c r="Y79" s="38">
        <f t="shared" si="45"/>
        <v>0</v>
      </c>
      <c r="AA79" s="71">
        <v>74</v>
      </c>
      <c r="AB79" s="33">
        <f t="shared" si="46"/>
        <v>0</v>
      </c>
      <c r="AC79" s="305">
        <f t="shared" si="39"/>
        <v>0</v>
      </c>
      <c r="AD79" s="100">
        <f t="shared" si="47"/>
        <v>0</v>
      </c>
      <c r="AE79" s="100">
        <f t="shared" si="48"/>
        <v>0</v>
      </c>
      <c r="AF79" s="194">
        <f t="shared" si="34"/>
        <v>0</v>
      </c>
      <c r="AG79" s="194">
        <f t="shared" si="35"/>
        <v>0</v>
      </c>
      <c r="AH79" s="194">
        <f t="shared" si="36"/>
        <v>0</v>
      </c>
      <c r="AI79" s="199">
        <f t="shared" si="37"/>
        <v>0</v>
      </c>
      <c r="AK79" s="71">
        <v>74</v>
      </c>
      <c r="AL79" s="33"/>
      <c r="AM79" s="33"/>
      <c r="AN79" s="33"/>
      <c r="AO79" s="33"/>
      <c r="AP79" s="33"/>
      <c r="AQ79" s="194"/>
      <c r="AR79" s="194"/>
      <c r="AS79" s="194"/>
      <c r="AT79" s="194"/>
      <c r="AU79" s="33"/>
      <c r="AV79" s="33"/>
      <c r="AW79" s="33"/>
      <c r="AX79" s="33"/>
      <c r="AY79" s="76"/>
    </row>
    <row r="80" spans="2:51">
      <c r="B80" s="378" t="s">
        <v>258</v>
      </c>
      <c r="C80" s="379"/>
      <c r="D80" s="379"/>
      <c r="E80" s="379"/>
      <c r="F80" s="379"/>
      <c r="G80" s="380"/>
      <c r="H80" s="23"/>
      <c r="I80" s="55">
        <v>75</v>
      </c>
      <c r="J80" s="33">
        <f t="shared" si="51"/>
        <v>0</v>
      </c>
      <c r="K80" s="33">
        <f t="shared" si="52"/>
        <v>0</v>
      </c>
      <c r="L80" s="33">
        <f t="shared" si="53"/>
        <v>0</v>
      </c>
      <c r="M80" s="33">
        <f t="shared" si="54"/>
        <v>0</v>
      </c>
      <c r="N80" s="33">
        <f t="shared" si="40"/>
        <v>0</v>
      </c>
      <c r="O80" s="34">
        <f t="shared" si="41"/>
        <v>0</v>
      </c>
      <c r="P80" s="55">
        <v>75</v>
      </c>
      <c r="Q80" s="33">
        <f t="shared" si="49"/>
        <v>0</v>
      </c>
      <c r="R80" s="33">
        <f t="shared" si="55"/>
        <v>0</v>
      </c>
      <c r="S80" s="33">
        <f t="shared" si="56"/>
        <v>0</v>
      </c>
      <c r="T80" s="33">
        <f t="shared" si="42"/>
        <v>0</v>
      </c>
      <c r="U80" s="33">
        <f t="shared" si="50"/>
        <v>0</v>
      </c>
      <c r="V80" s="33">
        <f t="shared" si="43"/>
        <v>0</v>
      </c>
      <c r="W80" s="33">
        <v>0</v>
      </c>
      <c r="X80" s="33">
        <f t="shared" si="44"/>
        <v>0</v>
      </c>
      <c r="Y80" s="38">
        <f t="shared" si="45"/>
        <v>0</v>
      </c>
      <c r="AA80" s="71">
        <v>75</v>
      </c>
      <c r="AB80" s="33">
        <f t="shared" si="46"/>
        <v>0</v>
      </c>
      <c r="AC80" s="305">
        <f t="shared" si="39"/>
        <v>0</v>
      </c>
      <c r="AD80" s="100">
        <f t="shared" si="47"/>
        <v>0</v>
      </c>
      <c r="AE80" s="100">
        <f t="shared" si="48"/>
        <v>0</v>
      </c>
      <c r="AF80" s="194">
        <f t="shared" si="34"/>
        <v>0</v>
      </c>
      <c r="AG80" s="194">
        <f t="shared" si="35"/>
        <v>0</v>
      </c>
      <c r="AH80" s="194">
        <f t="shared" si="36"/>
        <v>0</v>
      </c>
      <c r="AI80" s="199">
        <f t="shared" si="37"/>
        <v>0</v>
      </c>
      <c r="AK80" s="71">
        <v>75</v>
      </c>
      <c r="AL80" s="33"/>
      <c r="AM80" s="33"/>
      <c r="AN80" s="33"/>
      <c r="AO80" s="33"/>
      <c r="AP80" s="33"/>
      <c r="AQ80" s="194"/>
      <c r="AR80" s="194"/>
      <c r="AS80" s="194"/>
      <c r="AT80" s="194"/>
      <c r="AU80" s="33"/>
      <c r="AV80" s="33"/>
      <c r="AW80" s="33"/>
      <c r="AX80" s="33"/>
      <c r="AY80" s="76"/>
    </row>
    <row r="81" spans="2:51">
      <c r="B81" s="156" t="s">
        <v>76</v>
      </c>
      <c r="C81" s="132" t="s">
        <v>155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7"/>
      <c r="I81" s="55">
        <v>76</v>
      </c>
      <c r="J81" s="33">
        <f t="shared" si="51"/>
        <v>0</v>
      </c>
      <c r="K81" s="33">
        <f t="shared" si="52"/>
        <v>0</v>
      </c>
      <c r="L81" s="33">
        <f t="shared" si="53"/>
        <v>0</v>
      </c>
      <c r="M81" s="33">
        <f t="shared" si="54"/>
        <v>0</v>
      </c>
      <c r="N81" s="33">
        <f t="shared" si="40"/>
        <v>0</v>
      </c>
      <c r="O81" s="34">
        <f t="shared" si="41"/>
        <v>0</v>
      </c>
      <c r="P81" s="55">
        <v>76</v>
      </c>
      <c r="Q81" s="33">
        <f t="shared" si="49"/>
        <v>0</v>
      </c>
      <c r="R81" s="33">
        <f t="shared" si="55"/>
        <v>0</v>
      </c>
      <c r="S81" s="33">
        <f t="shared" si="56"/>
        <v>0</v>
      </c>
      <c r="T81" s="33">
        <f t="shared" si="42"/>
        <v>0</v>
      </c>
      <c r="U81" s="33">
        <f t="shared" si="50"/>
        <v>0</v>
      </c>
      <c r="V81" s="33">
        <f t="shared" si="43"/>
        <v>0</v>
      </c>
      <c r="W81" s="33">
        <v>0</v>
      </c>
      <c r="X81" s="33">
        <f t="shared" si="44"/>
        <v>0</v>
      </c>
      <c r="Y81" s="38">
        <f t="shared" si="45"/>
        <v>0</v>
      </c>
      <c r="AA81" s="71">
        <v>76</v>
      </c>
      <c r="AB81" s="33">
        <f t="shared" si="46"/>
        <v>0</v>
      </c>
      <c r="AC81" s="305">
        <f t="shared" si="39"/>
        <v>0</v>
      </c>
      <c r="AD81" s="100">
        <f t="shared" si="47"/>
        <v>0</v>
      </c>
      <c r="AE81" s="100">
        <f t="shared" si="48"/>
        <v>0</v>
      </c>
      <c r="AF81" s="194">
        <f t="shared" si="34"/>
        <v>0</v>
      </c>
      <c r="AG81" s="194">
        <f t="shared" si="35"/>
        <v>0</v>
      </c>
      <c r="AH81" s="194">
        <f t="shared" si="36"/>
        <v>0</v>
      </c>
      <c r="AI81" s="199">
        <f t="shared" si="37"/>
        <v>0</v>
      </c>
      <c r="AK81" s="71">
        <v>76</v>
      </c>
      <c r="AL81" s="33"/>
      <c r="AM81" s="33"/>
      <c r="AN81" s="33"/>
      <c r="AO81" s="33"/>
      <c r="AP81" s="33"/>
      <c r="AQ81" s="194"/>
      <c r="AR81" s="194"/>
      <c r="AS81" s="194"/>
      <c r="AT81" s="194"/>
      <c r="AU81" s="33"/>
      <c r="AV81" s="33"/>
      <c r="AW81" s="33"/>
      <c r="AX81" s="33"/>
      <c r="AY81" s="76"/>
    </row>
    <row r="82" spans="2:51">
      <c r="B82" s="170">
        <f>IF(C25&lt;=$F$18,C25+1,"-")</f>
        <v>16</v>
      </c>
      <c r="C82" s="145">
        <f>D25-D26</f>
        <v>0</v>
      </c>
      <c r="D82" s="146"/>
      <c r="E82" s="171">
        <f>IF(G82+D82&lt;&gt;1,(1-(G82+D82))*56%,0)</f>
        <v>0.56000000000000005</v>
      </c>
      <c r="F82" s="171">
        <f>IF(G82+D82&lt;&gt;1,(1-(G82+D82))*44%,0)</f>
        <v>0.44</v>
      </c>
      <c r="G82" s="147"/>
      <c r="H82" s="58">
        <f t="shared" ref="H82:H94" si="57">IF(C82=0,0,IF(SUM(D82:G82)&lt;&gt;1,"erreur",))</f>
        <v>0</v>
      </c>
      <c r="I82" s="55">
        <v>77</v>
      </c>
      <c r="J82" s="33">
        <f t="shared" si="51"/>
        <v>0</v>
      </c>
      <c r="K82" s="33">
        <f t="shared" si="52"/>
        <v>0</v>
      </c>
      <c r="L82" s="33">
        <f t="shared" si="53"/>
        <v>0</v>
      </c>
      <c r="M82" s="33">
        <f t="shared" si="54"/>
        <v>0</v>
      </c>
      <c r="N82" s="33">
        <f t="shared" si="40"/>
        <v>0</v>
      </c>
      <c r="O82" s="34">
        <f t="shared" si="41"/>
        <v>0</v>
      </c>
      <c r="P82" s="55">
        <v>77</v>
      </c>
      <c r="Q82" s="33">
        <f t="shared" si="49"/>
        <v>0</v>
      </c>
      <c r="R82" s="33">
        <f t="shared" si="55"/>
        <v>0</v>
      </c>
      <c r="S82" s="33">
        <f t="shared" si="56"/>
        <v>0</v>
      </c>
      <c r="T82" s="33">
        <f t="shared" si="42"/>
        <v>0</v>
      </c>
      <c r="U82" s="33">
        <f t="shared" si="50"/>
        <v>0</v>
      </c>
      <c r="V82" s="33">
        <f t="shared" si="43"/>
        <v>0</v>
      </c>
      <c r="W82" s="33">
        <v>0</v>
      </c>
      <c r="X82" s="33">
        <f t="shared" si="44"/>
        <v>0</v>
      </c>
      <c r="Y82" s="38">
        <f t="shared" si="45"/>
        <v>0</v>
      </c>
      <c r="AA82" s="71">
        <v>77</v>
      </c>
      <c r="AB82" s="33">
        <f t="shared" si="46"/>
        <v>0</v>
      </c>
      <c r="AC82" s="305">
        <f t="shared" si="39"/>
        <v>0</v>
      </c>
      <c r="AD82" s="100">
        <f t="shared" si="47"/>
        <v>0</v>
      </c>
      <c r="AE82" s="100">
        <f t="shared" si="48"/>
        <v>0</v>
      </c>
      <c r="AF82" s="194">
        <f t="shared" si="34"/>
        <v>0</v>
      </c>
      <c r="AG82" s="194">
        <f t="shared" si="35"/>
        <v>0</v>
      </c>
      <c r="AH82" s="194">
        <f t="shared" si="36"/>
        <v>0</v>
      </c>
      <c r="AI82" s="199">
        <f t="shared" si="37"/>
        <v>0</v>
      </c>
      <c r="AK82" s="71">
        <v>77</v>
      </c>
      <c r="AL82" s="33"/>
      <c r="AM82" s="33"/>
      <c r="AN82" s="33"/>
      <c r="AO82" s="33"/>
      <c r="AP82" s="33"/>
      <c r="AQ82" s="194"/>
      <c r="AR82" s="194"/>
      <c r="AS82" s="194"/>
      <c r="AT82" s="194"/>
      <c r="AU82" s="33"/>
      <c r="AV82" s="33"/>
      <c r="AW82" s="33"/>
      <c r="AX82" s="33"/>
      <c r="AY82" s="76"/>
    </row>
    <row r="83" spans="2:51">
      <c r="B83" s="172">
        <f>IF(C27&lt;=$F$18,C27+1,"-")</f>
        <v>21</v>
      </c>
      <c r="C83" s="148">
        <f>D27-D28</f>
        <v>88</v>
      </c>
      <c r="D83" s="149"/>
      <c r="E83" s="129">
        <f t="shared" ref="E83:E94" si="58">IF(G83+D83&lt;&gt;1,(1-(G83+D83))*56%,0)</f>
        <v>0.56000000000000005</v>
      </c>
      <c r="F83" s="129">
        <f t="shared" ref="F83:F94" si="59">IF(G83+D83&lt;&gt;1,(1-(G83+D83))*44%,0)</f>
        <v>0.44</v>
      </c>
      <c r="G83" s="150"/>
      <c r="H83" s="58">
        <f t="shared" si="57"/>
        <v>0</v>
      </c>
      <c r="I83" s="55">
        <v>78</v>
      </c>
      <c r="J83" s="33">
        <f t="shared" si="51"/>
        <v>0</v>
      </c>
      <c r="K83" s="33">
        <f t="shared" si="52"/>
        <v>0</v>
      </c>
      <c r="L83" s="33">
        <f t="shared" si="53"/>
        <v>0</v>
      </c>
      <c r="M83" s="33">
        <f t="shared" si="54"/>
        <v>0</v>
      </c>
      <c r="N83" s="33">
        <f t="shared" si="40"/>
        <v>0</v>
      </c>
      <c r="O83" s="34">
        <f t="shared" si="41"/>
        <v>0</v>
      </c>
      <c r="P83" s="55">
        <v>78</v>
      </c>
      <c r="Q83" s="33">
        <f t="shared" si="49"/>
        <v>0</v>
      </c>
      <c r="R83" s="33">
        <f t="shared" si="55"/>
        <v>0</v>
      </c>
      <c r="S83" s="33">
        <f t="shared" si="56"/>
        <v>0</v>
      </c>
      <c r="T83" s="33">
        <f t="shared" si="42"/>
        <v>0</v>
      </c>
      <c r="U83" s="33">
        <f t="shared" si="50"/>
        <v>0</v>
      </c>
      <c r="V83" s="33">
        <f t="shared" si="43"/>
        <v>0</v>
      </c>
      <c r="W83" s="33">
        <v>0</v>
      </c>
      <c r="X83" s="33">
        <f t="shared" si="44"/>
        <v>0</v>
      </c>
      <c r="Y83" s="38">
        <f t="shared" si="45"/>
        <v>0</v>
      </c>
      <c r="AA83" s="71">
        <v>78</v>
      </c>
      <c r="AB83" s="33">
        <f t="shared" si="46"/>
        <v>0</v>
      </c>
      <c r="AC83" s="305">
        <f t="shared" si="39"/>
        <v>0</v>
      </c>
      <c r="AD83" s="100">
        <f t="shared" si="47"/>
        <v>0</v>
      </c>
      <c r="AE83" s="100">
        <f t="shared" si="48"/>
        <v>0</v>
      </c>
      <c r="AF83" s="194">
        <f t="shared" si="34"/>
        <v>0</v>
      </c>
      <c r="AG83" s="194">
        <f t="shared" si="35"/>
        <v>0</v>
      </c>
      <c r="AH83" s="194">
        <f t="shared" si="36"/>
        <v>0</v>
      </c>
      <c r="AI83" s="199">
        <f t="shared" si="37"/>
        <v>0</v>
      </c>
      <c r="AK83" s="71">
        <v>78</v>
      </c>
      <c r="AL83" s="33"/>
      <c r="AM83" s="33"/>
      <c r="AN83" s="33"/>
      <c r="AO83" s="33"/>
      <c r="AP83" s="33"/>
      <c r="AQ83" s="194"/>
      <c r="AR83" s="194"/>
      <c r="AS83" s="194"/>
      <c r="AT83" s="194"/>
      <c r="AU83" s="33"/>
      <c r="AV83" s="33"/>
      <c r="AW83" s="33"/>
      <c r="AX83" s="33"/>
      <c r="AY83" s="76"/>
    </row>
    <row r="84" spans="2:51">
      <c r="B84" s="187">
        <f>IF(C29&lt;=$F$18,C29+1,"-")</f>
        <v>26</v>
      </c>
      <c r="C84" s="148">
        <f>D29-D30</f>
        <v>91</v>
      </c>
      <c r="D84" s="149"/>
      <c r="E84" s="129">
        <f t="shared" si="58"/>
        <v>0.56000000000000005</v>
      </c>
      <c r="F84" s="129">
        <f t="shared" si="59"/>
        <v>0.44</v>
      </c>
      <c r="G84" s="150"/>
      <c r="H84" s="58">
        <f t="shared" si="57"/>
        <v>0</v>
      </c>
      <c r="I84" s="55">
        <v>79</v>
      </c>
      <c r="J84" s="33">
        <f t="shared" si="51"/>
        <v>0</v>
      </c>
      <c r="K84" s="33">
        <f t="shared" si="52"/>
        <v>0</v>
      </c>
      <c r="L84" s="33">
        <f t="shared" si="53"/>
        <v>0</v>
      </c>
      <c r="M84" s="33">
        <f t="shared" si="54"/>
        <v>0</v>
      </c>
      <c r="N84" s="33">
        <f t="shared" si="40"/>
        <v>0</v>
      </c>
      <c r="O84" s="34">
        <f t="shared" si="41"/>
        <v>0</v>
      </c>
      <c r="P84" s="55">
        <v>79</v>
      </c>
      <c r="Q84" s="33">
        <f t="shared" si="49"/>
        <v>0</v>
      </c>
      <c r="R84" s="33">
        <f t="shared" si="55"/>
        <v>0</v>
      </c>
      <c r="S84" s="33">
        <f t="shared" si="56"/>
        <v>0</v>
      </c>
      <c r="T84" s="33">
        <f t="shared" si="42"/>
        <v>0</v>
      </c>
      <c r="U84" s="33">
        <f t="shared" si="50"/>
        <v>0</v>
      </c>
      <c r="V84" s="33">
        <f t="shared" si="43"/>
        <v>0</v>
      </c>
      <c r="W84" s="33">
        <v>0</v>
      </c>
      <c r="X84" s="33">
        <f t="shared" si="44"/>
        <v>0</v>
      </c>
      <c r="Y84" s="38">
        <f t="shared" si="45"/>
        <v>0</v>
      </c>
      <c r="AA84" s="71">
        <v>79</v>
      </c>
      <c r="AB84" s="33">
        <f t="shared" si="46"/>
        <v>0</v>
      </c>
      <c r="AC84" s="305">
        <f t="shared" si="39"/>
        <v>0</v>
      </c>
      <c r="AD84" s="100">
        <f t="shared" si="47"/>
        <v>0</v>
      </c>
      <c r="AE84" s="100">
        <f t="shared" si="48"/>
        <v>0</v>
      </c>
      <c r="AF84" s="194">
        <f t="shared" si="34"/>
        <v>0</v>
      </c>
      <c r="AG84" s="194">
        <f t="shared" si="35"/>
        <v>0</v>
      </c>
      <c r="AH84" s="194">
        <f t="shared" si="36"/>
        <v>0</v>
      </c>
      <c r="AI84" s="199">
        <f t="shared" si="37"/>
        <v>0</v>
      </c>
      <c r="AK84" s="71">
        <v>79</v>
      </c>
      <c r="AL84" s="33"/>
      <c r="AM84" s="33"/>
      <c r="AN84" s="33"/>
      <c r="AO84" s="33"/>
      <c r="AP84" s="33"/>
      <c r="AQ84" s="194"/>
      <c r="AR84" s="194"/>
      <c r="AS84" s="194"/>
      <c r="AT84" s="194"/>
      <c r="AU84" s="33"/>
      <c r="AV84" s="33"/>
      <c r="AW84" s="33"/>
      <c r="AX84" s="33"/>
      <c r="AY84" s="76"/>
    </row>
    <row r="85" spans="2:51">
      <c r="B85" s="172">
        <f>IF(C31&lt;=$F$18,C31+1,"-")</f>
        <v>31</v>
      </c>
      <c r="C85" s="148">
        <f>D31-D32</f>
        <v>91</v>
      </c>
      <c r="D85" s="149">
        <v>0.2</v>
      </c>
      <c r="E85" s="129">
        <f t="shared" si="58"/>
        <v>0.44800000000000006</v>
      </c>
      <c r="F85" s="129">
        <f t="shared" si="59"/>
        <v>0.35200000000000004</v>
      </c>
      <c r="G85" s="150"/>
      <c r="H85" s="58">
        <f t="shared" si="57"/>
        <v>0</v>
      </c>
      <c r="I85" s="55">
        <v>80</v>
      </c>
      <c r="J85" s="33">
        <f t="shared" si="51"/>
        <v>0</v>
      </c>
      <c r="K85" s="33">
        <f t="shared" si="52"/>
        <v>0</v>
      </c>
      <c r="L85" s="33">
        <f t="shared" si="53"/>
        <v>0</v>
      </c>
      <c r="M85" s="33">
        <f t="shared" si="54"/>
        <v>0</v>
      </c>
      <c r="N85" s="33">
        <f t="shared" si="40"/>
        <v>0</v>
      </c>
      <c r="O85" s="34">
        <f t="shared" si="41"/>
        <v>0</v>
      </c>
      <c r="P85" s="55">
        <v>80</v>
      </c>
      <c r="Q85" s="33">
        <f t="shared" si="49"/>
        <v>0</v>
      </c>
      <c r="R85" s="33">
        <f t="shared" si="55"/>
        <v>0</v>
      </c>
      <c r="S85" s="33">
        <f t="shared" si="56"/>
        <v>0</v>
      </c>
      <c r="T85" s="33">
        <f t="shared" si="42"/>
        <v>0</v>
      </c>
      <c r="U85" s="33">
        <f t="shared" si="50"/>
        <v>0</v>
      </c>
      <c r="V85" s="33">
        <f t="shared" si="43"/>
        <v>0</v>
      </c>
      <c r="W85" s="33">
        <v>0</v>
      </c>
      <c r="X85" s="33">
        <f t="shared" si="44"/>
        <v>0</v>
      </c>
      <c r="Y85" s="38">
        <f t="shared" si="45"/>
        <v>0</v>
      </c>
      <c r="AA85" s="71">
        <v>80</v>
      </c>
      <c r="AB85" s="33">
        <f t="shared" si="46"/>
        <v>0</v>
      </c>
      <c r="AC85" s="305">
        <f t="shared" si="39"/>
        <v>0</v>
      </c>
      <c r="AD85" s="100">
        <f t="shared" si="47"/>
        <v>0</v>
      </c>
      <c r="AE85" s="100">
        <f t="shared" si="48"/>
        <v>0</v>
      </c>
      <c r="AF85" s="194">
        <f t="shared" si="34"/>
        <v>0</v>
      </c>
      <c r="AG85" s="194">
        <f t="shared" si="35"/>
        <v>0</v>
      </c>
      <c r="AH85" s="194">
        <f t="shared" si="36"/>
        <v>0</v>
      </c>
      <c r="AI85" s="199">
        <f t="shared" si="37"/>
        <v>0</v>
      </c>
      <c r="AK85" s="71">
        <v>80</v>
      </c>
      <c r="AL85" s="33"/>
      <c r="AM85" s="33"/>
      <c r="AN85" s="33"/>
      <c r="AO85" s="33"/>
      <c r="AP85" s="33"/>
      <c r="AQ85" s="194"/>
      <c r="AR85" s="194"/>
      <c r="AS85" s="194"/>
      <c r="AT85" s="194"/>
      <c r="AU85" s="33"/>
      <c r="AV85" s="33"/>
      <c r="AW85" s="33"/>
      <c r="AX85" s="33"/>
      <c r="AY85" s="76"/>
    </row>
    <row r="86" spans="2:51">
      <c r="B86" s="172">
        <f>IF(C33&lt;=$F$18,C33+1,"-")</f>
        <v>36</v>
      </c>
      <c r="C86" s="148">
        <f>D33-D34</f>
        <v>91</v>
      </c>
      <c r="D86" s="149">
        <v>0.3</v>
      </c>
      <c r="E86" s="129">
        <f t="shared" si="58"/>
        <v>0.39200000000000002</v>
      </c>
      <c r="F86" s="129">
        <f t="shared" si="59"/>
        <v>0.308</v>
      </c>
      <c r="G86" s="150"/>
      <c r="H86" s="58">
        <f t="shared" si="57"/>
        <v>0</v>
      </c>
      <c r="I86" s="55">
        <v>81</v>
      </c>
      <c r="J86" s="33">
        <f t="shared" si="51"/>
        <v>0</v>
      </c>
      <c r="K86" s="33">
        <f t="shared" si="52"/>
        <v>0</v>
      </c>
      <c r="L86" s="33">
        <f t="shared" si="53"/>
        <v>0</v>
      </c>
      <c r="M86" s="33">
        <f t="shared" si="54"/>
        <v>0</v>
      </c>
      <c r="N86" s="33">
        <f t="shared" si="40"/>
        <v>0</v>
      </c>
      <c r="O86" s="34">
        <f t="shared" si="41"/>
        <v>0</v>
      </c>
      <c r="P86" s="55">
        <v>81</v>
      </c>
      <c r="Q86" s="33">
        <f t="shared" si="49"/>
        <v>0</v>
      </c>
      <c r="R86" s="33">
        <f t="shared" si="55"/>
        <v>0</v>
      </c>
      <c r="S86" s="33">
        <f t="shared" si="56"/>
        <v>0</v>
      </c>
      <c r="T86" s="33">
        <f t="shared" si="42"/>
        <v>0</v>
      </c>
      <c r="U86" s="33">
        <f t="shared" si="50"/>
        <v>0</v>
      </c>
      <c r="V86" s="33">
        <f t="shared" si="43"/>
        <v>0</v>
      </c>
      <c r="W86" s="33">
        <v>0</v>
      </c>
      <c r="X86" s="33">
        <f t="shared" si="44"/>
        <v>0</v>
      </c>
      <c r="Y86" s="38">
        <f t="shared" si="45"/>
        <v>0</v>
      </c>
      <c r="AA86" s="71">
        <v>81</v>
      </c>
      <c r="AB86" s="33">
        <f t="shared" si="46"/>
        <v>0</v>
      </c>
      <c r="AC86" s="305">
        <f t="shared" si="39"/>
        <v>0</v>
      </c>
      <c r="AD86" s="100">
        <f t="shared" si="47"/>
        <v>0</v>
      </c>
      <c r="AE86" s="100">
        <f t="shared" si="48"/>
        <v>0</v>
      </c>
      <c r="AF86" s="194">
        <f t="shared" si="34"/>
        <v>0</v>
      </c>
      <c r="AG86" s="194">
        <f t="shared" si="35"/>
        <v>0</v>
      </c>
      <c r="AH86" s="194">
        <f t="shared" si="36"/>
        <v>0</v>
      </c>
      <c r="AI86" s="199">
        <f t="shared" si="37"/>
        <v>0</v>
      </c>
      <c r="AK86" s="71">
        <v>81</v>
      </c>
      <c r="AL86" s="33"/>
      <c r="AM86" s="33"/>
      <c r="AN86" s="33"/>
      <c r="AO86" s="33"/>
      <c r="AP86" s="33"/>
      <c r="AQ86" s="194"/>
      <c r="AR86" s="194"/>
      <c r="AS86" s="194"/>
      <c r="AT86" s="194"/>
      <c r="AU86" s="33"/>
      <c r="AV86" s="33"/>
      <c r="AW86" s="33"/>
      <c r="AX86" s="33"/>
      <c r="AY86" s="76"/>
    </row>
    <row r="87" spans="2:51">
      <c r="B87" s="172">
        <f>IF(C35&lt;=$F$18,C35+1,"-")</f>
        <v>41</v>
      </c>
      <c r="C87" s="148">
        <f>D35-D36</f>
        <v>91</v>
      </c>
      <c r="D87" s="149">
        <v>0.4</v>
      </c>
      <c r="E87" s="129">
        <f t="shared" si="58"/>
        <v>0.33600000000000002</v>
      </c>
      <c r="F87" s="129">
        <f t="shared" si="59"/>
        <v>0.26400000000000001</v>
      </c>
      <c r="G87" s="150"/>
      <c r="H87" s="58">
        <f t="shared" si="57"/>
        <v>0</v>
      </c>
      <c r="I87" s="55">
        <v>82</v>
      </c>
      <c r="J87" s="33">
        <f t="shared" si="51"/>
        <v>0</v>
      </c>
      <c r="K87" s="33">
        <f t="shared" si="52"/>
        <v>0</v>
      </c>
      <c r="L87" s="33">
        <f t="shared" si="53"/>
        <v>0</v>
      </c>
      <c r="M87" s="33">
        <f t="shared" si="54"/>
        <v>0</v>
      </c>
      <c r="N87" s="33">
        <f t="shared" si="40"/>
        <v>0</v>
      </c>
      <c r="O87" s="34">
        <f t="shared" si="41"/>
        <v>0</v>
      </c>
      <c r="P87" s="55">
        <v>82</v>
      </c>
      <c r="Q87" s="33">
        <f t="shared" si="49"/>
        <v>0</v>
      </c>
      <c r="R87" s="33">
        <f t="shared" si="55"/>
        <v>0</v>
      </c>
      <c r="S87" s="33">
        <f t="shared" si="56"/>
        <v>0</v>
      </c>
      <c r="T87" s="33">
        <f t="shared" si="42"/>
        <v>0</v>
      </c>
      <c r="U87" s="33">
        <f t="shared" si="50"/>
        <v>0</v>
      </c>
      <c r="V87" s="33">
        <f t="shared" si="43"/>
        <v>0</v>
      </c>
      <c r="W87" s="33">
        <v>0</v>
      </c>
      <c r="X87" s="33">
        <f t="shared" si="44"/>
        <v>0</v>
      </c>
      <c r="Y87" s="38">
        <f t="shared" si="45"/>
        <v>0</v>
      </c>
      <c r="AA87" s="71">
        <v>82</v>
      </c>
      <c r="AB87" s="33">
        <f t="shared" si="46"/>
        <v>0</v>
      </c>
      <c r="AC87" s="305">
        <f t="shared" si="39"/>
        <v>0</v>
      </c>
      <c r="AD87" s="100">
        <f t="shared" si="47"/>
        <v>0</v>
      </c>
      <c r="AE87" s="100">
        <f t="shared" si="48"/>
        <v>0</v>
      </c>
      <c r="AF87" s="194">
        <f t="shared" si="34"/>
        <v>0</v>
      </c>
      <c r="AG87" s="194">
        <f t="shared" si="35"/>
        <v>0</v>
      </c>
      <c r="AH87" s="194">
        <f t="shared" si="36"/>
        <v>0</v>
      </c>
      <c r="AI87" s="199">
        <f t="shared" si="37"/>
        <v>0</v>
      </c>
      <c r="AK87" s="71">
        <v>82</v>
      </c>
      <c r="AL87" s="33"/>
      <c r="AM87" s="33"/>
      <c r="AN87" s="33"/>
      <c r="AO87" s="33"/>
      <c r="AP87" s="33"/>
      <c r="AQ87" s="194"/>
      <c r="AR87" s="194"/>
      <c r="AS87" s="194"/>
      <c r="AT87" s="194"/>
      <c r="AU87" s="33"/>
      <c r="AV87" s="33"/>
      <c r="AW87" s="33"/>
      <c r="AX87" s="33"/>
      <c r="AY87" s="76"/>
    </row>
    <row r="88" spans="2:51">
      <c r="B88" s="172">
        <f>IF(C37&lt;=$F$18,C37+1,"-")</f>
        <v>46</v>
      </c>
      <c r="C88" s="148">
        <f>D37-D38</f>
        <v>74</v>
      </c>
      <c r="D88" s="149">
        <v>0.5</v>
      </c>
      <c r="E88" s="129">
        <f t="shared" si="58"/>
        <v>0.28000000000000003</v>
      </c>
      <c r="F88" s="129">
        <f t="shared" si="59"/>
        <v>0.22</v>
      </c>
      <c r="G88" s="150"/>
      <c r="H88" s="58">
        <f t="shared" si="57"/>
        <v>0</v>
      </c>
      <c r="I88" s="55">
        <v>83</v>
      </c>
      <c r="J88" s="33">
        <f t="shared" si="51"/>
        <v>0</v>
      </c>
      <c r="K88" s="33">
        <f t="shared" si="52"/>
        <v>0</v>
      </c>
      <c r="L88" s="33">
        <f t="shared" si="53"/>
        <v>0</v>
      </c>
      <c r="M88" s="33">
        <f t="shared" si="54"/>
        <v>0</v>
      </c>
      <c r="N88" s="33">
        <f t="shared" si="40"/>
        <v>0</v>
      </c>
      <c r="O88" s="34">
        <f t="shared" si="41"/>
        <v>0</v>
      </c>
      <c r="P88" s="55">
        <v>83</v>
      </c>
      <c r="Q88" s="33">
        <f t="shared" si="49"/>
        <v>0</v>
      </c>
      <c r="R88" s="33">
        <f t="shared" si="55"/>
        <v>0</v>
      </c>
      <c r="S88" s="33">
        <f t="shared" si="56"/>
        <v>0</v>
      </c>
      <c r="T88" s="33">
        <f t="shared" si="42"/>
        <v>0</v>
      </c>
      <c r="U88" s="33">
        <f t="shared" si="50"/>
        <v>0</v>
      </c>
      <c r="V88" s="33">
        <f t="shared" si="43"/>
        <v>0</v>
      </c>
      <c r="W88" s="33">
        <v>0</v>
      </c>
      <c r="X88" s="33">
        <f t="shared" si="44"/>
        <v>0</v>
      </c>
      <c r="Y88" s="38">
        <f t="shared" si="45"/>
        <v>0</v>
      </c>
      <c r="AA88" s="71">
        <v>83</v>
      </c>
      <c r="AB88" s="33">
        <f t="shared" si="46"/>
        <v>0</v>
      </c>
      <c r="AC88" s="305">
        <f t="shared" si="39"/>
        <v>0</v>
      </c>
      <c r="AD88" s="100">
        <f t="shared" si="47"/>
        <v>0</v>
      </c>
      <c r="AE88" s="100">
        <f t="shared" si="48"/>
        <v>0</v>
      </c>
      <c r="AF88" s="194">
        <f t="shared" si="34"/>
        <v>0</v>
      </c>
      <c r="AG88" s="194">
        <f t="shared" si="35"/>
        <v>0</v>
      </c>
      <c r="AH88" s="194">
        <f t="shared" si="36"/>
        <v>0</v>
      </c>
      <c r="AI88" s="199">
        <f t="shared" si="37"/>
        <v>0</v>
      </c>
      <c r="AK88" s="71">
        <v>83</v>
      </c>
      <c r="AL88" s="33"/>
      <c r="AM88" s="33"/>
      <c r="AN88" s="33"/>
      <c r="AO88" s="33"/>
      <c r="AP88" s="33"/>
      <c r="AQ88" s="194"/>
      <c r="AR88" s="194"/>
      <c r="AS88" s="194"/>
      <c r="AT88" s="194"/>
      <c r="AU88" s="33"/>
      <c r="AV88" s="33"/>
      <c r="AW88" s="33"/>
      <c r="AX88" s="33"/>
      <c r="AY88" s="76"/>
    </row>
    <row r="89" spans="2:51">
      <c r="B89" s="172">
        <f>IF(C39&lt;=$F$18,C39+1,"-")</f>
        <v>51</v>
      </c>
      <c r="C89" s="148">
        <f>D39-D40</f>
        <v>63</v>
      </c>
      <c r="D89" s="149">
        <v>0.6</v>
      </c>
      <c r="E89" s="129">
        <f t="shared" si="58"/>
        <v>0.22400000000000003</v>
      </c>
      <c r="F89" s="129">
        <f t="shared" si="59"/>
        <v>0.17600000000000002</v>
      </c>
      <c r="G89" s="150"/>
      <c r="H89" s="58">
        <f t="shared" si="57"/>
        <v>0</v>
      </c>
      <c r="I89" s="55">
        <v>84</v>
      </c>
      <c r="J89" s="33">
        <f t="shared" si="51"/>
        <v>0</v>
      </c>
      <c r="K89" s="33">
        <f t="shared" si="52"/>
        <v>0</v>
      </c>
      <c r="L89" s="33">
        <f t="shared" si="53"/>
        <v>0</v>
      </c>
      <c r="M89" s="33">
        <f t="shared" si="54"/>
        <v>0</v>
      </c>
      <c r="N89" s="33">
        <f t="shared" si="40"/>
        <v>0</v>
      </c>
      <c r="O89" s="34">
        <f t="shared" si="41"/>
        <v>0</v>
      </c>
      <c r="P89" s="55">
        <v>84</v>
      </c>
      <c r="Q89" s="33">
        <f t="shared" si="49"/>
        <v>0</v>
      </c>
      <c r="R89" s="33">
        <f t="shared" si="55"/>
        <v>0</v>
      </c>
      <c r="S89" s="33">
        <f t="shared" si="56"/>
        <v>0</v>
      </c>
      <c r="T89" s="33">
        <f t="shared" si="42"/>
        <v>0</v>
      </c>
      <c r="U89" s="33">
        <f t="shared" si="50"/>
        <v>0</v>
      </c>
      <c r="V89" s="33">
        <f t="shared" si="43"/>
        <v>0</v>
      </c>
      <c r="W89" s="33">
        <v>0</v>
      </c>
      <c r="X89" s="33">
        <f t="shared" si="44"/>
        <v>0</v>
      </c>
      <c r="Y89" s="38">
        <f t="shared" si="45"/>
        <v>0</v>
      </c>
      <c r="AA89" s="71">
        <v>84</v>
      </c>
      <c r="AB89" s="33">
        <f t="shared" si="46"/>
        <v>0</v>
      </c>
      <c r="AC89" s="305">
        <f t="shared" si="39"/>
        <v>0</v>
      </c>
      <c r="AD89" s="100">
        <f t="shared" si="47"/>
        <v>0</v>
      </c>
      <c r="AE89" s="100">
        <f t="shared" si="48"/>
        <v>0</v>
      </c>
      <c r="AF89" s="194">
        <f t="shared" si="34"/>
        <v>0</v>
      </c>
      <c r="AG89" s="194">
        <f t="shared" si="35"/>
        <v>0</v>
      </c>
      <c r="AH89" s="194">
        <f t="shared" si="36"/>
        <v>0</v>
      </c>
      <c r="AI89" s="199">
        <f t="shared" si="37"/>
        <v>0</v>
      </c>
      <c r="AK89" s="71">
        <v>84</v>
      </c>
      <c r="AL89" s="33"/>
      <c r="AM89" s="33"/>
      <c r="AN89" s="33"/>
      <c r="AO89" s="33"/>
      <c r="AP89" s="33"/>
      <c r="AQ89" s="194"/>
      <c r="AR89" s="194"/>
      <c r="AS89" s="194"/>
      <c r="AT89" s="194"/>
      <c r="AU89" s="33"/>
      <c r="AV89" s="33"/>
      <c r="AW89" s="33"/>
      <c r="AX89" s="33"/>
      <c r="AY89" s="76"/>
    </row>
    <row r="90" spans="2:51">
      <c r="B90" s="172">
        <f>IF(C41&lt;=$F$18,C41+1,"-")</f>
        <v>56</v>
      </c>
      <c r="C90" s="148">
        <f>D41-D42</f>
        <v>55</v>
      </c>
      <c r="D90" s="149">
        <v>0.7</v>
      </c>
      <c r="E90" s="129">
        <f t="shared" si="58"/>
        <v>0.16800000000000004</v>
      </c>
      <c r="F90" s="129">
        <f t="shared" si="59"/>
        <v>0.13200000000000003</v>
      </c>
      <c r="G90" s="150"/>
      <c r="H90" s="58">
        <f t="shared" si="57"/>
        <v>0</v>
      </c>
      <c r="I90" s="55">
        <v>85</v>
      </c>
      <c r="J90" s="33">
        <f t="shared" si="51"/>
        <v>0</v>
      </c>
      <c r="K90" s="33">
        <f t="shared" si="52"/>
        <v>0</v>
      </c>
      <c r="L90" s="33">
        <f t="shared" si="53"/>
        <v>0</v>
      </c>
      <c r="M90" s="33">
        <f t="shared" si="54"/>
        <v>0</v>
      </c>
      <c r="N90" s="33">
        <f t="shared" si="40"/>
        <v>0</v>
      </c>
      <c r="O90" s="34">
        <f t="shared" si="41"/>
        <v>0</v>
      </c>
      <c r="P90" s="55">
        <v>85</v>
      </c>
      <c r="Q90" s="33">
        <f t="shared" si="49"/>
        <v>0</v>
      </c>
      <c r="R90" s="33">
        <f t="shared" si="55"/>
        <v>0</v>
      </c>
      <c r="S90" s="33">
        <f t="shared" si="56"/>
        <v>0</v>
      </c>
      <c r="T90" s="33">
        <f t="shared" si="42"/>
        <v>0</v>
      </c>
      <c r="U90" s="33">
        <f t="shared" si="50"/>
        <v>0</v>
      </c>
      <c r="V90" s="33">
        <f t="shared" si="43"/>
        <v>0</v>
      </c>
      <c r="W90" s="33">
        <v>0</v>
      </c>
      <c r="X90" s="33">
        <f t="shared" si="44"/>
        <v>0</v>
      </c>
      <c r="Y90" s="38">
        <f t="shared" si="45"/>
        <v>0</v>
      </c>
      <c r="AA90" s="71">
        <v>85</v>
      </c>
      <c r="AB90" s="33">
        <f t="shared" si="46"/>
        <v>0</v>
      </c>
      <c r="AC90" s="305">
        <f t="shared" si="39"/>
        <v>0</v>
      </c>
      <c r="AD90" s="100">
        <f t="shared" si="47"/>
        <v>0</v>
      </c>
      <c r="AE90" s="100">
        <f t="shared" si="48"/>
        <v>0</v>
      </c>
      <c r="AF90" s="194">
        <f t="shared" si="34"/>
        <v>0</v>
      </c>
      <c r="AG90" s="194">
        <f t="shared" si="35"/>
        <v>0</v>
      </c>
      <c r="AH90" s="194">
        <f t="shared" si="36"/>
        <v>0</v>
      </c>
      <c r="AI90" s="199">
        <f t="shared" si="37"/>
        <v>0</v>
      </c>
      <c r="AK90" s="71">
        <v>85</v>
      </c>
      <c r="AL90" s="33"/>
      <c r="AM90" s="33"/>
      <c r="AN90" s="33"/>
      <c r="AO90" s="33"/>
      <c r="AP90" s="33"/>
      <c r="AQ90" s="194"/>
      <c r="AR90" s="194"/>
      <c r="AS90" s="194"/>
      <c r="AT90" s="194"/>
      <c r="AU90" s="33"/>
      <c r="AV90" s="33"/>
      <c r="AW90" s="33"/>
      <c r="AX90" s="33"/>
      <c r="AY90" s="76"/>
    </row>
    <row r="91" spans="2:51">
      <c r="B91" s="172">
        <f>IF(C43&lt;=$F$18,C43+1,"-")</f>
        <v>61</v>
      </c>
      <c r="C91" s="148">
        <f>D43-D44</f>
        <v>48</v>
      </c>
      <c r="D91" s="149">
        <v>0.8</v>
      </c>
      <c r="E91" s="129">
        <f t="shared" si="58"/>
        <v>0.11199999999999999</v>
      </c>
      <c r="F91" s="129">
        <f t="shared" si="59"/>
        <v>8.7999999999999981E-2</v>
      </c>
      <c r="G91" s="150"/>
      <c r="H91" s="58">
        <f t="shared" si="57"/>
        <v>0</v>
      </c>
      <c r="I91" s="55">
        <v>86</v>
      </c>
      <c r="J91" s="33">
        <f t="shared" si="51"/>
        <v>0</v>
      </c>
      <c r="K91" s="33">
        <f t="shared" si="52"/>
        <v>0</v>
      </c>
      <c r="L91" s="33">
        <f t="shared" si="53"/>
        <v>0</v>
      </c>
      <c r="M91" s="33">
        <f t="shared" si="54"/>
        <v>0</v>
      </c>
      <c r="N91" s="33">
        <f t="shared" si="40"/>
        <v>0</v>
      </c>
      <c r="O91" s="34">
        <f t="shared" si="41"/>
        <v>0</v>
      </c>
      <c r="P91" s="55">
        <v>86</v>
      </c>
      <c r="Q91" s="33">
        <f t="shared" si="49"/>
        <v>0</v>
      </c>
      <c r="R91" s="33">
        <f t="shared" si="55"/>
        <v>0</v>
      </c>
      <c r="S91" s="33">
        <f t="shared" si="56"/>
        <v>0</v>
      </c>
      <c r="T91" s="33">
        <f t="shared" si="42"/>
        <v>0</v>
      </c>
      <c r="U91" s="33">
        <f t="shared" si="50"/>
        <v>0</v>
      </c>
      <c r="V91" s="33">
        <f t="shared" si="43"/>
        <v>0</v>
      </c>
      <c r="W91" s="33">
        <v>0</v>
      </c>
      <c r="X91" s="33">
        <f t="shared" si="44"/>
        <v>0</v>
      </c>
      <c r="Y91" s="38">
        <f t="shared" si="45"/>
        <v>0</v>
      </c>
      <c r="AA91" s="71">
        <v>86</v>
      </c>
      <c r="AB91" s="33">
        <f t="shared" si="46"/>
        <v>0</v>
      </c>
      <c r="AC91" s="305">
        <f t="shared" si="39"/>
        <v>0</v>
      </c>
      <c r="AD91" s="100">
        <f t="shared" si="47"/>
        <v>0</v>
      </c>
      <c r="AE91" s="100">
        <f t="shared" si="48"/>
        <v>0</v>
      </c>
      <c r="AF91" s="194">
        <f t="shared" ref="AF91:AF154" si="60">IF(OR(AA91&lt;=$F$18,AA91&lt;=30),EXP(-LN(2)/$D$104)*AF90+((1-EXP(-LN(2)/$D$104))/(LN(2)/$D$104))*$AB91*AC91*0.475*$F$19*44/12,)</f>
        <v>0</v>
      </c>
      <c r="AG91" s="194">
        <f t="shared" ref="AG91:AG154" si="61">IF(OR(AA91&lt;=$F$18,AA91&lt;=30),EXP(-LN(2)/$D$106)*AG90+((1-EXP(-LN(2)/$D$106))/(LN(2)/$D$106))*$AB91*AD91*0.475*$F$19*44/12,)</f>
        <v>0</v>
      </c>
      <c r="AH91" s="194">
        <f t="shared" ref="AH91:AH154" si="62">IF(OR(AA91&lt;=$F$18,AA91&lt;=30),EXP(-LN(2)/$D$105)*AH90+((1-EXP(-LN(2)/$D$105))/(LN(2)/$D$105))*$AB91*AE91*0.475*$F$19*44/12,)</f>
        <v>0</v>
      </c>
      <c r="AI91" s="199">
        <f t="shared" ref="AI91:AI154" si="63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4"/>
      <c r="AR91" s="194"/>
      <c r="AS91" s="194"/>
      <c r="AT91" s="194"/>
      <c r="AU91" s="33"/>
      <c r="AV91" s="33"/>
      <c r="AW91" s="33"/>
      <c r="AX91" s="33"/>
      <c r="AY91" s="76"/>
    </row>
    <row r="92" spans="2:51">
      <c r="B92" s="172">
        <f>IF(C45&lt;=$F$18,C45+1,"-")</f>
        <v>66</v>
      </c>
      <c r="C92" s="148">
        <f>D45-D46</f>
        <v>43</v>
      </c>
      <c r="D92" s="149">
        <v>0.9</v>
      </c>
      <c r="E92" s="129">
        <f t="shared" si="58"/>
        <v>5.5999999999999994E-2</v>
      </c>
      <c r="F92" s="129">
        <f t="shared" si="59"/>
        <v>4.3999999999999991E-2</v>
      </c>
      <c r="G92" s="150"/>
      <c r="H92" s="58">
        <f t="shared" si="57"/>
        <v>0</v>
      </c>
      <c r="I92" s="55">
        <v>87</v>
      </c>
      <c r="J92" s="33">
        <f t="shared" si="51"/>
        <v>0</v>
      </c>
      <c r="K92" s="33">
        <f t="shared" si="52"/>
        <v>0</v>
      </c>
      <c r="L92" s="33">
        <f t="shared" si="53"/>
        <v>0</v>
      </c>
      <c r="M92" s="33">
        <f t="shared" si="54"/>
        <v>0</v>
      </c>
      <c r="N92" s="33">
        <f t="shared" si="40"/>
        <v>0</v>
      </c>
      <c r="O92" s="34">
        <f t="shared" si="41"/>
        <v>0</v>
      </c>
      <c r="P92" s="55">
        <v>87</v>
      </c>
      <c r="Q92" s="33">
        <f t="shared" si="49"/>
        <v>0</v>
      </c>
      <c r="R92" s="33">
        <f t="shared" si="55"/>
        <v>0</v>
      </c>
      <c r="S92" s="33">
        <f t="shared" si="56"/>
        <v>0</v>
      </c>
      <c r="T92" s="33">
        <f t="shared" si="42"/>
        <v>0</v>
      </c>
      <c r="U92" s="33">
        <f t="shared" si="50"/>
        <v>0</v>
      </c>
      <c r="V92" s="33">
        <f t="shared" si="43"/>
        <v>0</v>
      </c>
      <c r="W92" s="33">
        <v>0</v>
      </c>
      <c r="X92" s="33">
        <f t="shared" si="44"/>
        <v>0</v>
      </c>
      <c r="Y92" s="38">
        <f t="shared" si="45"/>
        <v>0</v>
      </c>
      <c r="AA92" s="71">
        <v>87</v>
      </c>
      <c r="AB92" s="33">
        <f t="shared" si="46"/>
        <v>0</v>
      </c>
      <c r="AC92" s="305">
        <f t="shared" si="39"/>
        <v>0</v>
      </c>
      <c r="AD92" s="100">
        <f t="shared" si="47"/>
        <v>0</v>
      </c>
      <c r="AE92" s="100">
        <f t="shared" si="48"/>
        <v>0</v>
      </c>
      <c r="AF92" s="194">
        <f t="shared" si="60"/>
        <v>0</v>
      </c>
      <c r="AG92" s="194">
        <f t="shared" si="61"/>
        <v>0</v>
      </c>
      <c r="AH92" s="194">
        <f t="shared" si="62"/>
        <v>0</v>
      </c>
      <c r="AI92" s="199">
        <f t="shared" si="63"/>
        <v>0</v>
      </c>
      <c r="AK92" s="71">
        <v>87</v>
      </c>
      <c r="AL92" s="33"/>
      <c r="AM92" s="33"/>
      <c r="AN92" s="33"/>
      <c r="AO92" s="33"/>
      <c r="AP92" s="33"/>
      <c r="AQ92" s="194"/>
      <c r="AR92" s="194"/>
      <c r="AS92" s="194"/>
      <c r="AT92" s="194"/>
      <c r="AU92" s="33"/>
      <c r="AV92" s="33"/>
      <c r="AW92" s="33"/>
      <c r="AX92" s="33"/>
      <c r="AY92" s="76"/>
    </row>
    <row r="93" spans="2:51">
      <c r="B93" s="172" t="str">
        <f>IF(C47&lt;=$F$18,C47+1,"-")</f>
        <v>-</v>
      </c>
      <c r="C93" s="148">
        <f>D47-D48</f>
        <v>38</v>
      </c>
      <c r="D93" s="149">
        <v>0.9</v>
      </c>
      <c r="E93" s="129">
        <f t="shared" si="58"/>
        <v>5.5999999999999994E-2</v>
      </c>
      <c r="F93" s="129">
        <f t="shared" si="59"/>
        <v>4.3999999999999991E-2</v>
      </c>
      <c r="G93" s="150"/>
      <c r="H93" s="58">
        <f t="shared" si="57"/>
        <v>0</v>
      </c>
      <c r="I93" s="55">
        <v>88</v>
      </c>
      <c r="J93" s="33">
        <f t="shared" si="51"/>
        <v>0</v>
      </c>
      <c r="K93" s="33">
        <f t="shared" si="52"/>
        <v>0</v>
      </c>
      <c r="L93" s="33">
        <f t="shared" si="53"/>
        <v>0</v>
      </c>
      <c r="M93" s="33">
        <f t="shared" si="54"/>
        <v>0</v>
      </c>
      <c r="N93" s="33">
        <f t="shared" si="40"/>
        <v>0</v>
      </c>
      <c r="O93" s="34">
        <f t="shared" si="41"/>
        <v>0</v>
      </c>
      <c r="P93" s="55">
        <v>88</v>
      </c>
      <c r="Q93" s="33">
        <f t="shared" si="49"/>
        <v>0</v>
      </c>
      <c r="R93" s="33">
        <f t="shared" si="55"/>
        <v>0</v>
      </c>
      <c r="S93" s="33">
        <f t="shared" si="56"/>
        <v>0</v>
      </c>
      <c r="T93" s="33">
        <f t="shared" si="42"/>
        <v>0</v>
      </c>
      <c r="U93" s="33">
        <f t="shared" si="50"/>
        <v>0</v>
      </c>
      <c r="V93" s="33">
        <f t="shared" si="43"/>
        <v>0</v>
      </c>
      <c r="W93" s="33">
        <v>0</v>
      </c>
      <c r="X93" s="33">
        <f t="shared" si="44"/>
        <v>0</v>
      </c>
      <c r="Y93" s="38">
        <f t="shared" si="45"/>
        <v>0</v>
      </c>
      <c r="AA93" s="71">
        <v>88</v>
      </c>
      <c r="AB93" s="33">
        <f t="shared" si="46"/>
        <v>0</v>
      </c>
      <c r="AC93" s="305">
        <f t="shared" si="39"/>
        <v>0</v>
      </c>
      <c r="AD93" s="100">
        <f t="shared" si="47"/>
        <v>0</v>
      </c>
      <c r="AE93" s="100">
        <f t="shared" si="48"/>
        <v>0</v>
      </c>
      <c r="AF93" s="194">
        <f t="shared" si="60"/>
        <v>0</v>
      </c>
      <c r="AG93" s="194">
        <f t="shared" si="61"/>
        <v>0</v>
      </c>
      <c r="AH93" s="194">
        <f t="shared" si="62"/>
        <v>0</v>
      </c>
      <c r="AI93" s="199">
        <f t="shared" si="63"/>
        <v>0</v>
      </c>
      <c r="AK93" s="71">
        <v>88</v>
      </c>
      <c r="AL93" s="33"/>
      <c r="AM93" s="33"/>
      <c r="AN93" s="33"/>
      <c r="AO93" s="33"/>
      <c r="AP93" s="33"/>
      <c r="AQ93" s="194"/>
      <c r="AR93" s="194"/>
      <c r="AS93" s="194"/>
      <c r="AT93" s="194"/>
      <c r="AU93" s="33"/>
      <c r="AV93" s="33"/>
      <c r="AW93" s="33"/>
      <c r="AX93" s="33"/>
      <c r="AY93" s="76"/>
    </row>
    <row r="94" spans="2:51">
      <c r="B94" s="184">
        <f>F18</f>
        <v>65</v>
      </c>
      <c r="C94" s="181">
        <f>IFERROR(VLOOKUP(B94,C25:D78,2),)</f>
        <v>942</v>
      </c>
      <c r="D94" s="182">
        <v>0.95</v>
      </c>
      <c r="E94" s="183">
        <f t="shared" si="58"/>
        <v>2.8000000000000028E-2</v>
      </c>
      <c r="F94" s="183">
        <f t="shared" si="59"/>
        <v>2.200000000000002E-2</v>
      </c>
      <c r="G94" s="151"/>
      <c r="H94" s="58">
        <f t="shared" si="57"/>
        <v>0</v>
      </c>
      <c r="I94" s="55">
        <v>89</v>
      </c>
      <c r="J94" s="33">
        <f t="shared" si="51"/>
        <v>0</v>
      </c>
      <c r="K94" s="33">
        <f t="shared" si="52"/>
        <v>0</v>
      </c>
      <c r="L94" s="33">
        <f t="shared" si="53"/>
        <v>0</v>
      </c>
      <c r="M94" s="33">
        <f t="shared" si="54"/>
        <v>0</v>
      </c>
      <c r="N94" s="33">
        <f t="shared" si="40"/>
        <v>0</v>
      </c>
      <c r="O94" s="34">
        <f t="shared" si="41"/>
        <v>0</v>
      </c>
      <c r="P94" s="55">
        <v>89</v>
      </c>
      <c r="Q94" s="33">
        <f t="shared" si="49"/>
        <v>0</v>
      </c>
      <c r="R94" s="33">
        <f t="shared" si="55"/>
        <v>0</v>
      </c>
      <c r="S94" s="33">
        <f t="shared" si="56"/>
        <v>0</v>
      </c>
      <c r="T94" s="33">
        <f t="shared" si="42"/>
        <v>0</v>
      </c>
      <c r="U94" s="33">
        <f t="shared" si="50"/>
        <v>0</v>
      </c>
      <c r="V94" s="33">
        <f t="shared" si="43"/>
        <v>0</v>
      </c>
      <c r="W94" s="33">
        <v>0</v>
      </c>
      <c r="X94" s="33">
        <f t="shared" si="44"/>
        <v>0</v>
      </c>
      <c r="Y94" s="38">
        <f t="shared" si="45"/>
        <v>0</v>
      </c>
      <c r="AA94" s="71">
        <v>89</v>
      </c>
      <c r="AB94" s="33">
        <f t="shared" si="46"/>
        <v>0</v>
      </c>
      <c r="AC94" s="305">
        <f t="shared" si="39"/>
        <v>0</v>
      </c>
      <c r="AD94" s="100">
        <f t="shared" si="47"/>
        <v>0</v>
      </c>
      <c r="AE94" s="100">
        <f t="shared" si="48"/>
        <v>0</v>
      </c>
      <c r="AF94" s="194">
        <f t="shared" si="60"/>
        <v>0</v>
      </c>
      <c r="AG94" s="194">
        <f t="shared" si="61"/>
        <v>0</v>
      </c>
      <c r="AH94" s="194">
        <f t="shared" si="62"/>
        <v>0</v>
      </c>
      <c r="AI94" s="199">
        <f t="shared" si="63"/>
        <v>0</v>
      </c>
      <c r="AK94" s="71">
        <v>89</v>
      </c>
      <c r="AL94" s="33"/>
      <c r="AM94" s="33"/>
      <c r="AN94" s="33"/>
      <c r="AO94" s="33"/>
      <c r="AP94" s="33"/>
      <c r="AQ94" s="194"/>
      <c r="AR94" s="194"/>
      <c r="AS94" s="194"/>
      <c r="AT94" s="194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1"/>
        <v>0</v>
      </c>
      <c r="K95" s="33">
        <f t="shared" si="52"/>
        <v>0</v>
      </c>
      <c r="L95" s="33">
        <f t="shared" si="53"/>
        <v>0</v>
      </c>
      <c r="M95" s="33">
        <f t="shared" si="54"/>
        <v>0</v>
      </c>
      <c r="N95" s="33">
        <f t="shared" si="40"/>
        <v>0</v>
      </c>
      <c r="O95" s="34">
        <f t="shared" si="41"/>
        <v>0</v>
      </c>
      <c r="P95" s="55">
        <v>90</v>
      </c>
      <c r="Q95" s="33">
        <f t="shared" si="49"/>
        <v>0</v>
      </c>
      <c r="R95" s="33">
        <f t="shared" si="55"/>
        <v>0</v>
      </c>
      <c r="S95" s="33">
        <f t="shared" si="56"/>
        <v>0</v>
      </c>
      <c r="T95" s="33">
        <f t="shared" si="42"/>
        <v>0</v>
      </c>
      <c r="U95" s="33">
        <f t="shared" si="50"/>
        <v>0</v>
      </c>
      <c r="V95" s="33">
        <f t="shared" si="43"/>
        <v>0</v>
      </c>
      <c r="W95" s="33">
        <v>0</v>
      </c>
      <c r="X95" s="33">
        <f t="shared" si="44"/>
        <v>0</v>
      </c>
      <c r="Y95" s="38">
        <f t="shared" si="45"/>
        <v>0</v>
      </c>
      <c r="AA95" s="71">
        <v>90</v>
      </c>
      <c r="AB95" s="33">
        <f t="shared" si="46"/>
        <v>0</v>
      </c>
      <c r="AC95" s="305">
        <f t="shared" ref="AC95:AC158" si="64">IF(AA95&lt;=$F$18,IFERROR(VLOOKUP($AA95,$B$82:$G$94,3,FALSE),0),)*50%</f>
        <v>0</v>
      </c>
      <c r="AD95" s="100">
        <f t="shared" si="47"/>
        <v>0</v>
      </c>
      <c r="AE95" s="100">
        <f t="shared" si="48"/>
        <v>0</v>
      </c>
      <c r="AF95" s="194">
        <f t="shared" si="60"/>
        <v>0</v>
      </c>
      <c r="AG95" s="194">
        <f t="shared" si="61"/>
        <v>0</v>
      </c>
      <c r="AH95" s="194">
        <f t="shared" si="62"/>
        <v>0</v>
      </c>
      <c r="AI95" s="199">
        <f t="shared" si="63"/>
        <v>0</v>
      </c>
      <c r="AK95" s="71">
        <v>90</v>
      </c>
      <c r="AL95" s="33"/>
      <c r="AM95" s="33"/>
      <c r="AN95" s="33"/>
      <c r="AO95" s="33"/>
      <c r="AP95" s="33"/>
      <c r="AQ95" s="194"/>
      <c r="AR95" s="194"/>
      <c r="AS95" s="194"/>
      <c r="AT95" s="194"/>
      <c r="AU95" s="33"/>
      <c r="AV95" s="33"/>
      <c r="AW95" s="33"/>
      <c r="AX95" s="33"/>
      <c r="AY95" s="76"/>
    </row>
    <row r="96" spans="2:51">
      <c r="C96" s="67" t="s">
        <v>153</v>
      </c>
      <c r="D96" t="s">
        <v>136</v>
      </c>
      <c r="E96" s="6"/>
      <c r="I96" s="55">
        <v>91</v>
      </c>
      <c r="J96" s="33">
        <f t="shared" si="51"/>
        <v>0</v>
      </c>
      <c r="K96" s="33">
        <f t="shared" si="52"/>
        <v>0</v>
      </c>
      <c r="L96" s="33">
        <f t="shared" si="53"/>
        <v>0</v>
      </c>
      <c r="M96" s="33">
        <f t="shared" si="54"/>
        <v>0</v>
      </c>
      <c r="N96" s="33">
        <f t="shared" si="40"/>
        <v>0</v>
      </c>
      <c r="O96" s="34">
        <f t="shared" si="41"/>
        <v>0</v>
      </c>
      <c r="P96" s="55">
        <v>91</v>
      </c>
      <c r="Q96" s="33">
        <f t="shared" si="49"/>
        <v>0</v>
      </c>
      <c r="R96" s="33">
        <f t="shared" si="55"/>
        <v>0</v>
      </c>
      <c r="S96" s="33">
        <f t="shared" si="56"/>
        <v>0</v>
      </c>
      <c r="T96" s="33">
        <f t="shared" si="42"/>
        <v>0</v>
      </c>
      <c r="U96" s="33">
        <f t="shared" si="50"/>
        <v>0</v>
      </c>
      <c r="V96" s="33">
        <f t="shared" si="43"/>
        <v>0</v>
      </c>
      <c r="W96" s="33">
        <v>0</v>
      </c>
      <c r="X96" s="33">
        <f t="shared" si="44"/>
        <v>0</v>
      </c>
      <c r="Y96" s="38">
        <f t="shared" si="45"/>
        <v>0</v>
      </c>
      <c r="AA96" s="71">
        <v>91</v>
      </c>
      <c r="AB96" s="33">
        <f t="shared" si="46"/>
        <v>0</v>
      </c>
      <c r="AC96" s="305">
        <f t="shared" si="64"/>
        <v>0</v>
      </c>
      <c r="AD96" s="100">
        <f t="shared" si="47"/>
        <v>0</v>
      </c>
      <c r="AE96" s="100">
        <f t="shared" si="48"/>
        <v>0</v>
      </c>
      <c r="AF96" s="194">
        <f t="shared" si="60"/>
        <v>0</v>
      </c>
      <c r="AG96" s="194">
        <f t="shared" si="61"/>
        <v>0</v>
      </c>
      <c r="AH96" s="194">
        <f t="shared" si="62"/>
        <v>0</v>
      </c>
      <c r="AI96" s="199">
        <f t="shared" si="63"/>
        <v>0</v>
      </c>
      <c r="AK96" s="71">
        <v>91</v>
      </c>
      <c r="AL96" s="33"/>
      <c r="AM96" s="33"/>
      <c r="AN96" s="33"/>
      <c r="AO96" s="33"/>
      <c r="AP96" s="33"/>
      <c r="AQ96" s="194"/>
      <c r="AR96" s="194"/>
      <c r="AS96" s="194"/>
      <c r="AT96" s="194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1"/>
        <v>0</v>
      </c>
      <c r="K97" s="33">
        <f t="shared" si="52"/>
        <v>0</v>
      </c>
      <c r="L97" s="33">
        <f t="shared" si="53"/>
        <v>0</v>
      </c>
      <c r="M97" s="33">
        <f t="shared" si="54"/>
        <v>0</v>
      </c>
      <c r="N97" s="33">
        <f t="shared" si="40"/>
        <v>0</v>
      </c>
      <c r="O97" s="34">
        <f t="shared" si="41"/>
        <v>0</v>
      </c>
      <c r="P97" s="55">
        <v>92</v>
      </c>
      <c r="Q97" s="33">
        <f t="shared" si="49"/>
        <v>0</v>
      </c>
      <c r="R97" s="33">
        <f t="shared" si="55"/>
        <v>0</v>
      </c>
      <c r="S97" s="33">
        <f t="shared" si="56"/>
        <v>0</v>
      </c>
      <c r="T97" s="33">
        <f t="shared" si="42"/>
        <v>0</v>
      </c>
      <c r="U97" s="33">
        <f t="shared" si="50"/>
        <v>0</v>
      </c>
      <c r="V97" s="33">
        <f t="shared" si="43"/>
        <v>0</v>
      </c>
      <c r="W97" s="33">
        <v>0</v>
      </c>
      <c r="X97" s="33">
        <f t="shared" si="44"/>
        <v>0</v>
      </c>
      <c r="Y97" s="38">
        <f t="shared" si="45"/>
        <v>0</v>
      </c>
      <c r="AA97" s="71">
        <v>92</v>
      </c>
      <c r="AB97" s="33">
        <f t="shared" si="46"/>
        <v>0</v>
      </c>
      <c r="AC97" s="305">
        <f t="shared" si="64"/>
        <v>0</v>
      </c>
      <c r="AD97" s="100">
        <f t="shared" si="47"/>
        <v>0</v>
      </c>
      <c r="AE97" s="100">
        <f t="shared" si="48"/>
        <v>0</v>
      </c>
      <c r="AF97" s="194">
        <f t="shared" si="60"/>
        <v>0</v>
      </c>
      <c r="AG97" s="194">
        <f t="shared" si="61"/>
        <v>0</v>
      </c>
      <c r="AH97" s="194">
        <f t="shared" si="62"/>
        <v>0</v>
      </c>
      <c r="AI97" s="199">
        <f t="shared" si="63"/>
        <v>0</v>
      </c>
      <c r="AK97" s="71">
        <v>92</v>
      </c>
      <c r="AL97" s="33"/>
      <c r="AM97" s="33"/>
      <c r="AN97" s="33"/>
      <c r="AO97" s="33"/>
      <c r="AP97" s="33"/>
      <c r="AQ97" s="194"/>
      <c r="AR97" s="194"/>
      <c r="AS97" s="194"/>
      <c r="AT97" s="194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1"/>
        <v>0</v>
      </c>
      <c r="K98" s="33">
        <f t="shared" si="52"/>
        <v>0</v>
      </c>
      <c r="L98" s="33">
        <f t="shared" si="53"/>
        <v>0</v>
      </c>
      <c r="M98" s="33">
        <f t="shared" si="54"/>
        <v>0</v>
      </c>
      <c r="N98" s="33">
        <f t="shared" si="40"/>
        <v>0</v>
      </c>
      <c r="O98" s="34">
        <f t="shared" si="41"/>
        <v>0</v>
      </c>
      <c r="P98" s="55">
        <v>93</v>
      </c>
      <c r="Q98" s="33">
        <f t="shared" si="49"/>
        <v>0</v>
      </c>
      <c r="R98" s="33">
        <f t="shared" si="55"/>
        <v>0</v>
      </c>
      <c r="S98" s="33">
        <f t="shared" si="56"/>
        <v>0</v>
      </c>
      <c r="T98" s="33">
        <f t="shared" si="42"/>
        <v>0</v>
      </c>
      <c r="U98" s="33">
        <f t="shared" si="50"/>
        <v>0</v>
      </c>
      <c r="V98" s="33">
        <f t="shared" si="43"/>
        <v>0</v>
      </c>
      <c r="W98" s="33">
        <v>0</v>
      </c>
      <c r="X98" s="33">
        <f t="shared" si="44"/>
        <v>0</v>
      </c>
      <c r="Y98" s="38">
        <f t="shared" si="45"/>
        <v>0</v>
      </c>
      <c r="AA98" s="71">
        <v>93</v>
      </c>
      <c r="AB98" s="33">
        <f t="shared" si="46"/>
        <v>0</v>
      </c>
      <c r="AC98" s="305">
        <f t="shared" si="64"/>
        <v>0</v>
      </c>
      <c r="AD98" s="100">
        <f t="shared" si="47"/>
        <v>0</v>
      </c>
      <c r="AE98" s="100">
        <f t="shared" si="48"/>
        <v>0</v>
      </c>
      <c r="AF98" s="194">
        <f t="shared" si="60"/>
        <v>0</v>
      </c>
      <c r="AG98" s="194">
        <f t="shared" si="61"/>
        <v>0</v>
      </c>
      <c r="AH98" s="194">
        <f t="shared" si="62"/>
        <v>0</v>
      </c>
      <c r="AI98" s="199">
        <f t="shared" si="63"/>
        <v>0</v>
      </c>
      <c r="AK98" s="71">
        <v>93</v>
      </c>
      <c r="AL98" s="33"/>
      <c r="AM98" s="33"/>
      <c r="AN98" s="33"/>
      <c r="AO98" s="33"/>
      <c r="AP98" s="33"/>
      <c r="AQ98" s="194"/>
      <c r="AR98" s="194"/>
      <c r="AS98" s="194"/>
      <c r="AT98" s="194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1"/>
        <v>0</v>
      </c>
      <c r="K99" s="33">
        <f t="shared" si="52"/>
        <v>0</v>
      </c>
      <c r="L99" s="33">
        <f t="shared" si="53"/>
        <v>0</v>
      </c>
      <c r="M99" s="33">
        <f t="shared" si="54"/>
        <v>0</v>
      </c>
      <c r="N99" s="33">
        <f t="shared" si="40"/>
        <v>0</v>
      </c>
      <c r="O99" s="34">
        <f t="shared" si="41"/>
        <v>0</v>
      </c>
      <c r="P99" s="55">
        <v>94</v>
      </c>
      <c r="Q99" s="33">
        <f t="shared" si="49"/>
        <v>0</v>
      </c>
      <c r="R99" s="33">
        <f t="shared" si="55"/>
        <v>0</v>
      </c>
      <c r="S99" s="33">
        <f t="shared" si="56"/>
        <v>0</v>
      </c>
      <c r="T99" s="33">
        <f t="shared" si="42"/>
        <v>0</v>
      </c>
      <c r="U99" s="33">
        <f t="shared" si="50"/>
        <v>0</v>
      </c>
      <c r="V99" s="33">
        <f t="shared" si="43"/>
        <v>0</v>
      </c>
      <c r="W99" s="33">
        <v>0</v>
      </c>
      <c r="X99" s="33">
        <f t="shared" si="44"/>
        <v>0</v>
      </c>
      <c r="Y99" s="38">
        <f t="shared" si="45"/>
        <v>0</v>
      </c>
      <c r="AA99" s="71">
        <v>94</v>
      </c>
      <c r="AB99" s="33">
        <f t="shared" si="46"/>
        <v>0</v>
      </c>
      <c r="AC99" s="305">
        <f t="shared" si="64"/>
        <v>0</v>
      </c>
      <c r="AD99" s="100">
        <f t="shared" si="47"/>
        <v>0</v>
      </c>
      <c r="AE99" s="100">
        <f t="shared" si="48"/>
        <v>0</v>
      </c>
      <c r="AF99" s="194">
        <f t="shared" si="60"/>
        <v>0</v>
      </c>
      <c r="AG99" s="194">
        <f t="shared" si="61"/>
        <v>0</v>
      </c>
      <c r="AH99" s="194">
        <f t="shared" si="62"/>
        <v>0</v>
      </c>
      <c r="AI99" s="199">
        <f t="shared" si="63"/>
        <v>0</v>
      </c>
      <c r="AK99" s="71">
        <v>94</v>
      </c>
      <c r="AL99" s="33"/>
      <c r="AM99" s="33"/>
      <c r="AN99" s="33"/>
      <c r="AO99" s="33"/>
      <c r="AP99" s="33"/>
      <c r="AQ99" s="194"/>
      <c r="AR99" s="194"/>
      <c r="AS99" s="194"/>
      <c r="AT99" s="194"/>
      <c r="AU99" s="33"/>
      <c r="AV99" s="33"/>
      <c r="AW99" s="33"/>
      <c r="AX99" s="33"/>
      <c r="AY99" s="76"/>
    </row>
    <row r="100" spans="2:51">
      <c r="B100" s="2" t="s">
        <v>134</v>
      </c>
      <c r="C100">
        <v>70</v>
      </c>
      <c r="D100">
        <v>0</v>
      </c>
      <c r="E100" s="6"/>
      <c r="I100" s="55">
        <v>95</v>
      </c>
      <c r="J100" s="33">
        <f t="shared" si="51"/>
        <v>0</v>
      </c>
      <c r="K100" s="33">
        <f t="shared" si="52"/>
        <v>0</v>
      </c>
      <c r="L100" s="33">
        <f t="shared" si="53"/>
        <v>0</v>
      </c>
      <c r="M100" s="33">
        <f t="shared" si="54"/>
        <v>0</v>
      </c>
      <c r="N100" s="33">
        <f t="shared" si="40"/>
        <v>0</v>
      </c>
      <c r="O100" s="34">
        <f t="shared" si="41"/>
        <v>0</v>
      </c>
      <c r="P100" s="55">
        <v>95</v>
      </c>
      <c r="Q100" s="33">
        <f t="shared" si="49"/>
        <v>0</v>
      </c>
      <c r="R100" s="33">
        <f t="shared" si="55"/>
        <v>0</v>
      </c>
      <c r="S100" s="33">
        <f t="shared" si="56"/>
        <v>0</v>
      </c>
      <c r="T100" s="33">
        <f t="shared" si="42"/>
        <v>0</v>
      </c>
      <c r="U100" s="33">
        <f t="shared" si="50"/>
        <v>0</v>
      </c>
      <c r="V100" s="33">
        <f t="shared" si="43"/>
        <v>0</v>
      </c>
      <c r="W100" s="33">
        <v>0</v>
      </c>
      <c r="X100" s="33">
        <f t="shared" si="44"/>
        <v>0</v>
      </c>
      <c r="Y100" s="38">
        <f t="shared" si="45"/>
        <v>0</v>
      </c>
      <c r="AA100" s="71">
        <v>95</v>
      </c>
      <c r="AB100" s="33">
        <f t="shared" si="46"/>
        <v>0</v>
      </c>
      <c r="AC100" s="305">
        <f t="shared" si="64"/>
        <v>0</v>
      </c>
      <c r="AD100" s="100">
        <f t="shared" si="47"/>
        <v>0</v>
      </c>
      <c r="AE100" s="100">
        <f t="shared" si="48"/>
        <v>0</v>
      </c>
      <c r="AF100" s="194">
        <f t="shared" si="60"/>
        <v>0</v>
      </c>
      <c r="AG100" s="194">
        <f t="shared" si="61"/>
        <v>0</v>
      </c>
      <c r="AH100" s="194">
        <f t="shared" si="62"/>
        <v>0</v>
      </c>
      <c r="AI100" s="199">
        <f t="shared" si="63"/>
        <v>0</v>
      </c>
      <c r="AK100" s="71">
        <v>95</v>
      </c>
      <c r="AL100" s="33"/>
      <c r="AM100" s="33"/>
      <c r="AN100" s="33"/>
      <c r="AO100" s="33"/>
      <c r="AP100" s="33"/>
      <c r="AQ100" s="194"/>
      <c r="AR100" s="194"/>
      <c r="AS100" s="194"/>
      <c r="AT100" s="194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1"/>
        <v>0</v>
      </c>
      <c r="K101" s="33">
        <f t="shared" si="52"/>
        <v>0</v>
      </c>
      <c r="L101" s="33">
        <f t="shared" si="53"/>
        <v>0</v>
      </c>
      <c r="M101" s="33">
        <f t="shared" si="54"/>
        <v>0</v>
      </c>
      <c r="N101" s="33">
        <f t="shared" si="40"/>
        <v>0</v>
      </c>
      <c r="O101" s="34">
        <f t="shared" si="41"/>
        <v>0</v>
      </c>
      <c r="P101" s="55">
        <v>96</v>
      </c>
      <c r="Q101" s="33">
        <f t="shared" si="49"/>
        <v>0</v>
      </c>
      <c r="R101" s="33">
        <f t="shared" si="55"/>
        <v>0</v>
      </c>
      <c r="S101" s="33">
        <f t="shared" si="56"/>
        <v>0</v>
      </c>
      <c r="T101" s="33">
        <f t="shared" si="42"/>
        <v>0</v>
      </c>
      <c r="U101" s="33">
        <f t="shared" si="50"/>
        <v>0</v>
      </c>
      <c r="V101" s="33">
        <f t="shared" si="43"/>
        <v>0</v>
      </c>
      <c r="W101" s="33">
        <v>0</v>
      </c>
      <c r="X101" s="33">
        <f t="shared" si="44"/>
        <v>0</v>
      </c>
      <c r="Y101" s="38">
        <f t="shared" si="45"/>
        <v>0</v>
      </c>
      <c r="AA101" s="71">
        <v>96</v>
      </c>
      <c r="AB101" s="33">
        <f t="shared" si="46"/>
        <v>0</v>
      </c>
      <c r="AC101" s="305">
        <f t="shared" si="64"/>
        <v>0</v>
      </c>
      <c r="AD101" s="100">
        <f t="shared" si="47"/>
        <v>0</v>
      </c>
      <c r="AE101" s="100">
        <f t="shared" si="48"/>
        <v>0</v>
      </c>
      <c r="AF101" s="194">
        <f t="shared" si="60"/>
        <v>0</v>
      </c>
      <c r="AG101" s="194">
        <f t="shared" si="61"/>
        <v>0</v>
      </c>
      <c r="AH101" s="194">
        <f t="shared" si="62"/>
        <v>0</v>
      </c>
      <c r="AI101" s="199">
        <f t="shared" si="63"/>
        <v>0</v>
      </c>
      <c r="AK101" s="71">
        <v>96</v>
      </c>
      <c r="AL101" s="33"/>
      <c r="AM101" s="33"/>
      <c r="AN101" s="33"/>
      <c r="AO101" s="33"/>
      <c r="AP101" s="33"/>
      <c r="AQ101" s="194"/>
      <c r="AR101" s="194"/>
      <c r="AS101" s="194"/>
      <c r="AT101" s="194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1"/>
        <v>0</v>
      </c>
      <c r="K102" s="33">
        <f t="shared" si="52"/>
        <v>0</v>
      </c>
      <c r="L102" s="33">
        <f t="shared" si="53"/>
        <v>0</v>
      </c>
      <c r="M102" s="33">
        <f t="shared" si="54"/>
        <v>0</v>
      </c>
      <c r="N102" s="33">
        <f t="shared" si="40"/>
        <v>0</v>
      </c>
      <c r="O102" s="34">
        <f t="shared" si="41"/>
        <v>0</v>
      </c>
      <c r="P102" s="55">
        <v>97</v>
      </c>
      <c r="Q102" s="33">
        <f t="shared" si="49"/>
        <v>0</v>
      </c>
      <c r="R102" s="33">
        <f t="shared" si="55"/>
        <v>0</v>
      </c>
      <c r="S102" s="33">
        <f t="shared" si="56"/>
        <v>0</v>
      </c>
      <c r="T102" s="33">
        <f t="shared" si="42"/>
        <v>0</v>
      </c>
      <c r="U102" s="33">
        <f t="shared" si="50"/>
        <v>0</v>
      </c>
      <c r="V102" s="33">
        <f t="shared" si="43"/>
        <v>0</v>
      </c>
      <c r="W102" s="33">
        <v>0</v>
      </c>
      <c r="X102" s="33">
        <f t="shared" si="44"/>
        <v>0</v>
      </c>
      <c r="Y102" s="38">
        <f t="shared" si="45"/>
        <v>0</v>
      </c>
      <c r="AA102" s="71">
        <v>97</v>
      </c>
      <c r="AB102" s="33">
        <f t="shared" si="46"/>
        <v>0</v>
      </c>
      <c r="AC102" s="305">
        <f t="shared" si="64"/>
        <v>0</v>
      </c>
      <c r="AD102" s="100">
        <f t="shared" si="47"/>
        <v>0</v>
      </c>
      <c r="AE102" s="100">
        <f t="shared" si="48"/>
        <v>0</v>
      </c>
      <c r="AF102" s="194">
        <f t="shared" si="60"/>
        <v>0</v>
      </c>
      <c r="AG102" s="194">
        <f t="shared" si="61"/>
        <v>0</v>
      </c>
      <c r="AH102" s="194">
        <f t="shared" si="62"/>
        <v>0</v>
      </c>
      <c r="AI102" s="199">
        <f t="shared" si="63"/>
        <v>0</v>
      </c>
      <c r="AK102" s="71">
        <v>97</v>
      </c>
      <c r="AL102" s="33"/>
      <c r="AM102" s="33"/>
      <c r="AN102" s="33"/>
      <c r="AO102" s="33"/>
      <c r="AP102" s="33"/>
      <c r="AQ102" s="194"/>
      <c r="AR102" s="194"/>
      <c r="AS102" s="194"/>
      <c r="AT102" s="194"/>
      <c r="AU102" s="33"/>
      <c r="AV102" s="33"/>
      <c r="AW102" s="33"/>
      <c r="AX102" s="33"/>
      <c r="AY102" s="76"/>
    </row>
    <row r="103" spans="2:51" ht="16">
      <c r="C103" s="25" t="s">
        <v>156</v>
      </c>
      <c r="D103" s="157" t="s">
        <v>157</v>
      </c>
      <c r="F103" s="190" t="s">
        <v>231</v>
      </c>
      <c r="I103" s="55">
        <v>98</v>
      </c>
      <c r="J103" s="33">
        <f t="shared" si="51"/>
        <v>0</v>
      </c>
      <c r="K103" s="33">
        <f t="shared" si="52"/>
        <v>0</v>
      </c>
      <c r="L103" s="33">
        <f t="shared" si="53"/>
        <v>0</v>
      </c>
      <c r="M103" s="33">
        <f t="shared" si="54"/>
        <v>0</v>
      </c>
      <c r="N103" s="33">
        <f t="shared" si="40"/>
        <v>0</v>
      </c>
      <c r="O103" s="34">
        <f t="shared" si="41"/>
        <v>0</v>
      </c>
      <c r="P103" s="55">
        <v>98</v>
      </c>
      <c r="Q103" s="33">
        <f t="shared" si="49"/>
        <v>0</v>
      </c>
      <c r="R103" s="33">
        <f t="shared" si="55"/>
        <v>0</v>
      </c>
      <c r="S103" s="33">
        <f t="shared" si="56"/>
        <v>0</v>
      </c>
      <c r="T103" s="33">
        <f t="shared" si="42"/>
        <v>0</v>
      </c>
      <c r="U103" s="33">
        <f t="shared" si="50"/>
        <v>0</v>
      </c>
      <c r="V103" s="33">
        <f t="shared" si="43"/>
        <v>0</v>
      </c>
      <c r="W103" s="33">
        <v>0</v>
      </c>
      <c r="X103" s="33">
        <f t="shared" si="44"/>
        <v>0</v>
      </c>
      <c r="Y103" s="38">
        <f t="shared" si="45"/>
        <v>0</v>
      </c>
      <c r="AA103" s="71">
        <v>98</v>
      </c>
      <c r="AB103" s="33">
        <f t="shared" si="46"/>
        <v>0</v>
      </c>
      <c r="AC103" s="305">
        <f t="shared" si="64"/>
        <v>0</v>
      </c>
      <c r="AD103" s="100">
        <f t="shared" si="47"/>
        <v>0</v>
      </c>
      <c r="AE103" s="100">
        <f t="shared" si="48"/>
        <v>0</v>
      </c>
      <c r="AF103" s="194">
        <f t="shared" si="60"/>
        <v>0</v>
      </c>
      <c r="AG103" s="194">
        <f t="shared" si="61"/>
        <v>0</v>
      </c>
      <c r="AH103" s="194">
        <f t="shared" si="62"/>
        <v>0</v>
      </c>
      <c r="AI103" s="199">
        <f t="shared" si="63"/>
        <v>0</v>
      </c>
      <c r="AK103" s="71">
        <v>98</v>
      </c>
      <c r="AL103" s="33"/>
      <c r="AM103" s="33"/>
      <c r="AN103" s="33"/>
      <c r="AO103" s="33"/>
      <c r="AP103" s="33"/>
      <c r="AQ103" s="194"/>
      <c r="AR103" s="194"/>
      <c r="AS103" s="194"/>
      <c r="AT103" s="194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9" t="s">
        <v>227</v>
      </c>
      <c r="G104" s="24">
        <v>0.25</v>
      </c>
      <c r="I104" s="55">
        <v>99</v>
      </c>
      <c r="J104" s="33">
        <f t="shared" si="51"/>
        <v>0</v>
      </c>
      <c r="K104" s="33">
        <f t="shared" si="52"/>
        <v>0</v>
      </c>
      <c r="L104" s="33">
        <f t="shared" si="53"/>
        <v>0</v>
      </c>
      <c r="M104" s="33">
        <f t="shared" si="54"/>
        <v>0</v>
      </c>
      <c r="N104" s="33">
        <f t="shared" si="40"/>
        <v>0</v>
      </c>
      <c r="O104" s="34">
        <f t="shared" si="41"/>
        <v>0</v>
      </c>
      <c r="P104" s="55">
        <v>99</v>
      </c>
      <c r="Q104" s="33">
        <f t="shared" si="49"/>
        <v>0</v>
      </c>
      <c r="R104" s="33">
        <f t="shared" si="55"/>
        <v>0</v>
      </c>
      <c r="S104" s="33">
        <f t="shared" si="56"/>
        <v>0</v>
      </c>
      <c r="T104" s="33">
        <f t="shared" si="42"/>
        <v>0</v>
      </c>
      <c r="U104" s="33">
        <f t="shared" si="50"/>
        <v>0</v>
      </c>
      <c r="V104" s="33">
        <f t="shared" si="43"/>
        <v>0</v>
      </c>
      <c r="W104" s="33">
        <v>0</v>
      </c>
      <c r="X104" s="33">
        <f t="shared" si="44"/>
        <v>0</v>
      </c>
      <c r="Y104" s="38">
        <f t="shared" si="45"/>
        <v>0</v>
      </c>
      <c r="AA104" s="71">
        <v>99</v>
      </c>
      <c r="AB104" s="33">
        <f t="shared" si="46"/>
        <v>0</v>
      </c>
      <c r="AC104" s="305">
        <f t="shared" si="64"/>
        <v>0</v>
      </c>
      <c r="AD104" s="100">
        <f t="shared" si="47"/>
        <v>0</v>
      </c>
      <c r="AE104" s="100">
        <f t="shared" si="48"/>
        <v>0</v>
      </c>
      <c r="AF104" s="194">
        <f t="shared" si="60"/>
        <v>0</v>
      </c>
      <c r="AG104" s="194">
        <f t="shared" si="61"/>
        <v>0</v>
      </c>
      <c r="AH104" s="194">
        <f t="shared" si="62"/>
        <v>0</v>
      </c>
      <c r="AI104" s="199">
        <f t="shared" si="63"/>
        <v>0</v>
      </c>
      <c r="AK104" s="71">
        <v>99</v>
      </c>
      <c r="AL104" s="33"/>
      <c r="AM104" s="33"/>
      <c r="AN104" s="33"/>
      <c r="AO104" s="33"/>
      <c r="AP104" s="33"/>
      <c r="AQ104" s="194"/>
      <c r="AR104" s="194"/>
      <c r="AS104" s="194"/>
      <c r="AT104" s="194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9" t="s">
        <v>229</v>
      </c>
      <c r="G105" s="24">
        <v>1.03</v>
      </c>
      <c r="I105" s="55">
        <v>100</v>
      </c>
      <c r="J105" s="33">
        <f t="shared" si="51"/>
        <v>0</v>
      </c>
      <c r="K105" s="33">
        <f t="shared" si="52"/>
        <v>0</v>
      </c>
      <c r="L105" s="33">
        <f t="shared" si="53"/>
        <v>0</v>
      </c>
      <c r="M105" s="33">
        <f t="shared" si="54"/>
        <v>0</v>
      </c>
      <c r="N105" s="33">
        <f t="shared" si="40"/>
        <v>0</v>
      </c>
      <c r="O105" s="34">
        <f t="shared" si="41"/>
        <v>0</v>
      </c>
      <c r="P105" s="55">
        <v>100</v>
      </c>
      <c r="Q105" s="33">
        <f t="shared" si="49"/>
        <v>0</v>
      </c>
      <c r="R105" s="33">
        <f t="shared" si="55"/>
        <v>0</v>
      </c>
      <c r="S105" s="33">
        <f t="shared" si="56"/>
        <v>0</v>
      </c>
      <c r="T105" s="33">
        <f t="shared" si="42"/>
        <v>0</v>
      </c>
      <c r="U105" s="33">
        <f t="shared" si="50"/>
        <v>0</v>
      </c>
      <c r="V105" s="33">
        <f t="shared" si="43"/>
        <v>0</v>
      </c>
      <c r="W105" s="33">
        <v>0</v>
      </c>
      <c r="X105" s="33">
        <f t="shared" si="44"/>
        <v>0</v>
      </c>
      <c r="Y105" s="38">
        <f t="shared" si="45"/>
        <v>0</v>
      </c>
      <c r="AA105" s="71">
        <v>100</v>
      </c>
      <c r="AB105" s="33">
        <f t="shared" si="46"/>
        <v>0</v>
      </c>
      <c r="AC105" s="305">
        <f t="shared" si="64"/>
        <v>0</v>
      </c>
      <c r="AD105" s="100">
        <f t="shared" si="47"/>
        <v>0</v>
      </c>
      <c r="AE105" s="100">
        <f t="shared" si="48"/>
        <v>0</v>
      </c>
      <c r="AF105" s="194">
        <f t="shared" si="60"/>
        <v>0</v>
      </c>
      <c r="AG105" s="194">
        <f t="shared" si="61"/>
        <v>0</v>
      </c>
      <c r="AH105" s="194">
        <f t="shared" si="62"/>
        <v>0</v>
      </c>
      <c r="AI105" s="199">
        <f t="shared" si="63"/>
        <v>0</v>
      </c>
      <c r="AK105" s="71">
        <v>100</v>
      </c>
      <c r="AL105" s="33"/>
      <c r="AM105" s="33"/>
      <c r="AN105" s="33"/>
      <c r="AO105" s="33"/>
      <c r="AP105" s="33"/>
      <c r="AQ105" s="194"/>
      <c r="AR105" s="194"/>
      <c r="AS105" s="194"/>
      <c r="AT105" s="194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9" t="s">
        <v>230</v>
      </c>
      <c r="G106" s="24">
        <v>0.59</v>
      </c>
      <c r="I106" s="55">
        <v>101</v>
      </c>
      <c r="J106" s="33">
        <f t="shared" si="51"/>
        <v>0</v>
      </c>
      <c r="K106" s="33">
        <f t="shared" si="52"/>
        <v>0</v>
      </c>
      <c r="L106" s="33">
        <f t="shared" si="53"/>
        <v>0</v>
      </c>
      <c r="M106" s="33">
        <f t="shared" si="54"/>
        <v>0</v>
      </c>
      <c r="N106" s="33">
        <f t="shared" si="40"/>
        <v>0</v>
      </c>
      <c r="O106" s="34">
        <f t="shared" si="41"/>
        <v>0</v>
      </c>
      <c r="P106" s="55">
        <v>101</v>
      </c>
      <c r="Q106" s="33">
        <f t="shared" si="49"/>
        <v>0</v>
      </c>
      <c r="R106" s="33">
        <f t="shared" si="55"/>
        <v>0</v>
      </c>
      <c r="S106" s="33">
        <f t="shared" si="56"/>
        <v>0</v>
      </c>
      <c r="T106" s="33">
        <f t="shared" si="42"/>
        <v>0</v>
      </c>
      <c r="U106" s="33">
        <f t="shared" si="50"/>
        <v>0</v>
      </c>
      <c r="V106" s="33">
        <f t="shared" si="43"/>
        <v>0</v>
      </c>
      <c r="W106" s="33">
        <v>0</v>
      </c>
      <c r="X106" s="33">
        <f t="shared" si="44"/>
        <v>0</v>
      </c>
      <c r="Y106" s="38">
        <f t="shared" si="45"/>
        <v>0</v>
      </c>
      <c r="AA106" s="71">
        <v>101</v>
      </c>
      <c r="AB106" s="33">
        <f t="shared" si="46"/>
        <v>0</v>
      </c>
      <c r="AC106" s="305">
        <f t="shared" si="64"/>
        <v>0</v>
      </c>
      <c r="AD106" s="100">
        <f t="shared" si="47"/>
        <v>0</v>
      </c>
      <c r="AE106" s="100">
        <f t="shared" si="48"/>
        <v>0</v>
      </c>
      <c r="AF106" s="194">
        <f t="shared" si="60"/>
        <v>0</v>
      </c>
      <c r="AG106" s="194">
        <f t="shared" si="61"/>
        <v>0</v>
      </c>
      <c r="AH106" s="194">
        <f t="shared" si="62"/>
        <v>0</v>
      </c>
      <c r="AI106" s="199">
        <f t="shared" si="63"/>
        <v>0</v>
      </c>
      <c r="AK106" s="71">
        <v>101</v>
      </c>
      <c r="AL106" s="33"/>
      <c r="AM106" s="33"/>
      <c r="AN106" s="33"/>
      <c r="AO106" s="33"/>
      <c r="AP106" s="33"/>
      <c r="AQ106" s="194"/>
      <c r="AR106" s="194"/>
      <c r="AS106" s="194"/>
      <c r="AT106" s="194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9" t="s">
        <v>228</v>
      </c>
      <c r="G107" s="24">
        <v>0.43</v>
      </c>
      <c r="I107" s="55">
        <v>102</v>
      </c>
      <c r="J107" s="33">
        <f t="shared" si="51"/>
        <v>0</v>
      </c>
      <c r="K107" s="33">
        <f t="shared" si="52"/>
        <v>0</v>
      </c>
      <c r="L107" s="33">
        <f t="shared" si="53"/>
        <v>0</v>
      </c>
      <c r="M107" s="33">
        <f t="shared" si="54"/>
        <v>0</v>
      </c>
      <c r="N107" s="33">
        <f t="shared" si="40"/>
        <v>0</v>
      </c>
      <c r="O107" s="34">
        <f t="shared" si="41"/>
        <v>0</v>
      </c>
      <c r="P107" s="55">
        <v>102</v>
      </c>
      <c r="Q107" s="33">
        <f t="shared" si="49"/>
        <v>0</v>
      </c>
      <c r="R107" s="33">
        <f t="shared" si="55"/>
        <v>0</v>
      </c>
      <c r="S107" s="33">
        <f t="shared" si="56"/>
        <v>0</v>
      </c>
      <c r="T107" s="33">
        <f t="shared" si="42"/>
        <v>0</v>
      </c>
      <c r="U107" s="33">
        <f t="shared" si="50"/>
        <v>0</v>
      </c>
      <c r="V107" s="33">
        <f t="shared" si="43"/>
        <v>0</v>
      </c>
      <c r="W107" s="33">
        <v>0</v>
      </c>
      <c r="X107" s="33">
        <f t="shared" si="44"/>
        <v>0</v>
      </c>
      <c r="Y107" s="38">
        <f t="shared" si="45"/>
        <v>0</v>
      </c>
      <c r="AA107" s="71">
        <v>102</v>
      </c>
      <c r="AB107" s="33">
        <f t="shared" si="46"/>
        <v>0</v>
      </c>
      <c r="AC107" s="305">
        <f t="shared" si="64"/>
        <v>0</v>
      </c>
      <c r="AD107" s="100">
        <f t="shared" si="47"/>
        <v>0</v>
      </c>
      <c r="AE107" s="100">
        <f t="shared" si="48"/>
        <v>0</v>
      </c>
      <c r="AF107" s="194">
        <f t="shared" si="60"/>
        <v>0</v>
      </c>
      <c r="AG107" s="194">
        <f t="shared" si="61"/>
        <v>0</v>
      </c>
      <c r="AH107" s="194">
        <f t="shared" si="62"/>
        <v>0</v>
      </c>
      <c r="AI107" s="199">
        <f t="shared" si="63"/>
        <v>0</v>
      </c>
      <c r="AK107" s="71">
        <v>102</v>
      </c>
      <c r="AL107" s="33"/>
      <c r="AM107" s="33"/>
      <c r="AN107" s="33"/>
      <c r="AO107" s="33"/>
      <c r="AP107" s="33"/>
      <c r="AQ107" s="194"/>
      <c r="AR107" s="194"/>
      <c r="AS107" s="194"/>
      <c r="AT107" s="194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1" t="s">
        <v>232</v>
      </c>
      <c r="G108" s="192">
        <f>VLOOKUP(VLOOKUP(F17,C131:E195,3,FALSE),F104:G107,2,FALSE)</f>
        <v>0.43</v>
      </c>
      <c r="I108" s="55">
        <v>103</v>
      </c>
      <c r="J108" s="33">
        <f t="shared" si="51"/>
        <v>0</v>
      </c>
      <c r="K108" s="33">
        <f t="shared" si="52"/>
        <v>0</v>
      </c>
      <c r="L108" s="33">
        <f t="shared" si="53"/>
        <v>0</v>
      </c>
      <c r="M108" s="33">
        <f t="shared" si="54"/>
        <v>0</v>
      </c>
      <c r="N108" s="33">
        <f t="shared" si="40"/>
        <v>0</v>
      </c>
      <c r="O108" s="34">
        <f t="shared" si="41"/>
        <v>0</v>
      </c>
      <c r="P108" s="55">
        <v>103</v>
      </c>
      <c r="Q108" s="33">
        <f t="shared" si="49"/>
        <v>0</v>
      </c>
      <c r="R108" s="33">
        <f t="shared" si="55"/>
        <v>0</v>
      </c>
      <c r="S108" s="33">
        <f t="shared" si="56"/>
        <v>0</v>
      </c>
      <c r="T108" s="33">
        <f t="shared" si="42"/>
        <v>0</v>
      </c>
      <c r="U108" s="33">
        <f t="shared" si="50"/>
        <v>0</v>
      </c>
      <c r="V108" s="33">
        <f t="shared" si="43"/>
        <v>0</v>
      </c>
      <c r="W108" s="33">
        <v>0</v>
      </c>
      <c r="X108" s="33">
        <f t="shared" si="44"/>
        <v>0</v>
      </c>
      <c r="Y108" s="38">
        <f t="shared" si="45"/>
        <v>0</v>
      </c>
      <c r="AA108" s="71">
        <v>103</v>
      </c>
      <c r="AB108" s="33">
        <f t="shared" si="46"/>
        <v>0</v>
      </c>
      <c r="AC108" s="305">
        <f t="shared" si="64"/>
        <v>0</v>
      </c>
      <c r="AD108" s="100">
        <f t="shared" si="47"/>
        <v>0</v>
      </c>
      <c r="AE108" s="100">
        <f t="shared" si="48"/>
        <v>0</v>
      </c>
      <c r="AF108" s="194">
        <f t="shared" si="60"/>
        <v>0</v>
      </c>
      <c r="AG108" s="194">
        <f t="shared" si="61"/>
        <v>0</v>
      </c>
      <c r="AH108" s="194">
        <f t="shared" si="62"/>
        <v>0</v>
      </c>
      <c r="AI108" s="199">
        <f t="shared" si="63"/>
        <v>0</v>
      </c>
      <c r="AK108" s="71">
        <v>103</v>
      </c>
      <c r="AL108" s="33"/>
      <c r="AM108" s="33"/>
      <c r="AN108" s="33"/>
      <c r="AO108" s="33"/>
      <c r="AP108" s="33"/>
      <c r="AQ108" s="194"/>
      <c r="AR108" s="194"/>
      <c r="AS108" s="194"/>
      <c r="AT108" s="194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1"/>
        <v>0</v>
      </c>
      <c r="K109" s="33">
        <f t="shared" si="52"/>
        <v>0</v>
      </c>
      <c r="L109" s="33">
        <f t="shared" si="53"/>
        <v>0</v>
      </c>
      <c r="M109" s="33">
        <f t="shared" si="54"/>
        <v>0</v>
      </c>
      <c r="N109" s="33">
        <f t="shared" si="40"/>
        <v>0</v>
      </c>
      <c r="O109" s="34">
        <f t="shared" si="41"/>
        <v>0</v>
      </c>
      <c r="P109" s="55">
        <v>104</v>
      </c>
      <c r="Q109" s="33">
        <f t="shared" si="49"/>
        <v>0</v>
      </c>
      <c r="R109" s="33">
        <f t="shared" si="55"/>
        <v>0</v>
      </c>
      <c r="S109" s="33">
        <f t="shared" si="56"/>
        <v>0</v>
      </c>
      <c r="T109" s="33">
        <f t="shared" si="42"/>
        <v>0</v>
      </c>
      <c r="U109" s="33">
        <f t="shared" si="50"/>
        <v>0</v>
      </c>
      <c r="V109" s="33">
        <f t="shared" si="43"/>
        <v>0</v>
      </c>
      <c r="W109" s="33">
        <v>0</v>
      </c>
      <c r="X109" s="33">
        <f t="shared" si="44"/>
        <v>0</v>
      </c>
      <c r="Y109" s="38">
        <f t="shared" si="45"/>
        <v>0</v>
      </c>
      <c r="AA109" s="71">
        <v>104</v>
      </c>
      <c r="AB109" s="33">
        <f t="shared" si="46"/>
        <v>0</v>
      </c>
      <c r="AC109" s="305">
        <f t="shared" si="64"/>
        <v>0</v>
      </c>
      <c r="AD109" s="100">
        <f t="shared" si="47"/>
        <v>0</v>
      </c>
      <c r="AE109" s="100">
        <f t="shared" si="48"/>
        <v>0</v>
      </c>
      <c r="AF109" s="194">
        <f t="shared" si="60"/>
        <v>0</v>
      </c>
      <c r="AG109" s="194">
        <f t="shared" si="61"/>
        <v>0</v>
      </c>
      <c r="AH109" s="194">
        <f t="shared" si="62"/>
        <v>0</v>
      </c>
      <c r="AI109" s="199">
        <f t="shared" si="63"/>
        <v>0</v>
      </c>
      <c r="AK109" s="71">
        <v>104</v>
      </c>
      <c r="AL109" s="33"/>
      <c r="AM109" s="33"/>
      <c r="AN109" s="33"/>
      <c r="AO109" s="33"/>
      <c r="AP109" s="33"/>
      <c r="AQ109" s="194"/>
      <c r="AR109" s="194"/>
      <c r="AS109" s="194"/>
      <c r="AT109" s="194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1"/>
        <v>0</v>
      </c>
      <c r="K110" s="33">
        <f t="shared" si="52"/>
        <v>0</v>
      </c>
      <c r="L110" s="33">
        <f t="shared" si="53"/>
        <v>0</v>
      </c>
      <c r="M110" s="33">
        <f t="shared" si="54"/>
        <v>0</v>
      </c>
      <c r="N110" s="33">
        <f t="shared" si="40"/>
        <v>0</v>
      </c>
      <c r="O110" s="34">
        <f t="shared" si="41"/>
        <v>0</v>
      </c>
      <c r="P110" s="55">
        <v>105</v>
      </c>
      <c r="Q110" s="33">
        <f t="shared" si="49"/>
        <v>0</v>
      </c>
      <c r="R110" s="33">
        <f t="shared" si="55"/>
        <v>0</v>
      </c>
      <c r="S110" s="33">
        <f t="shared" si="56"/>
        <v>0</v>
      </c>
      <c r="T110" s="33">
        <f t="shared" si="42"/>
        <v>0</v>
      </c>
      <c r="U110" s="33">
        <f t="shared" si="50"/>
        <v>0</v>
      </c>
      <c r="V110" s="33">
        <f t="shared" si="43"/>
        <v>0</v>
      </c>
      <c r="W110" s="33">
        <v>0</v>
      </c>
      <c r="X110" s="33">
        <f t="shared" si="44"/>
        <v>0</v>
      </c>
      <c r="Y110" s="38">
        <f t="shared" si="45"/>
        <v>0</v>
      </c>
      <c r="AA110" s="71">
        <v>105</v>
      </c>
      <c r="AB110" s="33">
        <f t="shared" si="46"/>
        <v>0</v>
      </c>
      <c r="AC110" s="305">
        <f t="shared" si="64"/>
        <v>0</v>
      </c>
      <c r="AD110" s="100">
        <f t="shared" si="47"/>
        <v>0</v>
      </c>
      <c r="AE110" s="100">
        <f t="shared" si="48"/>
        <v>0</v>
      </c>
      <c r="AF110" s="194">
        <f t="shared" si="60"/>
        <v>0</v>
      </c>
      <c r="AG110" s="194">
        <f t="shared" si="61"/>
        <v>0</v>
      </c>
      <c r="AH110" s="194">
        <f t="shared" si="62"/>
        <v>0</v>
      </c>
      <c r="AI110" s="199">
        <f t="shared" si="63"/>
        <v>0</v>
      </c>
      <c r="AK110" s="71">
        <v>105</v>
      </c>
      <c r="AL110" s="33"/>
      <c r="AM110" s="33"/>
      <c r="AN110" s="33"/>
      <c r="AO110" s="33"/>
      <c r="AP110" s="33"/>
      <c r="AQ110" s="194"/>
      <c r="AR110" s="194"/>
      <c r="AS110" s="194"/>
      <c r="AT110" s="194"/>
      <c r="AU110" s="33"/>
      <c r="AV110" s="33"/>
      <c r="AW110" s="33"/>
      <c r="AX110" s="33"/>
      <c r="AY110" s="76"/>
    </row>
    <row r="111" spans="2:51">
      <c r="C111" s="157" t="s">
        <v>168</v>
      </c>
      <c r="D111" s="157"/>
      <c r="E111" s="157"/>
      <c r="I111" s="55">
        <v>106</v>
      </c>
      <c r="J111" s="33">
        <f t="shared" si="51"/>
        <v>0</v>
      </c>
      <c r="K111" s="33">
        <f t="shared" si="52"/>
        <v>0</v>
      </c>
      <c r="L111" s="33">
        <f t="shared" si="53"/>
        <v>0</v>
      </c>
      <c r="M111" s="33">
        <f t="shared" si="54"/>
        <v>0</v>
      </c>
      <c r="N111" s="33">
        <f t="shared" si="40"/>
        <v>0</v>
      </c>
      <c r="O111" s="34">
        <f t="shared" si="41"/>
        <v>0</v>
      </c>
      <c r="P111" s="55">
        <v>106</v>
      </c>
      <c r="Q111" s="33">
        <f t="shared" si="49"/>
        <v>0</v>
      </c>
      <c r="R111" s="33">
        <f t="shared" si="55"/>
        <v>0</v>
      </c>
      <c r="S111" s="33">
        <f t="shared" si="56"/>
        <v>0</v>
      </c>
      <c r="T111" s="33">
        <f t="shared" si="42"/>
        <v>0</v>
      </c>
      <c r="U111" s="33">
        <f t="shared" si="50"/>
        <v>0</v>
      </c>
      <c r="V111" s="33">
        <f t="shared" si="43"/>
        <v>0</v>
      </c>
      <c r="W111" s="33">
        <v>0</v>
      </c>
      <c r="X111" s="33">
        <f t="shared" si="44"/>
        <v>0</v>
      </c>
      <c r="Y111" s="38">
        <f t="shared" si="45"/>
        <v>0</v>
      </c>
      <c r="AA111" s="71">
        <v>106</v>
      </c>
      <c r="AB111" s="33">
        <f t="shared" si="46"/>
        <v>0</v>
      </c>
      <c r="AC111" s="305">
        <f t="shared" si="64"/>
        <v>0</v>
      </c>
      <c r="AD111" s="100">
        <f t="shared" si="47"/>
        <v>0</v>
      </c>
      <c r="AE111" s="100">
        <f t="shared" si="48"/>
        <v>0</v>
      </c>
      <c r="AF111" s="194">
        <f t="shared" si="60"/>
        <v>0</v>
      </c>
      <c r="AG111" s="194">
        <f t="shared" si="61"/>
        <v>0</v>
      </c>
      <c r="AH111" s="194">
        <f t="shared" si="62"/>
        <v>0</v>
      </c>
      <c r="AI111" s="199">
        <f t="shared" si="63"/>
        <v>0</v>
      </c>
      <c r="AK111" s="71">
        <v>106</v>
      </c>
      <c r="AL111" s="33"/>
      <c r="AM111" s="33"/>
      <c r="AN111" s="33"/>
      <c r="AO111" s="33"/>
      <c r="AP111" s="33"/>
      <c r="AQ111" s="194"/>
      <c r="AR111" s="194"/>
      <c r="AS111" s="194"/>
      <c r="AT111" s="194"/>
      <c r="AU111" s="33"/>
      <c r="AV111" s="33"/>
      <c r="AW111" s="33"/>
      <c r="AX111" s="33"/>
      <c r="AY111" s="76"/>
    </row>
    <row r="112" spans="2:51">
      <c r="C112" s="74" t="s">
        <v>144</v>
      </c>
      <c r="D112" s="74" t="s">
        <v>72</v>
      </c>
      <c r="E112" s="74" t="s">
        <v>165</v>
      </c>
      <c r="I112" s="55">
        <v>107</v>
      </c>
      <c r="J112" s="33">
        <f t="shared" si="51"/>
        <v>0</v>
      </c>
      <c r="K112" s="33">
        <f t="shared" si="52"/>
        <v>0</v>
      </c>
      <c r="L112" s="33">
        <f t="shared" si="53"/>
        <v>0</v>
      </c>
      <c r="M112" s="33">
        <f t="shared" si="54"/>
        <v>0</v>
      </c>
      <c r="N112" s="33">
        <f t="shared" si="40"/>
        <v>0</v>
      </c>
      <c r="O112" s="34">
        <f t="shared" si="41"/>
        <v>0</v>
      </c>
      <c r="P112" s="55">
        <v>107</v>
      </c>
      <c r="Q112" s="33">
        <f t="shared" si="49"/>
        <v>0</v>
      </c>
      <c r="R112" s="33">
        <f t="shared" si="55"/>
        <v>0</v>
      </c>
      <c r="S112" s="33">
        <f t="shared" si="56"/>
        <v>0</v>
      </c>
      <c r="T112" s="33">
        <f t="shared" si="42"/>
        <v>0</v>
      </c>
      <c r="U112" s="33">
        <f t="shared" si="50"/>
        <v>0</v>
      </c>
      <c r="V112" s="33">
        <f t="shared" si="43"/>
        <v>0</v>
      </c>
      <c r="W112" s="33">
        <v>0</v>
      </c>
      <c r="X112" s="33">
        <f t="shared" si="44"/>
        <v>0</v>
      </c>
      <c r="Y112" s="38">
        <f t="shared" si="45"/>
        <v>0</v>
      </c>
      <c r="AA112" s="71">
        <v>107</v>
      </c>
      <c r="AB112" s="33">
        <f t="shared" si="46"/>
        <v>0</v>
      </c>
      <c r="AC112" s="305">
        <f t="shared" si="64"/>
        <v>0</v>
      </c>
      <c r="AD112" s="100">
        <f t="shared" si="47"/>
        <v>0</v>
      </c>
      <c r="AE112" s="100">
        <f t="shared" si="48"/>
        <v>0</v>
      </c>
      <c r="AF112" s="194">
        <f t="shared" si="60"/>
        <v>0</v>
      </c>
      <c r="AG112" s="194">
        <f t="shared" si="61"/>
        <v>0</v>
      </c>
      <c r="AH112" s="194">
        <f t="shared" si="62"/>
        <v>0</v>
      </c>
      <c r="AI112" s="199">
        <f t="shared" si="63"/>
        <v>0</v>
      </c>
      <c r="AK112" s="71">
        <v>107</v>
      </c>
      <c r="AL112" s="33"/>
      <c r="AM112" s="33"/>
      <c r="AN112" s="33"/>
      <c r="AO112" s="33"/>
      <c r="AP112" s="33"/>
      <c r="AQ112" s="194"/>
      <c r="AR112" s="194"/>
      <c r="AS112" s="194"/>
      <c r="AT112" s="194"/>
      <c r="AU112" s="33"/>
      <c r="AV112" s="33"/>
      <c r="AW112" s="33"/>
      <c r="AX112" s="33"/>
      <c r="AY112" s="76"/>
    </row>
    <row r="113" spans="2:51">
      <c r="B113" s="67" t="s">
        <v>166</v>
      </c>
      <c r="C113" s="79">
        <f>1/$F$18*SUM(X6:X205)</f>
        <v>692.752845393793</v>
      </c>
      <c r="D113" s="79">
        <f>1/$F$10*SUM(O6:O205)</f>
        <v>177.03590180507837</v>
      </c>
      <c r="E113" s="78">
        <f>C113-D113</f>
        <v>515.71694358871468</v>
      </c>
      <c r="I113" s="55">
        <v>108</v>
      </c>
      <c r="J113" s="33">
        <f t="shared" si="51"/>
        <v>0</v>
      </c>
      <c r="K113" s="33">
        <f t="shared" si="52"/>
        <v>0</v>
      </c>
      <c r="L113" s="33">
        <f t="shared" si="53"/>
        <v>0</v>
      </c>
      <c r="M113" s="33">
        <f t="shared" si="54"/>
        <v>0</v>
      </c>
      <c r="N113" s="33">
        <f t="shared" si="40"/>
        <v>0</v>
      </c>
      <c r="O113" s="34">
        <f t="shared" si="41"/>
        <v>0</v>
      </c>
      <c r="P113" s="55">
        <v>108</v>
      </c>
      <c r="Q113" s="33">
        <f t="shared" si="49"/>
        <v>0</v>
      </c>
      <c r="R113" s="33">
        <f t="shared" si="55"/>
        <v>0</v>
      </c>
      <c r="S113" s="33">
        <f t="shared" si="56"/>
        <v>0</v>
      </c>
      <c r="T113" s="33">
        <f t="shared" si="42"/>
        <v>0</v>
      </c>
      <c r="U113" s="33">
        <f t="shared" si="50"/>
        <v>0</v>
      </c>
      <c r="V113" s="33">
        <f t="shared" si="43"/>
        <v>0</v>
      </c>
      <c r="W113" s="33">
        <v>0</v>
      </c>
      <c r="X113" s="33">
        <f t="shared" si="44"/>
        <v>0</v>
      </c>
      <c r="Y113" s="38">
        <f t="shared" si="45"/>
        <v>0</v>
      </c>
      <c r="AA113" s="71">
        <v>108</v>
      </c>
      <c r="AB113" s="33">
        <f t="shared" si="46"/>
        <v>0</v>
      </c>
      <c r="AC113" s="305">
        <f t="shared" si="64"/>
        <v>0</v>
      </c>
      <c r="AD113" s="100">
        <f t="shared" si="47"/>
        <v>0</v>
      </c>
      <c r="AE113" s="100">
        <f t="shared" si="48"/>
        <v>0</v>
      </c>
      <c r="AF113" s="194">
        <f t="shared" si="60"/>
        <v>0</v>
      </c>
      <c r="AG113" s="194">
        <f t="shared" si="61"/>
        <v>0</v>
      </c>
      <c r="AH113" s="194">
        <f t="shared" si="62"/>
        <v>0</v>
      </c>
      <c r="AI113" s="199">
        <f t="shared" si="63"/>
        <v>0</v>
      </c>
      <c r="AK113" s="71">
        <v>108</v>
      </c>
      <c r="AL113" s="33"/>
      <c r="AM113" s="33"/>
      <c r="AN113" s="33"/>
      <c r="AO113" s="33"/>
      <c r="AP113" s="33"/>
      <c r="AQ113" s="194"/>
      <c r="AR113" s="194"/>
      <c r="AS113" s="194"/>
      <c r="AT113" s="194"/>
      <c r="AU113" s="33"/>
      <c r="AV113" s="33"/>
      <c r="AW113" s="33"/>
      <c r="AX113" s="33"/>
      <c r="AY113" s="76"/>
    </row>
    <row r="114" spans="2:51">
      <c r="B114" s="67" t="s">
        <v>167</v>
      </c>
      <c r="C114" s="79">
        <f>X35</f>
        <v>699.39899513271484</v>
      </c>
      <c r="D114" s="79">
        <f>O35</f>
        <v>177.03590180507811</v>
      </c>
      <c r="E114" s="78">
        <f>VLOOKUP(30,I5:Y205,17,FALSE)</f>
        <v>522.36309332763676</v>
      </c>
      <c r="I114" s="55">
        <v>109</v>
      </c>
      <c r="J114" s="33">
        <f t="shared" si="51"/>
        <v>0</v>
      </c>
      <c r="K114" s="33">
        <f t="shared" si="52"/>
        <v>0</v>
      </c>
      <c r="L114" s="33">
        <f t="shared" si="53"/>
        <v>0</v>
      </c>
      <c r="M114" s="33">
        <f t="shared" si="54"/>
        <v>0</v>
      </c>
      <c r="N114" s="33">
        <f t="shared" si="40"/>
        <v>0</v>
      </c>
      <c r="O114" s="34">
        <f t="shared" si="41"/>
        <v>0</v>
      </c>
      <c r="P114" s="55">
        <v>109</v>
      </c>
      <c r="Q114" s="33">
        <f t="shared" si="49"/>
        <v>0</v>
      </c>
      <c r="R114" s="33">
        <f t="shared" si="55"/>
        <v>0</v>
      </c>
      <c r="S114" s="33">
        <f t="shared" si="56"/>
        <v>0</v>
      </c>
      <c r="T114" s="33">
        <f t="shared" si="42"/>
        <v>0</v>
      </c>
      <c r="U114" s="33">
        <f t="shared" si="50"/>
        <v>0</v>
      </c>
      <c r="V114" s="33">
        <f t="shared" si="43"/>
        <v>0</v>
      </c>
      <c r="W114" s="33">
        <v>0</v>
      </c>
      <c r="X114" s="33">
        <f t="shared" si="44"/>
        <v>0</v>
      </c>
      <c r="Y114" s="38">
        <f t="shared" si="45"/>
        <v>0</v>
      </c>
      <c r="AA114" s="71">
        <v>109</v>
      </c>
      <c r="AB114" s="33">
        <f t="shared" si="46"/>
        <v>0</v>
      </c>
      <c r="AC114" s="305">
        <f t="shared" si="64"/>
        <v>0</v>
      </c>
      <c r="AD114" s="100">
        <f t="shared" si="47"/>
        <v>0</v>
      </c>
      <c r="AE114" s="100">
        <f t="shared" si="48"/>
        <v>0</v>
      </c>
      <c r="AF114" s="194">
        <f t="shared" si="60"/>
        <v>0</v>
      </c>
      <c r="AG114" s="194">
        <f t="shared" si="61"/>
        <v>0</v>
      </c>
      <c r="AH114" s="194">
        <f t="shared" si="62"/>
        <v>0</v>
      </c>
      <c r="AI114" s="199">
        <f t="shared" si="63"/>
        <v>0</v>
      </c>
      <c r="AK114" s="71">
        <v>109</v>
      </c>
      <c r="AL114" s="33"/>
      <c r="AM114" s="33"/>
      <c r="AN114" s="33"/>
      <c r="AO114" s="33"/>
      <c r="AP114" s="33"/>
      <c r="AQ114" s="194"/>
      <c r="AR114" s="194"/>
      <c r="AS114" s="194"/>
      <c r="AT114" s="194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1"/>
        <v>0</v>
      </c>
      <c r="K115" s="33">
        <f t="shared" si="52"/>
        <v>0</v>
      </c>
      <c r="L115" s="33">
        <f t="shared" si="53"/>
        <v>0</v>
      </c>
      <c r="M115" s="33">
        <f t="shared" si="54"/>
        <v>0</v>
      </c>
      <c r="N115" s="33">
        <f t="shared" si="40"/>
        <v>0</v>
      </c>
      <c r="O115" s="34">
        <f t="shared" si="41"/>
        <v>0</v>
      </c>
      <c r="P115" s="55">
        <v>110</v>
      </c>
      <c r="Q115" s="33">
        <f t="shared" si="49"/>
        <v>0</v>
      </c>
      <c r="R115" s="33">
        <f t="shared" si="55"/>
        <v>0</v>
      </c>
      <c r="S115" s="33">
        <f t="shared" si="56"/>
        <v>0</v>
      </c>
      <c r="T115" s="33">
        <f t="shared" si="42"/>
        <v>0</v>
      </c>
      <c r="U115" s="33">
        <f t="shared" si="50"/>
        <v>0</v>
      </c>
      <c r="V115" s="33">
        <f t="shared" si="43"/>
        <v>0</v>
      </c>
      <c r="W115" s="33">
        <v>0</v>
      </c>
      <c r="X115" s="33">
        <f t="shared" si="44"/>
        <v>0</v>
      </c>
      <c r="Y115" s="38">
        <f t="shared" si="45"/>
        <v>0</v>
      </c>
      <c r="AA115" s="71">
        <v>110</v>
      </c>
      <c r="AB115" s="33">
        <f t="shared" si="46"/>
        <v>0</v>
      </c>
      <c r="AC115" s="305">
        <f t="shared" si="64"/>
        <v>0</v>
      </c>
      <c r="AD115" s="100">
        <f t="shared" si="47"/>
        <v>0</v>
      </c>
      <c r="AE115" s="100">
        <f t="shared" si="48"/>
        <v>0</v>
      </c>
      <c r="AF115" s="194">
        <f t="shared" si="60"/>
        <v>0</v>
      </c>
      <c r="AG115" s="194">
        <f t="shared" si="61"/>
        <v>0</v>
      </c>
      <c r="AH115" s="194">
        <f t="shared" si="62"/>
        <v>0</v>
      </c>
      <c r="AI115" s="199">
        <f t="shared" si="63"/>
        <v>0</v>
      </c>
      <c r="AK115" s="71">
        <v>110</v>
      </c>
      <c r="AL115" s="33"/>
      <c r="AM115" s="33"/>
      <c r="AN115" s="33"/>
      <c r="AO115" s="33"/>
      <c r="AP115" s="33"/>
      <c r="AQ115" s="194"/>
      <c r="AR115" s="194"/>
      <c r="AS115" s="194"/>
      <c r="AT115" s="194"/>
      <c r="AU115" s="33"/>
      <c r="AV115" s="33"/>
      <c r="AW115" s="33"/>
      <c r="AX115" s="33"/>
      <c r="AY115" s="76"/>
    </row>
    <row r="116" spans="2:51">
      <c r="C116" s="135" t="s">
        <v>124</v>
      </c>
      <c r="D116" s="135"/>
      <c r="E116" s="135"/>
      <c r="I116" s="55">
        <v>111</v>
      </c>
      <c r="J116" s="33">
        <f t="shared" si="51"/>
        <v>0</v>
      </c>
      <c r="K116" s="33">
        <f t="shared" si="52"/>
        <v>0</v>
      </c>
      <c r="L116" s="33">
        <f t="shared" si="53"/>
        <v>0</v>
      </c>
      <c r="M116" s="33">
        <f t="shared" si="54"/>
        <v>0</v>
      </c>
      <c r="N116" s="33">
        <f t="shared" si="40"/>
        <v>0</v>
      </c>
      <c r="O116" s="34">
        <f t="shared" si="41"/>
        <v>0</v>
      </c>
      <c r="P116" s="55">
        <v>111</v>
      </c>
      <c r="Q116" s="33">
        <f t="shared" si="49"/>
        <v>0</v>
      </c>
      <c r="R116" s="33">
        <f t="shared" si="55"/>
        <v>0</v>
      </c>
      <c r="S116" s="33">
        <f t="shared" si="56"/>
        <v>0</v>
      </c>
      <c r="T116" s="33">
        <f t="shared" si="42"/>
        <v>0</v>
      </c>
      <c r="U116" s="33">
        <f t="shared" si="50"/>
        <v>0</v>
      </c>
      <c r="V116" s="33">
        <f t="shared" si="43"/>
        <v>0</v>
      </c>
      <c r="W116" s="33">
        <v>0</v>
      </c>
      <c r="X116" s="33">
        <f t="shared" si="44"/>
        <v>0</v>
      </c>
      <c r="Y116" s="38">
        <f t="shared" si="45"/>
        <v>0</v>
      </c>
      <c r="AA116" s="71">
        <v>111</v>
      </c>
      <c r="AB116" s="33">
        <f t="shared" si="46"/>
        <v>0</v>
      </c>
      <c r="AC116" s="305">
        <f t="shared" si="64"/>
        <v>0</v>
      </c>
      <c r="AD116" s="100">
        <f t="shared" si="47"/>
        <v>0</v>
      </c>
      <c r="AE116" s="100">
        <f t="shared" si="48"/>
        <v>0</v>
      </c>
      <c r="AF116" s="194">
        <f t="shared" si="60"/>
        <v>0</v>
      </c>
      <c r="AG116" s="194">
        <f t="shared" si="61"/>
        <v>0</v>
      </c>
      <c r="AH116" s="194">
        <f t="shared" si="62"/>
        <v>0</v>
      </c>
      <c r="AI116" s="199">
        <f t="shared" si="63"/>
        <v>0</v>
      </c>
      <c r="AK116" s="71">
        <v>111</v>
      </c>
      <c r="AL116" s="33"/>
      <c r="AM116" s="33"/>
      <c r="AN116" s="33"/>
      <c r="AO116" s="33"/>
      <c r="AP116" s="33"/>
      <c r="AQ116" s="194"/>
      <c r="AR116" s="194"/>
      <c r="AS116" s="194"/>
      <c r="AT116" s="194"/>
      <c r="AU116" s="33"/>
      <c r="AV116" s="33"/>
      <c r="AW116" s="33"/>
      <c r="AX116" s="33"/>
      <c r="AY116" s="76"/>
    </row>
    <row r="117" spans="2:51">
      <c r="C117" s="135" t="s">
        <v>144</v>
      </c>
      <c r="D117" s="135" t="s">
        <v>72</v>
      </c>
      <c r="E117" s="81" t="s">
        <v>165</v>
      </c>
      <c r="I117" s="55">
        <v>112</v>
      </c>
      <c r="J117" s="33">
        <f t="shared" si="51"/>
        <v>0</v>
      </c>
      <c r="K117" s="33">
        <f t="shared" si="52"/>
        <v>0</v>
      </c>
      <c r="L117" s="33">
        <f t="shared" si="53"/>
        <v>0</v>
      </c>
      <c r="M117" s="33">
        <f t="shared" si="54"/>
        <v>0</v>
      </c>
      <c r="N117" s="33">
        <f t="shared" si="40"/>
        <v>0</v>
      </c>
      <c r="O117" s="34">
        <f t="shared" si="41"/>
        <v>0</v>
      </c>
      <c r="P117" s="55">
        <v>112</v>
      </c>
      <c r="Q117" s="33">
        <f t="shared" si="49"/>
        <v>0</v>
      </c>
      <c r="R117" s="33">
        <f t="shared" si="55"/>
        <v>0</v>
      </c>
      <c r="S117" s="33">
        <f t="shared" si="56"/>
        <v>0</v>
      </c>
      <c r="T117" s="33">
        <f t="shared" si="42"/>
        <v>0</v>
      </c>
      <c r="U117" s="33">
        <f t="shared" si="50"/>
        <v>0</v>
      </c>
      <c r="V117" s="33">
        <f t="shared" si="43"/>
        <v>0</v>
      </c>
      <c r="W117" s="33">
        <v>0</v>
      </c>
      <c r="X117" s="33">
        <f t="shared" si="44"/>
        <v>0</v>
      </c>
      <c r="Y117" s="38">
        <f t="shared" si="45"/>
        <v>0</v>
      </c>
      <c r="AA117" s="71">
        <v>112</v>
      </c>
      <c r="AB117" s="33">
        <f t="shared" si="46"/>
        <v>0</v>
      </c>
      <c r="AC117" s="305">
        <f t="shared" si="64"/>
        <v>0</v>
      </c>
      <c r="AD117" s="100">
        <f t="shared" si="47"/>
        <v>0</v>
      </c>
      <c r="AE117" s="100">
        <f t="shared" si="48"/>
        <v>0</v>
      </c>
      <c r="AF117" s="194">
        <f t="shared" si="60"/>
        <v>0</v>
      </c>
      <c r="AG117" s="194">
        <f t="shared" si="61"/>
        <v>0</v>
      </c>
      <c r="AH117" s="194">
        <f t="shared" si="62"/>
        <v>0</v>
      </c>
      <c r="AI117" s="199">
        <f t="shared" si="63"/>
        <v>0</v>
      </c>
      <c r="AK117" s="71">
        <v>112</v>
      </c>
      <c r="AL117" s="33"/>
      <c r="AM117" s="33"/>
      <c r="AN117" s="33"/>
      <c r="AO117" s="33"/>
      <c r="AP117" s="33"/>
      <c r="AQ117" s="194"/>
      <c r="AR117" s="194"/>
      <c r="AS117" s="194"/>
      <c r="AT117" s="194"/>
      <c r="AU117" s="33"/>
      <c r="AV117" s="33"/>
      <c r="AW117" s="33"/>
      <c r="AX117" s="33"/>
      <c r="AY117" s="76"/>
    </row>
    <row r="118" spans="2:51">
      <c r="B118" s="67" t="s">
        <v>260</v>
      </c>
      <c r="C118" s="303">
        <f>1/30*SUM(AI6:AI35)</f>
        <v>19.229540755258615</v>
      </c>
      <c r="D118" s="79">
        <v>0</v>
      </c>
      <c r="E118" s="78">
        <f>C118-D118</f>
        <v>19.229540755258615</v>
      </c>
      <c r="I118" s="55">
        <v>113</v>
      </c>
      <c r="J118" s="33">
        <f t="shared" si="51"/>
        <v>0</v>
      </c>
      <c r="K118" s="33">
        <f t="shared" si="52"/>
        <v>0</v>
      </c>
      <c r="L118" s="33">
        <f t="shared" si="53"/>
        <v>0</v>
      </c>
      <c r="M118" s="33">
        <f t="shared" si="54"/>
        <v>0</v>
      </c>
      <c r="N118" s="33">
        <f t="shared" si="40"/>
        <v>0</v>
      </c>
      <c r="O118" s="34">
        <f t="shared" si="41"/>
        <v>0</v>
      </c>
      <c r="P118" s="55">
        <v>113</v>
      </c>
      <c r="Q118" s="33">
        <f t="shared" si="49"/>
        <v>0</v>
      </c>
      <c r="R118" s="33">
        <f t="shared" si="55"/>
        <v>0</v>
      </c>
      <c r="S118" s="33">
        <f t="shared" si="56"/>
        <v>0</v>
      </c>
      <c r="T118" s="33">
        <f t="shared" si="42"/>
        <v>0</v>
      </c>
      <c r="U118" s="33">
        <f t="shared" si="50"/>
        <v>0</v>
      </c>
      <c r="V118" s="33">
        <f t="shared" si="43"/>
        <v>0</v>
      </c>
      <c r="W118" s="33">
        <v>0</v>
      </c>
      <c r="X118" s="33">
        <f t="shared" si="44"/>
        <v>0</v>
      </c>
      <c r="Y118" s="38">
        <f t="shared" si="45"/>
        <v>0</v>
      </c>
      <c r="AA118" s="71">
        <v>113</v>
      </c>
      <c r="AB118" s="33">
        <f t="shared" si="46"/>
        <v>0</v>
      </c>
      <c r="AC118" s="305">
        <f t="shared" si="64"/>
        <v>0</v>
      </c>
      <c r="AD118" s="100">
        <f t="shared" si="47"/>
        <v>0</v>
      </c>
      <c r="AE118" s="100">
        <f t="shared" si="48"/>
        <v>0</v>
      </c>
      <c r="AF118" s="194">
        <f t="shared" si="60"/>
        <v>0</v>
      </c>
      <c r="AG118" s="194">
        <f t="shared" si="61"/>
        <v>0</v>
      </c>
      <c r="AH118" s="194">
        <f t="shared" si="62"/>
        <v>0</v>
      </c>
      <c r="AI118" s="199">
        <f t="shared" si="63"/>
        <v>0</v>
      </c>
      <c r="AK118" s="71">
        <v>113</v>
      </c>
      <c r="AL118" s="33"/>
      <c r="AM118" s="33"/>
      <c r="AN118" s="33"/>
      <c r="AO118" s="33"/>
      <c r="AP118" s="33"/>
      <c r="AQ118" s="194"/>
      <c r="AR118" s="194"/>
      <c r="AS118" s="194"/>
      <c r="AT118" s="194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1"/>
        <v>0</v>
      </c>
      <c r="K119" s="33">
        <f t="shared" si="52"/>
        <v>0</v>
      </c>
      <c r="L119" s="33">
        <f t="shared" si="53"/>
        <v>0</v>
      </c>
      <c r="M119" s="33">
        <f t="shared" si="54"/>
        <v>0</v>
      </c>
      <c r="N119" s="33">
        <f t="shared" si="40"/>
        <v>0</v>
      </c>
      <c r="O119" s="34">
        <f t="shared" si="41"/>
        <v>0</v>
      </c>
      <c r="P119" s="55">
        <v>114</v>
      </c>
      <c r="Q119" s="33">
        <f t="shared" si="49"/>
        <v>0</v>
      </c>
      <c r="R119" s="33">
        <f t="shared" si="55"/>
        <v>0</v>
      </c>
      <c r="S119" s="33">
        <f t="shared" si="56"/>
        <v>0</v>
      </c>
      <c r="T119" s="33">
        <f t="shared" si="42"/>
        <v>0</v>
      </c>
      <c r="U119" s="33">
        <f t="shared" si="50"/>
        <v>0</v>
      </c>
      <c r="V119" s="33">
        <f t="shared" si="43"/>
        <v>0</v>
      </c>
      <c r="W119" s="33">
        <v>0</v>
      </c>
      <c r="X119" s="33">
        <f t="shared" si="44"/>
        <v>0</v>
      </c>
      <c r="Y119" s="38">
        <f t="shared" si="45"/>
        <v>0</v>
      </c>
      <c r="AA119" s="71">
        <v>114</v>
      </c>
      <c r="AB119" s="33">
        <f t="shared" si="46"/>
        <v>0</v>
      </c>
      <c r="AC119" s="305">
        <f t="shared" si="64"/>
        <v>0</v>
      </c>
      <c r="AD119" s="100">
        <f t="shared" si="47"/>
        <v>0</v>
      </c>
      <c r="AE119" s="100">
        <f t="shared" si="48"/>
        <v>0</v>
      </c>
      <c r="AF119" s="194">
        <f t="shared" si="60"/>
        <v>0</v>
      </c>
      <c r="AG119" s="194">
        <f t="shared" si="61"/>
        <v>0</v>
      </c>
      <c r="AH119" s="194">
        <f t="shared" si="62"/>
        <v>0</v>
      </c>
      <c r="AI119" s="199">
        <f t="shared" si="63"/>
        <v>0</v>
      </c>
      <c r="AK119" s="71">
        <v>114</v>
      </c>
      <c r="AL119" s="33"/>
      <c r="AM119" s="33"/>
      <c r="AN119" s="33"/>
      <c r="AO119" s="33"/>
      <c r="AP119" s="33"/>
      <c r="AQ119" s="194"/>
      <c r="AR119" s="194"/>
      <c r="AS119" s="194"/>
      <c r="AT119" s="194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1"/>
        <v>0</v>
      </c>
      <c r="K120" s="33">
        <f t="shared" si="52"/>
        <v>0</v>
      </c>
      <c r="L120" s="33">
        <f t="shared" si="53"/>
        <v>0</v>
      </c>
      <c r="M120" s="33">
        <f t="shared" si="54"/>
        <v>0</v>
      </c>
      <c r="N120" s="33">
        <f t="shared" si="40"/>
        <v>0</v>
      </c>
      <c r="O120" s="34">
        <f t="shared" si="41"/>
        <v>0</v>
      </c>
      <c r="P120" s="55">
        <v>115</v>
      </c>
      <c r="Q120" s="33">
        <f t="shared" si="49"/>
        <v>0</v>
      </c>
      <c r="R120" s="33">
        <f t="shared" si="55"/>
        <v>0</v>
      </c>
      <c r="S120" s="33">
        <f t="shared" si="56"/>
        <v>0</v>
      </c>
      <c r="T120" s="33">
        <f t="shared" si="42"/>
        <v>0</v>
      </c>
      <c r="U120" s="33">
        <f t="shared" si="50"/>
        <v>0</v>
      </c>
      <c r="V120" s="33">
        <f t="shared" si="43"/>
        <v>0</v>
      </c>
      <c r="W120" s="33">
        <v>0</v>
      </c>
      <c r="X120" s="33">
        <f t="shared" si="44"/>
        <v>0</v>
      </c>
      <c r="Y120" s="38">
        <f t="shared" si="45"/>
        <v>0</v>
      </c>
      <c r="AA120" s="71">
        <v>115</v>
      </c>
      <c r="AB120" s="33">
        <f t="shared" si="46"/>
        <v>0</v>
      </c>
      <c r="AC120" s="305">
        <f t="shared" si="64"/>
        <v>0</v>
      </c>
      <c r="AD120" s="100">
        <f t="shared" si="47"/>
        <v>0</v>
      </c>
      <c r="AE120" s="100">
        <f t="shared" si="48"/>
        <v>0</v>
      </c>
      <c r="AF120" s="194">
        <f t="shared" si="60"/>
        <v>0</v>
      </c>
      <c r="AG120" s="194">
        <f t="shared" si="61"/>
        <v>0</v>
      </c>
      <c r="AH120" s="194">
        <f t="shared" si="62"/>
        <v>0</v>
      </c>
      <c r="AI120" s="199">
        <f t="shared" si="63"/>
        <v>0</v>
      </c>
      <c r="AK120" s="71">
        <v>115</v>
      </c>
      <c r="AL120" s="33"/>
      <c r="AM120" s="33"/>
      <c r="AN120" s="33"/>
      <c r="AO120" s="33"/>
      <c r="AP120" s="33"/>
      <c r="AQ120" s="194"/>
      <c r="AR120" s="194"/>
      <c r="AS120" s="194"/>
      <c r="AT120" s="194"/>
      <c r="AU120" s="33"/>
      <c r="AV120" s="33"/>
      <c r="AW120" s="33"/>
      <c r="AX120" s="33"/>
      <c r="AY120" s="76"/>
    </row>
    <row r="121" spans="2:51">
      <c r="C121" s="135" t="s">
        <v>159</v>
      </c>
      <c r="D121" s="135"/>
      <c r="E121" s="135"/>
      <c r="I121" s="55">
        <v>116</v>
      </c>
      <c r="J121" s="33">
        <f t="shared" si="51"/>
        <v>0</v>
      </c>
      <c r="K121" s="33">
        <f t="shared" si="52"/>
        <v>0</v>
      </c>
      <c r="L121" s="33">
        <f t="shared" si="53"/>
        <v>0</v>
      </c>
      <c r="M121" s="33">
        <f t="shared" si="54"/>
        <v>0</v>
      </c>
      <c r="N121" s="33">
        <f t="shared" si="40"/>
        <v>0</v>
      </c>
      <c r="O121" s="34">
        <f t="shared" si="41"/>
        <v>0</v>
      </c>
      <c r="P121" s="55">
        <v>116</v>
      </c>
      <c r="Q121" s="33">
        <f t="shared" si="49"/>
        <v>0</v>
      </c>
      <c r="R121" s="33">
        <f t="shared" si="55"/>
        <v>0</v>
      </c>
      <c r="S121" s="33">
        <f t="shared" si="56"/>
        <v>0</v>
      </c>
      <c r="T121" s="33">
        <f t="shared" si="42"/>
        <v>0</v>
      </c>
      <c r="U121" s="33">
        <f t="shared" si="50"/>
        <v>0</v>
      </c>
      <c r="V121" s="33">
        <f t="shared" si="43"/>
        <v>0</v>
      </c>
      <c r="W121" s="33">
        <v>0</v>
      </c>
      <c r="X121" s="33">
        <f t="shared" si="44"/>
        <v>0</v>
      </c>
      <c r="Y121" s="38">
        <f t="shared" si="45"/>
        <v>0</v>
      </c>
      <c r="AA121" s="71">
        <v>116</v>
      </c>
      <c r="AB121" s="33">
        <f t="shared" si="46"/>
        <v>0</v>
      </c>
      <c r="AC121" s="305">
        <f t="shared" si="64"/>
        <v>0</v>
      </c>
      <c r="AD121" s="100">
        <f t="shared" si="47"/>
        <v>0</v>
      </c>
      <c r="AE121" s="100">
        <f t="shared" si="48"/>
        <v>0</v>
      </c>
      <c r="AF121" s="194">
        <f t="shared" si="60"/>
        <v>0</v>
      </c>
      <c r="AG121" s="194">
        <f t="shared" si="61"/>
        <v>0</v>
      </c>
      <c r="AH121" s="194">
        <f t="shared" si="62"/>
        <v>0</v>
      </c>
      <c r="AI121" s="199">
        <f t="shared" si="63"/>
        <v>0</v>
      </c>
      <c r="AK121" s="71">
        <v>116</v>
      </c>
      <c r="AL121" s="33"/>
      <c r="AM121" s="33"/>
      <c r="AN121" s="33"/>
      <c r="AO121" s="33"/>
      <c r="AP121" s="33"/>
      <c r="AQ121" s="194"/>
      <c r="AR121" s="194"/>
      <c r="AS121" s="194"/>
      <c r="AT121" s="194"/>
      <c r="AU121" s="33"/>
      <c r="AV121" s="33"/>
      <c r="AW121" s="33"/>
      <c r="AX121" s="33"/>
      <c r="AY121" s="76"/>
    </row>
    <row r="122" spans="2:51">
      <c r="C122" s="135" t="s">
        <v>144</v>
      </c>
      <c r="D122" s="135" t="s">
        <v>72</v>
      </c>
      <c r="E122" s="81" t="s">
        <v>165</v>
      </c>
      <c r="I122" s="55">
        <v>117</v>
      </c>
      <c r="J122" s="33">
        <f t="shared" si="51"/>
        <v>0</v>
      </c>
      <c r="K122" s="33">
        <f t="shared" si="52"/>
        <v>0</v>
      </c>
      <c r="L122" s="33">
        <f t="shared" si="53"/>
        <v>0</v>
      </c>
      <c r="M122" s="33">
        <f t="shared" si="54"/>
        <v>0</v>
      </c>
      <c r="N122" s="33">
        <f t="shared" si="40"/>
        <v>0</v>
      </c>
      <c r="O122" s="34">
        <f t="shared" si="41"/>
        <v>0</v>
      </c>
      <c r="P122" s="55">
        <v>117</v>
      </c>
      <c r="Q122" s="33">
        <f t="shared" si="49"/>
        <v>0</v>
      </c>
      <c r="R122" s="33">
        <f t="shared" si="55"/>
        <v>0</v>
      </c>
      <c r="S122" s="33">
        <f t="shared" si="56"/>
        <v>0</v>
      </c>
      <c r="T122" s="33">
        <f t="shared" si="42"/>
        <v>0</v>
      </c>
      <c r="U122" s="33">
        <f t="shared" si="50"/>
        <v>0</v>
      </c>
      <c r="V122" s="33">
        <f t="shared" si="43"/>
        <v>0</v>
      </c>
      <c r="W122" s="33">
        <v>0</v>
      </c>
      <c r="X122" s="33">
        <f t="shared" si="44"/>
        <v>0</v>
      </c>
      <c r="Y122" s="38">
        <f t="shared" si="45"/>
        <v>0</v>
      </c>
      <c r="AA122" s="71">
        <v>117</v>
      </c>
      <c r="AB122" s="33">
        <f t="shared" si="46"/>
        <v>0</v>
      </c>
      <c r="AC122" s="305">
        <f t="shared" si="64"/>
        <v>0</v>
      </c>
      <c r="AD122" s="100">
        <f t="shared" si="47"/>
        <v>0</v>
      </c>
      <c r="AE122" s="100">
        <f t="shared" si="48"/>
        <v>0</v>
      </c>
      <c r="AF122" s="194">
        <f t="shared" si="60"/>
        <v>0</v>
      </c>
      <c r="AG122" s="194">
        <f t="shared" si="61"/>
        <v>0</v>
      </c>
      <c r="AH122" s="194">
        <f t="shared" si="62"/>
        <v>0</v>
      </c>
      <c r="AI122" s="199">
        <f t="shared" si="63"/>
        <v>0</v>
      </c>
      <c r="AK122" s="71">
        <v>117</v>
      </c>
      <c r="AL122" s="33"/>
      <c r="AM122" s="33"/>
      <c r="AN122" s="33"/>
      <c r="AO122" s="33"/>
      <c r="AP122" s="33"/>
      <c r="AQ122" s="194"/>
      <c r="AR122" s="194"/>
      <c r="AS122" s="194"/>
      <c r="AT122" s="194"/>
      <c r="AU122" s="33"/>
      <c r="AV122" s="33"/>
      <c r="AW122" s="33"/>
      <c r="AX122" s="33"/>
      <c r="AY122" s="76"/>
    </row>
    <row r="123" spans="2:51">
      <c r="B123" s="67" t="s">
        <v>167</v>
      </c>
      <c r="C123" s="82">
        <f>AY35</f>
        <v>76.97</v>
      </c>
      <c r="D123" s="304">
        <f>IF(AND(D8=B100,F12=C194),J34*50%*G107,0)</f>
        <v>0</v>
      </c>
      <c r="E123" s="78">
        <f>C123-D123</f>
        <v>76.97</v>
      </c>
      <c r="I123" s="55">
        <v>118</v>
      </c>
      <c r="J123" s="33">
        <f t="shared" si="51"/>
        <v>0</v>
      </c>
      <c r="K123" s="33">
        <f t="shared" si="52"/>
        <v>0</v>
      </c>
      <c r="L123" s="33">
        <f t="shared" si="53"/>
        <v>0</v>
      </c>
      <c r="M123" s="33">
        <f t="shared" si="54"/>
        <v>0</v>
      </c>
      <c r="N123" s="33">
        <f t="shared" si="40"/>
        <v>0</v>
      </c>
      <c r="O123" s="34">
        <f t="shared" si="41"/>
        <v>0</v>
      </c>
      <c r="P123" s="55">
        <v>118</v>
      </c>
      <c r="Q123" s="33">
        <f t="shared" si="49"/>
        <v>0</v>
      </c>
      <c r="R123" s="33">
        <f t="shared" si="55"/>
        <v>0</v>
      </c>
      <c r="S123" s="33">
        <f t="shared" si="56"/>
        <v>0</v>
      </c>
      <c r="T123" s="33">
        <f t="shared" si="42"/>
        <v>0</v>
      </c>
      <c r="U123" s="33">
        <f t="shared" si="50"/>
        <v>0</v>
      </c>
      <c r="V123" s="33">
        <f t="shared" si="43"/>
        <v>0</v>
      </c>
      <c r="W123" s="33">
        <v>0</v>
      </c>
      <c r="X123" s="33">
        <f t="shared" si="44"/>
        <v>0</v>
      </c>
      <c r="Y123" s="38">
        <f t="shared" si="45"/>
        <v>0</v>
      </c>
      <c r="AA123" s="71">
        <v>118</v>
      </c>
      <c r="AB123" s="33">
        <f t="shared" si="46"/>
        <v>0</v>
      </c>
      <c r="AC123" s="305">
        <f t="shared" si="64"/>
        <v>0</v>
      </c>
      <c r="AD123" s="100">
        <f t="shared" si="47"/>
        <v>0</v>
      </c>
      <c r="AE123" s="100">
        <f t="shared" si="48"/>
        <v>0</v>
      </c>
      <c r="AF123" s="194">
        <f t="shared" si="60"/>
        <v>0</v>
      </c>
      <c r="AG123" s="194">
        <f t="shared" si="61"/>
        <v>0</v>
      </c>
      <c r="AH123" s="194">
        <f t="shared" si="62"/>
        <v>0</v>
      </c>
      <c r="AI123" s="199">
        <f t="shared" si="63"/>
        <v>0</v>
      </c>
      <c r="AK123" s="71">
        <v>118</v>
      </c>
      <c r="AL123" s="33"/>
      <c r="AM123" s="33"/>
      <c r="AN123" s="33"/>
      <c r="AO123" s="33"/>
      <c r="AP123" s="33"/>
      <c r="AQ123" s="194"/>
      <c r="AR123" s="194"/>
      <c r="AS123" s="194"/>
      <c r="AT123" s="194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1"/>
        <v>0</v>
      </c>
      <c r="K124" s="33">
        <f t="shared" si="52"/>
        <v>0</v>
      </c>
      <c r="L124" s="33">
        <f t="shared" si="53"/>
        <v>0</v>
      </c>
      <c r="M124" s="33">
        <f t="shared" si="54"/>
        <v>0</v>
      </c>
      <c r="N124" s="33">
        <f t="shared" si="40"/>
        <v>0</v>
      </c>
      <c r="O124" s="34">
        <f t="shared" si="41"/>
        <v>0</v>
      </c>
      <c r="P124" s="55">
        <v>119</v>
      </c>
      <c r="Q124" s="33">
        <f t="shared" si="49"/>
        <v>0</v>
      </c>
      <c r="R124" s="33">
        <f t="shared" si="55"/>
        <v>0</v>
      </c>
      <c r="S124" s="33">
        <f t="shared" si="56"/>
        <v>0</v>
      </c>
      <c r="T124" s="33">
        <f t="shared" si="42"/>
        <v>0</v>
      </c>
      <c r="U124" s="33">
        <f t="shared" si="50"/>
        <v>0</v>
      </c>
      <c r="V124" s="33">
        <f t="shared" si="43"/>
        <v>0</v>
      </c>
      <c r="W124" s="33">
        <v>0</v>
      </c>
      <c r="X124" s="33">
        <f t="shared" si="44"/>
        <v>0</v>
      </c>
      <c r="Y124" s="38">
        <f t="shared" si="45"/>
        <v>0</v>
      </c>
      <c r="AA124" s="71">
        <v>119</v>
      </c>
      <c r="AB124" s="33">
        <f t="shared" si="46"/>
        <v>0</v>
      </c>
      <c r="AC124" s="305">
        <f t="shared" si="64"/>
        <v>0</v>
      </c>
      <c r="AD124" s="100">
        <f t="shared" si="47"/>
        <v>0</v>
      </c>
      <c r="AE124" s="100">
        <f t="shared" si="48"/>
        <v>0</v>
      </c>
      <c r="AF124" s="194">
        <f t="shared" si="60"/>
        <v>0</v>
      </c>
      <c r="AG124" s="194">
        <f t="shared" si="61"/>
        <v>0</v>
      </c>
      <c r="AH124" s="194">
        <f t="shared" si="62"/>
        <v>0</v>
      </c>
      <c r="AI124" s="199">
        <f t="shared" si="63"/>
        <v>0</v>
      </c>
      <c r="AK124" s="71">
        <v>119</v>
      </c>
      <c r="AL124" s="33"/>
      <c r="AM124" s="33"/>
      <c r="AN124" s="33"/>
      <c r="AO124" s="33"/>
      <c r="AP124" s="33"/>
      <c r="AQ124" s="194"/>
      <c r="AR124" s="194"/>
      <c r="AS124" s="194"/>
      <c r="AT124" s="194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1"/>
        <v>0</v>
      </c>
      <c r="K125" s="33">
        <f t="shared" si="52"/>
        <v>0</v>
      </c>
      <c r="L125" s="33">
        <f t="shared" si="53"/>
        <v>0</v>
      </c>
      <c r="M125" s="33">
        <f t="shared" si="54"/>
        <v>0</v>
      </c>
      <c r="N125" s="33">
        <f t="shared" si="40"/>
        <v>0</v>
      </c>
      <c r="O125" s="34">
        <f t="shared" si="41"/>
        <v>0</v>
      </c>
      <c r="P125" s="55">
        <v>120</v>
      </c>
      <c r="Q125" s="33">
        <f t="shared" si="49"/>
        <v>0</v>
      </c>
      <c r="R125" s="33">
        <f t="shared" si="55"/>
        <v>0</v>
      </c>
      <c r="S125" s="33">
        <f t="shared" si="56"/>
        <v>0</v>
      </c>
      <c r="T125" s="33">
        <f t="shared" si="42"/>
        <v>0</v>
      </c>
      <c r="U125" s="33">
        <f t="shared" si="50"/>
        <v>0</v>
      </c>
      <c r="V125" s="33">
        <f t="shared" si="43"/>
        <v>0</v>
      </c>
      <c r="W125" s="33">
        <v>0</v>
      </c>
      <c r="X125" s="33">
        <f t="shared" si="44"/>
        <v>0</v>
      </c>
      <c r="Y125" s="38">
        <f t="shared" si="45"/>
        <v>0</v>
      </c>
      <c r="AA125" s="71">
        <v>120</v>
      </c>
      <c r="AB125" s="33">
        <f t="shared" si="46"/>
        <v>0</v>
      </c>
      <c r="AC125" s="305">
        <f t="shared" si="64"/>
        <v>0</v>
      </c>
      <c r="AD125" s="100">
        <f t="shared" si="47"/>
        <v>0</v>
      </c>
      <c r="AE125" s="100">
        <f t="shared" si="48"/>
        <v>0</v>
      </c>
      <c r="AF125" s="194">
        <f t="shared" si="60"/>
        <v>0</v>
      </c>
      <c r="AG125" s="194">
        <f t="shared" si="61"/>
        <v>0</v>
      </c>
      <c r="AH125" s="194">
        <f t="shared" si="62"/>
        <v>0</v>
      </c>
      <c r="AI125" s="199">
        <f t="shared" si="63"/>
        <v>0</v>
      </c>
      <c r="AK125" s="71">
        <v>120</v>
      </c>
      <c r="AL125" s="33"/>
      <c r="AM125" s="33"/>
      <c r="AN125" s="33"/>
      <c r="AO125" s="33"/>
      <c r="AP125" s="33"/>
      <c r="AQ125" s="194"/>
      <c r="AR125" s="194"/>
      <c r="AS125" s="194"/>
      <c r="AT125" s="194"/>
      <c r="AU125" s="33"/>
      <c r="AV125" s="33"/>
      <c r="AW125" s="33"/>
      <c r="AX125" s="33"/>
      <c r="AY125" s="76"/>
    </row>
    <row r="126" spans="2:51">
      <c r="C126" s="84" t="s">
        <v>128</v>
      </c>
      <c r="D126" s="84" t="s">
        <v>129</v>
      </c>
      <c r="E126" s="84" t="s">
        <v>159</v>
      </c>
      <c r="F126" s="157" t="s">
        <v>169</v>
      </c>
      <c r="I126" s="55">
        <v>121</v>
      </c>
      <c r="J126" s="33">
        <f t="shared" si="51"/>
        <v>0</v>
      </c>
      <c r="K126" s="33">
        <f t="shared" si="52"/>
        <v>0</v>
      </c>
      <c r="L126" s="33">
        <f t="shared" si="53"/>
        <v>0</v>
      </c>
      <c r="M126" s="33">
        <f t="shared" si="54"/>
        <v>0</v>
      </c>
      <c r="N126" s="33">
        <f t="shared" si="40"/>
        <v>0</v>
      </c>
      <c r="O126" s="34">
        <f t="shared" si="41"/>
        <v>0</v>
      </c>
      <c r="P126" s="55">
        <v>121</v>
      </c>
      <c r="Q126" s="33">
        <f t="shared" si="49"/>
        <v>0</v>
      </c>
      <c r="R126" s="33">
        <f t="shared" si="55"/>
        <v>0</v>
      </c>
      <c r="S126" s="33">
        <f t="shared" si="56"/>
        <v>0</v>
      </c>
      <c r="T126" s="33">
        <f t="shared" si="42"/>
        <v>0</v>
      </c>
      <c r="U126" s="33">
        <f t="shared" si="50"/>
        <v>0</v>
      </c>
      <c r="V126" s="33">
        <f t="shared" si="43"/>
        <v>0</v>
      </c>
      <c r="W126" s="33">
        <v>0</v>
      </c>
      <c r="X126" s="33">
        <f t="shared" si="44"/>
        <v>0</v>
      </c>
      <c r="Y126" s="38">
        <f t="shared" si="45"/>
        <v>0</v>
      </c>
      <c r="AA126" s="71">
        <v>121</v>
      </c>
      <c r="AB126" s="33">
        <f t="shared" si="46"/>
        <v>0</v>
      </c>
      <c r="AC126" s="305">
        <f t="shared" si="64"/>
        <v>0</v>
      </c>
      <c r="AD126" s="100">
        <f t="shared" si="47"/>
        <v>0</v>
      </c>
      <c r="AE126" s="100">
        <f t="shared" si="48"/>
        <v>0</v>
      </c>
      <c r="AF126" s="194">
        <f t="shared" si="60"/>
        <v>0</v>
      </c>
      <c r="AG126" s="194">
        <f t="shared" si="61"/>
        <v>0</v>
      </c>
      <c r="AH126" s="194">
        <f t="shared" si="62"/>
        <v>0</v>
      </c>
      <c r="AI126" s="199">
        <f t="shared" si="63"/>
        <v>0</v>
      </c>
      <c r="AK126" s="71">
        <v>121</v>
      </c>
      <c r="AL126" s="33"/>
      <c r="AM126" s="33"/>
      <c r="AN126" s="33"/>
      <c r="AO126" s="33"/>
      <c r="AP126" s="33"/>
      <c r="AQ126" s="194"/>
      <c r="AR126" s="194"/>
      <c r="AS126" s="194"/>
      <c r="AT126" s="194"/>
      <c r="AU126" s="33"/>
      <c r="AV126" s="33"/>
      <c r="AW126" s="33"/>
      <c r="AX126" s="33"/>
      <c r="AY126" s="76"/>
    </row>
    <row r="127" spans="2:51">
      <c r="C127" s="82">
        <f>IF(F18&gt;30,MIN(E113:E114),E113)</f>
        <v>515.71694358871468</v>
      </c>
      <c r="D127" s="82">
        <f>MIN(E118:E119)</f>
        <v>19.229540755258615</v>
      </c>
      <c r="E127" s="85">
        <f>E123</f>
        <v>76.97</v>
      </c>
      <c r="F127" s="86">
        <f>SUM(C127:E127)</f>
        <v>611.91648434397337</v>
      </c>
      <c r="I127" s="55">
        <v>122</v>
      </c>
      <c r="J127" s="33">
        <f t="shared" si="51"/>
        <v>0</v>
      </c>
      <c r="K127" s="33">
        <f t="shared" si="52"/>
        <v>0</v>
      </c>
      <c r="L127" s="33">
        <f t="shared" si="53"/>
        <v>0</v>
      </c>
      <c r="M127" s="33">
        <f t="shared" si="54"/>
        <v>0</v>
      </c>
      <c r="N127" s="33">
        <f t="shared" si="40"/>
        <v>0</v>
      </c>
      <c r="O127" s="34">
        <f t="shared" si="41"/>
        <v>0</v>
      </c>
      <c r="P127" s="55">
        <v>122</v>
      </c>
      <c r="Q127" s="33">
        <f t="shared" si="49"/>
        <v>0</v>
      </c>
      <c r="R127" s="33">
        <f t="shared" si="55"/>
        <v>0</v>
      </c>
      <c r="S127" s="33">
        <f t="shared" si="56"/>
        <v>0</v>
      </c>
      <c r="T127" s="33">
        <f t="shared" si="42"/>
        <v>0</v>
      </c>
      <c r="U127" s="33">
        <f t="shared" si="50"/>
        <v>0</v>
      </c>
      <c r="V127" s="33">
        <f t="shared" si="43"/>
        <v>0</v>
      </c>
      <c r="W127" s="33">
        <v>0</v>
      </c>
      <c r="X127" s="33">
        <f t="shared" si="44"/>
        <v>0</v>
      </c>
      <c r="Y127" s="38">
        <f t="shared" si="45"/>
        <v>0</v>
      </c>
      <c r="AA127" s="71">
        <v>122</v>
      </c>
      <c r="AB127" s="33">
        <f t="shared" si="46"/>
        <v>0</v>
      </c>
      <c r="AC127" s="305">
        <f t="shared" si="64"/>
        <v>0</v>
      </c>
      <c r="AD127" s="100">
        <f t="shared" si="47"/>
        <v>0</v>
      </c>
      <c r="AE127" s="100">
        <f t="shared" si="48"/>
        <v>0</v>
      </c>
      <c r="AF127" s="194">
        <f t="shared" si="60"/>
        <v>0</v>
      </c>
      <c r="AG127" s="194">
        <f t="shared" si="61"/>
        <v>0</v>
      </c>
      <c r="AH127" s="194">
        <f t="shared" si="62"/>
        <v>0</v>
      </c>
      <c r="AI127" s="199">
        <f t="shared" si="63"/>
        <v>0</v>
      </c>
      <c r="AK127" s="71">
        <v>122</v>
      </c>
      <c r="AL127" s="33"/>
      <c r="AM127" s="33"/>
      <c r="AN127" s="33"/>
      <c r="AO127" s="33"/>
      <c r="AP127" s="33"/>
      <c r="AQ127" s="194"/>
      <c r="AR127" s="194"/>
      <c r="AS127" s="194"/>
      <c r="AT127" s="194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1"/>
        <v>0</v>
      </c>
      <c r="K128" s="33">
        <f t="shared" si="52"/>
        <v>0</v>
      </c>
      <c r="L128" s="33">
        <f t="shared" si="53"/>
        <v>0</v>
      </c>
      <c r="M128" s="33">
        <f t="shared" si="54"/>
        <v>0</v>
      </c>
      <c r="N128" s="33">
        <f t="shared" si="40"/>
        <v>0</v>
      </c>
      <c r="O128" s="34">
        <f t="shared" si="41"/>
        <v>0</v>
      </c>
      <c r="P128" s="55">
        <v>123</v>
      </c>
      <c r="Q128" s="33">
        <f t="shared" si="49"/>
        <v>0</v>
      </c>
      <c r="R128" s="33">
        <f t="shared" si="55"/>
        <v>0</v>
      </c>
      <c r="S128" s="33">
        <f t="shared" si="56"/>
        <v>0</v>
      </c>
      <c r="T128" s="33">
        <f t="shared" si="42"/>
        <v>0</v>
      </c>
      <c r="U128" s="33">
        <f t="shared" si="50"/>
        <v>0</v>
      </c>
      <c r="V128" s="33">
        <f t="shared" si="43"/>
        <v>0</v>
      </c>
      <c r="W128" s="33">
        <v>0</v>
      </c>
      <c r="X128" s="33">
        <f t="shared" si="44"/>
        <v>0</v>
      </c>
      <c r="Y128" s="38">
        <f t="shared" si="45"/>
        <v>0</v>
      </c>
      <c r="AA128" s="71">
        <v>123</v>
      </c>
      <c r="AB128" s="33">
        <f t="shared" si="46"/>
        <v>0</v>
      </c>
      <c r="AC128" s="305">
        <f t="shared" si="64"/>
        <v>0</v>
      </c>
      <c r="AD128" s="100">
        <f t="shared" si="47"/>
        <v>0</v>
      </c>
      <c r="AE128" s="100">
        <f t="shared" si="48"/>
        <v>0</v>
      </c>
      <c r="AF128" s="194">
        <f t="shared" si="60"/>
        <v>0</v>
      </c>
      <c r="AG128" s="194">
        <f t="shared" si="61"/>
        <v>0</v>
      </c>
      <c r="AH128" s="194">
        <f t="shared" si="62"/>
        <v>0</v>
      </c>
      <c r="AI128" s="199">
        <f t="shared" si="63"/>
        <v>0</v>
      </c>
      <c r="AK128" s="71">
        <v>123</v>
      </c>
      <c r="AL128" s="33"/>
      <c r="AM128" s="33"/>
      <c r="AN128" s="33"/>
      <c r="AO128" s="33"/>
      <c r="AP128" s="33"/>
      <c r="AQ128" s="194"/>
      <c r="AR128" s="194"/>
      <c r="AS128" s="194"/>
      <c r="AT128" s="194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1"/>
        <v>0</v>
      </c>
      <c r="K129" s="33">
        <f t="shared" si="52"/>
        <v>0</v>
      </c>
      <c r="L129" s="33">
        <f t="shared" si="53"/>
        <v>0</v>
      </c>
      <c r="M129" s="33">
        <f t="shared" si="54"/>
        <v>0</v>
      </c>
      <c r="N129" s="33">
        <f t="shared" si="40"/>
        <v>0</v>
      </c>
      <c r="O129" s="34">
        <f t="shared" si="41"/>
        <v>0</v>
      </c>
      <c r="P129" s="55">
        <v>124</v>
      </c>
      <c r="Q129" s="33">
        <f t="shared" si="49"/>
        <v>0</v>
      </c>
      <c r="R129" s="33">
        <f t="shared" si="55"/>
        <v>0</v>
      </c>
      <c r="S129" s="33">
        <f t="shared" si="56"/>
        <v>0</v>
      </c>
      <c r="T129" s="33">
        <f t="shared" si="42"/>
        <v>0</v>
      </c>
      <c r="U129" s="33">
        <f t="shared" si="50"/>
        <v>0</v>
      </c>
      <c r="V129" s="33">
        <f t="shared" si="43"/>
        <v>0</v>
      </c>
      <c r="W129" s="33">
        <v>0</v>
      </c>
      <c r="X129" s="33">
        <f t="shared" si="44"/>
        <v>0</v>
      </c>
      <c r="Y129" s="38">
        <f t="shared" si="45"/>
        <v>0</v>
      </c>
      <c r="AA129" s="71">
        <v>124</v>
      </c>
      <c r="AB129" s="33">
        <f t="shared" si="46"/>
        <v>0</v>
      </c>
      <c r="AC129" s="305">
        <f t="shared" si="64"/>
        <v>0</v>
      </c>
      <c r="AD129" s="100">
        <f t="shared" si="47"/>
        <v>0</v>
      </c>
      <c r="AE129" s="100">
        <f t="shared" si="48"/>
        <v>0</v>
      </c>
      <c r="AF129" s="194">
        <f t="shared" si="60"/>
        <v>0</v>
      </c>
      <c r="AG129" s="194">
        <f t="shared" si="61"/>
        <v>0</v>
      </c>
      <c r="AH129" s="194">
        <f t="shared" si="62"/>
        <v>0</v>
      </c>
      <c r="AI129" s="199">
        <f t="shared" si="63"/>
        <v>0</v>
      </c>
      <c r="AK129" s="71">
        <v>124</v>
      </c>
      <c r="AL129" s="33"/>
      <c r="AM129" s="33"/>
      <c r="AN129" s="33"/>
      <c r="AO129" s="33"/>
      <c r="AP129" s="33"/>
      <c r="AQ129" s="194"/>
      <c r="AR129" s="194"/>
      <c r="AS129" s="194"/>
      <c r="AT129" s="194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8" t="s">
        <v>226</v>
      </c>
      <c r="F130" s="343" t="s">
        <v>272</v>
      </c>
      <c r="I130" s="55">
        <v>125</v>
      </c>
      <c r="J130" s="33">
        <f t="shared" si="51"/>
        <v>0</v>
      </c>
      <c r="K130" s="33">
        <f t="shared" si="52"/>
        <v>0</v>
      </c>
      <c r="L130" s="33">
        <f t="shared" si="53"/>
        <v>0</v>
      </c>
      <c r="M130" s="33">
        <f t="shared" si="54"/>
        <v>0</v>
      </c>
      <c r="N130" s="33">
        <f t="shared" si="40"/>
        <v>0</v>
      </c>
      <c r="O130" s="34">
        <f t="shared" si="41"/>
        <v>0</v>
      </c>
      <c r="P130" s="55">
        <v>125</v>
      </c>
      <c r="Q130" s="33">
        <f t="shared" si="49"/>
        <v>0</v>
      </c>
      <c r="R130" s="33">
        <f t="shared" si="55"/>
        <v>0</v>
      </c>
      <c r="S130" s="33">
        <f t="shared" si="56"/>
        <v>0</v>
      </c>
      <c r="T130" s="33">
        <f t="shared" si="42"/>
        <v>0</v>
      </c>
      <c r="U130" s="33">
        <f t="shared" si="50"/>
        <v>0</v>
      </c>
      <c r="V130" s="33">
        <f t="shared" si="43"/>
        <v>0</v>
      </c>
      <c r="W130" s="33">
        <v>0</v>
      </c>
      <c r="X130" s="33">
        <f t="shared" si="44"/>
        <v>0</v>
      </c>
      <c r="Y130" s="38">
        <f t="shared" si="45"/>
        <v>0</v>
      </c>
      <c r="AA130" s="71">
        <v>125</v>
      </c>
      <c r="AB130" s="33">
        <f t="shared" si="46"/>
        <v>0</v>
      </c>
      <c r="AC130" s="305">
        <f t="shared" si="64"/>
        <v>0</v>
      </c>
      <c r="AD130" s="100">
        <f t="shared" si="47"/>
        <v>0</v>
      </c>
      <c r="AE130" s="100">
        <f t="shared" si="48"/>
        <v>0</v>
      </c>
      <c r="AF130" s="194">
        <f t="shared" si="60"/>
        <v>0</v>
      </c>
      <c r="AG130" s="194">
        <f t="shared" si="61"/>
        <v>0</v>
      </c>
      <c r="AH130" s="194">
        <f t="shared" si="62"/>
        <v>0</v>
      </c>
      <c r="AI130" s="199">
        <f t="shared" si="63"/>
        <v>0</v>
      </c>
      <c r="AK130" s="71">
        <v>125</v>
      </c>
      <c r="AL130" s="33"/>
      <c r="AM130" s="33"/>
      <c r="AN130" s="33"/>
      <c r="AO130" s="33"/>
      <c r="AP130" s="33"/>
      <c r="AQ130" s="194"/>
      <c r="AR130" s="194"/>
      <c r="AS130" s="194"/>
      <c r="AT130" s="194"/>
      <c r="AU130" s="33"/>
      <c r="AV130" s="33"/>
      <c r="AW130" s="33"/>
      <c r="AX130" s="33"/>
      <c r="AY130" s="76"/>
    </row>
    <row r="131" spans="3:51">
      <c r="C131" s="166" t="s">
        <v>7</v>
      </c>
      <c r="D131" s="4">
        <v>0.62</v>
      </c>
      <c r="E131" s="188" t="s">
        <v>227</v>
      </c>
      <c r="F131" s="343">
        <f>IF(OR(Tableau145[[#This Row],[Type]]="Feuillus",Tableau145[[#This Row],[Type]]="Peupliers"),1.56,1.3)</f>
        <v>1.56</v>
      </c>
      <c r="I131" s="55">
        <v>126</v>
      </c>
      <c r="J131" s="33">
        <f t="shared" si="51"/>
        <v>0</v>
      </c>
      <c r="K131" s="33">
        <f t="shared" si="52"/>
        <v>0</v>
      </c>
      <c r="L131" s="33">
        <f t="shared" si="53"/>
        <v>0</v>
      </c>
      <c r="M131" s="33">
        <f t="shared" si="54"/>
        <v>0</v>
      </c>
      <c r="N131" s="33">
        <f t="shared" si="40"/>
        <v>0</v>
      </c>
      <c r="O131" s="34">
        <f t="shared" si="41"/>
        <v>0</v>
      </c>
      <c r="P131" s="55">
        <v>126</v>
      </c>
      <c r="Q131" s="33">
        <f t="shared" si="49"/>
        <v>0</v>
      </c>
      <c r="R131" s="33">
        <f t="shared" si="55"/>
        <v>0</v>
      </c>
      <c r="S131" s="33">
        <f t="shared" si="56"/>
        <v>0</v>
      </c>
      <c r="T131" s="33">
        <f t="shared" si="42"/>
        <v>0</v>
      </c>
      <c r="U131" s="33">
        <f t="shared" si="50"/>
        <v>0</v>
      </c>
      <c r="V131" s="33">
        <f t="shared" si="43"/>
        <v>0</v>
      </c>
      <c r="W131" s="33">
        <v>0</v>
      </c>
      <c r="X131" s="33">
        <f t="shared" si="44"/>
        <v>0</v>
      </c>
      <c r="Y131" s="38">
        <f t="shared" si="45"/>
        <v>0</v>
      </c>
      <c r="AA131" s="71">
        <v>126</v>
      </c>
      <c r="AB131" s="33">
        <f t="shared" si="46"/>
        <v>0</v>
      </c>
      <c r="AC131" s="305">
        <f t="shared" si="64"/>
        <v>0</v>
      </c>
      <c r="AD131" s="100">
        <f t="shared" si="47"/>
        <v>0</v>
      </c>
      <c r="AE131" s="100">
        <f t="shared" si="48"/>
        <v>0</v>
      </c>
      <c r="AF131" s="194">
        <f t="shared" si="60"/>
        <v>0</v>
      </c>
      <c r="AG131" s="194">
        <f t="shared" si="61"/>
        <v>0</v>
      </c>
      <c r="AH131" s="194">
        <f t="shared" si="62"/>
        <v>0</v>
      </c>
      <c r="AI131" s="199">
        <f t="shared" si="63"/>
        <v>0</v>
      </c>
      <c r="AK131" s="71">
        <v>126</v>
      </c>
      <c r="AL131" s="33"/>
      <c r="AM131" s="33"/>
      <c r="AN131" s="33"/>
      <c r="AO131" s="33"/>
      <c r="AP131" s="33"/>
      <c r="AQ131" s="194"/>
      <c r="AR131" s="194"/>
      <c r="AS131" s="194"/>
      <c r="AT131" s="194"/>
      <c r="AU131" s="33"/>
      <c r="AV131" s="33"/>
      <c r="AW131" s="33"/>
      <c r="AX131" s="33"/>
      <c r="AY131" s="76"/>
    </row>
    <row r="132" spans="3:51">
      <c r="C132" s="166" t="s">
        <v>4</v>
      </c>
      <c r="D132" s="4">
        <v>0.64</v>
      </c>
      <c r="E132" s="188" t="s">
        <v>227</v>
      </c>
      <c r="F132" s="343">
        <f>IF(OR(Tableau145[[#This Row],[Type]]="Feuillus",Tableau145[[#This Row],[Type]]="Peupliers"),1.56,1.3)</f>
        <v>1.56</v>
      </c>
      <c r="I132" s="55">
        <v>127</v>
      </c>
      <c r="J132" s="33">
        <f t="shared" si="51"/>
        <v>0</v>
      </c>
      <c r="K132" s="33">
        <f t="shared" si="52"/>
        <v>0</v>
      </c>
      <c r="L132" s="33">
        <f t="shared" si="53"/>
        <v>0</v>
      </c>
      <c r="M132" s="33">
        <f t="shared" si="54"/>
        <v>0</v>
      </c>
      <c r="N132" s="33">
        <f t="shared" si="40"/>
        <v>0</v>
      </c>
      <c r="O132" s="34">
        <f t="shared" si="41"/>
        <v>0</v>
      </c>
      <c r="P132" s="55">
        <v>127</v>
      </c>
      <c r="Q132" s="33">
        <f t="shared" si="49"/>
        <v>0</v>
      </c>
      <c r="R132" s="33">
        <f t="shared" si="55"/>
        <v>0</v>
      </c>
      <c r="S132" s="33">
        <f t="shared" si="56"/>
        <v>0</v>
      </c>
      <c r="T132" s="33">
        <f t="shared" si="42"/>
        <v>0</v>
      </c>
      <c r="U132" s="33">
        <f t="shared" si="50"/>
        <v>0</v>
      </c>
      <c r="V132" s="33">
        <f t="shared" si="43"/>
        <v>0</v>
      </c>
      <c r="W132" s="33">
        <v>0</v>
      </c>
      <c r="X132" s="33">
        <f t="shared" si="44"/>
        <v>0</v>
      </c>
      <c r="Y132" s="38">
        <f t="shared" si="45"/>
        <v>0</v>
      </c>
      <c r="AA132" s="71">
        <v>127</v>
      </c>
      <c r="AB132" s="33">
        <f t="shared" si="46"/>
        <v>0</v>
      </c>
      <c r="AC132" s="305">
        <f t="shared" si="64"/>
        <v>0</v>
      </c>
      <c r="AD132" s="100">
        <f t="shared" si="47"/>
        <v>0</v>
      </c>
      <c r="AE132" s="100">
        <f t="shared" si="48"/>
        <v>0</v>
      </c>
      <c r="AF132" s="194">
        <f t="shared" si="60"/>
        <v>0</v>
      </c>
      <c r="AG132" s="194">
        <f t="shared" si="61"/>
        <v>0</v>
      </c>
      <c r="AH132" s="194">
        <f t="shared" si="62"/>
        <v>0</v>
      </c>
      <c r="AI132" s="199">
        <f t="shared" si="63"/>
        <v>0</v>
      </c>
      <c r="AK132" s="71">
        <v>127</v>
      </c>
      <c r="AL132" s="33"/>
      <c r="AM132" s="33"/>
      <c r="AN132" s="33"/>
      <c r="AO132" s="33"/>
      <c r="AP132" s="33"/>
      <c r="AQ132" s="194"/>
      <c r="AR132" s="194"/>
      <c r="AS132" s="194"/>
      <c r="AT132" s="194"/>
      <c r="AU132" s="33"/>
      <c r="AV132" s="33"/>
      <c r="AW132" s="33"/>
      <c r="AX132" s="33"/>
      <c r="AY132" s="76"/>
    </row>
    <row r="133" spans="3:51">
      <c r="C133" s="166" t="s">
        <v>8</v>
      </c>
      <c r="D133" s="4">
        <v>0.42</v>
      </c>
      <c r="E133" s="188" t="s">
        <v>227</v>
      </c>
      <c r="F133" s="343">
        <f>IF(OR(Tableau145[[#This Row],[Type]]="Feuillus",Tableau145[[#This Row],[Type]]="Peupliers"),1.56,1.3)</f>
        <v>1.56</v>
      </c>
      <c r="I133" s="55">
        <v>128</v>
      </c>
      <c r="J133" s="33">
        <f t="shared" si="51"/>
        <v>0</v>
      </c>
      <c r="K133" s="33">
        <f t="shared" si="52"/>
        <v>0</v>
      </c>
      <c r="L133" s="33">
        <f t="shared" si="53"/>
        <v>0</v>
      </c>
      <c r="M133" s="33">
        <f t="shared" si="54"/>
        <v>0</v>
      </c>
      <c r="N133" s="33">
        <f t="shared" ref="N133:N196" si="65">IF(P134&lt;=$F$18,0,)</f>
        <v>0</v>
      </c>
      <c r="O133" s="34">
        <f t="shared" ref="O133:O196" si="66">((J133+K133)*0.475+L133+M133+N133)*44/12</f>
        <v>0</v>
      </c>
      <c r="P133" s="55">
        <v>128</v>
      </c>
      <c r="Q133" s="33">
        <f t="shared" si="49"/>
        <v>0</v>
      </c>
      <c r="R133" s="33">
        <f t="shared" si="55"/>
        <v>0</v>
      </c>
      <c r="S133" s="33">
        <f t="shared" si="56"/>
        <v>0</v>
      </c>
      <c r="T133" s="33">
        <f t="shared" ref="T133:T196" si="67">IF(S133=0,0,EXP(-1.0587+0.8836*LN(S133)+0.284))</f>
        <v>0</v>
      </c>
      <c r="U133" s="33">
        <f t="shared" si="50"/>
        <v>0</v>
      </c>
      <c r="V133" s="33">
        <f t="shared" ref="V133:V196" si="68">IF(P133&lt;=$F$18,IF(P133&lt;=30,P133*($F$16-$F$6)/30,$F$16-$F$6),)</f>
        <v>0</v>
      </c>
      <c r="W133" s="33">
        <v>0</v>
      </c>
      <c r="X133" s="33">
        <f t="shared" ref="X133:X196" si="69">((S133+T133)*0.475+U133+V133+W133)*44/12</f>
        <v>0</v>
      </c>
      <c r="Y133" s="38">
        <f t="shared" ref="Y133:Y196" si="70">IF(P133&lt;=$F$18,X133-O133,)</f>
        <v>0</v>
      </c>
      <c r="AA133" s="71">
        <v>128</v>
      </c>
      <c r="AB133" s="33">
        <f t="shared" ref="AB133:AB196" si="71">IF(AA133&lt;=$F$18,IFERROR(VLOOKUP($AA133,$B$82:$G$94,2,FALSE),0),)</f>
        <v>0</v>
      </c>
      <c r="AC133" s="305">
        <f t="shared" si="64"/>
        <v>0</v>
      </c>
      <c r="AD133" s="100">
        <f t="shared" ref="AD133:AD196" si="72">IF(AA133&lt;=$F$18,IFERROR(VLOOKUP($AA133,$B$82:$G$94,4,FALSE),0),)</f>
        <v>0</v>
      </c>
      <c r="AE133" s="100">
        <f t="shared" ref="AE133:AE196" si="73">IF(AA133&lt;=$F$18,IFERROR(VLOOKUP($AA133,$B$82:$G$94,5,FALSE),0),)</f>
        <v>0</v>
      </c>
      <c r="AF133" s="194">
        <f t="shared" si="60"/>
        <v>0</v>
      </c>
      <c r="AG133" s="194">
        <f t="shared" si="61"/>
        <v>0</v>
      </c>
      <c r="AH133" s="194">
        <f t="shared" si="62"/>
        <v>0</v>
      </c>
      <c r="AI133" s="199">
        <f t="shared" si="63"/>
        <v>0</v>
      </c>
      <c r="AK133" s="71">
        <v>128</v>
      </c>
      <c r="AL133" s="33"/>
      <c r="AM133" s="33"/>
      <c r="AN133" s="33"/>
      <c r="AO133" s="33"/>
      <c r="AP133" s="33"/>
      <c r="AQ133" s="194"/>
      <c r="AR133" s="194"/>
      <c r="AS133" s="194"/>
      <c r="AT133" s="194"/>
      <c r="AU133" s="33"/>
      <c r="AV133" s="33"/>
      <c r="AW133" s="33"/>
      <c r="AX133" s="33"/>
      <c r="AY133" s="76"/>
    </row>
    <row r="134" spans="3:51">
      <c r="C134" s="166" t="s">
        <v>9</v>
      </c>
      <c r="D134" s="4">
        <v>0.42</v>
      </c>
      <c r="E134" s="188" t="s">
        <v>227</v>
      </c>
      <c r="F134" s="343">
        <f>IF(OR(Tableau145[[#This Row],[Type]]="Feuillus",Tableau145[[#This Row],[Type]]="Peupliers"),1.56,1.3)</f>
        <v>1.56</v>
      </c>
      <c r="I134" s="55">
        <v>129</v>
      </c>
      <c r="J134" s="33">
        <f t="shared" si="51"/>
        <v>0</v>
      </c>
      <c r="K134" s="33">
        <f t="shared" si="52"/>
        <v>0</v>
      </c>
      <c r="L134" s="33">
        <f t="shared" si="53"/>
        <v>0</v>
      </c>
      <c r="M134" s="33">
        <f t="shared" si="54"/>
        <v>0</v>
      </c>
      <c r="N134" s="33">
        <f t="shared" si="65"/>
        <v>0</v>
      </c>
      <c r="O134" s="34">
        <f t="shared" si="66"/>
        <v>0</v>
      </c>
      <c r="P134" s="55">
        <v>129</v>
      </c>
      <c r="Q134" s="33">
        <f t="shared" ref="Q134:Q197" si="74">IF(P134&lt;=$F$18,LOOKUP(P134-1,$B$25:$B$78,$G$25:$G$78),)</f>
        <v>0</v>
      </c>
      <c r="R134" s="33">
        <f t="shared" si="55"/>
        <v>0</v>
      </c>
      <c r="S134" s="33">
        <f t="shared" si="56"/>
        <v>0</v>
      </c>
      <c r="T134" s="33">
        <f t="shared" si="67"/>
        <v>0</v>
      </c>
      <c r="U134" s="33">
        <f t="shared" ref="U134:U197" si="75">IF(P134&lt;=$F$18,$F$5+($F$15-$F$5)*(1-EXP(-0.0175*P134)),)</f>
        <v>0</v>
      </c>
      <c r="V134" s="33">
        <f t="shared" si="68"/>
        <v>0</v>
      </c>
      <c r="W134" s="33">
        <v>0</v>
      </c>
      <c r="X134" s="33">
        <f t="shared" si="69"/>
        <v>0</v>
      </c>
      <c r="Y134" s="38">
        <f t="shared" si="70"/>
        <v>0</v>
      </c>
      <c r="AA134" s="71">
        <v>129</v>
      </c>
      <c r="AB134" s="33">
        <f t="shared" si="71"/>
        <v>0</v>
      </c>
      <c r="AC134" s="305">
        <f t="shared" si="64"/>
        <v>0</v>
      </c>
      <c r="AD134" s="100">
        <f t="shared" si="72"/>
        <v>0</v>
      </c>
      <c r="AE134" s="100">
        <f t="shared" si="73"/>
        <v>0</v>
      </c>
      <c r="AF134" s="194">
        <f t="shared" si="60"/>
        <v>0</v>
      </c>
      <c r="AG134" s="194">
        <f t="shared" si="61"/>
        <v>0</v>
      </c>
      <c r="AH134" s="194">
        <f t="shared" si="62"/>
        <v>0</v>
      </c>
      <c r="AI134" s="199">
        <f t="shared" si="63"/>
        <v>0</v>
      </c>
      <c r="AK134" s="71">
        <v>129</v>
      </c>
      <c r="AL134" s="33"/>
      <c r="AM134" s="33"/>
      <c r="AN134" s="33"/>
      <c r="AO134" s="33"/>
      <c r="AP134" s="33"/>
      <c r="AQ134" s="194"/>
      <c r="AR134" s="194"/>
      <c r="AS134" s="194"/>
      <c r="AT134" s="194"/>
      <c r="AU134" s="33"/>
      <c r="AV134" s="33"/>
      <c r="AW134" s="33"/>
      <c r="AX134" s="33"/>
      <c r="AY134" s="76"/>
    </row>
    <row r="135" spans="3:51">
      <c r="C135" s="166" t="s">
        <v>10</v>
      </c>
      <c r="D135" s="4">
        <v>0.52</v>
      </c>
      <c r="E135" s="188" t="s">
        <v>227</v>
      </c>
      <c r="F135" s="343">
        <f>IF(OR(Tableau145[[#This Row],[Type]]="Feuillus",Tableau145[[#This Row],[Type]]="Peupliers"),1.56,1.3)</f>
        <v>1.56</v>
      </c>
      <c r="I135" s="55">
        <v>130</v>
      </c>
      <c r="J135" s="33">
        <f t="shared" ref="J135:J198" si="76">IF($I135&lt;=$F$10,$F$11*$F$13+J134,)</f>
        <v>0</v>
      </c>
      <c r="K135" s="33">
        <f t="shared" ref="K135:K198" si="77">IF(J135=0,0,EXP(-1.0587+0.8836*LN(J135)+0.284))</f>
        <v>0</v>
      </c>
      <c r="L135" s="33">
        <f t="shared" ref="L135:L198" si="78">IF(I135&lt;=$F$10,$F$5+($F$8-$F$5)*(1-EXP(-0.0175*I135)),)</f>
        <v>0</v>
      </c>
      <c r="M135" s="33">
        <f t="shared" ref="M135:M198" si="79">IF(I135&lt;=$F$10,IF(I135&lt;=30,I135*($F$9-$F$6)/30,$F$9-$F$6),)</f>
        <v>0</v>
      </c>
      <c r="N135" s="33">
        <f t="shared" si="65"/>
        <v>0</v>
      </c>
      <c r="O135" s="34">
        <f t="shared" si="66"/>
        <v>0</v>
      </c>
      <c r="P135" s="55">
        <v>130</v>
      </c>
      <c r="Q135" s="33">
        <f t="shared" si="74"/>
        <v>0</v>
      </c>
      <c r="R135" s="33">
        <f t="shared" ref="R135:R198" si="80">IF(P135&lt;=$F$18,Q135+R134,)</f>
        <v>0</v>
      </c>
      <c r="S135" s="33">
        <f t="shared" ref="S135:S198" si="81">$F$19*R135</f>
        <v>0</v>
      </c>
      <c r="T135" s="33">
        <f t="shared" si="67"/>
        <v>0</v>
      </c>
      <c r="U135" s="33">
        <f t="shared" si="75"/>
        <v>0</v>
      </c>
      <c r="V135" s="33">
        <f t="shared" si="68"/>
        <v>0</v>
      </c>
      <c r="W135" s="33">
        <v>0</v>
      </c>
      <c r="X135" s="33">
        <f t="shared" si="69"/>
        <v>0</v>
      </c>
      <c r="Y135" s="38">
        <f t="shared" si="70"/>
        <v>0</v>
      </c>
      <c r="AA135" s="71">
        <v>130</v>
      </c>
      <c r="AB135" s="33">
        <f t="shared" si="71"/>
        <v>0</v>
      </c>
      <c r="AC135" s="305">
        <f t="shared" si="64"/>
        <v>0</v>
      </c>
      <c r="AD135" s="100">
        <f t="shared" si="72"/>
        <v>0</v>
      </c>
      <c r="AE135" s="100">
        <f t="shared" si="73"/>
        <v>0</v>
      </c>
      <c r="AF135" s="194">
        <f t="shared" si="60"/>
        <v>0</v>
      </c>
      <c r="AG135" s="194">
        <f t="shared" si="61"/>
        <v>0</v>
      </c>
      <c r="AH135" s="194">
        <f t="shared" si="62"/>
        <v>0</v>
      </c>
      <c r="AI135" s="199">
        <f t="shared" si="63"/>
        <v>0</v>
      </c>
      <c r="AK135" s="71">
        <v>130</v>
      </c>
      <c r="AL135" s="33"/>
      <c r="AM135" s="33"/>
      <c r="AN135" s="33"/>
      <c r="AO135" s="33"/>
      <c r="AP135" s="33"/>
      <c r="AQ135" s="194"/>
      <c r="AR135" s="194"/>
      <c r="AS135" s="194"/>
      <c r="AT135" s="194"/>
      <c r="AU135" s="33"/>
      <c r="AV135" s="33"/>
      <c r="AW135" s="33"/>
      <c r="AX135" s="33"/>
      <c r="AY135" s="76"/>
    </row>
    <row r="136" spans="3:51">
      <c r="C136" s="166" t="s">
        <v>11</v>
      </c>
      <c r="D136" s="4">
        <v>0.36</v>
      </c>
      <c r="E136" s="188" t="s">
        <v>228</v>
      </c>
      <c r="F136" s="343">
        <f>IF(OR(Tableau145[[#This Row],[Type]]="Feuillus",Tableau145[[#This Row],[Type]]="Peupliers"),1.56,1.3)</f>
        <v>1.3</v>
      </c>
      <c r="I136" s="55">
        <v>131</v>
      </c>
      <c r="J136" s="33">
        <f t="shared" si="76"/>
        <v>0</v>
      </c>
      <c r="K136" s="33">
        <f t="shared" si="77"/>
        <v>0</v>
      </c>
      <c r="L136" s="33">
        <f t="shared" si="78"/>
        <v>0</v>
      </c>
      <c r="M136" s="33">
        <f t="shared" si="79"/>
        <v>0</v>
      </c>
      <c r="N136" s="33">
        <f t="shared" si="65"/>
        <v>0</v>
      </c>
      <c r="O136" s="34">
        <f t="shared" si="66"/>
        <v>0</v>
      </c>
      <c r="P136" s="55">
        <v>131</v>
      </c>
      <c r="Q136" s="33">
        <f t="shared" si="74"/>
        <v>0</v>
      </c>
      <c r="R136" s="33">
        <f t="shared" si="80"/>
        <v>0</v>
      </c>
      <c r="S136" s="33">
        <f t="shared" si="81"/>
        <v>0</v>
      </c>
      <c r="T136" s="33">
        <f t="shared" si="67"/>
        <v>0</v>
      </c>
      <c r="U136" s="33">
        <f t="shared" si="75"/>
        <v>0</v>
      </c>
      <c r="V136" s="33">
        <f t="shared" si="68"/>
        <v>0</v>
      </c>
      <c r="W136" s="33">
        <v>0</v>
      </c>
      <c r="X136" s="33">
        <f t="shared" si="69"/>
        <v>0</v>
      </c>
      <c r="Y136" s="38">
        <f t="shared" si="70"/>
        <v>0</v>
      </c>
      <c r="AA136" s="71">
        <v>131</v>
      </c>
      <c r="AB136" s="33">
        <f t="shared" si="71"/>
        <v>0</v>
      </c>
      <c r="AC136" s="305">
        <f t="shared" si="64"/>
        <v>0</v>
      </c>
      <c r="AD136" s="100">
        <f t="shared" si="72"/>
        <v>0</v>
      </c>
      <c r="AE136" s="100">
        <f t="shared" si="73"/>
        <v>0</v>
      </c>
      <c r="AF136" s="194">
        <f t="shared" si="60"/>
        <v>0</v>
      </c>
      <c r="AG136" s="194">
        <f t="shared" si="61"/>
        <v>0</v>
      </c>
      <c r="AH136" s="194">
        <f t="shared" si="62"/>
        <v>0</v>
      </c>
      <c r="AI136" s="199">
        <f t="shared" si="63"/>
        <v>0</v>
      </c>
      <c r="AK136" s="71">
        <v>131</v>
      </c>
      <c r="AL136" s="33"/>
      <c r="AM136" s="33"/>
      <c r="AN136" s="33"/>
      <c r="AO136" s="33"/>
      <c r="AP136" s="33"/>
      <c r="AQ136" s="194"/>
      <c r="AR136" s="194"/>
      <c r="AS136" s="194"/>
      <c r="AT136" s="194"/>
      <c r="AU136" s="33"/>
      <c r="AV136" s="33"/>
      <c r="AW136" s="33"/>
      <c r="AX136" s="33"/>
      <c r="AY136" s="76"/>
    </row>
    <row r="137" spans="3:51">
      <c r="C137" s="166" t="s">
        <v>12</v>
      </c>
      <c r="D137" s="4">
        <v>0.61</v>
      </c>
      <c r="E137" s="188" t="s">
        <v>227</v>
      </c>
      <c r="F137" s="343">
        <f>IF(OR(Tableau145[[#This Row],[Type]]="Feuillus",Tableau145[[#This Row],[Type]]="Peupliers"),1.56,1.3)</f>
        <v>1.56</v>
      </c>
      <c r="I137" s="55">
        <v>132</v>
      </c>
      <c r="J137" s="33">
        <f t="shared" si="76"/>
        <v>0</v>
      </c>
      <c r="K137" s="33">
        <f t="shared" si="77"/>
        <v>0</v>
      </c>
      <c r="L137" s="33">
        <f t="shared" si="78"/>
        <v>0</v>
      </c>
      <c r="M137" s="33">
        <f t="shared" si="79"/>
        <v>0</v>
      </c>
      <c r="N137" s="33">
        <f t="shared" si="65"/>
        <v>0</v>
      </c>
      <c r="O137" s="34">
        <f t="shared" si="66"/>
        <v>0</v>
      </c>
      <c r="P137" s="55">
        <v>132</v>
      </c>
      <c r="Q137" s="33">
        <f t="shared" si="74"/>
        <v>0</v>
      </c>
      <c r="R137" s="33">
        <f t="shared" si="80"/>
        <v>0</v>
      </c>
      <c r="S137" s="33">
        <f t="shared" si="81"/>
        <v>0</v>
      </c>
      <c r="T137" s="33">
        <f t="shared" si="67"/>
        <v>0</v>
      </c>
      <c r="U137" s="33">
        <f t="shared" si="75"/>
        <v>0</v>
      </c>
      <c r="V137" s="33">
        <f t="shared" si="68"/>
        <v>0</v>
      </c>
      <c r="W137" s="33">
        <v>0</v>
      </c>
      <c r="X137" s="33">
        <f t="shared" si="69"/>
        <v>0</v>
      </c>
      <c r="Y137" s="38">
        <f t="shared" si="70"/>
        <v>0</v>
      </c>
      <c r="AA137" s="71">
        <v>132</v>
      </c>
      <c r="AB137" s="33">
        <f t="shared" si="71"/>
        <v>0</v>
      </c>
      <c r="AC137" s="305">
        <f t="shared" si="64"/>
        <v>0</v>
      </c>
      <c r="AD137" s="100">
        <f t="shared" si="72"/>
        <v>0</v>
      </c>
      <c r="AE137" s="100">
        <f t="shared" si="73"/>
        <v>0</v>
      </c>
      <c r="AF137" s="194">
        <f t="shared" si="60"/>
        <v>0</v>
      </c>
      <c r="AG137" s="194">
        <f t="shared" si="61"/>
        <v>0</v>
      </c>
      <c r="AH137" s="194">
        <f t="shared" si="62"/>
        <v>0</v>
      </c>
      <c r="AI137" s="199">
        <f t="shared" si="63"/>
        <v>0</v>
      </c>
      <c r="AK137" s="71">
        <v>132</v>
      </c>
      <c r="AL137" s="33"/>
      <c r="AM137" s="33"/>
      <c r="AN137" s="33"/>
      <c r="AO137" s="33"/>
      <c r="AP137" s="33"/>
      <c r="AQ137" s="194"/>
      <c r="AR137" s="194"/>
      <c r="AS137" s="194"/>
      <c r="AT137" s="194"/>
      <c r="AU137" s="33"/>
      <c r="AV137" s="33"/>
      <c r="AW137" s="33"/>
      <c r="AX137" s="33"/>
      <c r="AY137" s="76"/>
    </row>
    <row r="138" spans="3:51">
      <c r="C138" s="166" t="s">
        <v>13</v>
      </c>
      <c r="D138" s="4">
        <v>0.66</v>
      </c>
      <c r="E138" s="188" t="s">
        <v>227</v>
      </c>
      <c r="F138" s="343">
        <f>IF(OR(Tableau145[[#This Row],[Type]]="Feuillus",Tableau145[[#This Row],[Type]]="Peupliers"),1.56,1.3)</f>
        <v>1.56</v>
      </c>
      <c r="I138" s="55">
        <v>133</v>
      </c>
      <c r="J138" s="33">
        <f t="shared" si="76"/>
        <v>0</v>
      </c>
      <c r="K138" s="33">
        <f t="shared" si="77"/>
        <v>0</v>
      </c>
      <c r="L138" s="33">
        <f t="shared" si="78"/>
        <v>0</v>
      </c>
      <c r="M138" s="33">
        <f t="shared" si="79"/>
        <v>0</v>
      </c>
      <c r="N138" s="33">
        <f t="shared" si="65"/>
        <v>0</v>
      </c>
      <c r="O138" s="34">
        <f t="shared" si="66"/>
        <v>0</v>
      </c>
      <c r="P138" s="55">
        <v>133</v>
      </c>
      <c r="Q138" s="33">
        <f t="shared" si="74"/>
        <v>0</v>
      </c>
      <c r="R138" s="33">
        <f t="shared" si="80"/>
        <v>0</v>
      </c>
      <c r="S138" s="33">
        <f t="shared" si="81"/>
        <v>0</v>
      </c>
      <c r="T138" s="33">
        <f t="shared" si="67"/>
        <v>0</v>
      </c>
      <c r="U138" s="33">
        <f t="shared" si="75"/>
        <v>0</v>
      </c>
      <c r="V138" s="33">
        <f t="shared" si="68"/>
        <v>0</v>
      </c>
      <c r="W138" s="33">
        <v>0</v>
      </c>
      <c r="X138" s="33">
        <f t="shared" si="69"/>
        <v>0</v>
      </c>
      <c r="Y138" s="38">
        <f t="shared" si="70"/>
        <v>0</v>
      </c>
      <c r="AA138" s="71">
        <v>133</v>
      </c>
      <c r="AB138" s="33">
        <f t="shared" si="71"/>
        <v>0</v>
      </c>
      <c r="AC138" s="305">
        <f t="shared" si="64"/>
        <v>0</v>
      </c>
      <c r="AD138" s="100">
        <f t="shared" si="72"/>
        <v>0</v>
      </c>
      <c r="AE138" s="100">
        <f t="shared" si="73"/>
        <v>0</v>
      </c>
      <c r="AF138" s="194">
        <f t="shared" si="60"/>
        <v>0</v>
      </c>
      <c r="AG138" s="194">
        <f t="shared" si="61"/>
        <v>0</v>
      </c>
      <c r="AH138" s="194">
        <f t="shared" si="62"/>
        <v>0</v>
      </c>
      <c r="AI138" s="199">
        <f t="shared" si="63"/>
        <v>0</v>
      </c>
      <c r="AK138" s="71">
        <v>133</v>
      </c>
      <c r="AL138" s="33"/>
      <c r="AM138" s="33"/>
      <c r="AN138" s="33"/>
      <c r="AO138" s="33"/>
      <c r="AP138" s="33"/>
      <c r="AQ138" s="194"/>
      <c r="AR138" s="194"/>
      <c r="AS138" s="194"/>
      <c r="AT138" s="194"/>
      <c r="AU138" s="33"/>
      <c r="AV138" s="33"/>
      <c r="AW138" s="33"/>
      <c r="AX138" s="33"/>
      <c r="AY138" s="76"/>
    </row>
    <row r="139" spans="3:51">
      <c r="C139" s="167" t="s">
        <v>14</v>
      </c>
      <c r="D139" s="134">
        <v>0.47</v>
      </c>
      <c r="E139" s="188" t="s">
        <v>227</v>
      </c>
      <c r="F139" s="343">
        <f>IF(OR(Tableau145[[#This Row],[Type]]="Feuillus",Tableau145[[#This Row],[Type]]="Peupliers"),1.56,1.3)</f>
        <v>1.56</v>
      </c>
      <c r="I139" s="55">
        <v>134</v>
      </c>
      <c r="J139" s="33">
        <f t="shared" si="76"/>
        <v>0</v>
      </c>
      <c r="K139" s="33">
        <f t="shared" si="77"/>
        <v>0</v>
      </c>
      <c r="L139" s="33">
        <f t="shared" si="78"/>
        <v>0</v>
      </c>
      <c r="M139" s="33">
        <f t="shared" si="79"/>
        <v>0</v>
      </c>
      <c r="N139" s="33">
        <f t="shared" si="65"/>
        <v>0</v>
      </c>
      <c r="O139" s="34">
        <f t="shared" si="66"/>
        <v>0</v>
      </c>
      <c r="P139" s="55">
        <v>134</v>
      </c>
      <c r="Q139" s="33">
        <f t="shared" si="74"/>
        <v>0</v>
      </c>
      <c r="R139" s="33">
        <f t="shared" si="80"/>
        <v>0</v>
      </c>
      <c r="S139" s="33">
        <f t="shared" si="81"/>
        <v>0</v>
      </c>
      <c r="T139" s="33">
        <f t="shared" si="67"/>
        <v>0</v>
      </c>
      <c r="U139" s="33">
        <f t="shared" si="75"/>
        <v>0</v>
      </c>
      <c r="V139" s="33">
        <f t="shared" si="68"/>
        <v>0</v>
      </c>
      <c r="W139" s="33">
        <v>0</v>
      </c>
      <c r="X139" s="33">
        <f t="shared" si="69"/>
        <v>0</v>
      </c>
      <c r="Y139" s="38">
        <f t="shared" si="70"/>
        <v>0</v>
      </c>
      <c r="AA139" s="71">
        <v>134</v>
      </c>
      <c r="AB139" s="33">
        <f t="shared" si="71"/>
        <v>0</v>
      </c>
      <c r="AC139" s="305">
        <f t="shared" si="64"/>
        <v>0</v>
      </c>
      <c r="AD139" s="100">
        <f t="shared" si="72"/>
        <v>0</v>
      </c>
      <c r="AE139" s="100">
        <f t="shared" si="73"/>
        <v>0</v>
      </c>
      <c r="AF139" s="194">
        <f t="shared" si="60"/>
        <v>0</v>
      </c>
      <c r="AG139" s="194">
        <f t="shared" si="61"/>
        <v>0</v>
      </c>
      <c r="AH139" s="194">
        <f t="shared" si="62"/>
        <v>0</v>
      </c>
      <c r="AI139" s="199">
        <f t="shared" si="63"/>
        <v>0</v>
      </c>
      <c r="AK139" s="71">
        <v>134</v>
      </c>
      <c r="AL139" s="33"/>
      <c r="AM139" s="33"/>
      <c r="AN139" s="33"/>
      <c r="AO139" s="33"/>
      <c r="AP139" s="33"/>
      <c r="AQ139" s="194"/>
      <c r="AR139" s="194"/>
      <c r="AS139" s="194"/>
      <c r="AT139" s="194"/>
      <c r="AU139" s="33"/>
      <c r="AV139" s="33"/>
      <c r="AW139" s="33"/>
      <c r="AX139" s="33"/>
      <c r="AY139" s="76"/>
    </row>
    <row r="140" spans="3:51">
      <c r="C140" s="166" t="s">
        <v>15</v>
      </c>
      <c r="D140" s="4">
        <v>0.67</v>
      </c>
      <c r="E140" s="188" t="s">
        <v>227</v>
      </c>
      <c r="F140" s="343">
        <f>IF(OR(Tableau145[[#This Row],[Type]]="Feuillus",Tableau145[[#This Row],[Type]]="Peupliers"),1.56,1.3)</f>
        <v>1.56</v>
      </c>
      <c r="I140" s="55">
        <v>135</v>
      </c>
      <c r="J140" s="33">
        <f t="shared" si="76"/>
        <v>0</v>
      </c>
      <c r="K140" s="33">
        <f t="shared" si="77"/>
        <v>0</v>
      </c>
      <c r="L140" s="33">
        <f t="shared" si="78"/>
        <v>0</v>
      </c>
      <c r="M140" s="33">
        <f t="shared" si="79"/>
        <v>0</v>
      </c>
      <c r="N140" s="33">
        <f t="shared" si="65"/>
        <v>0</v>
      </c>
      <c r="O140" s="34">
        <f t="shared" si="66"/>
        <v>0</v>
      </c>
      <c r="P140" s="55">
        <v>135</v>
      </c>
      <c r="Q140" s="33">
        <f t="shared" si="74"/>
        <v>0</v>
      </c>
      <c r="R140" s="33">
        <f t="shared" si="80"/>
        <v>0</v>
      </c>
      <c r="S140" s="33">
        <f t="shared" si="81"/>
        <v>0</v>
      </c>
      <c r="T140" s="33">
        <f t="shared" si="67"/>
        <v>0</v>
      </c>
      <c r="U140" s="33">
        <f t="shared" si="75"/>
        <v>0</v>
      </c>
      <c r="V140" s="33">
        <f t="shared" si="68"/>
        <v>0</v>
      </c>
      <c r="W140" s="33">
        <v>0</v>
      </c>
      <c r="X140" s="33">
        <f t="shared" si="69"/>
        <v>0</v>
      </c>
      <c r="Y140" s="38">
        <f t="shared" si="70"/>
        <v>0</v>
      </c>
      <c r="AA140" s="71">
        <v>135</v>
      </c>
      <c r="AB140" s="33">
        <f t="shared" si="71"/>
        <v>0</v>
      </c>
      <c r="AC140" s="305">
        <f t="shared" si="64"/>
        <v>0</v>
      </c>
      <c r="AD140" s="100">
        <f t="shared" si="72"/>
        <v>0</v>
      </c>
      <c r="AE140" s="100">
        <f t="shared" si="73"/>
        <v>0</v>
      </c>
      <c r="AF140" s="194">
        <f t="shared" si="60"/>
        <v>0</v>
      </c>
      <c r="AG140" s="194">
        <f t="shared" si="61"/>
        <v>0</v>
      </c>
      <c r="AH140" s="194">
        <f t="shared" si="62"/>
        <v>0</v>
      </c>
      <c r="AI140" s="199">
        <f t="shared" si="63"/>
        <v>0</v>
      </c>
      <c r="AK140" s="71">
        <v>135</v>
      </c>
      <c r="AL140" s="33"/>
      <c r="AM140" s="33"/>
      <c r="AN140" s="33"/>
      <c r="AO140" s="33"/>
      <c r="AP140" s="33"/>
      <c r="AQ140" s="194"/>
      <c r="AR140" s="194"/>
      <c r="AS140" s="194"/>
      <c r="AT140" s="194"/>
      <c r="AU140" s="33"/>
      <c r="AV140" s="33"/>
      <c r="AW140" s="33"/>
      <c r="AX140" s="33"/>
      <c r="AY140" s="76"/>
    </row>
    <row r="141" spans="3:51">
      <c r="C141" s="166" t="s">
        <v>16</v>
      </c>
      <c r="D141" s="4">
        <v>0.7</v>
      </c>
      <c r="E141" s="188" t="s">
        <v>227</v>
      </c>
      <c r="F141" s="343">
        <f>IF(OR(Tableau145[[#This Row],[Type]]="Feuillus",Tableau145[[#This Row],[Type]]="Peupliers"),1.56,1.3)</f>
        <v>1.56</v>
      </c>
      <c r="I141" s="55">
        <v>136</v>
      </c>
      <c r="J141" s="33">
        <f t="shared" si="76"/>
        <v>0</v>
      </c>
      <c r="K141" s="33">
        <f t="shared" si="77"/>
        <v>0</v>
      </c>
      <c r="L141" s="33">
        <f t="shared" si="78"/>
        <v>0</v>
      </c>
      <c r="M141" s="33">
        <f t="shared" si="79"/>
        <v>0</v>
      </c>
      <c r="N141" s="33">
        <f t="shared" si="65"/>
        <v>0</v>
      </c>
      <c r="O141" s="34">
        <f t="shared" si="66"/>
        <v>0</v>
      </c>
      <c r="P141" s="55">
        <v>136</v>
      </c>
      <c r="Q141" s="33">
        <f t="shared" si="74"/>
        <v>0</v>
      </c>
      <c r="R141" s="33">
        <f t="shared" si="80"/>
        <v>0</v>
      </c>
      <c r="S141" s="33">
        <f t="shared" si="81"/>
        <v>0</v>
      </c>
      <c r="T141" s="33">
        <f t="shared" si="67"/>
        <v>0</v>
      </c>
      <c r="U141" s="33">
        <f t="shared" si="75"/>
        <v>0</v>
      </c>
      <c r="V141" s="33">
        <f t="shared" si="68"/>
        <v>0</v>
      </c>
      <c r="W141" s="33">
        <v>0</v>
      </c>
      <c r="X141" s="33">
        <f t="shared" si="69"/>
        <v>0</v>
      </c>
      <c r="Y141" s="38">
        <f t="shared" si="70"/>
        <v>0</v>
      </c>
      <c r="AA141" s="71">
        <v>136</v>
      </c>
      <c r="AB141" s="33">
        <f t="shared" si="71"/>
        <v>0</v>
      </c>
      <c r="AC141" s="305">
        <f t="shared" si="64"/>
        <v>0</v>
      </c>
      <c r="AD141" s="100">
        <f t="shared" si="72"/>
        <v>0</v>
      </c>
      <c r="AE141" s="100">
        <f t="shared" si="73"/>
        <v>0</v>
      </c>
      <c r="AF141" s="194">
        <f t="shared" si="60"/>
        <v>0</v>
      </c>
      <c r="AG141" s="194">
        <f t="shared" si="61"/>
        <v>0</v>
      </c>
      <c r="AH141" s="194">
        <f t="shared" si="62"/>
        <v>0</v>
      </c>
      <c r="AI141" s="199">
        <f t="shared" si="63"/>
        <v>0</v>
      </c>
      <c r="AK141" s="71">
        <v>136</v>
      </c>
      <c r="AL141" s="33"/>
      <c r="AM141" s="33"/>
      <c r="AN141" s="33"/>
      <c r="AO141" s="33"/>
      <c r="AP141" s="33"/>
      <c r="AQ141" s="194"/>
      <c r="AR141" s="194"/>
      <c r="AS141" s="194"/>
      <c r="AT141" s="194"/>
      <c r="AU141" s="33"/>
      <c r="AV141" s="33"/>
      <c r="AW141" s="33"/>
      <c r="AX141" s="33"/>
      <c r="AY141" s="76"/>
    </row>
    <row r="142" spans="3:51">
      <c r="C142" s="166" t="s">
        <v>17</v>
      </c>
      <c r="D142" s="4">
        <v>0.54</v>
      </c>
      <c r="E142" s="188" t="s">
        <v>227</v>
      </c>
      <c r="F142" s="343">
        <f>IF(OR(Tableau145[[#This Row],[Type]]="Feuillus",Tableau145[[#This Row],[Type]]="Peupliers"),1.56,1.3)</f>
        <v>1.56</v>
      </c>
      <c r="I142" s="55">
        <v>137</v>
      </c>
      <c r="J142" s="33">
        <f t="shared" si="76"/>
        <v>0</v>
      </c>
      <c r="K142" s="33">
        <f t="shared" si="77"/>
        <v>0</v>
      </c>
      <c r="L142" s="33">
        <f t="shared" si="78"/>
        <v>0</v>
      </c>
      <c r="M142" s="33">
        <f t="shared" si="79"/>
        <v>0</v>
      </c>
      <c r="N142" s="33">
        <f t="shared" si="65"/>
        <v>0</v>
      </c>
      <c r="O142" s="34">
        <f t="shared" si="66"/>
        <v>0</v>
      </c>
      <c r="P142" s="55">
        <v>137</v>
      </c>
      <c r="Q142" s="33">
        <f t="shared" si="74"/>
        <v>0</v>
      </c>
      <c r="R142" s="33">
        <f t="shared" si="80"/>
        <v>0</v>
      </c>
      <c r="S142" s="33">
        <f t="shared" si="81"/>
        <v>0</v>
      </c>
      <c r="T142" s="33">
        <f t="shared" si="67"/>
        <v>0</v>
      </c>
      <c r="U142" s="33">
        <f t="shared" si="75"/>
        <v>0</v>
      </c>
      <c r="V142" s="33">
        <f t="shared" si="68"/>
        <v>0</v>
      </c>
      <c r="W142" s="33">
        <v>0</v>
      </c>
      <c r="X142" s="33">
        <f t="shared" si="69"/>
        <v>0</v>
      </c>
      <c r="Y142" s="38">
        <f t="shared" si="70"/>
        <v>0</v>
      </c>
      <c r="AA142" s="71">
        <v>137</v>
      </c>
      <c r="AB142" s="33">
        <f t="shared" si="71"/>
        <v>0</v>
      </c>
      <c r="AC142" s="305">
        <f t="shared" si="64"/>
        <v>0</v>
      </c>
      <c r="AD142" s="100">
        <f t="shared" si="72"/>
        <v>0</v>
      </c>
      <c r="AE142" s="100">
        <f t="shared" si="73"/>
        <v>0</v>
      </c>
      <c r="AF142" s="194">
        <f t="shared" si="60"/>
        <v>0</v>
      </c>
      <c r="AG142" s="194">
        <f t="shared" si="61"/>
        <v>0</v>
      </c>
      <c r="AH142" s="194">
        <f t="shared" si="62"/>
        <v>0</v>
      </c>
      <c r="AI142" s="199">
        <f t="shared" si="63"/>
        <v>0</v>
      </c>
      <c r="AK142" s="71">
        <v>137</v>
      </c>
      <c r="AL142" s="33"/>
      <c r="AM142" s="33"/>
      <c r="AN142" s="33"/>
      <c r="AO142" s="33"/>
      <c r="AP142" s="33"/>
      <c r="AQ142" s="194"/>
      <c r="AR142" s="194"/>
      <c r="AS142" s="194"/>
      <c r="AT142" s="194"/>
      <c r="AU142" s="33"/>
      <c r="AV142" s="33"/>
      <c r="AW142" s="33"/>
      <c r="AX142" s="33"/>
      <c r="AY142" s="76"/>
    </row>
    <row r="143" spans="3:51">
      <c r="C143" s="166" t="s">
        <v>18</v>
      </c>
      <c r="D143" s="4">
        <v>0.65</v>
      </c>
      <c r="E143" s="188" t="s">
        <v>227</v>
      </c>
      <c r="F143" s="343">
        <f>IF(OR(Tableau145[[#This Row],[Type]]="Feuillus",Tableau145[[#This Row],[Type]]="Peupliers"),1.56,1.3)</f>
        <v>1.56</v>
      </c>
      <c r="I143" s="55">
        <v>138</v>
      </c>
      <c r="J143" s="33">
        <f t="shared" si="76"/>
        <v>0</v>
      </c>
      <c r="K143" s="33">
        <f t="shared" si="77"/>
        <v>0</v>
      </c>
      <c r="L143" s="33">
        <f t="shared" si="78"/>
        <v>0</v>
      </c>
      <c r="M143" s="33">
        <f t="shared" si="79"/>
        <v>0</v>
      </c>
      <c r="N143" s="33">
        <f t="shared" si="65"/>
        <v>0</v>
      </c>
      <c r="O143" s="34">
        <f t="shared" si="66"/>
        <v>0</v>
      </c>
      <c r="P143" s="55">
        <v>138</v>
      </c>
      <c r="Q143" s="33">
        <f t="shared" si="74"/>
        <v>0</v>
      </c>
      <c r="R143" s="33">
        <f t="shared" si="80"/>
        <v>0</v>
      </c>
      <c r="S143" s="33">
        <f t="shared" si="81"/>
        <v>0</v>
      </c>
      <c r="T143" s="33">
        <f t="shared" si="67"/>
        <v>0</v>
      </c>
      <c r="U143" s="33">
        <f t="shared" si="75"/>
        <v>0</v>
      </c>
      <c r="V143" s="33">
        <f t="shared" si="68"/>
        <v>0</v>
      </c>
      <c r="W143" s="33">
        <v>0</v>
      </c>
      <c r="X143" s="33">
        <f t="shared" si="69"/>
        <v>0</v>
      </c>
      <c r="Y143" s="38">
        <f t="shared" si="70"/>
        <v>0</v>
      </c>
      <c r="AA143" s="71">
        <v>138</v>
      </c>
      <c r="AB143" s="33">
        <f t="shared" si="71"/>
        <v>0</v>
      </c>
      <c r="AC143" s="305">
        <f t="shared" si="64"/>
        <v>0</v>
      </c>
      <c r="AD143" s="100">
        <f t="shared" si="72"/>
        <v>0</v>
      </c>
      <c r="AE143" s="100">
        <f t="shared" si="73"/>
        <v>0</v>
      </c>
      <c r="AF143" s="194">
        <f t="shared" si="60"/>
        <v>0</v>
      </c>
      <c r="AG143" s="194">
        <f t="shared" si="61"/>
        <v>0</v>
      </c>
      <c r="AH143" s="194">
        <f t="shared" si="62"/>
        <v>0</v>
      </c>
      <c r="AI143" s="199">
        <f t="shared" si="63"/>
        <v>0</v>
      </c>
      <c r="AK143" s="71">
        <v>138</v>
      </c>
      <c r="AL143" s="33"/>
      <c r="AM143" s="33"/>
      <c r="AN143" s="33"/>
      <c r="AO143" s="33"/>
      <c r="AP143" s="33"/>
      <c r="AQ143" s="194"/>
      <c r="AR143" s="194"/>
      <c r="AS143" s="194"/>
      <c r="AT143" s="194"/>
      <c r="AU143" s="33"/>
      <c r="AV143" s="33"/>
      <c r="AW143" s="33"/>
      <c r="AX143" s="33"/>
      <c r="AY143" s="76"/>
    </row>
    <row r="144" spans="3:51">
      <c r="C144" s="166" t="s">
        <v>19</v>
      </c>
      <c r="D144" s="4">
        <v>0.56000000000000005</v>
      </c>
      <c r="E144" s="188" t="s">
        <v>227</v>
      </c>
      <c r="F144" s="343">
        <f>IF(OR(Tableau145[[#This Row],[Type]]="Feuillus",Tableau145[[#This Row],[Type]]="Peupliers"),1.56,1.3)</f>
        <v>1.56</v>
      </c>
      <c r="I144" s="55">
        <v>139</v>
      </c>
      <c r="J144" s="33">
        <f t="shared" si="76"/>
        <v>0</v>
      </c>
      <c r="K144" s="33">
        <f t="shared" si="77"/>
        <v>0</v>
      </c>
      <c r="L144" s="33">
        <f t="shared" si="78"/>
        <v>0</v>
      </c>
      <c r="M144" s="33">
        <f t="shared" si="79"/>
        <v>0</v>
      </c>
      <c r="N144" s="33">
        <f t="shared" si="65"/>
        <v>0</v>
      </c>
      <c r="O144" s="34">
        <f t="shared" si="66"/>
        <v>0</v>
      </c>
      <c r="P144" s="55">
        <v>139</v>
      </c>
      <c r="Q144" s="33">
        <f t="shared" si="74"/>
        <v>0</v>
      </c>
      <c r="R144" s="33">
        <f t="shared" si="80"/>
        <v>0</v>
      </c>
      <c r="S144" s="33">
        <f t="shared" si="81"/>
        <v>0</v>
      </c>
      <c r="T144" s="33">
        <f t="shared" si="67"/>
        <v>0</v>
      </c>
      <c r="U144" s="33">
        <f t="shared" si="75"/>
        <v>0</v>
      </c>
      <c r="V144" s="33">
        <f t="shared" si="68"/>
        <v>0</v>
      </c>
      <c r="W144" s="33">
        <v>0</v>
      </c>
      <c r="X144" s="33">
        <f t="shared" si="69"/>
        <v>0</v>
      </c>
      <c r="Y144" s="38">
        <f t="shared" si="70"/>
        <v>0</v>
      </c>
      <c r="AA144" s="71">
        <v>139</v>
      </c>
      <c r="AB144" s="33">
        <f t="shared" si="71"/>
        <v>0</v>
      </c>
      <c r="AC144" s="305">
        <f t="shared" si="64"/>
        <v>0</v>
      </c>
      <c r="AD144" s="100">
        <f t="shared" si="72"/>
        <v>0</v>
      </c>
      <c r="AE144" s="100">
        <f t="shared" si="73"/>
        <v>0</v>
      </c>
      <c r="AF144" s="194">
        <f t="shared" si="60"/>
        <v>0</v>
      </c>
      <c r="AG144" s="194">
        <f t="shared" si="61"/>
        <v>0</v>
      </c>
      <c r="AH144" s="194">
        <f t="shared" si="62"/>
        <v>0</v>
      </c>
      <c r="AI144" s="199">
        <f t="shared" si="63"/>
        <v>0</v>
      </c>
      <c r="AK144" s="71">
        <v>139</v>
      </c>
      <c r="AL144" s="33"/>
      <c r="AM144" s="33"/>
      <c r="AN144" s="33"/>
      <c r="AO144" s="33"/>
      <c r="AP144" s="33"/>
      <c r="AQ144" s="194"/>
      <c r="AR144" s="194"/>
      <c r="AS144" s="194"/>
      <c r="AT144" s="194"/>
      <c r="AU144" s="33"/>
      <c r="AV144" s="33"/>
      <c r="AW144" s="33"/>
      <c r="AX144" s="33"/>
      <c r="AY144" s="76"/>
    </row>
    <row r="145" spans="3:51">
      <c r="C145" s="166" t="s">
        <v>20</v>
      </c>
      <c r="D145" s="4">
        <v>0.57999999999999996</v>
      </c>
      <c r="E145" s="188" t="s">
        <v>227</v>
      </c>
      <c r="F145" s="343">
        <f>IF(OR(Tableau145[[#This Row],[Type]]="Feuillus",Tableau145[[#This Row],[Type]]="Peupliers"),1.56,1.3)</f>
        <v>1.56</v>
      </c>
      <c r="I145" s="55">
        <v>140</v>
      </c>
      <c r="J145" s="33">
        <f t="shared" si="76"/>
        <v>0</v>
      </c>
      <c r="K145" s="33">
        <f t="shared" si="77"/>
        <v>0</v>
      </c>
      <c r="L145" s="33">
        <f t="shared" si="78"/>
        <v>0</v>
      </c>
      <c r="M145" s="33">
        <f t="shared" si="79"/>
        <v>0</v>
      </c>
      <c r="N145" s="33">
        <f t="shared" si="65"/>
        <v>0</v>
      </c>
      <c r="O145" s="34">
        <f t="shared" si="66"/>
        <v>0</v>
      </c>
      <c r="P145" s="55">
        <v>140</v>
      </c>
      <c r="Q145" s="33">
        <f t="shared" si="74"/>
        <v>0</v>
      </c>
      <c r="R145" s="33">
        <f t="shared" si="80"/>
        <v>0</v>
      </c>
      <c r="S145" s="33">
        <f t="shared" si="81"/>
        <v>0</v>
      </c>
      <c r="T145" s="33">
        <f t="shared" si="67"/>
        <v>0</v>
      </c>
      <c r="U145" s="33">
        <f t="shared" si="75"/>
        <v>0</v>
      </c>
      <c r="V145" s="33">
        <f t="shared" si="68"/>
        <v>0</v>
      </c>
      <c r="W145" s="33">
        <v>0</v>
      </c>
      <c r="X145" s="33">
        <f t="shared" si="69"/>
        <v>0</v>
      </c>
      <c r="Y145" s="38">
        <f t="shared" si="70"/>
        <v>0</v>
      </c>
      <c r="AA145" s="71">
        <v>140</v>
      </c>
      <c r="AB145" s="33">
        <f t="shared" si="71"/>
        <v>0</v>
      </c>
      <c r="AC145" s="305">
        <f t="shared" si="64"/>
        <v>0</v>
      </c>
      <c r="AD145" s="100">
        <f t="shared" si="72"/>
        <v>0</v>
      </c>
      <c r="AE145" s="100">
        <f t="shared" si="73"/>
        <v>0</v>
      </c>
      <c r="AF145" s="194">
        <f t="shared" si="60"/>
        <v>0</v>
      </c>
      <c r="AG145" s="194">
        <f t="shared" si="61"/>
        <v>0</v>
      </c>
      <c r="AH145" s="194">
        <f t="shared" si="62"/>
        <v>0</v>
      </c>
      <c r="AI145" s="199">
        <f t="shared" si="63"/>
        <v>0</v>
      </c>
      <c r="AK145" s="71">
        <v>140</v>
      </c>
      <c r="AL145" s="33"/>
      <c r="AM145" s="33"/>
      <c r="AN145" s="33"/>
      <c r="AO145" s="33"/>
      <c r="AP145" s="33"/>
      <c r="AQ145" s="194"/>
      <c r="AR145" s="194"/>
      <c r="AS145" s="194"/>
      <c r="AT145" s="194"/>
      <c r="AU145" s="33"/>
      <c r="AV145" s="33"/>
      <c r="AW145" s="33"/>
      <c r="AX145" s="33"/>
      <c r="AY145" s="76"/>
    </row>
    <row r="146" spans="3:51">
      <c r="C146" s="166" t="s">
        <v>21</v>
      </c>
      <c r="D146" s="4">
        <v>0.64</v>
      </c>
      <c r="E146" s="188" t="s">
        <v>227</v>
      </c>
      <c r="F146" s="343">
        <f>IF(OR(Tableau145[[#This Row],[Type]]="Feuillus",Tableau145[[#This Row],[Type]]="Peupliers"),1.56,1.3)</f>
        <v>1.56</v>
      </c>
      <c r="I146" s="55">
        <v>141</v>
      </c>
      <c r="J146" s="33">
        <f t="shared" si="76"/>
        <v>0</v>
      </c>
      <c r="K146" s="33">
        <f t="shared" si="77"/>
        <v>0</v>
      </c>
      <c r="L146" s="33">
        <f t="shared" si="78"/>
        <v>0</v>
      </c>
      <c r="M146" s="33">
        <f t="shared" si="79"/>
        <v>0</v>
      </c>
      <c r="N146" s="33">
        <f t="shared" si="65"/>
        <v>0</v>
      </c>
      <c r="O146" s="34">
        <f t="shared" si="66"/>
        <v>0</v>
      </c>
      <c r="P146" s="55">
        <v>141</v>
      </c>
      <c r="Q146" s="33">
        <f t="shared" si="74"/>
        <v>0</v>
      </c>
      <c r="R146" s="33">
        <f t="shared" si="80"/>
        <v>0</v>
      </c>
      <c r="S146" s="33">
        <f t="shared" si="81"/>
        <v>0</v>
      </c>
      <c r="T146" s="33">
        <f t="shared" si="67"/>
        <v>0</v>
      </c>
      <c r="U146" s="33">
        <f t="shared" si="75"/>
        <v>0</v>
      </c>
      <c r="V146" s="33">
        <f t="shared" si="68"/>
        <v>0</v>
      </c>
      <c r="W146" s="33">
        <v>0</v>
      </c>
      <c r="X146" s="33">
        <f t="shared" si="69"/>
        <v>0</v>
      </c>
      <c r="Y146" s="38">
        <f t="shared" si="70"/>
        <v>0</v>
      </c>
      <c r="AA146" s="71">
        <v>141</v>
      </c>
      <c r="AB146" s="33">
        <f t="shared" si="71"/>
        <v>0</v>
      </c>
      <c r="AC146" s="305">
        <f t="shared" si="64"/>
        <v>0</v>
      </c>
      <c r="AD146" s="100">
        <f t="shared" si="72"/>
        <v>0</v>
      </c>
      <c r="AE146" s="100">
        <f t="shared" si="73"/>
        <v>0</v>
      </c>
      <c r="AF146" s="194">
        <f t="shared" si="60"/>
        <v>0</v>
      </c>
      <c r="AG146" s="194">
        <f t="shared" si="61"/>
        <v>0</v>
      </c>
      <c r="AH146" s="194">
        <f t="shared" si="62"/>
        <v>0</v>
      </c>
      <c r="AI146" s="199">
        <f t="shared" si="63"/>
        <v>0</v>
      </c>
      <c r="AK146" s="71">
        <v>141</v>
      </c>
      <c r="AL146" s="33"/>
      <c r="AM146" s="33"/>
      <c r="AN146" s="33"/>
      <c r="AO146" s="33"/>
      <c r="AP146" s="33"/>
      <c r="AQ146" s="194"/>
      <c r="AR146" s="194"/>
      <c r="AS146" s="194"/>
      <c r="AT146" s="194"/>
      <c r="AU146" s="33"/>
      <c r="AV146" s="33"/>
      <c r="AW146" s="33"/>
      <c r="AX146" s="33"/>
      <c r="AY146" s="76"/>
    </row>
    <row r="147" spans="3:51">
      <c r="C147" s="166" t="s">
        <v>22</v>
      </c>
      <c r="D147" s="4">
        <v>0.73</v>
      </c>
      <c r="E147" s="188" t="s">
        <v>227</v>
      </c>
      <c r="F147" s="343">
        <f>IF(OR(Tableau145[[#This Row],[Type]]="Feuillus",Tableau145[[#This Row],[Type]]="Peupliers"),1.56,1.3)</f>
        <v>1.56</v>
      </c>
      <c r="I147" s="55">
        <v>142</v>
      </c>
      <c r="J147" s="33">
        <f t="shared" si="76"/>
        <v>0</v>
      </c>
      <c r="K147" s="33">
        <f t="shared" si="77"/>
        <v>0</v>
      </c>
      <c r="L147" s="33">
        <f t="shared" si="78"/>
        <v>0</v>
      </c>
      <c r="M147" s="33">
        <f t="shared" si="79"/>
        <v>0</v>
      </c>
      <c r="N147" s="33">
        <f t="shared" si="65"/>
        <v>0</v>
      </c>
      <c r="O147" s="34">
        <f t="shared" si="66"/>
        <v>0</v>
      </c>
      <c r="P147" s="55">
        <v>142</v>
      </c>
      <c r="Q147" s="33">
        <f t="shared" si="74"/>
        <v>0</v>
      </c>
      <c r="R147" s="33">
        <f t="shared" si="80"/>
        <v>0</v>
      </c>
      <c r="S147" s="33">
        <f t="shared" si="81"/>
        <v>0</v>
      </c>
      <c r="T147" s="33">
        <f t="shared" si="67"/>
        <v>0</v>
      </c>
      <c r="U147" s="33">
        <f t="shared" si="75"/>
        <v>0</v>
      </c>
      <c r="V147" s="33">
        <f t="shared" si="68"/>
        <v>0</v>
      </c>
      <c r="W147" s="33">
        <v>0</v>
      </c>
      <c r="X147" s="33">
        <f t="shared" si="69"/>
        <v>0</v>
      </c>
      <c r="Y147" s="38">
        <f t="shared" si="70"/>
        <v>0</v>
      </c>
      <c r="AA147" s="71">
        <v>142</v>
      </c>
      <c r="AB147" s="33">
        <f t="shared" si="71"/>
        <v>0</v>
      </c>
      <c r="AC147" s="305">
        <f t="shared" si="64"/>
        <v>0</v>
      </c>
      <c r="AD147" s="100">
        <f t="shared" si="72"/>
        <v>0</v>
      </c>
      <c r="AE147" s="100">
        <f t="shared" si="73"/>
        <v>0</v>
      </c>
      <c r="AF147" s="194">
        <f t="shared" si="60"/>
        <v>0</v>
      </c>
      <c r="AG147" s="194">
        <f t="shared" si="61"/>
        <v>0</v>
      </c>
      <c r="AH147" s="194">
        <f t="shared" si="62"/>
        <v>0</v>
      </c>
      <c r="AI147" s="199">
        <f t="shared" si="63"/>
        <v>0</v>
      </c>
      <c r="AK147" s="71">
        <v>142</v>
      </c>
      <c r="AL147" s="33"/>
      <c r="AM147" s="33"/>
      <c r="AN147" s="33"/>
      <c r="AO147" s="33"/>
      <c r="AP147" s="33"/>
      <c r="AQ147" s="194"/>
      <c r="AR147" s="194"/>
      <c r="AS147" s="194"/>
      <c r="AT147" s="194"/>
      <c r="AU147" s="33"/>
      <c r="AV147" s="33"/>
      <c r="AW147" s="33"/>
      <c r="AX147" s="33"/>
      <c r="AY147" s="76"/>
    </row>
    <row r="148" spans="3:51">
      <c r="C148" s="166" t="s">
        <v>23</v>
      </c>
      <c r="D148" s="4">
        <v>0.56000000000000005</v>
      </c>
      <c r="E148" s="188" t="s">
        <v>227</v>
      </c>
      <c r="F148" s="343">
        <f>IF(OR(Tableau145[[#This Row],[Type]]="Feuillus",Tableau145[[#This Row],[Type]]="Peupliers"),1.56,1.3)</f>
        <v>1.56</v>
      </c>
      <c r="I148" s="55">
        <v>143</v>
      </c>
      <c r="J148" s="33">
        <f t="shared" si="76"/>
        <v>0</v>
      </c>
      <c r="K148" s="33">
        <f t="shared" si="77"/>
        <v>0</v>
      </c>
      <c r="L148" s="33">
        <f t="shared" si="78"/>
        <v>0</v>
      </c>
      <c r="M148" s="33">
        <f t="shared" si="79"/>
        <v>0</v>
      </c>
      <c r="N148" s="33">
        <f t="shared" si="65"/>
        <v>0</v>
      </c>
      <c r="O148" s="34">
        <f t="shared" si="66"/>
        <v>0</v>
      </c>
      <c r="P148" s="55">
        <v>143</v>
      </c>
      <c r="Q148" s="33">
        <f t="shared" si="74"/>
        <v>0</v>
      </c>
      <c r="R148" s="33">
        <f t="shared" si="80"/>
        <v>0</v>
      </c>
      <c r="S148" s="33">
        <f t="shared" si="81"/>
        <v>0</v>
      </c>
      <c r="T148" s="33">
        <f t="shared" si="67"/>
        <v>0</v>
      </c>
      <c r="U148" s="33">
        <f t="shared" si="75"/>
        <v>0</v>
      </c>
      <c r="V148" s="33">
        <f t="shared" si="68"/>
        <v>0</v>
      </c>
      <c r="W148" s="33">
        <v>0</v>
      </c>
      <c r="X148" s="33">
        <f t="shared" si="69"/>
        <v>0</v>
      </c>
      <c r="Y148" s="38">
        <f t="shared" si="70"/>
        <v>0</v>
      </c>
      <c r="AA148" s="71">
        <v>143</v>
      </c>
      <c r="AB148" s="33">
        <f t="shared" si="71"/>
        <v>0</v>
      </c>
      <c r="AC148" s="305">
        <f t="shared" si="64"/>
        <v>0</v>
      </c>
      <c r="AD148" s="100">
        <f t="shared" si="72"/>
        <v>0</v>
      </c>
      <c r="AE148" s="100">
        <f t="shared" si="73"/>
        <v>0</v>
      </c>
      <c r="AF148" s="194">
        <f t="shared" si="60"/>
        <v>0</v>
      </c>
      <c r="AG148" s="194">
        <f t="shared" si="61"/>
        <v>0</v>
      </c>
      <c r="AH148" s="194">
        <f t="shared" si="62"/>
        <v>0</v>
      </c>
      <c r="AI148" s="199">
        <f t="shared" si="63"/>
        <v>0</v>
      </c>
      <c r="AK148" s="71">
        <v>143</v>
      </c>
      <c r="AL148" s="33"/>
      <c r="AM148" s="33"/>
      <c r="AN148" s="33"/>
      <c r="AO148" s="33"/>
      <c r="AP148" s="33"/>
      <c r="AQ148" s="194"/>
      <c r="AR148" s="194"/>
      <c r="AS148" s="194"/>
      <c r="AT148" s="194"/>
      <c r="AU148" s="33"/>
      <c r="AV148" s="33"/>
      <c r="AW148" s="33"/>
      <c r="AX148" s="33"/>
      <c r="AY148" s="76"/>
    </row>
    <row r="149" spans="3:51">
      <c r="C149" s="166" t="s">
        <v>24</v>
      </c>
      <c r="D149" s="4">
        <v>0.74</v>
      </c>
      <c r="E149" s="188" t="s">
        <v>227</v>
      </c>
      <c r="F149" s="343">
        <f>IF(OR(Tableau145[[#This Row],[Type]]="Feuillus",Tableau145[[#This Row],[Type]]="Peupliers"),1.56,1.3)</f>
        <v>1.56</v>
      </c>
      <c r="I149" s="55">
        <v>144</v>
      </c>
      <c r="J149" s="33">
        <f t="shared" si="76"/>
        <v>0</v>
      </c>
      <c r="K149" s="33">
        <f t="shared" si="77"/>
        <v>0</v>
      </c>
      <c r="L149" s="33">
        <f t="shared" si="78"/>
        <v>0</v>
      </c>
      <c r="M149" s="33">
        <f t="shared" si="79"/>
        <v>0</v>
      </c>
      <c r="N149" s="33">
        <f t="shared" si="65"/>
        <v>0</v>
      </c>
      <c r="O149" s="34">
        <f t="shared" si="66"/>
        <v>0</v>
      </c>
      <c r="P149" s="55">
        <v>144</v>
      </c>
      <c r="Q149" s="33">
        <f t="shared" si="74"/>
        <v>0</v>
      </c>
      <c r="R149" s="33">
        <f t="shared" si="80"/>
        <v>0</v>
      </c>
      <c r="S149" s="33">
        <f t="shared" si="81"/>
        <v>0</v>
      </c>
      <c r="T149" s="33">
        <f t="shared" si="67"/>
        <v>0</v>
      </c>
      <c r="U149" s="33">
        <f t="shared" si="75"/>
        <v>0</v>
      </c>
      <c r="V149" s="33">
        <f t="shared" si="68"/>
        <v>0</v>
      </c>
      <c r="W149" s="33">
        <v>0</v>
      </c>
      <c r="X149" s="33">
        <f t="shared" si="69"/>
        <v>0</v>
      </c>
      <c r="Y149" s="38">
        <f t="shared" si="70"/>
        <v>0</v>
      </c>
      <c r="AA149" s="71">
        <v>144</v>
      </c>
      <c r="AB149" s="33">
        <f t="shared" si="71"/>
        <v>0</v>
      </c>
      <c r="AC149" s="305">
        <f t="shared" si="64"/>
        <v>0</v>
      </c>
      <c r="AD149" s="100">
        <f t="shared" si="72"/>
        <v>0</v>
      </c>
      <c r="AE149" s="100">
        <f t="shared" si="73"/>
        <v>0</v>
      </c>
      <c r="AF149" s="194">
        <f t="shared" si="60"/>
        <v>0</v>
      </c>
      <c r="AG149" s="194">
        <f t="shared" si="61"/>
        <v>0</v>
      </c>
      <c r="AH149" s="194">
        <f t="shared" si="62"/>
        <v>0</v>
      </c>
      <c r="AI149" s="199">
        <f t="shared" si="63"/>
        <v>0</v>
      </c>
      <c r="AK149" s="71">
        <v>144</v>
      </c>
      <c r="AL149" s="33"/>
      <c r="AM149" s="33"/>
      <c r="AN149" s="33"/>
      <c r="AO149" s="33"/>
      <c r="AP149" s="33"/>
      <c r="AQ149" s="194"/>
      <c r="AR149" s="194"/>
      <c r="AS149" s="194"/>
      <c r="AT149" s="194"/>
      <c r="AU149" s="33"/>
      <c r="AV149" s="33"/>
      <c r="AW149" s="33"/>
      <c r="AX149" s="33"/>
      <c r="AY149" s="76"/>
    </row>
    <row r="150" spans="3:51">
      <c r="C150" s="166" t="s">
        <v>25</v>
      </c>
      <c r="D150" s="4">
        <v>0.4</v>
      </c>
      <c r="E150" s="188" t="s">
        <v>228</v>
      </c>
      <c r="F150" s="343">
        <f>IF(OR(Tableau145[[#This Row],[Type]]="Feuillus",Tableau145[[#This Row],[Type]]="Peupliers"),1.56,1.3)</f>
        <v>1.3</v>
      </c>
      <c r="I150" s="55">
        <v>145</v>
      </c>
      <c r="J150" s="33">
        <f t="shared" si="76"/>
        <v>0</v>
      </c>
      <c r="K150" s="33">
        <f t="shared" si="77"/>
        <v>0</v>
      </c>
      <c r="L150" s="33">
        <f t="shared" si="78"/>
        <v>0</v>
      </c>
      <c r="M150" s="33">
        <f t="shared" si="79"/>
        <v>0</v>
      </c>
      <c r="N150" s="33">
        <f t="shared" si="65"/>
        <v>0</v>
      </c>
      <c r="O150" s="34">
        <f t="shared" si="66"/>
        <v>0</v>
      </c>
      <c r="P150" s="55">
        <v>145</v>
      </c>
      <c r="Q150" s="33">
        <f t="shared" si="74"/>
        <v>0</v>
      </c>
      <c r="R150" s="33">
        <f t="shared" si="80"/>
        <v>0</v>
      </c>
      <c r="S150" s="33">
        <f t="shared" si="81"/>
        <v>0</v>
      </c>
      <c r="T150" s="33">
        <f t="shared" si="67"/>
        <v>0</v>
      </c>
      <c r="U150" s="33">
        <f t="shared" si="75"/>
        <v>0</v>
      </c>
      <c r="V150" s="33">
        <f t="shared" si="68"/>
        <v>0</v>
      </c>
      <c r="W150" s="33">
        <v>0</v>
      </c>
      <c r="X150" s="33">
        <f t="shared" si="69"/>
        <v>0</v>
      </c>
      <c r="Y150" s="38">
        <f t="shared" si="70"/>
        <v>0</v>
      </c>
      <c r="AA150" s="71">
        <v>145</v>
      </c>
      <c r="AB150" s="33">
        <f t="shared" si="71"/>
        <v>0</v>
      </c>
      <c r="AC150" s="305">
        <f t="shared" si="64"/>
        <v>0</v>
      </c>
      <c r="AD150" s="100">
        <f t="shared" si="72"/>
        <v>0</v>
      </c>
      <c r="AE150" s="100">
        <f t="shared" si="73"/>
        <v>0</v>
      </c>
      <c r="AF150" s="194">
        <f t="shared" si="60"/>
        <v>0</v>
      </c>
      <c r="AG150" s="194">
        <f t="shared" si="61"/>
        <v>0</v>
      </c>
      <c r="AH150" s="194">
        <f t="shared" si="62"/>
        <v>0</v>
      </c>
      <c r="AI150" s="199">
        <f t="shared" si="63"/>
        <v>0</v>
      </c>
      <c r="AK150" s="71">
        <v>145</v>
      </c>
      <c r="AL150" s="33"/>
      <c r="AM150" s="33"/>
      <c r="AN150" s="33"/>
      <c r="AO150" s="33"/>
      <c r="AP150" s="33"/>
      <c r="AQ150" s="194"/>
      <c r="AR150" s="194"/>
      <c r="AS150" s="194"/>
      <c r="AT150" s="194"/>
      <c r="AU150" s="33"/>
      <c r="AV150" s="33"/>
      <c r="AW150" s="33"/>
      <c r="AX150" s="33"/>
      <c r="AY150" s="76"/>
    </row>
    <row r="151" spans="3:51">
      <c r="C151" s="166" t="s">
        <v>26</v>
      </c>
      <c r="D151" s="4">
        <v>0.6</v>
      </c>
      <c r="E151" s="188" t="s">
        <v>227</v>
      </c>
      <c r="F151" s="343">
        <f>IF(OR(Tableau145[[#This Row],[Type]]="Feuillus",Tableau145[[#This Row],[Type]]="Peupliers"),1.56,1.3)</f>
        <v>1.56</v>
      </c>
      <c r="I151" s="55">
        <v>146</v>
      </c>
      <c r="J151" s="33">
        <f t="shared" si="76"/>
        <v>0</v>
      </c>
      <c r="K151" s="33">
        <f t="shared" si="77"/>
        <v>0</v>
      </c>
      <c r="L151" s="33">
        <f t="shared" si="78"/>
        <v>0</v>
      </c>
      <c r="M151" s="33">
        <f t="shared" si="79"/>
        <v>0</v>
      </c>
      <c r="N151" s="33">
        <f t="shared" si="65"/>
        <v>0</v>
      </c>
      <c r="O151" s="34">
        <f t="shared" si="66"/>
        <v>0</v>
      </c>
      <c r="P151" s="55">
        <v>146</v>
      </c>
      <c r="Q151" s="33">
        <f t="shared" si="74"/>
        <v>0</v>
      </c>
      <c r="R151" s="33">
        <f t="shared" si="80"/>
        <v>0</v>
      </c>
      <c r="S151" s="33">
        <f t="shared" si="81"/>
        <v>0</v>
      </c>
      <c r="T151" s="33">
        <f t="shared" si="67"/>
        <v>0</v>
      </c>
      <c r="U151" s="33">
        <f t="shared" si="75"/>
        <v>0</v>
      </c>
      <c r="V151" s="33">
        <f t="shared" si="68"/>
        <v>0</v>
      </c>
      <c r="W151" s="33">
        <v>0</v>
      </c>
      <c r="X151" s="33">
        <f t="shared" si="69"/>
        <v>0</v>
      </c>
      <c r="Y151" s="38">
        <f t="shared" si="70"/>
        <v>0</v>
      </c>
      <c r="AA151" s="71">
        <v>146</v>
      </c>
      <c r="AB151" s="33">
        <f t="shared" si="71"/>
        <v>0</v>
      </c>
      <c r="AC151" s="305">
        <f t="shared" si="64"/>
        <v>0</v>
      </c>
      <c r="AD151" s="100">
        <f t="shared" si="72"/>
        <v>0</v>
      </c>
      <c r="AE151" s="100">
        <f t="shared" si="73"/>
        <v>0</v>
      </c>
      <c r="AF151" s="194">
        <f t="shared" si="60"/>
        <v>0</v>
      </c>
      <c r="AG151" s="194">
        <f t="shared" si="61"/>
        <v>0</v>
      </c>
      <c r="AH151" s="194">
        <f t="shared" si="62"/>
        <v>0</v>
      </c>
      <c r="AI151" s="199">
        <f t="shared" si="63"/>
        <v>0</v>
      </c>
      <c r="AK151" s="71">
        <v>146</v>
      </c>
      <c r="AL151" s="33"/>
      <c r="AM151" s="33"/>
      <c r="AN151" s="33"/>
      <c r="AO151" s="33"/>
      <c r="AP151" s="33"/>
      <c r="AQ151" s="194"/>
      <c r="AR151" s="194"/>
      <c r="AS151" s="194"/>
      <c r="AT151" s="194"/>
      <c r="AU151" s="33"/>
      <c r="AV151" s="33"/>
      <c r="AW151" s="33"/>
      <c r="AX151" s="33"/>
      <c r="AY151" s="76"/>
    </row>
    <row r="152" spans="3:51">
      <c r="C152" s="166" t="s">
        <v>27</v>
      </c>
      <c r="D152" s="4">
        <v>0.43</v>
      </c>
      <c r="E152" s="188" t="s">
        <v>228</v>
      </c>
      <c r="F152" s="343">
        <f>IF(OR(Tableau145[[#This Row],[Type]]="Feuillus",Tableau145[[#This Row],[Type]]="Peupliers"),1.56,1.3)</f>
        <v>1.3</v>
      </c>
      <c r="I152" s="55">
        <v>147</v>
      </c>
      <c r="J152" s="33">
        <f t="shared" si="76"/>
        <v>0</v>
      </c>
      <c r="K152" s="33">
        <f t="shared" si="77"/>
        <v>0</v>
      </c>
      <c r="L152" s="33">
        <f t="shared" si="78"/>
        <v>0</v>
      </c>
      <c r="M152" s="33">
        <f t="shared" si="79"/>
        <v>0</v>
      </c>
      <c r="N152" s="33">
        <f t="shared" si="65"/>
        <v>0</v>
      </c>
      <c r="O152" s="34">
        <f t="shared" si="66"/>
        <v>0</v>
      </c>
      <c r="P152" s="55">
        <v>147</v>
      </c>
      <c r="Q152" s="33">
        <f t="shared" si="74"/>
        <v>0</v>
      </c>
      <c r="R152" s="33">
        <f t="shared" si="80"/>
        <v>0</v>
      </c>
      <c r="S152" s="33">
        <f t="shared" si="81"/>
        <v>0</v>
      </c>
      <c r="T152" s="33">
        <f t="shared" si="67"/>
        <v>0</v>
      </c>
      <c r="U152" s="33">
        <f t="shared" si="75"/>
        <v>0</v>
      </c>
      <c r="V152" s="33">
        <f t="shared" si="68"/>
        <v>0</v>
      </c>
      <c r="W152" s="33">
        <v>0</v>
      </c>
      <c r="X152" s="33">
        <f t="shared" si="69"/>
        <v>0</v>
      </c>
      <c r="Y152" s="38">
        <f t="shared" si="70"/>
        <v>0</v>
      </c>
      <c r="AA152" s="71">
        <v>147</v>
      </c>
      <c r="AB152" s="33">
        <f t="shared" si="71"/>
        <v>0</v>
      </c>
      <c r="AC152" s="305">
        <f t="shared" si="64"/>
        <v>0</v>
      </c>
      <c r="AD152" s="100">
        <f t="shared" si="72"/>
        <v>0</v>
      </c>
      <c r="AE152" s="100">
        <f t="shared" si="73"/>
        <v>0</v>
      </c>
      <c r="AF152" s="194">
        <f t="shared" si="60"/>
        <v>0</v>
      </c>
      <c r="AG152" s="194">
        <f t="shared" si="61"/>
        <v>0</v>
      </c>
      <c r="AH152" s="194">
        <f t="shared" si="62"/>
        <v>0</v>
      </c>
      <c r="AI152" s="199">
        <f t="shared" si="63"/>
        <v>0</v>
      </c>
      <c r="AK152" s="71">
        <v>147</v>
      </c>
      <c r="AL152" s="33"/>
      <c r="AM152" s="33"/>
      <c r="AN152" s="33"/>
      <c r="AO152" s="33"/>
      <c r="AP152" s="33"/>
      <c r="AQ152" s="194"/>
      <c r="AR152" s="194"/>
      <c r="AS152" s="194"/>
      <c r="AT152" s="194"/>
      <c r="AU152" s="33"/>
      <c r="AV152" s="33"/>
      <c r="AW152" s="33"/>
      <c r="AX152" s="33"/>
      <c r="AY152" s="76"/>
    </row>
    <row r="153" spans="3:51">
      <c r="C153" s="166" t="s">
        <v>28</v>
      </c>
      <c r="D153" s="4">
        <v>0.37</v>
      </c>
      <c r="E153" s="188" t="s">
        <v>228</v>
      </c>
      <c r="F153" s="343">
        <f>IF(OR(Tableau145[[#This Row],[Type]]="Feuillus",Tableau145[[#This Row],[Type]]="Peupliers"),1.56,1.3)</f>
        <v>1.3</v>
      </c>
      <c r="I153" s="55">
        <v>148</v>
      </c>
      <c r="J153" s="33">
        <f t="shared" si="76"/>
        <v>0</v>
      </c>
      <c r="K153" s="33">
        <f t="shared" si="77"/>
        <v>0</v>
      </c>
      <c r="L153" s="33">
        <f t="shared" si="78"/>
        <v>0</v>
      </c>
      <c r="M153" s="33">
        <f t="shared" si="79"/>
        <v>0</v>
      </c>
      <c r="N153" s="33">
        <f t="shared" si="65"/>
        <v>0</v>
      </c>
      <c r="O153" s="34">
        <f t="shared" si="66"/>
        <v>0</v>
      </c>
      <c r="P153" s="55">
        <v>148</v>
      </c>
      <c r="Q153" s="33">
        <f t="shared" si="74"/>
        <v>0</v>
      </c>
      <c r="R153" s="33">
        <f t="shared" si="80"/>
        <v>0</v>
      </c>
      <c r="S153" s="33">
        <f t="shared" si="81"/>
        <v>0</v>
      </c>
      <c r="T153" s="33">
        <f t="shared" si="67"/>
        <v>0</v>
      </c>
      <c r="U153" s="33">
        <f t="shared" si="75"/>
        <v>0</v>
      </c>
      <c r="V153" s="33">
        <f t="shared" si="68"/>
        <v>0</v>
      </c>
      <c r="W153" s="33">
        <v>0</v>
      </c>
      <c r="X153" s="33">
        <f t="shared" si="69"/>
        <v>0</v>
      </c>
      <c r="Y153" s="38">
        <f t="shared" si="70"/>
        <v>0</v>
      </c>
      <c r="AA153" s="71">
        <v>148</v>
      </c>
      <c r="AB153" s="33">
        <f t="shared" si="71"/>
        <v>0</v>
      </c>
      <c r="AC153" s="305">
        <f t="shared" si="64"/>
        <v>0</v>
      </c>
      <c r="AD153" s="100">
        <f t="shared" si="72"/>
        <v>0</v>
      </c>
      <c r="AE153" s="100">
        <f t="shared" si="73"/>
        <v>0</v>
      </c>
      <c r="AF153" s="194">
        <f t="shared" si="60"/>
        <v>0</v>
      </c>
      <c r="AG153" s="194">
        <f t="shared" si="61"/>
        <v>0</v>
      </c>
      <c r="AH153" s="194">
        <f t="shared" si="62"/>
        <v>0</v>
      </c>
      <c r="AI153" s="199">
        <f t="shared" si="63"/>
        <v>0</v>
      </c>
      <c r="AK153" s="71">
        <v>148</v>
      </c>
      <c r="AL153" s="33"/>
      <c r="AM153" s="33"/>
      <c r="AN153" s="33"/>
      <c r="AO153" s="33"/>
      <c r="AP153" s="33"/>
      <c r="AQ153" s="194"/>
      <c r="AR153" s="194"/>
      <c r="AS153" s="194"/>
      <c r="AT153" s="194"/>
      <c r="AU153" s="33"/>
      <c r="AV153" s="33"/>
      <c r="AW153" s="33"/>
      <c r="AX153" s="33"/>
      <c r="AY153" s="76"/>
    </row>
    <row r="154" spans="3:51">
      <c r="C154" s="166" t="s">
        <v>29</v>
      </c>
      <c r="D154" s="4">
        <v>0.36</v>
      </c>
      <c r="E154" s="188" t="s">
        <v>228</v>
      </c>
      <c r="F154" s="343">
        <f>IF(OR(Tableau145[[#This Row],[Type]]="Feuillus",Tableau145[[#This Row],[Type]]="Peupliers"),1.56,1.3)</f>
        <v>1.3</v>
      </c>
      <c r="I154" s="55">
        <v>149</v>
      </c>
      <c r="J154" s="33">
        <f t="shared" si="76"/>
        <v>0</v>
      </c>
      <c r="K154" s="33">
        <f t="shared" si="77"/>
        <v>0</v>
      </c>
      <c r="L154" s="33">
        <f t="shared" si="78"/>
        <v>0</v>
      </c>
      <c r="M154" s="33">
        <f t="shared" si="79"/>
        <v>0</v>
      </c>
      <c r="N154" s="33">
        <f t="shared" si="65"/>
        <v>0</v>
      </c>
      <c r="O154" s="34">
        <f t="shared" si="66"/>
        <v>0</v>
      </c>
      <c r="P154" s="55">
        <v>149</v>
      </c>
      <c r="Q154" s="33">
        <f t="shared" si="74"/>
        <v>0</v>
      </c>
      <c r="R154" s="33">
        <f t="shared" si="80"/>
        <v>0</v>
      </c>
      <c r="S154" s="33">
        <f t="shared" si="81"/>
        <v>0</v>
      </c>
      <c r="T154" s="33">
        <f t="shared" si="67"/>
        <v>0</v>
      </c>
      <c r="U154" s="33">
        <f t="shared" si="75"/>
        <v>0</v>
      </c>
      <c r="V154" s="33">
        <f t="shared" si="68"/>
        <v>0</v>
      </c>
      <c r="W154" s="33">
        <v>0</v>
      </c>
      <c r="X154" s="33">
        <f t="shared" si="69"/>
        <v>0</v>
      </c>
      <c r="Y154" s="38">
        <f t="shared" si="70"/>
        <v>0</v>
      </c>
      <c r="AA154" s="71">
        <v>149</v>
      </c>
      <c r="AB154" s="33">
        <f t="shared" si="71"/>
        <v>0</v>
      </c>
      <c r="AC154" s="305">
        <f t="shared" si="64"/>
        <v>0</v>
      </c>
      <c r="AD154" s="100">
        <f t="shared" si="72"/>
        <v>0</v>
      </c>
      <c r="AE154" s="100">
        <f t="shared" si="73"/>
        <v>0</v>
      </c>
      <c r="AF154" s="194">
        <f t="shared" si="60"/>
        <v>0</v>
      </c>
      <c r="AG154" s="194">
        <f t="shared" si="61"/>
        <v>0</v>
      </c>
      <c r="AH154" s="194">
        <f t="shared" si="62"/>
        <v>0</v>
      </c>
      <c r="AI154" s="199">
        <f t="shared" si="63"/>
        <v>0</v>
      </c>
      <c r="AK154" s="71">
        <v>149</v>
      </c>
      <c r="AL154" s="33"/>
      <c r="AM154" s="33"/>
      <c r="AN154" s="33"/>
      <c r="AO154" s="33"/>
      <c r="AP154" s="33"/>
      <c r="AQ154" s="194"/>
      <c r="AR154" s="194"/>
      <c r="AS154" s="194"/>
      <c r="AT154" s="194"/>
      <c r="AU154" s="33"/>
      <c r="AV154" s="33"/>
      <c r="AW154" s="33"/>
      <c r="AX154" s="33"/>
      <c r="AY154" s="76"/>
    </row>
    <row r="155" spans="3:51">
      <c r="C155" s="166" t="s">
        <v>30</v>
      </c>
      <c r="D155" s="4">
        <v>0.51</v>
      </c>
      <c r="E155" s="188" t="s">
        <v>227</v>
      </c>
      <c r="F155" s="343">
        <f>IF(OR(Tableau145[[#This Row],[Type]]="Feuillus",Tableau145[[#This Row],[Type]]="Peupliers"),1.56,1.3)</f>
        <v>1.56</v>
      </c>
      <c r="I155" s="55">
        <v>150</v>
      </c>
      <c r="J155" s="33">
        <f t="shared" si="76"/>
        <v>0</v>
      </c>
      <c r="K155" s="33">
        <f t="shared" si="77"/>
        <v>0</v>
      </c>
      <c r="L155" s="33">
        <f t="shared" si="78"/>
        <v>0</v>
      </c>
      <c r="M155" s="33">
        <f t="shared" si="79"/>
        <v>0</v>
      </c>
      <c r="N155" s="33">
        <f t="shared" si="65"/>
        <v>0</v>
      </c>
      <c r="O155" s="34">
        <f t="shared" si="66"/>
        <v>0</v>
      </c>
      <c r="P155" s="55">
        <v>150</v>
      </c>
      <c r="Q155" s="33">
        <f t="shared" si="74"/>
        <v>0</v>
      </c>
      <c r="R155" s="33">
        <f t="shared" si="80"/>
        <v>0</v>
      </c>
      <c r="S155" s="33">
        <f t="shared" si="81"/>
        <v>0</v>
      </c>
      <c r="T155" s="33">
        <f t="shared" si="67"/>
        <v>0</v>
      </c>
      <c r="U155" s="33">
        <f t="shared" si="75"/>
        <v>0</v>
      </c>
      <c r="V155" s="33">
        <f t="shared" si="68"/>
        <v>0</v>
      </c>
      <c r="W155" s="33">
        <v>0</v>
      </c>
      <c r="X155" s="33">
        <f t="shared" si="69"/>
        <v>0</v>
      </c>
      <c r="Y155" s="38">
        <f t="shared" si="70"/>
        <v>0</v>
      </c>
      <c r="AA155" s="71">
        <v>150</v>
      </c>
      <c r="AB155" s="33">
        <f t="shared" si="71"/>
        <v>0</v>
      </c>
      <c r="AC155" s="305">
        <f t="shared" si="64"/>
        <v>0</v>
      </c>
      <c r="AD155" s="100">
        <f t="shared" si="72"/>
        <v>0</v>
      </c>
      <c r="AE155" s="100">
        <f t="shared" si="73"/>
        <v>0</v>
      </c>
      <c r="AF155" s="194">
        <f t="shared" ref="AF155:AF205" si="82">IF(OR(AA155&lt;=$F$18,AA155&lt;=30),EXP(-LN(2)/$D$104)*AF154+((1-EXP(-LN(2)/$D$104))/(LN(2)/$D$104))*$AB155*AC155*0.475*$F$19*44/12,)</f>
        <v>0</v>
      </c>
      <c r="AG155" s="194">
        <f t="shared" ref="AG155:AG205" si="83">IF(OR(AA155&lt;=$F$18,AA155&lt;=30),EXP(-LN(2)/$D$106)*AG154+((1-EXP(-LN(2)/$D$106))/(LN(2)/$D$106))*$AB155*AD155*0.475*$F$19*44/12,)</f>
        <v>0</v>
      </c>
      <c r="AH155" s="194">
        <f t="shared" ref="AH155:AH205" si="84">IF(OR(AA155&lt;=$F$18,AA155&lt;=30),EXP(-LN(2)/$D$105)*AH154+((1-EXP(-LN(2)/$D$105))/(LN(2)/$D$105))*$AB155*AE155*0.475*$F$19*44/12,)</f>
        <v>0</v>
      </c>
      <c r="AI155" s="199">
        <f t="shared" ref="AI155:AI205" si="85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4"/>
      <c r="AR155" s="194"/>
      <c r="AS155" s="194"/>
      <c r="AT155" s="194"/>
      <c r="AU155" s="33"/>
      <c r="AV155" s="33"/>
      <c r="AW155" s="33"/>
      <c r="AX155" s="33"/>
      <c r="AY155" s="76"/>
    </row>
    <row r="156" spans="3:51">
      <c r="C156" s="166" t="s">
        <v>31</v>
      </c>
      <c r="D156" s="4">
        <v>0.56000000000000005</v>
      </c>
      <c r="E156" s="188" t="s">
        <v>227</v>
      </c>
      <c r="F156" s="343">
        <f>IF(OR(Tableau145[[#This Row],[Type]]="Feuillus",Tableau145[[#This Row],[Type]]="Peupliers"),1.56,1.3)</f>
        <v>1.56</v>
      </c>
      <c r="I156" s="55">
        <v>151</v>
      </c>
      <c r="J156" s="33">
        <f t="shared" si="76"/>
        <v>0</v>
      </c>
      <c r="K156" s="33">
        <f t="shared" si="77"/>
        <v>0</v>
      </c>
      <c r="L156" s="33">
        <f t="shared" si="78"/>
        <v>0</v>
      </c>
      <c r="M156" s="33">
        <f t="shared" si="79"/>
        <v>0</v>
      </c>
      <c r="N156" s="33">
        <f t="shared" si="65"/>
        <v>0</v>
      </c>
      <c r="O156" s="34">
        <f t="shared" si="66"/>
        <v>0</v>
      </c>
      <c r="P156" s="55">
        <v>151</v>
      </c>
      <c r="Q156" s="33">
        <f t="shared" si="74"/>
        <v>0</v>
      </c>
      <c r="R156" s="33">
        <f t="shared" si="80"/>
        <v>0</v>
      </c>
      <c r="S156" s="33">
        <f t="shared" si="81"/>
        <v>0</v>
      </c>
      <c r="T156" s="33">
        <f t="shared" si="67"/>
        <v>0</v>
      </c>
      <c r="U156" s="33">
        <f t="shared" si="75"/>
        <v>0</v>
      </c>
      <c r="V156" s="33">
        <f t="shared" si="68"/>
        <v>0</v>
      </c>
      <c r="W156" s="33">
        <v>0</v>
      </c>
      <c r="X156" s="33">
        <f t="shared" si="69"/>
        <v>0</v>
      </c>
      <c r="Y156" s="38">
        <f t="shared" si="70"/>
        <v>0</v>
      </c>
      <c r="AA156" s="71">
        <v>151</v>
      </c>
      <c r="AB156" s="33">
        <f t="shared" si="71"/>
        <v>0</v>
      </c>
      <c r="AC156" s="305">
        <f t="shared" si="64"/>
        <v>0</v>
      </c>
      <c r="AD156" s="100">
        <f t="shared" si="72"/>
        <v>0</v>
      </c>
      <c r="AE156" s="100">
        <f t="shared" si="73"/>
        <v>0</v>
      </c>
      <c r="AF156" s="194">
        <f t="shared" si="82"/>
        <v>0</v>
      </c>
      <c r="AG156" s="194">
        <f t="shared" si="83"/>
        <v>0</v>
      </c>
      <c r="AH156" s="194">
        <f t="shared" si="84"/>
        <v>0</v>
      </c>
      <c r="AI156" s="199">
        <f t="shared" si="85"/>
        <v>0</v>
      </c>
      <c r="AK156" s="71">
        <v>151</v>
      </c>
      <c r="AL156" s="33"/>
      <c r="AM156" s="33"/>
      <c r="AN156" s="33"/>
      <c r="AO156" s="33"/>
      <c r="AP156" s="33"/>
      <c r="AQ156" s="194"/>
      <c r="AR156" s="194"/>
      <c r="AS156" s="194"/>
      <c r="AT156" s="194"/>
      <c r="AU156" s="33"/>
      <c r="AV156" s="33"/>
      <c r="AW156" s="33"/>
      <c r="AX156" s="33"/>
      <c r="AY156" s="76"/>
    </row>
    <row r="157" spans="3:51">
      <c r="C157" s="166" t="s">
        <v>32</v>
      </c>
      <c r="D157" s="4">
        <v>0.56000000000000005</v>
      </c>
      <c r="E157" s="188" t="s">
        <v>227</v>
      </c>
      <c r="F157" s="343">
        <f>IF(OR(Tableau145[[#This Row],[Type]]="Feuillus",Tableau145[[#This Row],[Type]]="Peupliers"),1.56,1.3)</f>
        <v>1.56</v>
      </c>
      <c r="I157" s="55">
        <v>152</v>
      </c>
      <c r="J157" s="33">
        <f t="shared" si="76"/>
        <v>0</v>
      </c>
      <c r="K157" s="33">
        <f t="shared" si="77"/>
        <v>0</v>
      </c>
      <c r="L157" s="33">
        <f t="shared" si="78"/>
        <v>0</v>
      </c>
      <c r="M157" s="33">
        <f t="shared" si="79"/>
        <v>0</v>
      </c>
      <c r="N157" s="33">
        <f t="shared" si="65"/>
        <v>0</v>
      </c>
      <c r="O157" s="34">
        <f t="shared" si="66"/>
        <v>0</v>
      </c>
      <c r="P157" s="55">
        <v>152</v>
      </c>
      <c r="Q157" s="33">
        <f t="shared" si="74"/>
        <v>0</v>
      </c>
      <c r="R157" s="33">
        <f t="shared" si="80"/>
        <v>0</v>
      </c>
      <c r="S157" s="33">
        <f t="shared" si="81"/>
        <v>0</v>
      </c>
      <c r="T157" s="33">
        <f t="shared" si="67"/>
        <v>0</v>
      </c>
      <c r="U157" s="33">
        <f t="shared" si="75"/>
        <v>0</v>
      </c>
      <c r="V157" s="33">
        <f t="shared" si="68"/>
        <v>0</v>
      </c>
      <c r="W157" s="33">
        <v>0</v>
      </c>
      <c r="X157" s="33">
        <f t="shared" si="69"/>
        <v>0</v>
      </c>
      <c r="Y157" s="38">
        <f t="shared" si="70"/>
        <v>0</v>
      </c>
      <c r="AA157" s="71">
        <v>152</v>
      </c>
      <c r="AB157" s="33">
        <f t="shared" si="71"/>
        <v>0</v>
      </c>
      <c r="AC157" s="305">
        <f t="shared" si="64"/>
        <v>0</v>
      </c>
      <c r="AD157" s="100">
        <f t="shared" si="72"/>
        <v>0</v>
      </c>
      <c r="AE157" s="100">
        <f t="shared" si="73"/>
        <v>0</v>
      </c>
      <c r="AF157" s="194">
        <f t="shared" si="82"/>
        <v>0</v>
      </c>
      <c r="AG157" s="194">
        <f t="shared" si="83"/>
        <v>0</v>
      </c>
      <c r="AH157" s="194">
        <f t="shared" si="84"/>
        <v>0</v>
      </c>
      <c r="AI157" s="199">
        <f t="shared" si="85"/>
        <v>0</v>
      </c>
      <c r="AK157" s="71">
        <v>152</v>
      </c>
      <c r="AL157" s="33"/>
      <c r="AM157" s="33"/>
      <c r="AN157" s="33"/>
      <c r="AO157" s="33"/>
      <c r="AP157" s="33"/>
      <c r="AQ157" s="194"/>
      <c r="AR157" s="194"/>
      <c r="AS157" s="194"/>
      <c r="AT157" s="194"/>
      <c r="AU157" s="33"/>
      <c r="AV157" s="33"/>
      <c r="AW157" s="33"/>
      <c r="AX157" s="33"/>
      <c r="AY157" s="76"/>
    </row>
    <row r="158" spans="3:51">
      <c r="C158" s="166" t="s">
        <v>33</v>
      </c>
      <c r="D158" s="4">
        <v>0.48</v>
      </c>
      <c r="E158" s="188" t="s">
        <v>227</v>
      </c>
      <c r="F158" s="343">
        <f>IF(OR(Tableau145[[#This Row],[Type]]="Feuillus",Tableau145[[#This Row],[Type]]="Peupliers"),1.56,1.3)</f>
        <v>1.56</v>
      </c>
      <c r="I158" s="55">
        <v>153</v>
      </c>
      <c r="J158" s="33">
        <f t="shared" si="76"/>
        <v>0</v>
      </c>
      <c r="K158" s="33">
        <f t="shared" si="77"/>
        <v>0</v>
      </c>
      <c r="L158" s="33">
        <f t="shared" si="78"/>
        <v>0</v>
      </c>
      <c r="M158" s="33">
        <f t="shared" si="79"/>
        <v>0</v>
      </c>
      <c r="N158" s="33">
        <f t="shared" si="65"/>
        <v>0</v>
      </c>
      <c r="O158" s="34">
        <f t="shared" si="66"/>
        <v>0</v>
      </c>
      <c r="P158" s="55">
        <v>153</v>
      </c>
      <c r="Q158" s="33">
        <f t="shared" si="74"/>
        <v>0</v>
      </c>
      <c r="R158" s="33">
        <f t="shared" si="80"/>
        <v>0</v>
      </c>
      <c r="S158" s="33">
        <f t="shared" si="81"/>
        <v>0</v>
      </c>
      <c r="T158" s="33">
        <f t="shared" si="67"/>
        <v>0</v>
      </c>
      <c r="U158" s="33">
        <f t="shared" si="75"/>
        <v>0</v>
      </c>
      <c r="V158" s="33">
        <f t="shared" si="68"/>
        <v>0</v>
      </c>
      <c r="W158" s="33">
        <v>0</v>
      </c>
      <c r="X158" s="33">
        <f t="shared" si="69"/>
        <v>0</v>
      </c>
      <c r="Y158" s="38">
        <f t="shared" si="70"/>
        <v>0</v>
      </c>
      <c r="AA158" s="71">
        <v>153</v>
      </c>
      <c r="AB158" s="33">
        <f t="shared" si="71"/>
        <v>0</v>
      </c>
      <c r="AC158" s="305">
        <f t="shared" si="64"/>
        <v>0</v>
      </c>
      <c r="AD158" s="100">
        <f t="shared" si="72"/>
        <v>0</v>
      </c>
      <c r="AE158" s="100">
        <f t="shared" si="73"/>
        <v>0</v>
      </c>
      <c r="AF158" s="194">
        <f t="shared" si="82"/>
        <v>0</v>
      </c>
      <c r="AG158" s="194">
        <f t="shared" si="83"/>
        <v>0</v>
      </c>
      <c r="AH158" s="194">
        <f t="shared" si="84"/>
        <v>0</v>
      </c>
      <c r="AI158" s="199">
        <f t="shared" si="85"/>
        <v>0</v>
      </c>
      <c r="AK158" s="71">
        <v>153</v>
      </c>
      <c r="AL158" s="33"/>
      <c r="AM158" s="33"/>
      <c r="AN158" s="33"/>
      <c r="AO158" s="33"/>
      <c r="AP158" s="33"/>
      <c r="AQ158" s="194"/>
      <c r="AR158" s="194"/>
      <c r="AS158" s="194"/>
      <c r="AT158" s="194"/>
      <c r="AU158" s="33"/>
      <c r="AV158" s="33"/>
      <c r="AW158" s="33"/>
      <c r="AX158" s="33"/>
      <c r="AY158" s="76"/>
    </row>
    <row r="159" spans="3:51">
      <c r="C159" s="166" t="s">
        <v>34</v>
      </c>
      <c r="D159" s="4">
        <v>0.55000000000000004</v>
      </c>
      <c r="E159" s="188" t="s">
        <v>227</v>
      </c>
      <c r="F159" s="343">
        <f>IF(OR(Tableau145[[#This Row],[Type]]="Feuillus",Tableau145[[#This Row],[Type]]="Peupliers"),1.56,1.3)</f>
        <v>1.56</v>
      </c>
      <c r="I159" s="55">
        <v>154</v>
      </c>
      <c r="J159" s="33">
        <f t="shared" si="76"/>
        <v>0</v>
      </c>
      <c r="K159" s="33">
        <f t="shared" si="77"/>
        <v>0</v>
      </c>
      <c r="L159" s="33">
        <f t="shared" si="78"/>
        <v>0</v>
      </c>
      <c r="M159" s="33">
        <f t="shared" si="79"/>
        <v>0</v>
      </c>
      <c r="N159" s="33">
        <f t="shared" si="65"/>
        <v>0</v>
      </c>
      <c r="O159" s="34">
        <f t="shared" si="66"/>
        <v>0</v>
      </c>
      <c r="P159" s="55">
        <v>154</v>
      </c>
      <c r="Q159" s="33">
        <f t="shared" si="74"/>
        <v>0</v>
      </c>
      <c r="R159" s="33">
        <f t="shared" si="80"/>
        <v>0</v>
      </c>
      <c r="S159" s="33">
        <f t="shared" si="81"/>
        <v>0</v>
      </c>
      <c r="T159" s="33">
        <f t="shared" si="67"/>
        <v>0</v>
      </c>
      <c r="U159" s="33">
        <f t="shared" si="75"/>
        <v>0</v>
      </c>
      <c r="V159" s="33">
        <f t="shared" si="68"/>
        <v>0</v>
      </c>
      <c r="W159" s="33">
        <v>0</v>
      </c>
      <c r="X159" s="33">
        <f t="shared" si="69"/>
        <v>0</v>
      </c>
      <c r="Y159" s="38">
        <f t="shared" si="70"/>
        <v>0</v>
      </c>
      <c r="AA159" s="71">
        <v>154</v>
      </c>
      <c r="AB159" s="33">
        <f t="shared" si="71"/>
        <v>0</v>
      </c>
      <c r="AC159" s="305">
        <f t="shared" ref="AC159:AC205" si="86">IF(AA159&lt;=$F$18,IFERROR(VLOOKUP($AA159,$B$82:$G$94,3,FALSE),0),)*50%</f>
        <v>0</v>
      </c>
      <c r="AD159" s="100">
        <f t="shared" si="72"/>
        <v>0</v>
      </c>
      <c r="AE159" s="100">
        <f t="shared" si="73"/>
        <v>0</v>
      </c>
      <c r="AF159" s="194">
        <f t="shared" si="82"/>
        <v>0</v>
      </c>
      <c r="AG159" s="194">
        <f t="shared" si="83"/>
        <v>0</v>
      </c>
      <c r="AH159" s="194">
        <f t="shared" si="84"/>
        <v>0</v>
      </c>
      <c r="AI159" s="199">
        <f t="shared" si="85"/>
        <v>0</v>
      </c>
      <c r="AK159" s="71">
        <v>154</v>
      </c>
      <c r="AL159" s="33"/>
      <c r="AM159" s="33"/>
      <c r="AN159" s="33"/>
      <c r="AO159" s="33"/>
      <c r="AP159" s="33"/>
      <c r="AQ159" s="194"/>
      <c r="AR159" s="194"/>
      <c r="AS159" s="194"/>
      <c r="AT159" s="194"/>
      <c r="AU159" s="33"/>
      <c r="AV159" s="33"/>
      <c r="AW159" s="33"/>
      <c r="AX159" s="33"/>
      <c r="AY159" s="76"/>
    </row>
    <row r="160" spans="3:51">
      <c r="C160" s="166" t="s">
        <v>35</v>
      </c>
      <c r="D160" s="4">
        <v>0.56000000000000005</v>
      </c>
      <c r="E160" s="188" t="s">
        <v>227</v>
      </c>
      <c r="F160" s="343">
        <f>IF(OR(Tableau145[[#This Row],[Type]]="Feuillus",Tableau145[[#This Row],[Type]]="Peupliers"),1.56,1.3)</f>
        <v>1.56</v>
      </c>
      <c r="I160" s="55">
        <v>155</v>
      </c>
      <c r="J160" s="33">
        <f t="shared" si="76"/>
        <v>0</v>
      </c>
      <c r="K160" s="33">
        <f t="shared" si="77"/>
        <v>0</v>
      </c>
      <c r="L160" s="33">
        <f t="shared" si="78"/>
        <v>0</v>
      </c>
      <c r="M160" s="33">
        <f t="shared" si="79"/>
        <v>0</v>
      </c>
      <c r="N160" s="33">
        <f t="shared" si="65"/>
        <v>0</v>
      </c>
      <c r="O160" s="34">
        <f t="shared" si="66"/>
        <v>0</v>
      </c>
      <c r="P160" s="55">
        <v>155</v>
      </c>
      <c r="Q160" s="33">
        <f t="shared" si="74"/>
        <v>0</v>
      </c>
      <c r="R160" s="33">
        <f t="shared" si="80"/>
        <v>0</v>
      </c>
      <c r="S160" s="33">
        <f t="shared" si="81"/>
        <v>0</v>
      </c>
      <c r="T160" s="33">
        <f t="shared" si="67"/>
        <v>0</v>
      </c>
      <c r="U160" s="33">
        <f t="shared" si="75"/>
        <v>0</v>
      </c>
      <c r="V160" s="33">
        <f t="shared" si="68"/>
        <v>0</v>
      </c>
      <c r="W160" s="33">
        <v>0</v>
      </c>
      <c r="X160" s="33">
        <f t="shared" si="69"/>
        <v>0</v>
      </c>
      <c r="Y160" s="38">
        <f t="shared" si="70"/>
        <v>0</v>
      </c>
      <c r="AA160" s="71">
        <v>155</v>
      </c>
      <c r="AB160" s="33">
        <f t="shared" si="71"/>
        <v>0</v>
      </c>
      <c r="AC160" s="305">
        <f t="shared" si="86"/>
        <v>0</v>
      </c>
      <c r="AD160" s="100">
        <f t="shared" si="72"/>
        <v>0</v>
      </c>
      <c r="AE160" s="100">
        <f t="shared" si="73"/>
        <v>0</v>
      </c>
      <c r="AF160" s="194">
        <f t="shared" si="82"/>
        <v>0</v>
      </c>
      <c r="AG160" s="194">
        <f t="shared" si="83"/>
        <v>0</v>
      </c>
      <c r="AH160" s="194">
        <f t="shared" si="84"/>
        <v>0</v>
      </c>
      <c r="AI160" s="199">
        <f t="shared" si="85"/>
        <v>0</v>
      </c>
      <c r="AK160" s="71">
        <v>155</v>
      </c>
      <c r="AL160" s="33"/>
      <c r="AM160" s="33"/>
      <c r="AN160" s="33"/>
      <c r="AO160" s="33"/>
      <c r="AP160" s="33"/>
      <c r="AQ160" s="194"/>
      <c r="AR160" s="194"/>
      <c r="AS160" s="194"/>
      <c r="AT160" s="194"/>
      <c r="AU160" s="33"/>
      <c r="AV160" s="33"/>
      <c r="AW160" s="33"/>
      <c r="AX160" s="33"/>
      <c r="AY160" s="76"/>
    </row>
    <row r="161" spans="3:51">
      <c r="C161" s="166" t="s">
        <v>36</v>
      </c>
      <c r="D161" s="4">
        <v>0.57999999999999996</v>
      </c>
      <c r="E161" s="188" t="s">
        <v>227</v>
      </c>
      <c r="F161" s="343">
        <f>IF(OR(Tableau145[[#This Row],[Type]]="Feuillus",Tableau145[[#This Row],[Type]]="Peupliers"),1.56,1.3)</f>
        <v>1.56</v>
      </c>
      <c r="I161" s="55">
        <v>156</v>
      </c>
      <c r="J161" s="33">
        <f t="shared" si="76"/>
        <v>0</v>
      </c>
      <c r="K161" s="33">
        <f t="shared" si="77"/>
        <v>0</v>
      </c>
      <c r="L161" s="33">
        <f t="shared" si="78"/>
        <v>0</v>
      </c>
      <c r="M161" s="33">
        <f t="shared" si="79"/>
        <v>0</v>
      </c>
      <c r="N161" s="33">
        <f t="shared" si="65"/>
        <v>0</v>
      </c>
      <c r="O161" s="34">
        <f t="shared" si="66"/>
        <v>0</v>
      </c>
      <c r="P161" s="55">
        <v>156</v>
      </c>
      <c r="Q161" s="33">
        <f t="shared" si="74"/>
        <v>0</v>
      </c>
      <c r="R161" s="33">
        <f t="shared" si="80"/>
        <v>0</v>
      </c>
      <c r="S161" s="33">
        <f t="shared" si="81"/>
        <v>0</v>
      </c>
      <c r="T161" s="33">
        <f t="shared" si="67"/>
        <v>0</v>
      </c>
      <c r="U161" s="33">
        <f t="shared" si="75"/>
        <v>0</v>
      </c>
      <c r="V161" s="33">
        <f t="shared" si="68"/>
        <v>0</v>
      </c>
      <c r="W161" s="33">
        <v>0</v>
      </c>
      <c r="X161" s="33">
        <f t="shared" si="69"/>
        <v>0</v>
      </c>
      <c r="Y161" s="38">
        <f t="shared" si="70"/>
        <v>0</v>
      </c>
      <c r="AA161" s="71">
        <v>156</v>
      </c>
      <c r="AB161" s="33">
        <f t="shared" si="71"/>
        <v>0</v>
      </c>
      <c r="AC161" s="305">
        <f t="shared" si="86"/>
        <v>0</v>
      </c>
      <c r="AD161" s="100">
        <f t="shared" si="72"/>
        <v>0</v>
      </c>
      <c r="AE161" s="100">
        <f t="shared" si="73"/>
        <v>0</v>
      </c>
      <c r="AF161" s="194">
        <f t="shared" si="82"/>
        <v>0</v>
      </c>
      <c r="AG161" s="194">
        <f t="shared" si="83"/>
        <v>0</v>
      </c>
      <c r="AH161" s="194">
        <f t="shared" si="84"/>
        <v>0</v>
      </c>
      <c r="AI161" s="199">
        <f t="shared" si="85"/>
        <v>0</v>
      </c>
      <c r="AK161" s="71">
        <v>156</v>
      </c>
      <c r="AL161" s="33"/>
      <c r="AM161" s="33"/>
      <c r="AN161" s="33"/>
      <c r="AO161" s="33"/>
      <c r="AP161" s="33"/>
      <c r="AQ161" s="194"/>
      <c r="AR161" s="194"/>
      <c r="AS161" s="194"/>
      <c r="AT161" s="194"/>
      <c r="AU161" s="33"/>
      <c r="AV161" s="33"/>
      <c r="AW161" s="33"/>
      <c r="AX161" s="33"/>
      <c r="AY161" s="76"/>
    </row>
    <row r="162" spans="3:51">
      <c r="C162" s="166" t="s">
        <v>37</v>
      </c>
      <c r="D162" s="4">
        <v>0.57999999999999996</v>
      </c>
      <c r="E162" s="188" t="s">
        <v>228</v>
      </c>
      <c r="F162" s="343">
        <f>IF(OR(Tableau145[[#This Row],[Type]]="Feuillus",Tableau145[[#This Row],[Type]]="Peupliers"),1.56,1.3)</f>
        <v>1.3</v>
      </c>
      <c r="I162" s="55">
        <v>157</v>
      </c>
      <c r="J162" s="33">
        <f t="shared" si="76"/>
        <v>0</v>
      </c>
      <c r="K162" s="33">
        <f t="shared" si="77"/>
        <v>0</v>
      </c>
      <c r="L162" s="33">
        <f t="shared" si="78"/>
        <v>0</v>
      </c>
      <c r="M162" s="33">
        <f t="shared" si="79"/>
        <v>0</v>
      </c>
      <c r="N162" s="33">
        <f t="shared" si="65"/>
        <v>0</v>
      </c>
      <c r="O162" s="34">
        <f t="shared" si="66"/>
        <v>0</v>
      </c>
      <c r="P162" s="55">
        <v>157</v>
      </c>
      <c r="Q162" s="33">
        <f t="shared" si="74"/>
        <v>0</v>
      </c>
      <c r="R162" s="33">
        <f t="shared" si="80"/>
        <v>0</v>
      </c>
      <c r="S162" s="33">
        <f t="shared" si="81"/>
        <v>0</v>
      </c>
      <c r="T162" s="33">
        <f t="shared" si="67"/>
        <v>0</v>
      </c>
      <c r="U162" s="33">
        <f t="shared" si="75"/>
        <v>0</v>
      </c>
      <c r="V162" s="33">
        <f t="shared" si="68"/>
        <v>0</v>
      </c>
      <c r="W162" s="33">
        <v>0</v>
      </c>
      <c r="X162" s="33">
        <f t="shared" si="69"/>
        <v>0</v>
      </c>
      <c r="Y162" s="38">
        <f t="shared" si="70"/>
        <v>0</v>
      </c>
      <c r="AA162" s="71">
        <v>157</v>
      </c>
      <c r="AB162" s="33">
        <f t="shared" si="71"/>
        <v>0</v>
      </c>
      <c r="AC162" s="305">
        <f t="shared" si="86"/>
        <v>0</v>
      </c>
      <c r="AD162" s="100">
        <f t="shared" si="72"/>
        <v>0</v>
      </c>
      <c r="AE162" s="100">
        <f t="shared" si="73"/>
        <v>0</v>
      </c>
      <c r="AF162" s="194">
        <f t="shared" si="82"/>
        <v>0</v>
      </c>
      <c r="AG162" s="194">
        <f t="shared" si="83"/>
        <v>0</v>
      </c>
      <c r="AH162" s="194">
        <f t="shared" si="84"/>
        <v>0</v>
      </c>
      <c r="AI162" s="199">
        <f t="shared" si="85"/>
        <v>0</v>
      </c>
      <c r="AK162" s="71">
        <v>157</v>
      </c>
      <c r="AL162" s="33"/>
      <c r="AM162" s="33"/>
      <c r="AN162" s="33"/>
      <c r="AO162" s="33"/>
      <c r="AP162" s="33"/>
      <c r="AQ162" s="194"/>
      <c r="AR162" s="194"/>
      <c r="AS162" s="194"/>
      <c r="AT162" s="194"/>
      <c r="AU162" s="33"/>
      <c r="AV162" s="33"/>
      <c r="AW162" s="33"/>
      <c r="AX162" s="33"/>
      <c r="AY162" s="76"/>
    </row>
    <row r="163" spans="3:51">
      <c r="C163" s="166" t="s">
        <v>38</v>
      </c>
      <c r="D163" s="4">
        <v>0.48</v>
      </c>
      <c r="E163" s="188" t="s">
        <v>228</v>
      </c>
      <c r="F163" s="343">
        <f>IF(OR(Tableau145[[#This Row],[Type]]="Feuillus",Tableau145[[#This Row],[Type]]="Peupliers"),1.56,1.3)</f>
        <v>1.3</v>
      </c>
      <c r="I163" s="55">
        <v>158</v>
      </c>
      <c r="J163" s="33">
        <f t="shared" si="76"/>
        <v>0</v>
      </c>
      <c r="K163" s="33">
        <f t="shared" si="77"/>
        <v>0</v>
      </c>
      <c r="L163" s="33">
        <f t="shared" si="78"/>
        <v>0</v>
      </c>
      <c r="M163" s="33">
        <f t="shared" si="79"/>
        <v>0</v>
      </c>
      <c r="N163" s="33">
        <f t="shared" si="65"/>
        <v>0</v>
      </c>
      <c r="O163" s="34">
        <f t="shared" si="66"/>
        <v>0</v>
      </c>
      <c r="P163" s="55">
        <v>158</v>
      </c>
      <c r="Q163" s="33">
        <f t="shared" si="74"/>
        <v>0</v>
      </c>
      <c r="R163" s="33">
        <f t="shared" si="80"/>
        <v>0</v>
      </c>
      <c r="S163" s="33">
        <f t="shared" si="81"/>
        <v>0</v>
      </c>
      <c r="T163" s="33">
        <f t="shared" si="67"/>
        <v>0</v>
      </c>
      <c r="U163" s="33">
        <f t="shared" si="75"/>
        <v>0</v>
      </c>
      <c r="V163" s="33">
        <f t="shared" si="68"/>
        <v>0</v>
      </c>
      <c r="W163" s="33">
        <v>0</v>
      </c>
      <c r="X163" s="33">
        <f t="shared" si="69"/>
        <v>0</v>
      </c>
      <c r="Y163" s="38">
        <f t="shared" si="70"/>
        <v>0</v>
      </c>
      <c r="AA163" s="71">
        <v>158</v>
      </c>
      <c r="AB163" s="33">
        <f t="shared" si="71"/>
        <v>0</v>
      </c>
      <c r="AC163" s="305">
        <f t="shared" si="86"/>
        <v>0</v>
      </c>
      <c r="AD163" s="100">
        <f t="shared" si="72"/>
        <v>0</v>
      </c>
      <c r="AE163" s="100">
        <f t="shared" si="73"/>
        <v>0</v>
      </c>
      <c r="AF163" s="194">
        <f t="shared" si="82"/>
        <v>0</v>
      </c>
      <c r="AG163" s="194">
        <f t="shared" si="83"/>
        <v>0</v>
      </c>
      <c r="AH163" s="194">
        <f t="shared" si="84"/>
        <v>0</v>
      </c>
      <c r="AI163" s="199">
        <f t="shared" si="85"/>
        <v>0</v>
      </c>
      <c r="AK163" s="71">
        <v>158</v>
      </c>
      <c r="AL163" s="33"/>
      <c r="AM163" s="33"/>
      <c r="AN163" s="33"/>
      <c r="AO163" s="33"/>
      <c r="AP163" s="33"/>
      <c r="AQ163" s="194"/>
      <c r="AR163" s="194"/>
      <c r="AS163" s="194"/>
      <c r="AT163" s="194"/>
      <c r="AU163" s="33"/>
      <c r="AV163" s="33"/>
      <c r="AW163" s="33"/>
      <c r="AX163" s="33"/>
      <c r="AY163" s="76"/>
    </row>
    <row r="164" spans="3:51">
      <c r="C164" s="166" t="s">
        <v>39</v>
      </c>
      <c r="D164" s="4">
        <v>0.42</v>
      </c>
      <c r="E164" s="188" t="s">
        <v>228</v>
      </c>
      <c r="F164" s="343">
        <f>IF(OR(Tableau145[[#This Row],[Type]]="Feuillus",Tableau145[[#This Row],[Type]]="Peupliers"),1.56,1.3)</f>
        <v>1.3</v>
      </c>
      <c r="I164" s="55">
        <v>159</v>
      </c>
      <c r="J164" s="33">
        <f t="shared" si="76"/>
        <v>0</v>
      </c>
      <c r="K164" s="33">
        <f t="shared" si="77"/>
        <v>0</v>
      </c>
      <c r="L164" s="33">
        <f t="shared" si="78"/>
        <v>0</v>
      </c>
      <c r="M164" s="33">
        <f t="shared" si="79"/>
        <v>0</v>
      </c>
      <c r="N164" s="33">
        <f t="shared" si="65"/>
        <v>0</v>
      </c>
      <c r="O164" s="34">
        <f t="shared" si="66"/>
        <v>0</v>
      </c>
      <c r="P164" s="55">
        <v>159</v>
      </c>
      <c r="Q164" s="33">
        <f t="shared" si="74"/>
        <v>0</v>
      </c>
      <c r="R164" s="33">
        <f t="shared" si="80"/>
        <v>0</v>
      </c>
      <c r="S164" s="33">
        <f t="shared" si="81"/>
        <v>0</v>
      </c>
      <c r="T164" s="33">
        <f t="shared" si="67"/>
        <v>0</v>
      </c>
      <c r="U164" s="33">
        <f t="shared" si="75"/>
        <v>0</v>
      </c>
      <c r="V164" s="33">
        <f t="shared" si="68"/>
        <v>0</v>
      </c>
      <c r="W164" s="33">
        <v>0</v>
      </c>
      <c r="X164" s="33">
        <f t="shared" si="69"/>
        <v>0</v>
      </c>
      <c r="Y164" s="38">
        <f t="shared" si="70"/>
        <v>0</v>
      </c>
      <c r="AA164" s="71">
        <v>159</v>
      </c>
      <c r="AB164" s="33">
        <f t="shared" si="71"/>
        <v>0</v>
      </c>
      <c r="AC164" s="305">
        <f t="shared" si="86"/>
        <v>0</v>
      </c>
      <c r="AD164" s="100">
        <f t="shared" si="72"/>
        <v>0</v>
      </c>
      <c r="AE164" s="100">
        <f t="shared" si="73"/>
        <v>0</v>
      </c>
      <c r="AF164" s="194">
        <f t="shared" si="82"/>
        <v>0</v>
      </c>
      <c r="AG164" s="194">
        <f t="shared" si="83"/>
        <v>0</v>
      </c>
      <c r="AH164" s="194">
        <f t="shared" si="84"/>
        <v>0</v>
      </c>
      <c r="AI164" s="199">
        <f t="shared" si="85"/>
        <v>0</v>
      </c>
      <c r="AK164" s="71">
        <v>159</v>
      </c>
      <c r="AL164" s="33"/>
      <c r="AM164" s="33"/>
      <c r="AN164" s="33"/>
      <c r="AO164" s="33"/>
      <c r="AP164" s="33"/>
      <c r="AQ164" s="194"/>
      <c r="AR164" s="194"/>
      <c r="AS164" s="194"/>
      <c r="AT164" s="194"/>
      <c r="AU164" s="33"/>
      <c r="AV164" s="33"/>
      <c r="AW164" s="33"/>
      <c r="AX164" s="33"/>
      <c r="AY164" s="76"/>
    </row>
    <row r="165" spans="3:51">
      <c r="C165" s="166" t="s">
        <v>40</v>
      </c>
      <c r="D165" s="4">
        <v>0.5</v>
      </c>
      <c r="E165" s="188" t="s">
        <v>227</v>
      </c>
      <c r="F165" s="343">
        <f>IF(OR(Tableau145[[#This Row],[Type]]="Feuillus",Tableau145[[#This Row],[Type]]="Peupliers"),1.56,1.3)</f>
        <v>1.56</v>
      </c>
      <c r="I165" s="55">
        <v>160</v>
      </c>
      <c r="J165" s="33">
        <f t="shared" si="76"/>
        <v>0</v>
      </c>
      <c r="K165" s="33">
        <f t="shared" si="77"/>
        <v>0</v>
      </c>
      <c r="L165" s="33">
        <f t="shared" si="78"/>
        <v>0</v>
      </c>
      <c r="M165" s="33">
        <f t="shared" si="79"/>
        <v>0</v>
      </c>
      <c r="N165" s="33">
        <f t="shared" si="65"/>
        <v>0</v>
      </c>
      <c r="O165" s="34">
        <f t="shared" si="66"/>
        <v>0</v>
      </c>
      <c r="P165" s="55">
        <v>160</v>
      </c>
      <c r="Q165" s="33">
        <f t="shared" si="74"/>
        <v>0</v>
      </c>
      <c r="R165" s="33">
        <f t="shared" si="80"/>
        <v>0</v>
      </c>
      <c r="S165" s="33">
        <f t="shared" si="81"/>
        <v>0</v>
      </c>
      <c r="T165" s="33">
        <f t="shared" si="67"/>
        <v>0</v>
      </c>
      <c r="U165" s="33">
        <f t="shared" si="75"/>
        <v>0</v>
      </c>
      <c r="V165" s="33">
        <f t="shared" si="68"/>
        <v>0</v>
      </c>
      <c r="W165" s="33">
        <v>0</v>
      </c>
      <c r="X165" s="33">
        <f t="shared" si="69"/>
        <v>0</v>
      </c>
      <c r="Y165" s="38">
        <f t="shared" si="70"/>
        <v>0</v>
      </c>
      <c r="AA165" s="71">
        <v>160</v>
      </c>
      <c r="AB165" s="33">
        <f t="shared" si="71"/>
        <v>0</v>
      </c>
      <c r="AC165" s="305">
        <f t="shared" si="86"/>
        <v>0</v>
      </c>
      <c r="AD165" s="100">
        <f t="shared" si="72"/>
        <v>0</v>
      </c>
      <c r="AE165" s="100">
        <f t="shared" si="73"/>
        <v>0</v>
      </c>
      <c r="AF165" s="194">
        <f t="shared" si="82"/>
        <v>0</v>
      </c>
      <c r="AG165" s="194">
        <f t="shared" si="83"/>
        <v>0</v>
      </c>
      <c r="AH165" s="194">
        <f t="shared" si="84"/>
        <v>0</v>
      </c>
      <c r="AI165" s="199">
        <f t="shared" si="85"/>
        <v>0</v>
      </c>
      <c r="AK165" s="71">
        <v>160</v>
      </c>
      <c r="AL165" s="33"/>
      <c r="AM165" s="33"/>
      <c r="AN165" s="33"/>
      <c r="AO165" s="33"/>
      <c r="AP165" s="33"/>
      <c r="AQ165" s="194"/>
      <c r="AR165" s="194"/>
      <c r="AS165" s="194"/>
      <c r="AT165" s="194"/>
      <c r="AU165" s="33"/>
      <c r="AV165" s="33"/>
      <c r="AW165" s="33"/>
      <c r="AX165" s="33"/>
      <c r="AY165" s="76"/>
    </row>
    <row r="166" spans="3:51">
      <c r="C166" s="166" t="s">
        <v>41</v>
      </c>
      <c r="D166" s="4">
        <v>0.55000000000000004</v>
      </c>
      <c r="E166" s="188" t="s">
        <v>227</v>
      </c>
      <c r="F166" s="343">
        <f>IF(OR(Tableau145[[#This Row],[Type]]="Feuillus",Tableau145[[#This Row],[Type]]="Peupliers"),1.56,1.3)</f>
        <v>1.56</v>
      </c>
      <c r="I166" s="55">
        <v>161</v>
      </c>
      <c r="J166" s="33">
        <f t="shared" si="76"/>
        <v>0</v>
      </c>
      <c r="K166" s="33">
        <f t="shared" si="77"/>
        <v>0</v>
      </c>
      <c r="L166" s="33">
        <f t="shared" si="78"/>
        <v>0</v>
      </c>
      <c r="M166" s="33">
        <f t="shared" si="79"/>
        <v>0</v>
      </c>
      <c r="N166" s="33">
        <f t="shared" si="65"/>
        <v>0</v>
      </c>
      <c r="O166" s="34">
        <f t="shared" si="66"/>
        <v>0</v>
      </c>
      <c r="P166" s="55">
        <v>161</v>
      </c>
      <c r="Q166" s="33">
        <f t="shared" si="74"/>
        <v>0</v>
      </c>
      <c r="R166" s="33">
        <f t="shared" si="80"/>
        <v>0</v>
      </c>
      <c r="S166" s="33">
        <f t="shared" si="81"/>
        <v>0</v>
      </c>
      <c r="T166" s="33">
        <f t="shared" si="67"/>
        <v>0</v>
      </c>
      <c r="U166" s="33">
        <f t="shared" si="75"/>
        <v>0</v>
      </c>
      <c r="V166" s="33">
        <f t="shared" si="68"/>
        <v>0</v>
      </c>
      <c r="W166" s="33">
        <v>0</v>
      </c>
      <c r="X166" s="33">
        <f t="shared" si="69"/>
        <v>0</v>
      </c>
      <c r="Y166" s="38">
        <f t="shared" si="70"/>
        <v>0</v>
      </c>
      <c r="AA166" s="71">
        <v>161</v>
      </c>
      <c r="AB166" s="33">
        <f t="shared" si="71"/>
        <v>0</v>
      </c>
      <c r="AC166" s="305">
        <f t="shared" si="86"/>
        <v>0</v>
      </c>
      <c r="AD166" s="100">
        <f t="shared" si="72"/>
        <v>0</v>
      </c>
      <c r="AE166" s="100">
        <f t="shared" si="73"/>
        <v>0</v>
      </c>
      <c r="AF166" s="194">
        <f t="shared" si="82"/>
        <v>0</v>
      </c>
      <c r="AG166" s="194">
        <f t="shared" si="83"/>
        <v>0</v>
      </c>
      <c r="AH166" s="194">
        <f t="shared" si="84"/>
        <v>0</v>
      </c>
      <c r="AI166" s="199">
        <f t="shared" si="85"/>
        <v>0</v>
      </c>
      <c r="AK166" s="71">
        <v>161</v>
      </c>
      <c r="AL166" s="33"/>
      <c r="AM166" s="33"/>
      <c r="AN166" s="33"/>
      <c r="AO166" s="33"/>
      <c r="AP166" s="33"/>
      <c r="AQ166" s="194"/>
      <c r="AR166" s="194"/>
      <c r="AS166" s="194"/>
      <c r="AT166" s="194"/>
      <c r="AU166" s="33"/>
      <c r="AV166" s="33"/>
      <c r="AW166" s="33"/>
      <c r="AX166" s="33"/>
      <c r="AY166" s="76"/>
    </row>
    <row r="167" spans="3:51">
      <c r="C167" s="166" t="s">
        <v>42</v>
      </c>
      <c r="D167" s="4">
        <v>0.53</v>
      </c>
      <c r="E167" s="188" t="s">
        <v>227</v>
      </c>
      <c r="F167" s="343">
        <f>IF(OR(Tableau145[[#This Row],[Type]]="Feuillus",Tableau145[[#This Row],[Type]]="Peupliers"),1.56,1.3)</f>
        <v>1.56</v>
      </c>
      <c r="I167" s="55">
        <v>162</v>
      </c>
      <c r="J167" s="33">
        <f t="shared" si="76"/>
        <v>0</v>
      </c>
      <c r="K167" s="33">
        <f t="shared" si="77"/>
        <v>0</v>
      </c>
      <c r="L167" s="33">
        <f t="shared" si="78"/>
        <v>0</v>
      </c>
      <c r="M167" s="33">
        <f t="shared" si="79"/>
        <v>0</v>
      </c>
      <c r="N167" s="33">
        <f t="shared" si="65"/>
        <v>0</v>
      </c>
      <c r="O167" s="34">
        <f t="shared" si="66"/>
        <v>0</v>
      </c>
      <c r="P167" s="55">
        <v>162</v>
      </c>
      <c r="Q167" s="33">
        <f t="shared" si="74"/>
        <v>0</v>
      </c>
      <c r="R167" s="33">
        <f t="shared" si="80"/>
        <v>0</v>
      </c>
      <c r="S167" s="33">
        <f t="shared" si="81"/>
        <v>0</v>
      </c>
      <c r="T167" s="33">
        <f t="shared" si="67"/>
        <v>0</v>
      </c>
      <c r="U167" s="33">
        <f t="shared" si="75"/>
        <v>0</v>
      </c>
      <c r="V167" s="33">
        <f t="shared" si="68"/>
        <v>0</v>
      </c>
      <c r="W167" s="33">
        <v>0</v>
      </c>
      <c r="X167" s="33">
        <f t="shared" si="69"/>
        <v>0</v>
      </c>
      <c r="Y167" s="38">
        <f t="shared" si="70"/>
        <v>0</v>
      </c>
      <c r="AA167" s="71">
        <v>162</v>
      </c>
      <c r="AB167" s="33">
        <f t="shared" si="71"/>
        <v>0</v>
      </c>
      <c r="AC167" s="305">
        <f t="shared" si="86"/>
        <v>0</v>
      </c>
      <c r="AD167" s="100">
        <f t="shared" si="72"/>
        <v>0</v>
      </c>
      <c r="AE167" s="100">
        <f t="shared" si="73"/>
        <v>0</v>
      </c>
      <c r="AF167" s="194">
        <f t="shared" si="82"/>
        <v>0</v>
      </c>
      <c r="AG167" s="194">
        <f t="shared" si="83"/>
        <v>0</v>
      </c>
      <c r="AH167" s="194">
        <f t="shared" si="84"/>
        <v>0</v>
      </c>
      <c r="AI167" s="199">
        <f t="shared" si="85"/>
        <v>0</v>
      </c>
      <c r="AK167" s="71">
        <v>162</v>
      </c>
      <c r="AL167" s="33"/>
      <c r="AM167" s="33"/>
      <c r="AN167" s="33"/>
      <c r="AO167" s="33"/>
      <c r="AP167" s="33"/>
      <c r="AQ167" s="194"/>
      <c r="AR167" s="194"/>
      <c r="AS167" s="194"/>
      <c r="AT167" s="194"/>
      <c r="AU167" s="33"/>
      <c r="AV167" s="33"/>
      <c r="AW167" s="33"/>
      <c r="AX167" s="33"/>
      <c r="AY167" s="76"/>
    </row>
    <row r="168" spans="3:51">
      <c r="C168" s="166" t="s">
        <v>43</v>
      </c>
      <c r="D168" s="4">
        <v>0.52</v>
      </c>
      <c r="E168" s="188" t="s">
        <v>227</v>
      </c>
      <c r="F168" s="343">
        <f>IF(OR(Tableau145[[#This Row],[Type]]="Feuillus",Tableau145[[#This Row],[Type]]="Peupliers"),1.56,1.3)</f>
        <v>1.56</v>
      </c>
      <c r="I168" s="55">
        <v>163</v>
      </c>
      <c r="J168" s="33">
        <f t="shared" si="76"/>
        <v>0</v>
      </c>
      <c r="K168" s="33">
        <f t="shared" si="77"/>
        <v>0</v>
      </c>
      <c r="L168" s="33">
        <f t="shared" si="78"/>
        <v>0</v>
      </c>
      <c r="M168" s="33">
        <f t="shared" si="79"/>
        <v>0</v>
      </c>
      <c r="N168" s="33">
        <f t="shared" si="65"/>
        <v>0</v>
      </c>
      <c r="O168" s="34">
        <f t="shared" si="66"/>
        <v>0</v>
      </c>
      <c r="P168" s="55">
        <v>163</v>
      </c>
      <c r="Q168" s="33">
        <f t="shared" si="74"/>
        <v>0</v>
      </c>
      <c r="R168" s="33">
        <f t="shared" si="80"/>
        <v>0</v>
      </c>
      <c r="S168" s="33">
        <f t="shared" si="81"/>
        <v>0</v>
      </c>
      <c r="T168" s="33">
        <f t="shared" si="67"/>
        <v>0</v>
      </c>
      <c r="U168" s="33">
        <f t="shared" si="75"/>
        <v>0</v>
      </c>
      <c r="V168" s="33">
        <f t="shared" si="68"/>
        <v>0</v>
      </c>
      <c r="W168" s="33">
        <v>0</v>
      </c>
      <c r="X168" s="33">
        <f t="shared" si="69"/>
        <v>0</v>
      </c>
      <c r="Y168" s="38">
        <f t="shared" si="70"/>
        <v>0</v>
      </c>
      <c r="AA168" s="71">
        <v>163</v>
      </c>
      <c r="AB168" s="33">
        <f t="shared" si="71"/>
        <v>0</v>
      </c>
      <c r="AC168" s="305">
        <f t="shared" si="86"/>
        <v>0</v>
      </c>
      <c r="AD168" s="100">
        <f t="shared" si="72"/>
        <v>0</v>
      </c>
      <c r="AE168" s="100">
        <f t="shared" si="73"/>
        <v>0</v>
      </c>
      <c r="AF168" s="194">
        <f t="shared" si="82"/>
        <v>0</v>
      </c>
      <c r="AG168" s="194">
        <f t="shared" si="83"/>
        <v>0</v>
      </c>
      <c r="AH168" s="194">
        <f t="shared" si="84"/>
        <v>0</v>
      </c>
      <c r="AI168" s="199">
        <f t="shared" si="85"/>
        <v>0</v>
      </c>
      <c r="AK168" s="71">
        <v>163</v>
      </c>
      <c r="AL168" s="33"/>
      <c r="AM168" s="33"/>
      <c r="AN168" s="33"/>
      <c r="AO168" s="33"/>
      <c r="AP168" s="33"/>
      <c r="AQ168" s="194"/>
      <c r="AR168" s="194"/>
      <c r="AS168" s="194"/>
      <c r="AT168" s="194"/>
      <c r="AU168" s="33"/>
      <c r="AV168" s="33"/>
      <c r="AW168" s="33"/>
      <c r="AX168" s="33"/>
      <c r="AY168" s="76"/>
    </row>
    <row r="169" spans="3:51">
      <c r="C169" s="166" t="s">
        <v>44</v>
      </c>
      <c r="D169" s="4">
        <v>0.52</v>
      </c>
      <c r="E169" s="188" t="s">
        <v>227</v>
      </c>
      <c r="F169" s="343">
        <f>IF(OR(Tableau145[[#This Row],[Type]]="Feuillus",Tableau145[[#This Row],[Type]]="Peupliers"),1.56,1.3)</f>
        <v>1.56</v>
      </c>
      <c r="I169" s="55">
        <v>164</v>
      </c>
      <c r="J169" s="33">
        <f t="shared" si="76"/>
        <v>0</v>
      </c>
      <c r="K169" s="33">
        <f t="shared" si="77"/>
        <v>0</v>
      </c>
      <c r="L169" s="33">
        <f t="shared" si="78"/>
        <v>0</v>
      </c>
      <c r="M169" s="33">
        <f t="shared" si="79"/>
        <v>0</v>
      </c>
      <c r="N169" s="33">
        <f t="shared" si="65"/>
        <v>0</v>
      </c>
      <c r="O169" s="34">
        <f t="shared" si="66"/>
        <v>0</v>
      </c>
      <c r="P169" s="55">
        <v>164</v>
      </c>
      <c r="Q169" s="33">
        <f t="shared" si="74"/>
        <v>0</v>
      </c>
      <c r="R169" s="33">
        <f t="shared" si="80"/>
        <v>0</v>
      </c>
      <c r="S169" s="33">
        <f t="shared" si="81"/>
        <v>0</v>
      </c>
      <c r="T169" s="33">
        <f t="shared" si="67"/>
        <v>0</v>
      </c>
      <c r="U169" s="33">
        <f t="shared" si="75"/>
        <v>0</v>
      </c>
      <c r="V169" s="33">
        <f t="shared" si="68"/>
        <v>0</v>
      </c>
      <c r="W169" s="33">
        <v>0</v>
      </c>
      <c r="X169" s="33">
        <f t="shared" si="69"/>
        <v>0</v>
      </c>
      <c r="Y169" s="38">
        <f t="shared" si="70"/>
        <v>0</v>
      </c>
      <c r="AA169" s="71">
        <v>164</v>
      </c>
      <c r="AB169" s="33">
        <f t="shared" si="71"/>
        <v>0</v>
      </c>
      <c r="AC169" s="305">
        <f t="shared" si="86"/>
        <v>0</v>
      </c>
      <c r="AD169" s="100">
        <f t="shared" si="72"/>
        <v>0</v>
      </c>
      <c r="AE169" s="100">
        <f t="shared" si="73"/>
        <v>0</v>
      </c>
      <c r="AF169" s="194">
        <f t="shared" si="82"/>
        <v>0</v>
      </c>
      <c r="AG169" s="194">
        <f t="shared" si="83"/>
        <v>0</v>
      </c>
      <c r="AH169" s="194">
        <f t="shared" si="84"/>
        <v>0</v>
      </c>
      <c r="AI169" s="199">
        <f t="shared" si="85"/>
        <v>0</v>
      </c>
      <c r="AK169" s="71">
        <v>164</v>
      </c>
      <c r="AL169" s="33"/>
      <c r="AM169" s="33"/>
      <c r="AN169" s="33"/>
      <c r="AO169" s="33"/>
      <c r="AP169" s="33"/>
      <c r="AQ169" s="194"/>
      <c r="AR169" s="194"/>
      <c r="AS169" s="194"/>
      <c r="AT169" s="194"/>
      <c r="AU169" s="33"/>
      <c r="AV169" s="33"/>
      <c r="AW169" s="33"/>
      <c r="AX169" s="33"/>
      <c r="AY169" s="76"/>
    </row>
    <row r="170" spans="3:51">
      <c r="C170" s="166" t="s">
        <v>45</v>
      </c>
      <c r="D170" s="4">
        <v>0.75</v>
      </c>
      <c r="E170" s="188" t="s">
        <v>227</v>
      </c>
      <c r="F170" s="343">
        <f>IF(OR(Tableau145[[#This Row],[Type]]="Feuillus",Tableau145[[#This Row],[Type]]="Peupliers"),1.56,1.3)</f>
        <v>1.56</v>
      </c>
      <c r="I170" s="55">
        <v>165</v>
      </c>
      <c r="J170" s="33">
        <f t="shared" si="76"/>
        <v>0</v>
      </c>
      <c r="K170" s="33">
        <f t="shared" si="77"/>
        <v>0</v>
      </c>
      <c r="L170" s="33">
        <f t="shared" si="78"/>
        <v>0</v>
      </c>
      <c r="M170" s="33">
        <f t="shared" si="79"/>
        <v>0</v>
      </c>
      <c r="N170" s="33">
        <f t="shared" si="65"/>
        <v>0</v>
      </c>
      <c r="O170" s="34">
        <f t="shared" si="66"/>
        <v>0</v>
      </c>
      <c r="P170" s="55">
        <v>165</v>
      </c>
      <c r="Q170" s="33">
        <f t="shared" si="74"/>
        <v>0</v>
      </c>
      <c r="R170" s="33">
        <f t="shared" si="80"/>
        <v>0</v>
      </c>
      <c r="S170" s="33">
        <f t="shared" si="81"/>
        <v>0</v>
      </c>
      <c r="T170" s="33">
        <f t="shared" si="67"/>
        <v>0</v>
      </c>
      <c r="U170" s="33">
        <f t="shared" si="75"/>
        <v>0</v>
      </c>
      <c r="V170" s="33">
        <f t="shared" si="68"/>
        <v>0</v>
      </c>
      <c r="W170" s="33">
        <v>0</v>
      </c>
      <c r="X170" s="33">
        <f t="shared" si="69"/>
        <v>0</v>
      </c>
      <c r="Y170" s="38">
        <f t="shared" si="70"/>
        <v>0</v>
      </c>
      <c r="AA170" s="71">
        <v>165</v>
      </c>
      <c r="AB170" s="33">
        <f t="shared" si="71"/>
        <v>0</v>
      </c>
      <c r="AC170" s="305">
        <f t="shared" si="86"/>
        <v>0</v>
      </c>
      <c r="AD170" s="100">
        <f t="shared" si="72"/>
        <v>0</v>
      </c>
      <c r="AE170" s="100">
        <f t="shared" si="73"/>
        <v>0</v>
      </c>
      <c r="AF170" s="194">
        <f t="shared" si="82"/>
        <v>0</v>
      </c>
      <c r="AG170" s="194">
        <f t="shared" si="83"/>
        <v>0</v>
      </c>
      <c r="AH170" s="194">
        <f t="shared" si="84"/>
        <v>0</v>
      </c>
      <c r="AI170" s="199">
        <f t="shared" si="85"/>
        <v>0</v>
      </c>
      <c r="AK170" s="71">
        <v>165</v>
      </c>
      <c r="AL170" s="33"/>
      <c r="AM170" s="33"/>
      <c r="AN170" s="33"/>
      <c r="AO170" s="33"/>
      <c r="AP170" s="33"/>
      <c r="AQ170" s="194"/>
      <c r="AR170" s="194"/>
      <c r="AS170" s="194"/>
      <c r="AT170" s="194"/>
      <c r="AU170" s="33"/>
      <c r="AV170" s="33"/>
      <c r="AW170" s="33"/>
      <c r="AX170" s="33"/>
      <c r="AY170" s="76"/>
    </row>
    <row r="171" spans="3:51">
      <c r="C171" s="166" t="s">
        <v>46</v>
      </c>
      <c r="D171" s="4">
        <v>0.52</v>
      </c>
      <c r="E171" s="188" t="s">
        <v>227</v>
      </c>
      <c r="F171" s="343">
        <f>IF(OR(Tableau145[[#This Row],[Type]]="Feuillus",Tableau145[[#This Row],[Type]]="Peupliers"),1.56,1.3)</f>
        <v>1.56</v>
      </c>
      <c r="I171" s="55">
        <v>166</v>
      </c>
      <c r="J171" s="33">
        <f t="shared" si="76"/>
        <v>0</v>
      </c>
      <c r="K171" s="33">
        <f t="shared" si="77"/>
        <v>0</v>
      </c>
      <c r="L171" s="33">
        <f t="shared" si="78"/>
        <v>0</v>
      </c>
      <c r="M171" s="33">
        <f t="shared" si="79"/>
        <v>0</v>
      </c>
      <c r="N171" s="33">
        <f t="shared" si="65"/>
        <v>0</v>
      </c>
      <c r="O171" s="34">
        <f t="shared" si="66"/>
        <v>0</v>
      </c>
      <c r="P171" s="55">
        <v>166</v>
      </c>
      <c r="Q171" s="33">
        <f t="shared" si="74"/>
        <v>0</v>
      </c>
      <c r="R171" s="33">
        <f t="shared" si="80"/>
        <v>0</v>
      </c>
      <c r="S171" s="33">
        <f t="shared" si="81"/>
        <v>0</v>
      </c>
      <c r="T171" s="33">
        <f t="shared" si="67"/>
        <v>0</v>
      </c>
      <c r="U171" s="33">
        <f t="shared" si="75"/>
        <v>0</v>
      </c>
      <c r="V171" s="33">
        <f t="shared" si="68"/>
        <v>0</v>
      </c>
      <c r="W171" s="33">
        <v>0</v>
      </c>
      <c r="X171" s="33">
        <f t="shared" si="69"/>
        <v>0</v>
      </c>
      <c r="Y171" s="38">
        <f t="shared" si="70"/>
        <v>0</v>
      </c>
      <c r="AA171" s="71">
        <v>166</v>
      </c>
      <c r="AB171" s="33">
        <f t="shared" si="71"/>
        <v>0</v>
      </c>
      <c r="AC171" s="305">
        <f t="shared" si="86"/>
        <v>0</v>
      </c>
      <c r="AD171" s="100">
        <f t="shared" si="72"/>
        <v>0</v>
      </c>
      <c r="AE171" s="100">
        <f t="shared" si="73"/>
        <v>0</v>
      </c>
      <c r="AF171" s="194">
        <f t="shared" si="82"/>
        <v>0</v>
      </c>
      <c r="AG171" s="194">
        <f t="shared" si="83"/>
        <v>0</v>
      </c>
      <c r="AH171" s="194">
        <f t="shared" si="84"/>
        <v>0</v>
      </c>
      <c r="AI171" s="199">
        <f t="shared" si="85"/>
        <v>0</v>
      </c>
      <c r="AK171" s="71">
        <v>166</v>
      </c>
      <c r="AL171" s="33"/>
      <c r="AM171" s="33"/>
      <c r="AN171" s="33"/>
      <c r="AO171" s="33"/>
      <c r="AP171" s="33"/>
      <c r="AQ171" s="194"/>
      <c r="AR171" s="194"/>
      <c r="AS171" s="194"/>
      <c r="AT171" s="194"/>
      <c r="AU171" s="33"/>
      <c r="AV171" s="33"/>
      <c r="AW171" s="33"/>
      <c r="AX171" s="33"/>
      <c r="AY171" s="76"/>
    </row>
    <row r="172" spans="3:51">
      <c r="C172" s="166" t="s">
        <v>47</v>
      </c>
      <c r="D172" s="4">
        <v>0.35</v>
      </c>
      <c r="E172" s="188" t="s">
        <v>229</v>
      </c>
      <c r="F172" s="343">
        <f>IF(OR(Tableau145[[#This Row],[Type]]="Feuillus",Tableau145[[#This Row],[Type]]="Peupliers"),1.56,1.3)</f>
        <v>1.56</v>
      </c>
      <c r="I172" s="55">
        <v>167</v>
      </c>
      <c r="J172" s="33">
        <f t="shared" si="76"/>
        <v>0</v>
      </c>
      <c r="K172" s="33">
        <f t="shared" si="77"/>
        <v>0</v>
      </c>
      <c r="L172" s="33">
        <f t="shared" si="78"/>
        <v>0</v>
      </c>
      <c r="M172" s="33">
        <f t="shared" si="79"/>
        <v>0</v>
      </c>
      <c r="N172" s="33">
        <f t="shared" si="65"/>
        <v>0</v>
      </c>
      <c r="O172" s="34">
        <f t="shared" si="66"/>
        <v>0</v>
      </c>
      <c r="P172" s="55">
        <v>167</v>
      </c>
      <c r="Q172" s="33">
        <f t="shared" si="74"/>
        <v>0</v>
      </c>
      <c r="R172" s="33">
        <f t="shared" si="80"/>
        <v>0</v>
      </c>
      <c r="S172" s="33">
        <f t="shared" si="81"/>
        <v>0</v>
      </c>
      <c r="T172" s="33">
        <f t="shared" si="67"/>
        <v>0</v>
      </c>
      <c r="U172" s="33">
        <f t="shared" si="75"/>
        <v>0</v>
      </c>
      <c r="V172" s="33">
        <f t="shared" si="68"/>
        <v>0</v>
      </c>
      <c r="W172" s="33">
        <v>0</v>
      </c>
      <c r="X172" s="33">
        <f t="shared" si="69"/>
        <v>0</v>
      </c>
      <c r="Y172" s="38">
        <f t="shared" si="70"/>
        <v>0</v>
      </c>
      <c r="AA172" s="71">
        <v>167</v>
      </c>
      <c r="AB172" s="33">
        <f t="shared" si="71"/>
        <v>0</v>
      </c>
      <c r="AC172" s="305">
        <f t="shared" si="86"/>
        <v>0</v>
      </c>
      <c r="AD172" s="100">
        <f t="shared" si="72"/>
        <v>0</v>
      </c>
      <c r="AE172" s="100">
        <f t="shared" si="73"/>
        <v>0</v>
      </c>
      <c r="AF172" s="194">
        <f t="shared" si="82"/>
        <v>0</v>
      </c>
      <c r="AG172" s="194">
        <f t="shared" si="83"/>
        <v>0</v>
      </c>
      <c r="AH172" s="194">
        <f t="shared" si="84"/>
        <v>0</v>
      </c>
      <c r="AI172" s="199">
        <f t="shared" si="85"/>
        <v>0</v>
      </c>
      <c r="AK172" s="71">
        <v>167</v>
      </c>
      <c r="AL172" s="33"/>
      <c r="AM172" s="33"/>
      <c r="AN172" s="33"/>
      <c r="AO172" s="33"/>
      <c r="AP172" s="33"/>
      <c r="AQ172" s="194"/>
      <c r="AR172" s="194"/>
      <c r="AS172" s="194"/>
      <c r="AT172" s="194"/>
      <c r="AU172" s="33"/>
      <c r="AV172" s="33"/>
      <c r="AW172" s="33"/>
      <c r="AX172" s="33"/>
      <c r="AY172" s="76"/>
    </row>
    <row r="173" spans="3:51">
      <c r="C173" s="166" t="s">
        <v>48</v>
      </c>
      <c r="D173" s="4">
        <v>0.37</v>
      </c>
      <c r="E173" s="188" t="s">
        <v>227</v>
      </c>
      <c r="F173" s="343">
        <f>IF(OR(Tableau145[[#This Row],[Type]]="Feuillus",Tableau145[[#This Row],[Type]]="Peupliers"),1.56,1.3)</f>
        <v>1.56</v>
      </c>
      <c r="I173" s="55">
        <v>168</v>
      </c>
      <c r="J173" s="33">
        <f t="shared" si="76"/>
        <v>0</v>
      </c>
      <c r="K173" s="33">
        <f t="shared" si="77"/>
        <v>0</v>
      </c>
      <c r="L173" s="33">
        <f t="shared" si="78"/>
        <v>0</v>
      </c>
      <c r="M173" s="33">
        <f t="shared" si="79"/>
        <v>0</v>
      </c>
      <c r="N173" s="33">
        <f t="shared" si="65"/>
        <v>0</v>
      </c>
      <c r="O173" s="34">
        <f t="shared" si="66"/>
        <v>0</v>
      </c>
      <c r="P173" s="55">
        <v>168</v>
      </c>
      <c r="Q173" s="33">
        <f t="shared" si="74"/>
        <v>0</v>
      </c>
      <c r="R173" s="33">
        <f t="shared" si="80"/>
        <v>0</v>
      </c>
      <c r="S173" s="33">
        <f t="shared" si="81"/>
        <v>0</v>
      </c>
      <c r="T173" s="33">
        <f t="shared" si="67"/>
        <v>0</v>
      </c>
      <c r="U173" s="33">
        <f t="shared" si="75"/>
        <v>0</v>
      </c>
      <c r="V173" s="33">
        <f t="shared" si="68"/>
        <v>0</v>
      </c>
      <c r="W173" s="33">
        <v>0</v>
      </c>
      <c r="X173" s="33">
        <f t="shared" si="69"/>
        <v>0</v>
      </c>
      <c r="Y173" s="38">
        <f t="shared" si="70"/>
        <v>0</v>
      </c>
      <c r="AA173" s="71">
        <v>168</v>
      </c>
      <c r="AB173" s="33">
        <f t="shared" si="71"/>
        <v>0</v>
      </c>
      <c r="AC173" s="305">
        <f t="shared" si="86"/>
        <v>0</v>
      </c>
      <c r="AD173" s="100">
        <f t="shared" si="72"/>
        <v>0</v>
      </c>
      <c r="AE173" s="100">
        <f t="shared" si="73"/>
        <v>0</v>
      </c>
      <c r="AF173" s="194">
        <f t="shared" si="82"/>
        <v>0</v>
      </c>
      <c r="AG173" s="194">
        <f t="shared" si="83"/>
        <v>0</v>
      </c>
      <c r="AH173" s="194">
        <f t="shared" si="84"/>
        <v>0</v>
      </c>
      <c r="AI173" s="199">
        <f t="shared" si="85"/>
        <v>0</v>
      </c>
      <c r="AK173" s="71">
        <v>168</v>
      </c>
      <c r="AL173" s="33"/>
      <c r="AM173" s="33"/>
      <c r="AN173" s="33"/>
      <c r="AO173" s="33"/>
      <c r="AP173" s="33"/>
      <c r="AQ173" s="194"/>
      <c r="AR173" s="194"/>
      <c r="AS173" s="194"/>
      <c r="AT173" s="194"/>
      <c r="AU173" s="33"/>
      <c r="AV173" s="33"/>
      <c r="AW173" s="33"/>
      <c r="AX173" s="33"/>
      <c r="AY173" s="76"/>
    </row>
    <row r="174" spans="3:51">
      <c r="C174" s="166" t="s">
        <v>49</v>
      </c>
      <c r="D174" s="4">
        <v>0.45</v>
      </c>
      <c r="E174" s="188" t="s">
        <v>228</v>
      </c>
      <c r="F174" s="343">
        <f>IF(OR(Tableau145[[#This Row],[Type]]="Feuillus",Tableau145[[#This Row],[Type]]="Peupliers"),1.56,1.3)</f>
        <v>1.3</v>
      </c>
      <c r="I174" s="55">
        <v>169</v>
      </c>
      <c r="J174" s="33">
        <f t="shared" si="76"/>
        <v>0</v>
      </c>
      <c r="K174" s="33">
        <f t="shared" si="77"/>
        <v>0</v>
      </c>
      <c r="L174" s="33">
        <f t="shared" si="78"/>
        <v>0</v>
      </c>
      <c r="M174" s="33">
        <f t="shared" si="79"/>
        <v>0</v>
      </c>
      <c r="N174" s="33">
        <f t="shared" si="65"/>
        <v>0</v>
      </c>
      <c r="O174" s="34">
        <f t="shared" si="66"/>
        <v>0</v>
      </c>
      <c r="P174" s="55">
        <v>169</v>
      </c>
      <c r="Q174" s="33">
        <f t="shared" si="74"/>
        <v>0</v>
      </c>
      <c r="R174" s="33">
        <f t="shared" si="80"/>
        <v>0</v>
      </c>
      <c r="S174" s="33">
        <f t="shared" si="81"/>
        <v>0</v>
      </c>
      <c r="T174" s="33">
        <f t="shared" si="67"/>
        <v>0</v>
      </c>
      <c r="U174" s="33">
        <f t="shared" si="75"/>
        <v>0</v>
      </c>
      <c r="V174" s="33">
        <f t="shared" si="68"/>
        <v>0</v>
      </c>
      <c r="W174" s="33">
        <v>0</v>
      </c>
      <c r="X174" s="33">
        <f t="shared" si="69"/>
        <v>0</v>
      </c>
      <c r="Y174" s="38">
        <f t="shared" si="70"/>
        <v>0</v>
      </c>
      <c r="AA174" s="71">
        <v>169</v>
      </c>
      <c r="AB174" s="33">
        <f t="shared" si="71"/>
        <v>0</v>
      </c>
      <c r="AC174" s="305">
        <f t="shared" si="86"/>
        <v>0</v>
      </c>
      <c r="AD174" s="100">
        <f t="shared" si="72"/>
        <v>0</v>
      </c>
      <c r="AE174" s="100">
        <f t="shared" si="73"/>
        <v>0</v>
      </c>
      <c r="AF174" s="194">
        <f t="shared" si="82"/>
        <v>0</v>
      </c>
      <c r="AG174" s="194">
        <f t="shared" si="83"/>
        <v>0</v>
      </c>
      <c r="AH174" s="194">
        <f t="shared" si="84"/>
        <v>0</v>
      </c>
      <c r="AI174" s="199">
        <f t="shared" si="85"/>
        <v>0</v>
      </c>
      <c r="AK174" s="71">
        <v>169</v>
      </c>
      <c r="AL174" s="33"/>
      <c r="AM174" s="33"/>
      <c r="AN174" s="33"/>
      <c r="AO174" s="33"/>
      <c r="AP174" s="33"/>
      <c r="AQ174" s="194"/>
      <c r="AR174" s="194"/>
      <c r="AS174" s="194"/>
      <c r="AT174" s="194"/>
      <c r="AU174" s="33"/>
      <c r="AV174" s="33"/>
      <c r="AW174" s="33"/>
      <c r="AX174" s="33"/>
      <c r="AY174" s="76"/>
    </row>
    <row r="175" spans="3:51">
      <c r="C175" s="166" t="s">
        <v>50</v>
      </c>
      <c r="D175" s="4">
        <v>0.39</v>
      </c>
      <c r="E175" s="188" t="s">
        <v>228</v>
      </c>
      <c r="F175" s="343">
        <f>IF(OR(Tableau145[[#This Row],[Type]]="Feuillus",Tableau145[[#This Row],[Type]]="Peupliers"),1.56,1.3)</f>
        <v>1.3</v>
      </c>
      <c r="I175" s="55">
        <v>170</v>
      </c>
      <c r="J175" s="33">
        <f t="shared" si="76"/>
        <v>0</v>
      </c>
      <c r="K175" s="33">
        <f t="shared" si="77"/>
        <v>0</v>
      </c>
      <c r="L175" s="33">
        <f t="shared" si="78"/>
        <v>0</v>
      </c>
      <c r="M175" s="33">
        <f t="shared" si="79"/>
        <v>0</v>
      </c>
      <c r="N175" s="33">
        <f t="shared" si="65"/>
        <v>0</v>
      </c>
      <c r="O175" s="34">
        <f t="shared" si="66"/>
        <v>0</v>
      </c>
      <c r="P175" s="55">
        <v>170</v>
      </c>
      <c r="Q175" s="33">
        <f t="shared" si="74"/>
        <v>0</v>
      </c>
      <c r="R175" s="33">
        <f t="shared" si="80"/>
        <v>0</v>
      </c>
      <c r="S175" s="33">
        <f t="shared" si="81"/>
        <v>0</v>
      </c>
      <c r="T175" s="33">
        <f t="shared" si="67"/>
        <v>0</v>
      </c>
      <c r="U175" s="33">
        <f t="shared" si="75"/>
        <v>0</v>
      </c>
      <c r="V175" s="33">
        <f t="shared" si="68"/>
        <v>0</v>
      </c>
      <c r="W175" s="33">
        <v>0</v>
      </c>
      <c r="X175" s="33">
        <f t="shared" si="69"/>
        <v>0</v>
      </c>
      <c r="Y175" s="38">
        <f t="shared" si="70"/>
        <v>0</v>
      </c>
      <c r="AA175" s="71">
        <v>170</v>
      </c>
      <c r="AB175" s="33">
        <f t="shared" si="71"/>
        <v>0</v>
      </c>
      <c r="AC175" s="305">
        <f t="shared" si="86"/>
        <v>0</v>
      </c>
      <c r="AD175" s="100">
        <f t="shared" si="72"/>
        <v>0</v>
      </c>
      <c r="AE175" s="100">
        <f t="shared" si="73"/>
        <v>0</v>
      </c>
      <c r="AF175" s="194">
        <f t="shared" si="82"/>
        <v>0</v>
      </c>
      <c r="AG175" s="194">
        <f t="shared" si="83"/>
        <v>0</v>
      </c>
      <c r="AH175" s="194">
        <f t="shared" si="84"/>
        <v>0</v>
      </c>
      <c r="AI175" s="199">
        <f t="shared" si="85"/>
        <v>0</v>
      </c>
      <c r="AK175" s="71">
        <v>170</v>
      </c>
      <c r="AL175" s="33"/>
      <c r="AM175" s="33"/>
      <c r="AN175" s="33"/>
      <c r="AO175" s="33"/>
      <c r="AP175" s="33"/>
      <c r="AQ175" s="194"/>
      <c r="AR175" s="194"/>
      <c r="AS175" s="194"/>
      <c r="AT175" s="194"/>
      <c r="AU175" s="33"/>
      <c r="AV175" s="33"/>
      <c r="AW175" s="33"/>
      <c r="AX175" s="33"/>
      <c r="AY175" s="76"/>
    </row>
    <row r="176" spans="3:51">
      <c r="C176" s="166" t="s">
        <v>51</v>
      </c>
      <c r="D176" s="4">
        <v>0.44</v>
      </c>
      <c r="E176" s="188" t="s">
        <v>228</v>
      </c>
      <c r="F176" s="343">
        <f>IF(OR(Tableau145[[#This Row],[Type]]="Feuillus",Tableau145[[#This Row],[Type]]="Peupliers"),1.56,1.3)</f>
        <v>1.3</v>
      </c>
      <c r="I176" s="55">
        <v>171</v>
      </c>
      <c r="J176" s="33">
        <f t="shared" si="76"/>
        <v>0</v>
      </c>
      <c r="K176" s="33">
        <f t="shared" si="77"/>
        <v>0</v>
      </c>
      <c r="L176" s="33">
        <f t="shared" si="78"/>
        <v>0</v>
      </c>
      <c r="M176" s="33">
        <f t="shared" si="79"/>
        <v>0</v>
      </c>
      <c r="N176" s="33">
        <f t="shared" si="65"/>
        <v>0</v>
      </c>
      <c r="O176" s="34">
        <f t="shared" si="66"/>
        <v>0</v>
      </c>
      <c r="P176" s="55">
        <v>171</v>
      </c>
      <c r="Q176" s="33">
        <f t="shared" si="74"/>
        <v>0</v>
      </c>
      <c r="R176" s="33">
        <f t="shared" si="80"/>
        <v>0</v>
      </c>
      <c r="S176" s="33">
        <f t="shared" si="81"/>
        <v>0</v>
      </c>
      <c r="T176" s="33">
        <f t="shared" si="67"/>
        <v>0</v>
      </c>
      <c r="U176" s="33">
        <f t="shared" si="75"/>
        <v>0</v>
      </c>
      <c r="V176" s="33">
        <f t="shared" si="68"/>
        <v>0</v>
      </c>
      <c r="W176" s="33">
        <v>0</v>
      </c>
      <c r="X176" s="33">
        <f t="shared" si="69"/>
        <v>0</v>
      </c>
      <c r="Y176" s="38">
        <f t="shared" si="70"/>
        <v>0</v>
      </c>
      <c r="AA176" s="71">
        <v>171</v>
      </c>
      <c r="AB176" s="33">
        <f t="shared" si="71"/>
        <v>0</v>
      </c>
      <c r="AC176" s="305">
        <f t="shared" si="86"/>
        <v>0</v>
      </c>
      <c r="AD176" s="100">
        <f t="shared" si="72"/>
        <v>0</v>
      </c>
      <c r="AE176" s="100">
        <f t="shared" si="73"/>
        <v>0</v>
      </c>
      <c r="AF176" s="194">
        <f t="shared" si="82"/>
        <v>0</v>
      </c>
      <c r="AG176" s="194">
        <f t="shared" si="83"/>
        <v>0</v>
      </c>
      <c r="AH176" s="194">
        <f t="shared" si="84"/>
        <v>0</v>
      </c>
      <c r="AI176" s="199">
        <f t="shared" si="85"/>
        <v>0</v>
      </c>
      <c r="AK176" s="71">
        <v>171</v>
      </c>
      <c r="AL176" s="33"/>
      <c r="AM176" s="33"/>
      <c r="AN176" s="33"/>
      <c r="AO176" s="33"/>
      <c r="AP176" s="33"/>
      <c r="AQ176" s="194"/>
      <c r="AR176" s="194"/>
      <c r="AS176" s="194"/>
      <c r="AT176" s="194"/>
      <c r="AU176" s="33"/>
      <c r="AV176" s="33"/>
      <c r="AW176" s="33"/>
      <c r="AX176" s="33"/>
      <c r="AY176" s="76"/>
    </row>
    <row r="177" spans="3:51">
      <c r="C177" s="166" t="s">
        <v>52</v>
      </c>
      <c r="D177" s="4">
        <v>0.46</v>
      </c>
      <c r="E177" s="188" t="s">
        <v>228</v>
      </c>
      <c r="F177" s="343">
        <f>IF(OR(Tableau145[[#This Row],[Type]]="Feuillus",Tableau145[[#This Row],[Type]]="Peupliers"),1.56,1.3)</f>
        <v>1.3</v>
      </c>
      <c r="I177" s="55">
        <v>172</v>
      </c>
      <c r="J177" s="33">
        <f t="shared" si="76"/>
        <v>0</v>
      </c>
      <c r="K177" s="33">
        <f t="shared" si="77"/>
        <v>0</v>
      </c>
      <c r="L177" s="33">
        <f t="shared" si="78"/>
        <v>0</v>
      </c>
      <c r="M177" s="33">
        <f t="shared" si="79"/>
        <v>0</v>
      </c>
      <c r="N177" s="33">
        <f t="shared" si="65"/>
        <v>0</v>
      </c>
      <c r="O177" s="34">
        <f t="shared" si="66"/>
        <v>0</v>
      </c>
      <c r="P177" s="55">
        <v>172</v>
      </c>
      <c r="Q177" s="33">
        <f t="shared" si="74"/>
        <v>0</v>
      </c>
      <c r="R177" s="33">
        <f t="shared" si="80"/>
        <v>0</v>
      </c>
      <c r="S177" s="33">
        <f t="shared" si="81"/>
        <v>0</v>
      </c>
      <c r="T177" s="33">
        <f t="shared" si="67"/>
        <v>0</v>
      </c>
      <c r="U177" s="33">
        <f t="shared" si="75"/>
        <v>0</v>
      </c>
      <c r="V177" s="33">
        <f t="shared" si="68"/>
        <v>0</v>
      </c>
      <c r="W177" s="33">
        <v>0</v>
      </c>
      <c r="X177" s="33">
        <f t="shared" si="69"/>
        <v>0</v>
      </c>
      <c r="Y177" s="38">
        <f t="shared" si="70"/>
        <v>0</v>
      </c>
      <c r="AA177" s="71">
        <v>172</v>
      </c>
      <c r="AB177" s="33">
        <f t="shared" si="71"/>
        <v>0</v>
      </c>
      <c r="AC177" s="305">
        <f t="shared" si="86"/>
        <v>0</v>
      </c>
      <c r="AD177" s="100">
        <f t="shared" si="72"/>
        <v>0</v>
      </c>
      <c r="AE177" s="100">
        <f t="shared" si="73"/>
        <v>0</v>
      </c>
      <c r="AF177" s="194">
        <f t="shared" si="82"/>
        <v>0</v>
      </c>
      <c r="AG177" s="194">
        <f t="shared" si="83"/>
        <v>0</v>
      </c>
      <c r="AH177" s="194">
        <f t="shared" si="84"/>
        <v>0</v>
      </c>
      <c r="AI177" s="199">
        <f t="shared" si="85"/>
        <v>0</v>
      </c>
      <c r="AK177" s="71">
        <v>172</v>
      </c>
      <c r="AL177" s="33"/>
      <c r="AM177" s="33"/>
      <c r="AN177" s="33"/>
      <c r="AO177" s="33"/>
      <c r="AP177" s="33"/>
      <c r="AQ177" s="194"/>
      <c r="AR177" s="194"/>
      <c r="AS177" s="194"/>
      <c r="AT177" s="194"/>
      <c r="AU177" s="33"/>
      <c r="AV177" s="33"/>
      <c r="AW177" s="33"/>
      <c r="AX177" s="33"/>
      <c r="AY177" s="76"/>
    </row>
    <row r="178" spans="3:51" ht="30">
      <c r="C178" s="166" t="s">
        <v>53</v>
      </c>
      <c r="D178" s="4">
        <v>0.46</v>
      </c>
      <c r="E178" s="188" t="s">
        <v>230</v>
      </c>
      <c r="F178" s="343">
        <f>IF(OR(Tableau145[[#This Row],[Type]]="Feuillus",Tableau145[[#This Row],[Type]]="Peupliers"),1.56,1.3)</f>
        <v>1.3</v>
      </c>
      <c r="I178" s="55">
        <v>173</v>
      </c>
      <c r="J178" s="33">
        <f t="shared" si="76"/>
        <v>0</v>
      </c>
      <c r="K178" s="33">
        <f t="shared" si="77"/>
        <v>0</v>
      </c>
      <c r="L178" s="33">
        <f t="shared" si="78"/>
        <v>0</v>
      </c>
      <c r="M178" s="33">
        <f t="shared" si="79"/>
        <v>0</v>
      </c>
      <c r="N178" s="33">
        <f t="shared" si="65"/>
        <v>0</v>
      </c>
      <c r="O178" s="34">
        <f t="shared" si="66"/>
        <v>0</v>
      </c>
      <c r="P178" s="55">
        <v>173</v>
      </c>
      <c r="Q178" s="33">
        <f t="shared" si="74"/>
        <v>0</v>
      </c>
      <c r="R178" s="33">
        <f t="shared" si="80"/>
        <v>0</v>
      </c>
      <c r="S178" s="33">
        <f t="shared" si="81"/>
        <v>0</v>
      </c>
      <c r="T178" s="33">
        <f t="shared" si="67"/>
        <v>0</v>
      </c>
      <c r="U178" s="33">
        <f t="shared" si="75"/>
        <v>0</v>
      </c>
      <c r="V178" s="33">
        <f t="shared" si="68"/>
        <v>0</v>
      </c>
      <c r="W178" s="33">
        <v>0</v>
      </c>
      <c r="X178" s="33">
        <f t="shared" si="69"/>
        <v>0</v>
      </c>
      <c r="Y178" s="38">
        <f t="shared" si="70"/>
        <v>0</v>
      </c>
      <c r="AA178" s="71">
        <v>173</v>
      </c>
      <c r="AB178" s="33">
        <f t="shared" si="71"/>
        <v>0</v>
      </c>
      <c r="AC178" s="305">
        <f t="shared" si="86"/>
        <v>0</v>
      </c>
      <c r="AD178" s="100">
        <f t="shared" si="72"/>
        <v>0</v>
      </c>
      <c r="AE178" s="100">
        <f t="shared" si="73"/>
        <v>0</v>
      </c>
      <c r="AF178" s="194">
        <f t="shared" si="82"/>
        <v>0</v>
      </c>
      <c r="AG178" s="194">
        <f t="shared" si="83"/>
        <v>0</v>
      </c>
      <c r="AH178" s="194">
        <f t="shared" si="84"/>
        <v>0</v>
      </c>
      <c r="AI178" s="199">
        <f t="shared" si="85"/>
        <v>0</v>
      </c>
      <c r="AK178" s="71">
        <v>173</v>
      </c>
      <c r="AL178" s="33"/>
      <c r="AM178" s="33"/>
      <c r="AN178" s="33"/>
      <c r="AO178" s="33"/>
      <c r="AP178" s="33"/>
      <c r="AQ178" s="194"/>
      <c r="AR178" s="194"/>
      <c r="AS178" s="194"/>
      <c r="AT178" s="194"/>
      <c r="AU178" s="33"/>
      <c r="AV178" s="33"/>
      <c r="AW178" s="33"/>
      <c r="AX178" s="33"/>
      <c r="AY178" s="76"/>
    </row>
    <row r="179" spans="3:51">
      <c r="C179" s="166" t="s">
        <v>54</v>
      </c>
      <c r="D179" s="4">
        <v>0.44</v>
      </c>
      <c r="E179" s="188" t="s">
        <v>228</v>
      </c>
      <c r="F179" s="343">
        <f>IF(OR(Tableau145[[#This Row],[Type]]="Feuillus",Tableau145[[#This Row],[Type]]="Peupliers"),1.56,1.3)</f>
        <v>1.3</v>
      </c>
      <c r="I179" s="55">
        <v>174</v>
      </c>
      <c r="J179" s="33">
        <f t="shared" si="76"/>
        <v>0</v>
      </c>
      <c r="K179" s="33">
        <f t="shared" si="77"/>
        <v>0</v>
      </c>
      <c r="L179" s="33">
        <f t="shared" si="78"/>
        <v>0</v>
      </c>
      <c r="M179" s="33">
        <f t="shared" si="79"/>
        <v>0</v>
      </c>
      <c r="N179" s="33">
        <f t="shared" si="65"/>
        <v>0</v>
      </c>
      <c r="O179" s="34">
        <f t="shared" si="66"/>
        <v>0</v>
      </c>
      <c r="P179" s="55">
        <v>174</v>
      </c>
      <c r="Q179" s="33">
        <f t="shared" si="74"/>
        <v>0</v>
      </c>
      <c r="R179" s="33">
        <f t="shared" si="80"/>
        <v>0</v>
      </c>
      <c r="S179" s="33">
        <f t="shared" si="81"/>
        <v>0</v>
      </c>
      <c r="T179" s="33">
        <f t="shared" si="67"/>
        <v>0</v>
      </c>
      <c r="U179" s="33">
        <f t="shared" si="75"/>
        <v>0</v>
      </c>
      <c r="V179" s="33">
        <f t="shared" si="68"/>
        <v>0</v>
      </c>
      <c r="W179" s="33">
        <v>0</v>
      </c>
      <c r="X179" s="33">
        <f t="shared" si="69"/>
        <v>0</v>
      </c>
      <c r="Y179" s="38">
        <f t="shared" si="70"/>
        <v>0</v>
      </c>
      <c r="AA179" s="71">
        <v>174</v>
      </c>
      <c r="AB179" s="33">
        <f t="shared" si="71"/>
        <v>0</v>
      </c>
      <c r="AC179" s="305">
        <f t="shared" si="86"/>
        <v>0</v>
      </c>
      <c r="AD179" s="100">
        <f t="shared" si="72"/>
        <v>0</v>
      </c>
      <c r="AE179" s="100">
        <f t="shared" si="73"/>
        <v>0</v>
      </c>
      <c r="AF179" s="194">
        <f t="shared" si="82"/>
        <v>0</v>
      </c>
      <c r="AG179" s="194">
        <f t="shared" si="83"/>
        <v>0</v>
      </c>
      <c r="AH179" s="194">
        <f t="shared" si="84"/>
        <v>0</v>
      </c>
      <c r="AI179" s="199">
        <f t="shared" si="85"/>
        <v>0</v>
      </c>
      <c r="AK179" s="71">
        <v>174</v>
      </c>
      <c r="AL179" s="33"/>
      <c r="AM179" s="33"/>
      <c r="AN179" s="33"/>
      <c r="AO179" s="33"/>
      <c r="AP179" s="33"/>
      <c r="AQ179" s="194"/>
      <c r="AR179" s="194"/>
      <c r="AS179" s="194"/>
      <c r="AT179" s="194"/>
      <c r="AU179" s="33"/>
      <c r="AV179" s="33"/>
      <c r="AW179" s="33"/>
      <c r="AX179" s="33"/>
      <c r="AY179" s="76"/>
    </row>
    <row r="180" spans="3:51">
      <c r="C180" s="166" t="s">
        <v>55</v>
      </c>
      <c r="D180" s="4">
        <v>0.46</v>
      </c>
      <c r="E180" s="188" t="s">
        <v>228</v>
      </c>
      <c r="F180" s="343">
        <f>IF(OR(Tableau145[[#This Row],[Type]]="Feuillus",Tableau145[[#This Row],[Type]]="Peupliers"),1.56,1.3)</f>
        <v>1.3</v>
      </c>
      <c r="I180" s="55">
        <v>175</v>
      </c>
      <c r="J180" s="33">
        <f t="shared" si="76"/>
        <v>0</v>
      </c>
      <c r="K180" s="33">
        <f t="shared" si="77"/>
        <v>0</v>
      </c>
      <c r="L180" s="33">
        <f t="shared" si="78"/>
        <v>0</v>
      </c>
      <c r="M180" s="33">
        <f t="shared" si="79"/>
        <v>0</v>
      </c>
      <c r="N180" s="33">
        <f t="shared" si="65"/>
        <v>0</v>
      </c>
      <c r="O180" s="34">
        <f t="shared" si="66"/>
        <v>0</v>
      </c>
      <c r="P180" s="55">
        <v>175</v>
      </c>
      <c r="Q180" s="33">
        <f t="shared" si="74"/>
        <v>0</v>
      </c>
      <c r="R180" s="33">
        <f t="shared" si="80"/>
        <v>0</v>
      </c>
      <c r="S180" s="33">
        <f t="shared" si="81"/>
        <v>0</v>
      </c>
      <c r="T180" s="33">
        <f t="shared" si="67"/>
        <v>0</v>
      </c>
      <c r="U180" s="33">
        <f t="shared" si="75"/>
        <v>0</v>
      </c>
      <c r="V180" s="33">
        <f t="shared" si="68"/>
        <v>0</v>
      </c>
      <c r="W180" s="33">
        <v>0</v>
      </c>
      <c r="X180" s="33">
        <f t="shared" si="69"/>
        <v>0</v>
      </c>
      <c r="Y180" s="38">
        <f t="shared" si="70"/>
        <v>0</v>
      </c>
      <c r="AA180" s="71">
        <v>175</v>
      </c>
      <c r="AB180" s="33">
        <f t="shared" si="71"/>
        <v>0</v>
      </c>
      <c r="AC180" s="305">
        <f t="shared" si="86"/>
        <v>0</v>
      </c>
      <c r="AD180" s="100">
        <f t="shared" si="72"/>
        <v>0</v>
      </c>
      <c r="AE180" s="100">
        <f t="shared" si="73"/>
        <v>0</v>
      </c>
      <c r="AF180" s="194">
        <f t="shared" si="82"/>
        <v>0</v>
      </c>
      <c r="AG180" s="194">
        <f t="shared" si="83"/>
        <v>0</v>
      </c>
      <c r="AH180" s="194">
        <f t="shared" si="84"/>
        <v>0</v>
      </c>
      <c r="AI180" s="199">
        <f t="shared" si="85"/>
        <v>0</v>
      </c>
      <c r="AK180" s="71">
        <v>175</v>
      </c>
      <c r="AL180" s="33"/>
      <c r="AM180" s="33"/>
      <c r="AN180" s="33"/>
      <c r="AO180" s="33"/>
      <c r="AP180" s="33"/>
      <c r="AQ180" s="194"/>
      <c r="AR180" s="194"/>
      <c r="AS180" s="194"/>
      <c r="AT180" s="194"/>
      <c r="AU180" s="33"/>
      <c r="AV180" s="33"/>
      <c r="AW180" s="33"/>
      <c r="AX180" s="33"/>
      <c r="AY180" s="76"/>
    </row>
    <row r="181" spans="3:51">
      <c r="C181" s="166" t="s">
        <v>56</v>
      </c>
      <c r="D181" s="4">
        <v>0.48</v>
      </c>
      <c r="E181" s="188" t="s">
        <v>228</v>
      </c>
      <c r="F181" s="343">
        <f>IF(OR(Tableau145[[#This Row],[Type]]="Feuillus",Tableau145[[#This Row],[Type]]="Peupliers"),1.56,1.3)</f>
        <v>1.3</v>
      </c>
      <c r="I181" s="55">
        <v>176</v>
      </c>
      <c r="J181" s="33">
        <f t="shared" si="76"/>
        <v>0</v>
      </c>
      <c r="K181" s="33">
        <f t="shared" si="77"/>
        <v>0</v>
      </c>
      <c r="L181" s="33">
        <f t="shared" si="78"/>
        <v>0</v>
      </c>
      <c r="M181" s="33">
        <f t="shared" si="79"/>
        <v>0</v>
      </c>
      <c r="N181" s="33">
        <f t="shared" si="65"/>
        <v>0</v>
      </c>
      <c r="O181" s="34">
        <f t="shared" si="66"/>
        <v>0</v>
      </c>
      <c r="P181" s="55">
        <v>176</v>
      </c>
      <c r="Q181" s="33">
        <f t="shared" si="74"/>
        <v>0</v>
      </c>
      <c r="R181" s="33">
        <f t="shared" si="80"/>
        <v>0</v>
      </c>
      <c r="S181" s="33">
        <f t="shared" si="81"/>
        <v>0</v>
      </c>
      <c r="T181" s="33">
        <f t="shared" si="67"/>
        <v>0</v>
      </c>
      <c r="U181" s="33">
        <f t="shared" si="75"/>
        <v>0</v>
      </c>
      <c r="V181" s="33">
        <f t="shared" si="68"/>
        <v>0</v>
      </c>
      <c r="W181" s="33">
        <v>0</v>
      </c>
      <c r="X181" s="33">
        <f t="shared" si="69"/>
        <v>0</v>
      </c>
      <c r="Y181" s="38">
        <f t="shared" si="70"/>
        <v>0</v>
      </c>
      <c r="AA181" s="71">
        <v>176</v>
      </c>
      <c r="AB181" s="33">
        <f t="shared" si="71"/>
        <v>0</v>
      </c>
      <c r="AC181" s="305">
        <f t="shared" si="86"/>
        <v>0</v>
      </c>
      <c r="AD181" s="100">
        <f t="shared" si="72"/>
        <v>0</v>
      </c>
      <c r="AE181" s="100">
        <f t="shared" si="73"/>
        <v>0</v>
      </c>
      <c r="AF181" s="194">
        <f t="shared" si="82"/>
        <v>0</v>
      </c>
      <c r="AG181" s="194">
        <f t="shared" si="83"/>
        <v>0</v>
      </c>
      <c r="AH181" s="194">
        <f t="shared" si="84"/>
        <v>0</v>
      </c>
      <c r="AI181" s="199">
        <f t="shared" si="85"/>
        <v>0</v>
      </c>
      <c r="AK181" s="71">
        <v>176</v>
      </c>
      <c r="AL181" s="33"/>
      <c r="AM181" s="33"/>
      <c r="AN181" s="33"/>
      <c r="AO181" s="33"/>
      <c r="AP181" s="33"/>
      <c r="AQ181" s="194"/>
      <c r="AR181" s="194"/>
      <c r="AS181" s="194"/>
      <c r="AT181" s="194"/>
      <c r="AU181" s="33"/>
      <c r="AV181" s="33"/>
      <c r="AW181" s="33"/>
      <c r="AX181" s="33"/>
      <c r="AY181" s="76"/>
    </row>
    <row r="182" spans="3:51">
      <c r="C182" s="166" t="s">
        <v>57</v>
      </c>
      <c r="D182" s="4">
        <v>0.44</v>
      </c>
      <c r="E182" s="188" t="s">
        <v>228</v>
      </c>
      <c r="F182" s="343">
        <f>IF(OR(Tableau145[[#This Row],[Type]]="Feuillus",Tableau145[[#This Row],[Type]]="Peupliers"),1.56,1.3)</f>
        <v>1.3</v>
      </c>
      <c r="I182" s="55">
        <v>177</v>
      </c>
      <c r="J182" s="33">
        <f t="shared" si="76"/>
        <v>0</v>
      </c>
      <c r="K182" s="33">
        <f t="shared" si="77"/>
        <v>0</v>
      </c>
      <c r="L182" s="33">
        <f t="shared" si="78"/>
        <v>0</v>
      </c>
      <c r="M182" s="33">
        <f t="shared" si="79"/>
        <v>0</v>
      </c>
      <c r="N182" s="33">
        <f t="shared" si="65"/>
        <v>0</v>
      </c>
      <c r="O182" s="34">
        <f t="shared" si="66"/>
        <v>0</v>
      </c>
      <c r="P182" s="55">
        <v>177</v>
      </c>
      <c r="Q182" s="33">
        <f t="shared" si="74"/>
        <v>0</v>
      </c>
      <c r="R182" s="33">
        <f t="shared" si="80"/>
        <v>0</v>
      </c>
      <c r="S182" s="33">
        <f t="shared" si="81"/>
        <v>0</v>
      </c>
      <c r="T182" s="33">
        <f t="shared" si="67"/>
        <v>0</v>
      </c>
      <c r="U182" s="33">
        <f t="shared" si="75"/>
        <v>0</v>
      </c>
      <c r="V182" s="33">
        <f t="shared" si="68"/>
        <v>0</v>
      </c>
      <c r="W182" s="33">
        <v>0</v>
      </c>
      <c r="X182" s="33">
        <f t="shared" si="69"/>
        <v>0</v>
      </c>
      <c r="Y182" s="38">
        <f t="shared" si="70"/>
        <v>0</v>
      </c>
      <c r="AA182" s="71">
        <v>177</v>
      </c>
      <c r="AB182" s="33">
        <f t="shared" si="71"/>
        <v>0</v>
      </c>
      <c r="AC182" s="305">
        <f t="shared" si="86"/>
        <v>0</v>
      </c>
      <c r="AD182" s="100">
        <f t="shared" si="72"/>
        <v>0</v>
      </c>
      <c r="AE182" s="100">
        <f t="shared" si="73"/>
        <v>0</v>
      </c>
      <c r="AF182" s="194">
        <f t="shared" si="82"/>
        <v>0</v>
      </c>
      <c r="AG182" s="194">
        <f t="shared" si="83"/>
        <v>0</v>
      </c>
      <c r="AH182" s="194">
        <f t="shared" si="84"/>
        <v>0</v>
      </c>
      <c r="AI182" s="199">
        <f t="shared" si="85"/>
        <v>0</v>
      </c>
      <c r="AK182" s="71">
        <v>177</v>
      </c>
      <c r="AL182" s="33"/>
      <c r="AM182" s="33"/>
      <c r="AN182" s="33"/>
      <c r="AO182" s="33"/>
      <c r="AP182" s="33"/>
      <c r="AQ182" s="194"/>
      <c r="AR182" s="194"/>
      <c r="AS182" s="194"/>
      <c r="AT182" s="194"/>
      <c r="AU182" s="33"/>
      <c r="AV182" s="33"/>
      <c r="AW182" s="33"/>
      <c r="AX182" s="33"/>
      <c r="AY182" s="76"/>
    </row>
    <row r="183" spans="3:51">
      <c r="C183" s="166" t="s">
        <v>58</v>
      </c>
      <c r="D183" s="4">
        <v>0.34</v>
      </c>
      <c r="E183" s="188" t="s">
        <v>228</v>
      </c>
      <c r="F183" s="343">
        <f>IF(OR(Tableau145[[#This Row],[Type]]="Feuillus",Tableau145[[#This Row],[Type]]="Peupliers"),1.56,1.3)</f>
        <v>1.3</v>
      </c>
      <c r="I183" s="55">
        <v>178</v>
      </c>
      <c r="J183" s="33">
        <f t="shared" si="76"/>
        <v>0</v>
      </c>
      <c r="K183" s="33">
        <f t="shared" si="77"/>
        <v>0</v>
      </c>
      <c r="L183" s="33">
        <f t="shared" si="78"/>
        <v>0</v>
      </c>
      <c r="M183" s="33">
        <f t="shared" si="79"/>
        <v>0</v>
      </c>
      <c r="N183" s="33">
        <f t="shared" si="65"/>
        <v>0</v>
      </c>
      <c r="O183" s="34">
        <f t="shared" si="66"/>
        <v>0</v>
      </c>
      <c r="P183" s="55">
        <v>178</v>
      </c>
      <c r="Q183" s="33">
        <f t="shared" si="74"/>
        <v>0</v>
      </c>
      <c r="R183" s="33">
        <f t="shared" si="80"/>
        <v>0</v>
      </c>
      <c r="S183" s="33">
        <f t="shared" si="81"/>
        <v>0</v>
      </c>
      <c r="T183" s="33">
        <f t="shared" si="67"/>
        <v>0</v>
      </c>
      <c r="U183" s="33">
        <f t="shared" si="75"/>
        <v>0</v>
      </c>
      <c r="V183" s="33">
        <f t="shared" si="68"/>
        <v>0</v>
      </c>
      <c r="W183" s="33">
        <v>0</v>
      </c>
      <c r="X183" s="33">
        <f t="shared" si="69"/>
        <v>0</v>
      </c>
      <c r="Y183" s="38">
        <f t="shared" si="70"/>
        <v>0</v>
      </c>
      <c r="AA183" s="71">
        <v>178</v>
      </c>
      <c r="AB183" s="33">
        <f t="shared" si="71"/>
        <v>0</v>
      </c>
      <c r="AC183" s="305">
        <f t="shared" si="86"/>
        <v>0</v>
      </c>
      <c r="AD183" s="100">
        <f t="shared" si="72"/>
        <v>0</v>
      </c>
      <c r="AE183" s="100">
        <f t="shared" si="73"/>
        <v>0</v>
      </c>
      <c r="AF183" s="194">
        <f t="shared" si="82"/>
        <v>0</v>
      </c>
      <c r="AG183" s="194">
        <f t="shared" si="83"/>
        <v>0</v>
      </c>
      <c r="AH183" s="194">
        <f t="shared" si="84"/>
        <v>0</v>
      </c>
      <c r="AI183" s="199">
        <f t="shared" si="85"/>
        <v>0</v>
      </c>
      <c r="AK183" s="71">
        <v>178</v>
      </c>
      <c r="AL183" s="33"/>
      <c r="AM183" s="33"/>
      <c r="AN183" s="33"/>
      <c r="AO183" s="33"/>
      <c r="AP183" s="33"/>
      <c r="AQ183" s="194"/>
      <c r="AR183" s="194"/>
      <c r="AS183" s="194"/>
      <c r="AT183" s="194"/>
      <c r="AU183" s="33"/>
      <c r="AV183" s="33"/>
      <c r="AW183" s="33"/>
      <c r="AX183" s="33"/>
      <c r="AY183" s="76"/>
    </row>
    <row r="184" spans="3:51">
      <c r="C184" s="166" t="s">
        <v>59</v>
      </c>
      <c r="D184" s="4">
        <v>0.5</v>
      </c>
      <c r="E184" s="188" t="s">
        <v>227</v>
      </c>
      <c r="F184" s="343">
        <f>IF(OR(Tableau145[[#This Row],[Type]]="Feuillus",Tableau145[[#This Row],[Type]]="Peupliers"),1.56,1.3)</f>
        <v>1.56</v>
      </c>
      <c r="I184" s="55">
        <v>179</v>
      </c>
      <c r="J184" s="33">
        <f t="shared" si="76"/>
        <v>0</v>
      </c>
      <c r="K184" s="33">
        <f t="shared" si="77"/>
        <v>0</v>
      </c>
      <c r="L184" s="33">
        <f t="shared" si="78"/>
        <v>0</v>
      </c>
      <c r="M184" s="33">
        <f t="shared" si="79"/>
        <v>0</v>
      </c>
      <c r="N184" s="33">
        <f t="shared" si="65"/>
        <v>0</v>
      </c>
      <c r="O184" s="34">
        <f t="shared" si="66"/>
        <v>0</v>
      </c>
      <c r="P184" s="55">
        <v>179</v>
      </c>
      <c r="Q184" s="33">
        <f t="shared" si="74"/>
        <v>0</v>
      </c>
      <c r="R184" s="33">
        <f t="shared" si="80"/>
        <v>0</v>
      </c>
      <c r="S184" s="33">
        <f t="shared" si="81"/>
        <v>0</v>
      </c>
      <c r="T184" s="33">
        <f t="shared" si="67"/>
        <v>0</v>
      </c>
      <c r="U184" s="33">
        <f t="shared" si="75"/>
        <v>0</v>
      </c>
      <c r="V184" s="33">
        <f t="shared" si="68"/>
        <v>0</v>
      </c>
      <c r="W184" s="33">
        <v>0</v>
      </c>
      <c r="X184" s="33">
        <f t="shared" si="69"/>
        <v>0</v>
      </c>
      <c r="Y184" s="38">
        <f t="shared" si="70"/>
        <v>0</v>
      </c>
      <c r="AA184" s="71">
        <v>179</v>
      </c>
      <c r="AB184" s="33">
        <f t="shared" si="71"/>
        <v>0</v>
      </c>
      <c r="AC184" s="305">
        <f t="shared" si="86"/>
        <v>0</v>
      </c>
      <c r="AD184" s="100">
        <f t="shared" si="72"/>
        <v>0</v>
      </c>
      <c r="AE184" s="100">
        <f t="shared" si="73"/>
        <v>0</v>
      </c>
      <c r="AF184" s="194">
        <f t="shared" si="82"/>
        <v>0</v>
      </c>
      <c r="AG184" s="194">
        <f t="shared" si="83"/>
        <v>0</v>
      </c>
      <c r="AH184" s="194">
        <f t="shared" si="84"/>
        <v>0</v>
      </c>
      <c r="AI184" s="199">
        <f t="shared" si="85"/>
        <v>0</v>
      </c>
      <c r="AK184" s="71">
        <v>179</v>
      </c>
      <c r="AL184" s="33"/>
      <c r="AM184" s="33"/>
      <c r="AN184" s="33"/>
      <c r="AO184" s="33"/>
      <c r="AP184" s="33"/>
      <c r="AQ184" s="194"/>
      <c r="AR184" s="194"/>
      <c r="AS184" s="194"/>
      <c r="AT184" s="194"/>
      <c r="AU184" s="33"/>
      <c r="AV184" s="33"/>
      <c r="AW184" s="33"/>
      <c r="AX184" s="33"/>
      <c r="AY184" s="76"/>
    </row>
    <row r="185" spans="3:51">
      <c r="C185" s="166" t="s">
        <v>60</v>
      </c>
      <c r="D185" s="4">
        <v>0.57999999999999996</v>
      </c>
      <c r="E185" s="188" t="s">
        <v>227</v>
      </c>
      <c r="F185" s="343">
        <f>IF(OR(Tableau145[[#This Row],[Type]]="Feuillus",Tableau145[[#This Row],[Type]]="Peupliers"),1.56,1.3)</f>
        <v>1.56</v>
      </c>
      <c r="I185" s="55">
        <v>180</v>
      </c>
      <c r="J185" s="33">
        <f t="shared" si="76"/>
        <v>0</v>
      </c>
      <c r="K185" s="33">
        <f t="shared" si="77"/>
        <v>0</v>
      </c>
      <c r="L185" s="33">
        <f t="shared" si="78"/>
        <v>0</v>
      </c>
      <c r="M185" s="33">
        <f t="shared" si="79"/>
        <v>0</v>
      </c>
      <c r="N185" s="33">
        <f t="shared" si="65"/>
        <v>0</v>
      </c>
      <c r="O185" s="34">
        <f t="shared" si="66"/>
        <v>0</v>
      </c>
      <c r="P185" s="55">
        <v>180</v>
      </c>
      <c r="Q185" s="33">
        <f t="shared" si="74"/>
        <v>0</v>
      </c>
      <c r="R185" s="33">
        <f t="shared" si="80"/>
        <v>0</v>
      </c>
      <c r="S185" s="33">
        <f t="shared" si="81"/>
        <v>0</v>
      </c>
      <c r="T185" s="33">
        <f t="shared" si="67"/>
        <v>0</v>
      </c>
      <c r="U185" s="33">
        <f t="shared" si="75"/>
        <v>0</v>
      </c>
      <c r="V185" s="33">
        <f t="shared" si="68"/>
        <v>0</v>
      </c>
      <c r="W185" s="33">
        <v>0</v>
      </c>
      <c r="X185" s="33">
        <f t="shared" si="69"/>
        <v>0</v>
      </c>
      <c r="Y185" s="38">
        <f t="shared" si="70"/>
        <v>0</v>
      </c>
      <c r="AA185" s="71">
        <v>180</v>
      </c>
      <c r="AB185" s="33">
        <f t="shared" si="71"/>
        <v>0</v>
      </c>
      <c r="AC185" s="305">
        <f t="shared" si="86"/>
        <v>0</v>
      </c>
      <c r="AD185" s="100">
        <f t="shared" si="72"/>
        <v>0</v>
      </c>
      <c r="AE185" s="100">
        <f t="shared" si="73"/>
        <v>0</v>
      </c>
      <c r="AF185" s="194">
        <f t="shared" si="82"/>
        <v>0</v>
      </c>
      <c r="AG185" s="194">
        <f t="shared" si="83"/>
        <v>0</v>
      </c>
      <c r="AH185" s="194">
        <f t="shared" si="84"/>
        <v>0</v>
      </c>
      <c r="AI185" s="199">
        <f t="shared" si="85"/>
        <v>0</v>
      </c>
      <c r="AK185" s="71">
        <v>180</v>
      </c>
      <c r="AL185" s="33"/>
      <c r="AM185" s="33"/>
      <c r="AN185" s="33"/>
      <c r="AO185" s="33"/>
      <c r="AP185" s="33"/>
      <c r="AQ185" s="194"/>
      <c r="AR185" s="194"/>
      <c r="AS185" s="194"/>
      <c r="AT185" s="194"/>
      <c r="AU185" s="33"/>
      <c r="AV185" s="33"/>
      <c r="AW185" s="33"/>
      <c r="AX185" s="33"/>
      <c r="AY185" s="76"/>
    </row>
    <row r="186" spans="3:51">
      <c r="C186" s="166" t="s">
        <v>61</v>
      </c>
      <c r="D186" s="4">
        <v>0.37</v>
      </c>
      <c r="E186" s="188" t="s">
        <v>228</v>
      </c>
      <c r="F186" s="343">
        <f>IF(OR(Tableau145[[#This Row],[Type]]="Feuillus",Tableau145[[#This Row],[Type]]="Peupliers"),1.56,1.3)</f>
        <v>1.3</v>
      </c>
      <c r="I186" s="55">
        <v>181</v>
      </c>
      <c r="J186" s="33">
        <f t="shared" si="76"/>
        <v>0</v>
      </c>
      <c r="K186" s="33">
        <f t="shared" si="77"/>
        <v>0</v>
      </c>
      <c r="L186" s="33">
        <f t="shared" si="78"/>
        <v>0</v>
      </c>
      <c r="M186" s="33">
        <f t="shared" si="79"/>
        <v>0</v>
      </c>
      <c r="N186" s="33">
        <f t="shared" si="65"/>
        <v>0</v>
      </c>
      <c r="O186" s="34">
        <f t="shared" si="66"/>
        <v>0</v>
      </c>
      <c r="P186" s="55">
        <v>181</v>
      </c>
      <c r="Q186" s="33">
        <f t="shared" si="74"/>
        <v>0</v>
      </c>
      <c r="R186" s="33">
        <f t="shared" si="80"/>
        <v>0</v>
      </c>
      <c r="S186" s="33">
        <f t="shared" si="81"/>
        <v>0</v>
      </c>
      <c r="T186" s="33">
        <f t="shared" si="67"/>
        <v>0</v>
      </c>
      <c r="U186" s="33">
        <f t="shared" si="75"/>
        <v>0</v>
      </c>
      <c r="V186" s="33">
        <f t="shared" si="68"/>
        <v>0</v>
      </c>
      <c r="W186" s="33">
        <v>0</v>
      </c>
      <c r="X186" s="33">
        <f t="shared" si="69"/>
        <v>0</v>
      </c>
      <c r="Y186" s="38">
        <f t="shared" si="70"/>
        <v>0</v>
      </c>
      <c r="AA186" s="71">
        <v>181</v>
      </c>
      <c r="AB186" s="33">
        <f t="shared" si="71"/>
        <v>0</v>
      </c>
      <c r="AC186" s="305">
        <f t="shared" si="86"/>
        <v>0</v>
      </c>
      <c r="AD186" s="100">
        <f t="shared" si="72"/>
        <v>0</v>
      </c>
      <c r="AE186" s="100">
        <f t="shared" si="73"/>
        <v>0</v>
      </c>
      <c r="AF186" s="194">
        <f t="shared" si="82"/>
        <v>0</v>
      </c>
      <c r="AG186" s="194">
        <f t="shared" si="83"/>
        <v>0</v>
      </c>
      <c r="AH186" s="194">
        <f t="shared" si="84"/>
        <v>0</v>
      </c>
      <c r="AI186" s="199">
        <f t="shared" si="85"/>
        <v>0</v>
      </c>
      <c r="AK186" s="71">
        <v>181</v>
      </c>
      <c r="AL186" s="33"/>
      <c r="AM186" s="33"/>
      <c r="AN186" s="33"/>
      <c r="AO186" s="33"/>
      <c r="AP186" s="33"/>
      <c r="AQ186" s="194"/>
      <c r="AR186" s="194"/>
      <c r="AS186" s="194"/>
      <c r="AT186" s="194"/>
      <c r="AU186" s="33"/>
      <c r="AV186" s="33"/>
      <c r="AW186" s="33"/>
      <c r="AX186" s="33"/>
      <c r="AY186" s="76"/>
    </row>
    <row r="187" spans="3:51">
      <c r="C187" s="166" t="s">
        <v>62</v>
      </c>
      <c r="D187" s="4">
        <v>0.37</v>
      </c>
      <c r="E187" s="188" t="s">
        <v>228</v>
      </c>
      <c r="F187" s="343">
        <f>IF(OR(Tableau145[[#This Row],[Type]]="Feuillus",Tableau145[[#This Row],[Type]]="Peupliers"),1.56,1.3)</f>
        <v>1.3</v>
      </c>
      <c r="I187" s="55">
        <v>182</v>
      </c>
      <c r="J187" s="33">
        <f t="shared" si="76"/>
        <v>0</v>
      </c>
      <c r="K187" s="33">
        <f t="shared" si="77"/>
        <v>0</v>
      </c>
      <c r="L187" s="33">
        <f t="shared" si="78"/>
        <v>0</v>
      </c>
      <c r="M187" s="33">
        <f t="shared" si="79"/>
        <v>0</v>
      </c>
      <c r="N187" s="33">
        <f t="shared" si="65"/>
        <v>0</v>
      </c>
      <c r="O187" s="34">
        <f t="shared" si="66"/>
        <v>0</v>
      </c>
      <c r="P187" s="55">
        <v>182</v>
      </c>
      <c r="Q187" s="33">
        <f t="shared" si="74"/>
        <v>0</v>
      </c>
      <c r="R187" s="33">
        <f t="shared" si="80"/>
        <v>0</v>
      </c>
      <c r="S187" s="33">
        <f t="shared" si="81"/>
        <v>0</v>
      </c>
      <c r="T187" s="33">
        <f t="shared" si="67"/>
        <v>0</v>
      </c>
      <c r="U187" s="33">
        <f t="shared" si="75"/>
        <v>0</v>
      </c>
      <c r="V187" s="33">
        <f t="shared" si="68"/>
        <v>0</v>
      </c>
      <c r="W187" s="33">
        <v>0</v>
      </c>
      <c r="X187" s="33">
        <f t="shared" si="69"/>
        <v>0</v>
      </c>
      <c r="Y187" s="38">
        <f t="shared" si="70"/>
        <v>0</v>
      </c>
      <c r="AA187" s="71">
        <v>182</v>
      </c>
      <c r="AB187" s="33">
        <f t="shared" si="71"/>
        <v>0</v>
      </c>
      <c r="AC187" s="305">
        <f t="shared" si="86"/>
        <v>0</v>
      </c>
      <c r="AD187" s="100">
        <f t="shared" si="72"/>
        <v>0</v>
      </c>
      <c r="AE187" s="100">
        <f t="shared" si="73"/>
        <v>0</v>
      </c>
      <c r="AF187" s="194">
        <f t="shared" si="82"/>
        <v>0</v>
      </c>
      <c r="AG187" s="194">
        <f t="shared" si="83"/>
        <v>0</v>
      </c>
      <c r="AH187" s="194">
        <f t="shared" si="84"/>
        <v>0</v>
      </c>
      <c r="AI187" s="199">
        <f t="shared" si="85"/>
        <v>0</v>
      </c>
      <c r="AK187" s="71">
        <v>182</v>
      </c>
      <c r="AL187" s="33"/>
      <c r="AM187" s="33"/>
      <c r="AN187" s="33"/>
      <c r="AO187" s="33"/>
      <c r="AP187" s="33"/>
      <c r="AQ187" s="194"/>
      <c r="AR187" s="194"/>
      <c r="AS187" s="194"/>
      <c r="AT187" s="194"/>
      <c r="AU187" s="33"/>
      <c r="AV187" s="33"/>
      <c r="AW187" s="33"/>
      <c r="AX187" s="33"/>
      <c r="AY187" s="76"/>
    </row>
    <row r="188" spans="3:51">
      <c r="C188" s="166" t="s">
        <v>63</v>
      </c>
      <c r="D188" s="4">
        <v>0.38</v>
      </c>
      <c r="E188" s="188" t="s">
        <v>228</v>
      </c>
      <c r="F188" s="343">
        <f>IF(OR(Tableau145[[#This Row],[Type]]="Feuillus",Tableau145[[#This Row],[Type]]="Peupliers"),1.56,1.3)</f>
        <v>1.3</v>
      </c>
      <c r="I188" s="55">
        <v>183</v>
      </c>
      <c r="J188" s="33">
        <f t="shared" si="76"/>
        <v>0</v>
      </c>
      <c r="K188" s="33">
        <f t="shared" si="77"/>
        <v>0</v>
      </c>
      <c r="L188" s="33">
        <f t="shared" si="78"/>
        <v>0</v>
      </c>
      <c r="M188" s="33">
        <f t="shared" si="79"/>
        <v>0</v>
      </c>
      <c r="N188" s="33">
        <f t="shared" si="65"/>
        <v>0</v>
      </c>
      <c r="O188" s="34">
        <f t="shared" si="66"/>
        <v>0</v>
      </c>
      <c r="P188" s="55">
        <v>183</v>
      </c>
      <c r="Q188" s="33">
        <f t="shared" si="74"/>
        <v>0</v>
      </c>
      <c r="R188" s="33">
        <f t="shared" si="80"/>
        <v>0</v>
      </c>
      <c r="S188" s="33">
        <f t="shared" si="81"/>
        <v>0</v>
      </c>
      <c r="T188" s="33">
        <f t="shared" si="67"/>
        <v>0</v>
      </c>
      <c r="U188" s="33">
        <f t="shared" si="75"/>
        <v>0</v>
      </c>
      <c r="V188" s="33">
        <f t="shared" si="68"/>
        <v>0</v>
      </c>
      <c r="W188" s="33">
        <v>0</v>
      </c>
      <c r="X188" s="33">
        <f t="shared" si="69"/>
        <v>0</v>
      </c>
      <c r="Y188" s="38">
        <f t="shared" si="70"/>
        <v>0</v>
      </c>
      <c r="AA188" s="71">
        <v>183</v>
      </c>
      <c r="AB188" s="33">
        <f t="shared" si="71"/>
        <v>0</v>
      </c>
      <c r="AC188" s="305">
        <f t="shared" si="86"/>
        <v>0</v>
      </c>
      <c r="AD188" s="100">
        <f t="shared" si="72"/>
        <v>0</v>
      </c>
      <c r="AE188" s="100">
        <f t="shared" si="73"/>
        <v>0</v>
      </c>
      <c r="AF188" s="194">
        <f t="shared" si="82"/>
        <v>0</v>
      </c>
      <c r="AG188" s="194">
        <f t="shared" si="83"/>
        <v>0</v>
      </c>
      <c r="AH188" s="194">
        <f t="shared" si="84"/>
        <v>0</v>
      </c>
      <c r="AI188" s="199">
        <f t="shared" si="85"/>
        <v>0</v>
      </c>
      <c r="AK188" s="71">
        <v>183</v>
      </c>
      <c r="AL188" s="33"/>
      <c r="AM188" s="33"/>
      <c r="AN188" s="33"/>
      <c r="AO188" s="33"/>
      <c r="AP188" s="33"/>
      <c r="AQ188" s="194"/>
      <c r="AR188" s="194"/>
      <c r="AS188" s="194"/>
      <c r="AT188" s="194"/>
      <c r="AU188" s="33"/>
      <c r="AV188" s="33"/>
      <c r="AW188" s="33"/>
      <c r="AX188" s="33"/>
      <c r="AY188" s="76"/>
    </row>
    <row r="189" spans="3:51">
      <c r="C189" s="166" t="s">
        <v>64</v>
      </c>
      <c r="D189" s="4">
        <v>0.36</v>
      </c>
      <c r="E189" s="188" t="s">
        <v>228</v>
      </c>
      <c r="F189" s="343">
        <f>IF(OR(Tableau145[[#This Row],[Type]]="Feuillus",Tableau145[[#This Row],[Type]]="Peupliers"),1.56,1.3)</f>
        <v>1.3</v>
      </c>
      <c r="I189" s="55">
        <v>184</v>
      </c>
      <c r="J189" s="33">
        <f t="shared" si="76"/>
        <v>0</v>
      </c>
      <c r="K189" s="33">
        <f t="shared" si="77"/>
        <v>0</v>
      </c>
      <c r="L189" s="33">
        <f t="shared" si="78"/>
        <v>0</v>
      </c>
      <c r="M189" s="33">
        <f t="shared" si="79"/>
        <v>0</v>
      </c>
      <c r="N189" s="33">
        <f t="shared" si="65"/>
        <v>0</v>
      </c>
      <c r="O189" s="34">
        <f t="shared" si="66"/>
        <v>0</v>
      </c>
      <c r="P189" s="55">
        <v>184</v>
      </c>
      <c r="Q189" s="33">
        <f t="shared" si="74"/>
        <v>0</v>
      </c>
      <c r="R189" s="33">
        <f t="shared" si="80"/>
        <v>0</v>
      </c>
      <c r="S189" s="33">
        <f t="shared" si="81"/>
        <v>0</v>
      </c>
      <c r="T189" s="33">
        <f t="shared" si="67"/>
        <v>0</v>
      </c>
      <c r="U189" s="33">
        <f t="shared" si="75"/>
        <v>0</v>
      </c>
      <c r="V189" s="33">
        <f t="shared" si="68"/>
        <v>0</v>
      </c>
      <c r="W189" s="33">
        <v>0</v>
      </c>
      <c r="X189" s="33">
        <f t="shared" si="69"/>
        <v>0</v>
      </c>
      <c r="Y189" s="38">
        <f t="shared" si="70"/>
        <v>0</v>
      </c>
      <c r="AA189" s="71">
        <v>184</v>
      </c>
      <c r="AB189" s="33">
        <f t="shared" si="71"/>
        <v>0</v>
      </c>
      <c r="AC189" s="305">
        <f t="shared" si="86"/>
        <v>0</v>
      </c>
      <c r="AD189" s="100">
        <f t="shared" si="72"/>
        <v>0</v>
      </c>
      <c r="AE189" s="100">
        <f t="shared" si="73"/>
        <v>0</v>
      </c>
      <c r="AF189" s="194">
        <f t="shared" si="82"/>
        <v>0</v>
      </c>
      <c r="AG189" s="194">
        <f t="shared" si="83"/>
        <v>0</v>
      </c>
      <c r="AH189" s="194">
        <f t="shared" si="84"/>
        <v>0</v>
      </c>
      <c r="AI189" s="199">
        <f t="shared" si="85"/>
        <v>0</v>
      </c>
      <c r="AK189" s="71">
        <v>184</v>
      </c>
      <c r="AL189" s="33"/>
      <c r="AM189" s="33"/>
      <c r="AN189" s="33"/>
      <c r="AO189" s="33"/>
      <c r="AP189" s="33"/>
      <c r="AQ189" s="194"/>
      <c r="AR189" s="194"/>
      <c r="AS189" s="194"/>
      <c r="AT189" s="194"/>
      <c r="AU189" s="33"/>
      <c r="AV189" s="33"/>
      <c r="AW189" s="33"/>
      <c r="AX189" s="33"/>
      <c r="AY189" s="76"/>
    </row>
    <row r="190" spans="3:51">
      <c r="C190" s="166" t="s">
        <v>65</v>
      </c>
      <c r="D190" s="4">
        <v>0.37</v>
      </c>
      <c r="E190" s="188" t="s">
        <v>227</v>
      </c>
      <c r="F190" s="343">
        <f>IF(OR(Tableau145[[#This Row],[Type]]="Feuillus",Tableau145[[#This Row],[Type]]="Peupliers"),1.56,1.3)</f>
        <v>1.56</v>
      </c>
      <c r="I190" s="55">
        <v>185</v>
      </c>
      <c r="J190" s="33">
        <f t="shared" si="76"/>
        <v>0</v>
      </c>
      <c r="K190" s="33">
        <f t="shared" si="77"/>
        <v>0</v>
      </c>
      <c r="L190" s="33">
        <f t="shared" si="78"/>
        <v>0</v>
      </c>
      <c r="M190" s="33">
        <f t="shared" si="79"/>
        <v>0</v>
      </c>
      <c r="N190" s="33">
        <f t="shared" si="65"/>
        <v>0</v>
      </c>
      <c r="O190" s="34">
        <f t="shared" si="66"/>
        <v>0</v>
      </c>
      <c r="P190" s="55">
        <v>185</v>
      </c>
      <c r="Q190" s="33">
        <f t="shared" si="74"/>
        <v>0</v>
      </c>
      <c r="R190" s="33">
        <f t="shared" si="80"/>
        <v>0</v>
      </c>
      <c r="S190" s="33">
        <f t="shared" si="81"/>
        <v>0</v>
      </c>
      <c r="T190" s="33">
        <f t="shared" si="67"/>
        <v>0</v>
      </c>
      <c r="U190" s="33">
        <f t="shared" si="75"/>
        <v>0</v>
      </c>
      <c r="V190" s="33">
        <f t="shared" si="68"/>
        <v>0</v>
      </c>
      <c r="W190" s="33">
        <v>0</v>
      </c>
      <c r="X190" s="33">
        <f t="shared" si="69"/>
        <v>0</v>
      </c>
      <c r="Y190" s="38">
        <f t="shared" si="70"/>
        <v>0</v>
      </c>
      <c r="AA190" s="71">
        <v>185</v>
      </c>
      <c r="AB190" s="33">
        <f t="shared" si="71"/>
        <v>0</v>
      </c>
      <c r="AC190" s="305">
        <f t="shared" si="86"/>
        <v>0</v>
      </c>
      <c r="AD190" s="100">
        <f t="shared" si="72"/>
        <v>0</v>
      </c>
      <c r="AE190" s="100">
        <f t="shared" si="73"/>
        <v>0</v>
      </c>
      <c r="AF190" s="194">
        <f t="shared" si="82"/>
        <v>0</v>
      </c>
      <c r="AG190" s="194">
        <f t="shared" si="83"/>
        <v>0</v>
      </c>
      <c r="AH190" s="194">
        <f t="shared" si="84"/>
        <v>0</v>
      </c>
      <c r="AI190" s="199">
        <f t="shared" si="85"/>
        <v>0</v>
      </c>
      <c r="AK190" s="71">
        <v>185</v>
      </c>
      <c r="AL190" s="33"/>
      <c r="AM190" s="33"/>
      <c r="AN190" s="33"/>
      <c r="AO190" s="33"/>
      <c r="AP190" s="33"/>
      <c r="AQ190" s="194"/>
      <c r="AR190" s="194"/>
      <c r="AS190" s="194"/>
      <c r="AT190" s="194"/>
      <c r="AU190" s="33"/>
      <c r="AV190" s="33"/>
      <c r="AW190" s="33"/>
      <c r="AX190" s="33"/>
      <c r="AY190" s="76"/>
    </row>
    <row r="191" spans="3:51">
      <c r="C191" s="166" t="s">
        <v>66</v>
      </c>
      <c r="D191" s="4">
        <v>0.53</v>
      </c>
      <c r="E191" s="188" t="s">
        <v>227</v>
      </c>
      <c r="F191" s="343">
        <f>IF(OR(Tableau145[[#This Row],[Type]]="Feuillus",Tableau145[[#This Row],[Type]]="Peupliers"),1.56,1.3)</f>
        <v>1.56</v>
      </c>
      <c r="I191" s="55">
        <v>186</v>
      </c>
      <c r="J191" s="33">
        <f t="shared" si="76"/>
        <v>0</v>
      </c>
      <c r="K191" s="33">
        <f t="shared" si="77"/>
        <v>0</v>
      </c>
      <c r="L191" s="33">
        <f t="shared" si="78"/>
        <v>0</v>
      </c>
      <c r="M191" s="33">
        <f t="shared" si="79"/>
        <v>0</v>
      </c>
      <c r="N191" s="33">
        <f t="shared" si="65"/>
        <v>0</v>
      </c>
      <c r="O191" s="34">
        <f t="shared" si="66"/>
        <v>0</v>
      </c>
      <c r="P191" s="55">
        <v>186</v>
      </c>
      <c r="Q191" s="33">
        <f t="shared" si="74"/>
        <v>0</v>
      </c>
      <c r="R191" s="33">
        <f t="shared" si="80"/>
        <v>0</v>
      </c>
      <c r="S191" s="33">
        <f t="shared" si="81"/>
        <v>0</v>
      </c>
      <c r="T191" s="33">
        <f t="shared" si="67"/>
        <v>0</v>
      </c>
      <c r="U191" s="33">
        <f t="shared" si="75"/>
        <v>0</v>
      </c>
      <c r="V191" s="33">
        <f t="shared" si="68"/>
        <v>0</v>
      </c>
      <c r="W191" s="33">
        <v>0</v>
      </c>
      <c r="X191" s="33">
        <f t="shared" si="69"/>
        <v>0</v>
      </c>
      <c r="Y191" s="38">
        <f t="shared" si="70"/>
        <v>0</v>
      </c>
      <c r="AA191" s="71">
        <v>186</v>
      </c>
      <c r="AB191" s="33">
        <f t="shared" si="71"/>
        <v>0</v>
      </c>
      <c r="AC191" s="305">
        <f t="shared" si="86"/>
        <v>0</v>
      </c>
      <c r="AD191" s="100">
        <f t="shared" si="72"/>
        <v>0</v>
      </c>
      <c r="AE191" s="100">
        <f t="shared" si="73"/>
        <v>0</v>
      </c>
      <c r="AF191" s="194">
        <f t="shared" si="82"/>
        <v>0</v>
      </c>
      <c r="AG191" s="194">
        <f t="shared" si="83"/>
        <v>0</v>
      </c>
      <c r="AH191" s="194">
        <f t="shared" si="84"/>
        <v>0</v>
      </c>
      <c r="AI191" s="199">
        <f t="shared" si="85"/>
        <v>0</v>
      </c>
      <c r="AK191" s="71">
        <v>186</v>
      </c>
      <c r="AL191" s="33"/>
      <c r="AM191" s="33"/>
      <c r="AN191" s="33"/>
      <c r="AO191" s="33"/>
      <c r="AP191" s="33"/>
      <c r="AQ191" s="194"/>
      <c r="AR191" s="194"/>
      <c r="AS191" s="194"/>
      <c r="AT191" s="194"/>
      <c r="AU191" s="33"/>
      <c r="AV191" s="33"/>
      <c r="AW191" s="33"/>
      <c r="AX191" s="33"/>
      <c r="AY191" s="76"/>
    </row>
    <row r="192" spans="3:51">
      <c r="C192" s="166" t="s">
        <v>67</v>
      </c>
      <c r="D192" s="4">
        <v>0.43</v>
      </c>
      <c r="E192" s="188" t="s">
        <v>227</v>
      </c>
      <c r="F192" s="343">
        <f>IF(OR(Tableau145[[#This Row],[Type]]="Feuillus",Tableau145[[#This Row],[Type]]="Peupliers"),1.56,1.3)</f>
        <v>1.56</v>
      </c>
      <c r="I192" s="55">
        <v>187</v>
      </c>
      <c r="J192" s="33">
        <f t="shared" si="76"/>
        <v>0</v>
      </c>
      <c r="K192" s="33">
        <f t="shared" si="77"/>
        <v>0</v>
      </c>
      <c r="L192" s="33">
        <f t="shared" si="78"/>
        <v>0</v>
      </c>
      <c r="M192" s="33">
        <f t="shared" si="79"/>
        <v>0</v>
      </c>
      <c r="N192" s="33">
        <f t="shared" si="65"/>
        <v>0</v>
      </c>
      <c r="O192" s="34">
        <f t="shared" si="66"/>
        <v>0</v>
      </c>
      <c r="P192" s="55">
        <v>187</v>
      </c>
      <c r="Q192" s="33">
        <f t="shared" si="74"/>
        <v>0</v>
      </c>
      <c r="R192" s="33">
        <f t="shared" si="80"/>
        <v>0</v>
      </c>
      <c r="S192" s="33">
        <f t="shared" si="81"/>
        <v>0</v>
      </c>
      <c r="T192" s="33">
        <f t="shared" si="67"/>
        <v>0</v>
      </c>
      <c r="U192" s="33">
        <f t="shared" si="75"/>
        <v>0</v>
      </c>
      <c r="V192" s="33">
        <f t="shared" si="68"/>
        <v>0</v>
      </c>
      <c r="W192" s="33">
        <v>0</v>
      </c>
      <c r="X192" s="33">
        <f t="shared" si="69"/>
        <v>0</v>
      </c>
      <c r="Y192" s="38">
        <f t="shared" si="70"/>
        <v>0</v>
      </c>
      <c r="AA192" s="71">
        <v>187</v>
      </c>
      <c r="AB192" s="33">
        <f t="shared" si="71"/>
        <v>0</v>
      </c>
      <c r="AC192" s="305">
        <f t="shared" si="86"/>
        <v>0</v>
      </c>
      <c r="AD192" s="100">
        <f t="shared" si="72"/>
        <v>0</v>
      </c>
      <c r="AE192" s="100">
        <f t="shared" si="73"/>
        <v>0</v>
      </c>
      <c r="AF192" s="194">
        <f t="shared" si="82"/>
        <v>0</v>
      </c>
      <c r="AG192" s="194">
        <f t="shared" si="83"/>
        <v>0</v>
      </c>
      <c r="AH192" s="194">
        <f t="shared" si="84"/>
        <v>0</v>
      </c>
      <c r="AI192" s="199">
        <f t="shared" si="85"/>
        <v>0</v>
      </c>
      <c r="AK192" s="71">
        <v>187</v>
      </c>
      <c r="AL192" s="33"/>
      <c r="AM192" s="33"/>
      <c r="AN192" s="33"/>
      <c r="AO192" s="33"/>
      <c r="AP192" s="33"/>
      <c r="AQ192" s="194"/>
      <c r="AR192" s="194"/>
      <c r="AS192" s="194"/>
      <c r="AT192" s="194"/>
      <c r="AU192" s="33"/>
      <c r="AV192" s="33"/>
      <c r="AW192" s="33"/>
      <c r="AX192" s="33"/>
      <c r="AY192" s="76"/>
    </row>
    <row r="193" spans="3:51">
      <c r="C193" s="166" t="s">
        <v>68</v>
      </c>
      <c r="D193" s="4">
        <v>0.38</v>
      </c>
      <c r="E193" s="188" t="s">
        <v>227</v>
      </c>
      <c r="F193" s="343">
        <f>IF(OR(Tableau145[[#This Row],[Type]]="Feuillus",Tableau145[[#This Row],[Type]]="Peupliers"),1.56,1.3)</f>
        <v>1.56</v>
      </c>
      <c r="I193" s="55">
        <v>188</v>
      </c>
      <c r="J193" s="33">
        <f t="shared" si="76"/>
        <v>0</v>
      </c>
      <c r="K193" s="33">
        <f t="shared" si="77"/>
        <v>0</v>
      </c>
      <c r="L193" s="33">
        <f t="shared" si="78"/>
        <v>0</v>
      </c>
      <c r="M193" s="33">
        <f t="shared" si="79"/>
        <v>0</v>
      </c>
      <c r="N193" s="33">
        <f t="shared" si="65"/>
        <v>0</v>
      </c>
      <c r="O193" s="34">
        <f t="shared" si="66"/>
        <v>0</v>
      </c>
      <c r="P193" s="55">
        <v>188</v>
      </c>
      <c r="Q193" s="33">
        <f t="shared" si="74"/>
        <v>0</v>
      </c>
      <c r="R193" s="33">
        <f t="shared" si="80"/>
        <v>0</v>
      </c>
      <c r="S193" s="33">
        <f t="shared" si="81"/>
        <v>0</v>
      </c>
      <c r="T193" s="33">
        <f t="shared" si="67"/>
        <v>0</v>
      </c>
      <c r="U193" s="33">
        <f t="shared" si="75"/>
        <v>0</v>
      </c>
      <c r="V193" s="33">
        <f t="shared" si="68"/>
        <v>0</v>
      </c>
      <c r="W193" s="33">
        <v>0</v>
      </c>
      <c r="X193" s="33">
        <f t="shared" si="69"/>
        <v>0</v>
      </c>
      <c r="Y193" s="38">
        <f t="shared" si="70"/>
        <v>0</v>
      </c>
      <c r="AA193" s="71">
        <v>188</v>
      </c>
      <c r="AB193" s="33">
        <f t="shared" si="71"/>
        <v>0</v>
      </c>
      <c r="AC193" s="305">
        <f t="shared" si="86"/>
        <v>0</v>
      </c>
      <c r="AD193" s="100">
        <f t="shared" si="72"/>
        <v>0</v>
      </c>
      <c r="AE193" s="100">
        <f t="shared" si="73"/>
        <v>0</v>
      </c>
      <c r="AF193" s="194">
        <f t="shared" si="82"/>
        <v>0</v>
      </c>
      <c r="AG193" s="194">
        <f t="shared" si="83"/>
        <v>0</v>
      </c>
      <c r="AH193" s="194">
        <f t="shared" si="84"/>
        <v>0</v>
      </c>
      <c r="AI193" s="199">
        <f t="shared" si="85"/>
        <v>0</v>
      </c>
      <c r="AK193" s="71">
        <v>188</v>
      </c>
      <c r="AL193" s="33"/>
      <c r="AM193" s="33"/>
      <c r="AN193" s="33"/>
      <c r="AO193" s="33"/>
      <c r="AP193" s="33"/>
      <c r="AQ193" s="194"/>
      <c r="AR193" s="194"/>
      <c r="AS193" s="194"/>
      <c r="AT193" s="194"/>
      <c r="AU193" s="33"/>
      <c r="AV193" s="33"/>
      <c r="AW193" s="33"/>
      <c r="AX193" s="33"/>
      <c r="AY193" s="76"/>
    </row>
    <row r="194" spans="3:51">
      <c r="C194" s="168" t="s">
        <v>69</v>
      </c>
      <c r="D194" s="3">
        <v>0.42</v>
      </c>
      <c r="E194" s="188" t="s">
        <v>228</v>
      </c>
      <c r="F194" s="343">
        <f>IF(OR(Tableau145[[#This Row],[Type]]="Feuillus",Tableau145[[#This Row],[Type]]="Peupliers"),1.56,1.3)</f>
        <v>1.3</v>
      </c>
      <c r="I194" s="55">
        <v>189</v>
      </c>
      <c r="J194" s="33">
        <f t="shared" si="76"/>
        <v>0</v>
      </c>
      <c r="K194" s="33">
        <f t="shared" si="77"/>
        <v>0</v>
      </c>
      <c r="L194" s="33">
        <f t="shared" si="78"/>
        <v>0</v>
      </c>
      <c r="M194" s="33">
        <f t="shared" si="79"/>
        <v>0</v>
      </c>
      <c r="N194" s="33">
        <f t="shared" si="65"/>
        <v>0</v>
      </c>
      <c r="O194" s="34">
        <f t="shared" si="66"/>
        <v>0</v>
      </c>
      <c r="P194" s="55">
        <v>189</v>
      </c>
      <c r="Q194" s="33">
        <f t="shared" si="74"/>
        <v>0</v>
      </c>
      <c r="R194" s="33">
        <f t="shared" si="80"/>
        <v>0</v>
      </c>
      <c r="S194" s="33">
        <f t="shared" si="81"/>
        <v>0</v>
      </c>
      <c r="T194" s="33">
        <f t="shared" si="67"/>
        <v>0</v>
      </c>
      <c r="U194" s="33">
        <f t="shared" si="75"/>
        <v>0</v>
      </c>
      <c r="V194" s="33">
        <f t="shared" si="68"/>
        <v>0</v>
      </c>
      <c r="W194" s="33">
        <v>0</v>
      </c>
      <c r="X194" s="33">
        <f t="shared" si="69"/>
        <v>0</v>
      </c>
      <c r="Y194" s="38">
        <f t="shared" si="70"/>
        <v>0</v>
      </c>
      <c r="AA194" s="71">
        <v>189</v>
      </c>
      <c r="AB194" s="33">
        <f t="shared" si="71"/>
        <v>0</v>
      </c>
      <c r="AC194" s="305">
        <f t="shared" si="86"/>
        <v>0</v>
      </c>
      <c r="AD194" s="100">
        <f t="shared" si="72"/>
        <v>0</v>
      </c>
      <c r="AE194" s="100">
        <f t="shared" si="73"/>
        <v>0</v>
      </c>
      <c r="AF194" s="194">
        <f t="shared" si="82"/>
        <v>0</v>
      </c>
      <c r="AG194" s="194">
        <f t="shared" si="83"/>
        <v>0</v>
      </c>
      <c r="AH194" s="194">
        <f t="shared" si="84"/>
        <v>0</v>
      </c>
      <c r="AI194" s="199">
        <f t="shared" si="85"/>
        <v>0</v>
      </c>
      <c r="AK194" s="71">
        <v>189</v>
      </c>
      <c r="AL194" s="33"/>
      <c r="AM194" s="33"/>
      <c r="AN194" s="33"/>
      <c r="AO194" s="33"/>
      <c r="AP194" s="33"/>
      <c r="AQ194" s="194"/>
      <c r="AR194" s="194"/>
      <c r="AS194" s="194"/>
      <c r="AT194" s="194"/>
      <c r="AU194" s="33"/>
      <c r="AV194" s="33"/>
      <c r="AW194" s="33"/>
      <c r="AX194" s="33"/>
      <c r="AY194" s="76"/>
    </row>
    <row r="195" spans="3:51">
      <c r="C195" s="168" t="s">
        <v>70</v>
      </c>
      <c r="D195" s="3">
        <v>0.56999999999999995</v>
      </c>
      <c r="E195" s="188" t="s">
        <v>227</v>
      </c>
      <c r="F195" s="343">
        <f>IF(OR(Tableau145[[#This Row],[Type]]="Feuillus",Tableau145[[#This Row],[Type]]="Peupliers"),1.56,1.3)</f>
        <v>1.56</v>
      </c>
      <c r="I195" s="55">
        <v>190</v>
      </c>
      <c r="J195" s="33">
        <f t="shared" si="76"/>
        <v>0</v>
      </c>
      <c r="K195" s="33">
        <f t="shared" si="77"/>
        <v>0</v>
      </c>
      <c r="L195" s="33">
        <f t="shared" si="78"/>
        <v>0</v>
      </c>
      <c r="M195" s="33">
        <f t="shared" si="79"/>
        <v>0</v>
      </c>
      <c r="N195" s="33">
        <f t="shared" si="65"/>
        <v>0</v>
      </c>
      <c r="O195" s="34">
        <f t="shared" si="66"/>
        <v>0</v>
      </c>
      <c r="P195" s="55">
        <v>190</v>
      </c>
      <c r="Q195" s="33">
        <f t="shared" si="74"/>
        <v>0</v>
      </c>
      <c r="R195" s="33">
        <f t="shared" si="80"/>
        <v>0</v>
      </c>
      <c r="S195" s="33">
        <f t="shared" si="81"/>
        <v>0</v>
      </c>
      <c r="T195" s="33">
        <f t="shared" si="67"/>
        <v>0</v>
      </c>
      <c r="U195" s="33">
        <f t="shared" si="75"/>
        <v>0</v>
      </c>
      <c r="V195" s="33">
        <f t="shared" si="68"/>
        <v>0</v>
      </c>
      <c r="W195" s="33">
        <v>0</v>
      </c>
      <c r="X195" s="33">
        <f t="shared" si="69"/>
        <v>0</v>
      </c>
      <c r="Y195" s="38">
        <f t="shared" si="70"/>
        <v>0</v>
      </c>
      <c r="AA195" s="71">
        <v>190</v>
      </c>
      <c r="AB195" s="33">
        <f t="shared" si="71"/>
        <v>0</v>
      </c>
      <c r="AC195" s="305">
        <f t="shared" si="86"/>
        <v>0</v>
      </c>
      <c r="AD195" s="100">
        <f t="shared" si="72"/>
        <v>0</v>
      </c>
      <c r="AE195" s="100">
        <f t="shared" si="73"/>
        <v>0</v>
      </c>
      <c r="AF195" s="194">
        <f t="shared" si="82"/>
        <v>0</v>
      </c>
      <c r="AG195" s="194">
        <f t="shared" si="83"/>
        <v>0</v>
      </c>
      <c r="AH195" s="194">
        <f t="shared" si="84"/>
        <v>0</v>
      </c>
      <c r="AI195" s="199">
        <f t="shared" si="85"/>
        <v>0</v>
      </c>
      <c r="AK195" s="71">
        <v>190</v>
      </c>
      <c r="AL195" s="33"/>
      <c r="AM195" s="33"/>
      <c r="AN195" s="33"/>
      <c r="AO195" s="33"/>
      <c r="AP195" s="33"/>
      <c r="AQ195" s="194"/>
      <c r="AR195" s="194"/>
      <c r="AS195" s="194"/>
      <c r="AT195" s="194"/>
      <c r="AU195" s="33"/>
      <c r="AV195" s="33"/>
      <c r="AW195" s="33"/>
      <c r="AX195" s="33"/>
      <c r="AY195" s="76"/>
    </row>
    <row r="196" spans="3:51">
      <c r="C196" s="168" t="s">
        <v>71</v>
      </c>
      <c r="D196" s="3">
        <v>0.54</v>
      </c>
      <c r="E196" s="188"/>
      <c r="F196" s="343">
        <f>IF(OR(Tableau145[[#This Row],[Type]]="Feuillus",Tableau145[[#This Row],[Type]]="Peupliers"),1.56,1.3)</f>
        <v>1.3</v>
      </c>
      <c r="I196" s="55">
        <v>191</v>
      </c>
      <c r="J196" s="33">
        <f t="shared" si="76"/>
        <v>0</v>
      </c>
      <c r="K196" s="33">
        <f t="shared" si="77"/>
        <v>0</v>
      </c>
      <c r="L196" s="33">
        <f t="shared" si="78"/>
        <v>0</v>
      </c>
      <c r="M196" s="33">
        <f t="shared" si="79"/>
        <v>0</v>
      </c>
      <c r="N196" s="33">
        <f t="shared" si="65"/>
        <v>0</v>
      </c>
      <c r="O196" s="34">
        <f t="shared" si="66"/>
        <v>0</v>
      </c>
      <c r="P196" s="55">
        <v>191</v>
      </c>
      <c r="Q196" s="33">
        <f t="shared" si="74"/>
        <v>0</v>
      </c>
      <c r="R196" s="33">
        <f t="shared" si="80"/>
        <v>0</v>
      </c>
      <c r="S196" s="33">
        <f t="shared" si="81"/>
        <v>0</v>
      </c>
      <c r="T196" s="33">
        <f t="shared" si="67"/>
        <v>0</v>
      </c>
      <c r="U196" s="33">
        <f t="shared" si="75"/>
        <v>0</v>
      </c>
      <c r="V196" s="33">
        <f t="shared" si="68"/>
        <v>0</v>
      </c>
      <c r="W196" s="33">
        <v>0</v>
      </c>
      <c r="X196" s="33">
        <f t="shared" si="69"/>
        <v>0</v>
      </c>
      <c r="Y196" s="38">
        <f t="shared" si="70"/>
        <v>0</v>
      </c>
      <c r="AA196" s="71">
        <v>191</v>
      </c>
      <c r="AB196" s="33">
        <f t="shared" si="71"/>
        <v>0</v>
      </c>
      <c r="AC196" s="305">
        <f t="shared" si="86"/>
        <v>0</v>
      </c>
      <c r="AD196" s="100">
        <f t="shared" si="72"/>
        <v>0</v>
      </c>
      <c r="AE196" s="100">
        <f t="shared" si="73"/>
        <v>0</v>
      </c>
      <c r="AF196" s="194">
        <f t="shared" si="82"/>
        <v>0</v>
      </c>
      <c r="AG196" s="194">
        <f t="shared" si="83"/>
        <v>0</v>
      </c>
      <c r="AH196" s="194">
        <f t="shared" si="84"/>
        <v>0</v>
      </c>
      <c r="AI196" s="199">
        <f t="shared" si="85"/>
        <v>0</v>
      </c>
      <c r="AK196" s="71">
        <v>191</v>
      </c>
      <c r="AL196" s="33"/>
      <c r="AM196" s="33"/>
      <c r="AN196" s="33"/>
      <c r="AO196" s="33"/>
      <c r="AP196" s="33"/>
      <c r="AQ196" s="194"/>
      <c r="AR196" s="194"/>
      <c r="AS196" s="194"/>
      <c r="AT196" s="194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6"/>
        <v>0</v>
      </c>
      <c r="K197" s="33">
        <f t="shared" si="77"/>
        <v>0</v>
      </c>
      <c r="L197" s="33">
        <f t="shared" si="78"/>
        <v>0</v>
      </c>
      <c r="M197" s="33">
        <f t="shared" si="79"/>
        <v>0</v>
      </c>
      <c r="N197" s="33">
        <f t="shared" ref="N197:N204" si="87">IF(P198&lt;=$F$18,0,)</f>
        <v>0</v>
      </c>
      <c r="O197" s="34">
        <f t="shared" ref="O197:O205" si="88">((J197+K197)*0.475+L197+M197+N197)*44/12</f>
        <v>0</v>
      </c>
      <c r="P197" s="55">
        <v>192</v>
      </c>
      <c r="Q197" s="33">
        <f t="shared" si="74"/>
        <v>0</v>
      </c>
      <c r="R197" s="33">
        <f t="shared" si="80"/>
        <v>0</v>
      </c>
      <c r="S197" s="33">
        <f t="shared" si="81"/>
        <v>0</v>
      </c>
      <c r="T197" s="33">
        <f t="shared" ref="T197:T205" si="89">IF(S197=0,0,EXP(-1.0587+0.8836*LN(S197)+0.284))</f>
        <v>0</v>
      </c>
      <c r="U197" s="33">
        <f t="shared" si="75"/>
        <v>0</v>
      </c>
      <c r="V197" s="33">
        <f t="shared" ref="V197:V205" si="90">IF(P197&lt;=$F$18,IF(P197&lt;=30,P197*($F$16-$F$6)/30,$F$16-$F$6),)</f>
        <v>0</v>
      </c>
      <c r="W197" s="33">
        <v>0</v>
      </c>
      <c r="X197" s="33">
        <f t="shared" ref="X197:X205" si="91">((S197+T197)*0.475+U197+V197+W197)*44/12</f>
        <v>0</v>
      </c>
      <c r="Y197" s="38">
        <f t="shared" ref="Y197:Y205" si="92">IF(P197&lt;=$F$18,X197-O197,)</f>
        <v>0</v>
      </c>
      <c r="AA197" s="71">
        <v>192</v>
      </c>
      <c r="AB197" s="33">
        <f t="shared" ref="AB197:AB205" si="93">IF(AA197&lt;=$F$18,IFERROR(VLOOKUP($AA197,$B$82:$G$94,2,FALSE),0),)</f>
        <v>0</v>
      </c>
      <c r="AC197" s="305">
        <f t="shared" si="86"/>
        <v>0</v>
      </c>
      <c r="AD197" s="100">
        <f t="shared" ref="AD197:AD205" si="94">IF(AA197&lt;=$F$18,IFERROR(VLOOKUP($AA197,$B$82:$G$94,4,FALSE),0),)</f>
        <v>0</v>
      </c>
      <c r="AE197" s="100">
        <f t="shared" ref="AE197:AE205" si="95">IF(AA197&lt;=$F$18,IFERROR(VLOOKUP($AA197,$B$82:$G$94,5,FALSE),0),)</f>
        <v>0</v>
      </c>
      <c r="AF197" s="194">
        <f t="shared" si="82"/>
        <v>0</v>
      </c>
      <c r="AG197" s="194">
        <f t="shared" si="83"/>
        <v>0</v>
      </c>
      <c r="AH197" s="194">
        <f t="shared" si="84"/>
        <v>0</v>
      </c>
      <c r="AI197" s="199">
        <f t="shared" si="85"/>
        <v>0</v>
      </c>
      <c r="AK197" s="71">
        <v>192</v>
      </c>
      <c r="AL197" s="33"/>
      <c r="AM197" s="33"/>
      <c r="AN197" s="33"/>
      <c r="AO197" s="33"/>
      <c r="AP197" s="33"/>
      <c r="AQ197" s="194"/>
      <c r="AR197" s="194"/>
      <c r="AS197" s="194"/>
      <c r="AT197" s="194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6"/>
        <v>0</v>
      </c>
      <c r="K198" s="33">
        <f t="shared" si="77"/>
        <v>0</v>
      </c>
      <c r="L198" s="33">
        <f t="shared" si="78"/>
        <v>0</v>
      </c>
      <c r="M198" s="33">
        <f t="shared" si="79"/>
        <v>0</v>
      </c>
      <c r="N198" s="33">
        <f t="shared" si="87"/>
        <v>0</v>
      </c>
      <c r="O198" s="34">
        <f t="shared" si="88"/>
        <v>0</v>
      </c>
      <c r="P198" s="55">
        <v>193</v>
      </c>
      <c r="Q198" s="33">
        <f t="shared" ref="Q198:Q205" si="96">IF(P198&lt;=$F$18,LOOKUP(P198-1,$B$25:$B$78,$G$25:$G$78),)</f>
        <v>0</v>
      </c>
      <c r="R198" s="33">
        <f t="shared" si="80"/>
        <v>0</v>
      </c>
      <c r="S198" s="33">
        <f t="shared" si="81"/>
        <v>0</v>
      </c>
      <c r="T198" s="33">
        <f t="shared" si="89"/>
        <v>0</v>
      </c>
      <c r="U198" s="33">
        <f t="shared" ref="U198:U205" si="97">IF(P198&lt;=$F$18,$F$5+($F$15-$F$5)*(1-EXP(-0.0175*P198)),)</f>
        <v>0</v>
      </c>
      <c r="V198" s="33">
        <f t="shared" si="90"/>
        <v>0</v>
      </c>
      <c r="W198" s="33">
        <v>0</v>
      </c>
      <c r="X198" s="33">
        <f t="shared" si="91"/>
        <v>0</v>
      </c>
      <c r="Y198" s="38">
        <f t="shared" si="92"/>
        <v>0</v>
      </c>
      <c r="AA198" s="71">
        <v>193</v>
      </c>
      <c r="AB198" s="33">
        <f t="shared" si="93"/>
        <v>0</v>
      </c>
      <c r="AC198" s="305">
        <f t="shared" si="86"/>
        <v>0</v>
      </c>
      <c r="AD198" s="100">
        <f t="shared" si="94"/>
        <v>0</v>
      </c>
      <c r="AE198" s="100">
        <f t="shared" si="95"/>
        <v>0</v>
      </c>
      <c r="AF198" s="194">
        <f t="shared" si="82"/>
        <v>0</v>
      </c>
      <c r="AG198" s="194">
        <f t="shared" si="83"/>
        <v>0</v>
      </c>
      <c r="AH198" s="194">
        <f t="shared" si="84"/>
        <v>0</v>
      </c>
      <c r="AI198" s="199">
        <f t="shared" si="85"/>
        <v>0</v>
      </c>
      <c r="AK198" s="71">
        <v>193</v>
      </c>
      <c r="AL198" s="33"/>
      <c r="AM198" s="33"/>
      <c r="AN198" s="33"/>
      <c r="AO198" s="33"/>
      <c r="AP198" s="33"/>
      <c r="AQ198" s="194"/>
      <c r="AR198" s="194"/>
      <c r="AS198" s="194"/>
      <c r="AT198" s="194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98">IF($I199&lt;=$F$10,$F$11*$F$13+J198,)</f>
        <v>0</v>
      </c>
      <c r="K199" s="33">
        <f t="shared" ref="K199:K205" si="99">IF(J199=0,0,EXP(-1.0587+0.8836*LN(J199)+0.284))</f>
        <v>0</v>
      </c>
      <c r="L199" s="33">
        <f t="shared" ref="L199:L205" si="100">IF(I199&lt;=$F$10,$F$5+($F$8-$F$5)*(1-EXP(-0.0175*I199)),)</f>
        <v>0</v>
      </c>
      <c r="M199" s="33">
        <f t="shared" ref="M199:M205" si="101">IF(I199&lt;=$F$10,IF(I199&lt;=30,I199*($F$9-$F$6)/30,$F$9-$F$6),)</f>
        <v>0</v>
      </c>
      <c r="N199" s="33">
        <f t="shared" si="87"/>
        <v>0</v>
      </c>
      <c r="O199" s="34">
        <f t="shared" si="88"/>
        <v>0</v>
      </c>
      <c r="P199" s="55">
        <v>194</v>
      </c>
      <c r="Q199" s="33">
        <f t="shared" si="96"/>
        <v>0</v>
      </c>
      <c r="R199" s="33">
        <f t="shared" ref="R199:R205" si="102">IF(P199&lt;=$F$18,Q199+R198,)</f>
        <v>0</v>
      </c>
      <c r="S199" s="33">
        <f t="shared" ref="S199:S205" si="103">$F$19*R199</f>
        <v>0</v>
      </c>
      <c r="T199" s="33">
        <f t="shared" si="89"/>
        <v>0</v>
      </c>
      <c r="U199" s="33">
        <f t="shared" si="97"/>
        <v>0</v>
      </c>
      <c r="V199" s="33">
        <f t="shared" si="90"/>
        <v>0</v>
      </c>
      <c r="W199" s="33">
        <v>0</v>
      </c>
      <c r="X199" s="33">
        <f t="shared" si="91"/>
        <v>0</v>
      </c>
      <c r="Y199" s="38">
        <f t="shared" si="92"/>
        <v>0</v>
      </c>
      <c r="AA199" s="71">
        <v>194</v>
      </c>
      <c r="AB199" s="33">
        <f t="shared" si="93"/>
        <v>0</v>
      </c>
      <c r="AC199" s="305">
        <f t="shared" si="86"/>
        <v>0</v>
      </c>
      <c r="AD199" s="100">
        <f t="shared" si="94"/>
        <v>0</v>
      </c>
      <c r="AE199" s="100">
        <f t="shared" si="95"/>
        <v>0</v>
      </c>
      <c r="AF199" s="194">
        <f t="shared" si="82"/>
        <v>0</v>
      </c>
      <c r="AG199" s="194">
        <f t="shared" si="83"/>
        <v>0</v>
      </c>
      <c r="AH199" s="194">
        <f t="shared" si="84"/>
        <v>0</v>
      </c>
      <c r="AI199" s="199">
        <f t="shared" si="85"/>
        <v>0</v>
      </c>
      <c r="AK199" s="71">
        <v>194</v>
      </c>
      <c r="AL199" s="33"/>
      <c r="AM199" s="33"/>
      <c r="AN199" s="33"/>
      <c r="AO199" s="33"/>
      <c r="AP199" s="33"/>
      <c r="AQ199" s="194"/>
      <c r="AR199" s="194"/>
      <c r="AS199" s="194"/>
      <c r="AT199" s="194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98"/>
        <v>0</v>
      </c>
      <c r="K200" s="33">
        <f t="shared" si="99"/>
        <v>0</v>
      </c>
      <c r="L200" s="33">
        <f t="shared" si="100"/>
        <v>0</v>
      </c>
      <c r="M200" s="33">
        <f t="shared" si="101"/>
        <v>0</v>
      </c>
      <c r="N200" s="33">
        <f t="shared" si="87"/>
        <v>0</v>
      </c>
      <c r="O200" s="34">
        <f t="shared" si="88"/>
        <v>0</v>
      </c>
      <c r="P200" s="55">
        <v>195</v>
      </c>
      <c r="Q200" s="33">
        <f t="shared" si="96"/>
        <v>0</v>
      </c>
      <c r="R200" s="33">
        <f t="shared" si="102"/>
        <v>0</v>
      </c>
      <c r="S200" s="33">
        <f t="shared" si="103"/>
        <v>0</v>
      </c>
      <c r="T200" s="33">
        <f t="shared" si="89"/>
        <v>0</v>
      </c>
      <c r="U200" s="33">
        <f t="shared" si="97"/>
        <v>0</v>
      </c>
      <c r="V200" s="33">
        <f t="shared" si="90"/>
        <v>0</v>
      </c>
      <c r="W200" s="33">
        <v>0</v>
      </c>
      <c r="X200" s="33">
        <f t="shared" si="91"/>
        <v>0</v>
      </c>
      <c r="Y200" s="38">
        <f t="shared" si="92"/>
        <v>0</v>
      </c>
      <c r="AA200" s="71">
        <v>195</v>
      </c>
      <c r="AB200" s="33">
        <f t="shared" si="93"/>
        <v>0</v>
      </c>
      <c r="AC200" s="305">
        <f t="shared" si="86"/>
        <v>0</v>
      </c>
      <c r="AD200" s="100">
        <f t="shared" si="94"/>
        <v>0</v>
      </c>
      <c r="AE200" s="100">
        <f t="shared" si="95"/>
        <v>0</v>
      </c>
      <c r="AF200" s="194">
        <f t="shared" si="82"/>
        <v>0</v>
      </c>
      <c r="AG200" s="194">
        <f t="shared" si="83"/>
        <v>0</v>
      </c>
      <c r="AH200" s="194">
        <f t="shared" si="84"/>
        <v>0</v>
      </c>
      <c r="AI200" s="199">
        <f t="shared" si="85"/>
        <v>0</v>
      </c>
      <c r="AK200" s="71">
        <v>195</v>
      </c>
      <c r="AL200" s="33"/>
      <c r="AM200" s="33"/>
      <c r="AN200" s="33"/>
      <c r="AO200" s="33"/>
      <c r="AP200" s="33"/>
      <c r="AQ200" s="194"/>
      <c r="AR200" s="194"/>
      <c r="AS200" s="194"/>
      <c r="AT200" s="194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98"/>
        <v>0</v>
      </c>
      <c r="K201" s="33">
        <f t="shared" si="99"/>
        <v>0</v>
      </c>
      <c r="L201" s="33">
        <f t="shared" si="100"/>
        <v>0</v>
      </c>
      <c r="M201" s="33">
        <f t="shared" si="101"/>
        <v>0</v>
      </c>
      <c r="N201" s="33">
        <f t="shared" si="87"/>
        <v>0</v>
      </c>
      <c r="O201" s="34">
        <f t="shared" si="88"/>
        <v>0</v>
      </c>
      <c r="P201" s="55">
        <v>196</v>
      </c>
      <c r="Q201" s="33">
        <f t="shared" si="96"/>
        <v>0</v>
      </c>
      <c r="R201" s="33">
        <f t="shared" si="102"/>
        <v>0</v>
      </c>
      <c r="S201" s="33">
        <f t="shared" si="103"/>
        <v>0</v>
      </c>
      <c r="T201" s="33">
        <f t="shared" si="89"/>
        <v>0</v>
      </c>
      <c r="U201" s="33">
        <f t="shared" si="97"/>
        <v>0</v>
      </c>
      <c r="V201" s="33">
        <f t="shared" si="90"/>
        <v>0</v>
      </c>
      <c r="W201" s="33">
        <v>0</v>
      </c>
      <c r="X201" s="33">
        <f t="shared" si="91"/>
        <v>0</v>
      </c>
      <c r="Y201" s="38">
        <f t="shared" si="92"/>
        <v>0</v>
      </c>
      <c r="AA201" s="71">
        <v>196</v>
      </c>
      <c r="AB201" s="33">
        <f t="shared" si="93"/>
        <v>0</v>
      </c>
      <c r="AC201" s="305">
        <f t="shared" si="86"/>
        <v>0</v>
      </c>
      <c r="AD201" s="100">
        <f t="shared" si="94"/>
        <v>0</v>
      </c>
      <c r="AE201" s="100">
        <f t="shared" si="95"/>
        <v>0</v>
      </c>
      <c r="AF201" s="194">
        <f t="shared" si="82"/>
        <v>0</v>
      </c>
      <c r="AG201" s="194">
        <f t="shared" si="83"/>
        <v>0</v>
      </c>
      <c r="AH201" s="194">
        <f t="shared" si="84"/>
        <v>0</v>
      </c>
      <c r="AI201" s="199">
        <f t="shared" si="85"/>
        <v>0</v>
      </c>
      <c r="AK201" s="71">
        <v>196</v>
      </c>
      <c r="AL201" s="33"/>
      <c r="AM201" s="33"/>
      <c r="AN201" s="33"/>
      <c r="AO201" s="33"/>
      <c r="AP201" s="33"/>
      <c r="AQ201" s="194"/>
      <c r="AR201" s="194"/>
      <c r="AS201" s="194"/>
      <c r="AT201" s="194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98"/>
        <v>0</v>
      </c>
      <c r="K202" s="33">
        <f t="shared" si="99"/>
        <v>0</v>
      </c>
      <c r="L202" s="33">
        <f t="shared" si="100"/>
        <v>0</v>
      </c>
      <c r="M202" s="33">
        <f t="shared" si="101"/>
        <v>0</v>
      </c>
      <c r="N202" s="33">
        <f t="shared" si="87"/>
        <v>0</v>
      </c>
      <c r="O202" s="34">
        <f t="shared" si="88"/>
        <v>0</v>
      </c>
      <c r="P202" s="55">
        <v>197</v>
      </c>
      <c r="Q202" s="33">
        <f t="shared" si="96"/>
        <v>0</v>
      </c>
      <c r="R202" s="33">
        <f t="shared" si="102"/>
        <v>0</v>
      </c>
      <c r="S202" s="33">
        <f t="shared" si="103"/>
        <v>0</v>
      </c>
      <c r="T202" s="33">
        <f t="shared" si="89"/>
        <v>0</v>
      </c>
      <c r="U202" s="33">
        <f t="shared" si="97"/>
        <v>0</v>
      </c>
      <c r="V202" s="33">
        <f t="shared" si="90"/>
        <v>0</v>
      </c>
      <c r="W202" s="33">
        <v>0</v>
      </c>
      <c r="X202" s="33">
        <f t="shared" si="91"/>
        <v>0</v>
      </c>
      <c r="Y202" s="38">
        <f t="shared" si="92"/>
        <v>0</v>
      </c>
      <c r="AA202" s="71">
        <v>197</v>
      </c>
      <c r="AB202" s="33">
        <f t="shared" si="93"/>
        <v>0</v>
      </c>
      <c r="AC202" s="305">
        <f t="shared" si="86"/>
        <v>0</v>
      </c>
      <c r="AD202" s="100">
        <f t="shared" si="94"/>
        <v>0</v>
      </c>
      <c r="AE202" s="100">
        <f t="shared" si="95"/>
        <v>0</v>
      </c>
      <c r="AF202" s="194">
        <f t="shared" si="82"/>
        <v>0</v>
      </c>
      <c r="AG202" s="194">
        <f t="shared" si="83"/>
        <v>0</v>
      </c>
      <c r="AH202" s="194">
        <f t="shared" si="84"/>
        <v>0</v>
      </c>
      <c r="AI202" s="199">
        <f t="shared" si="85"/>
        <v>0</v>
      </c>
      <c r="AK202" s="71">
        <v>197</v>
      </c>
      <c r="AL202" s="33"/>
      <c r="AM202" s="33"/>
      <c r="AN202" s="33"/>
      <c r="AO202" s="33"/>
      <c r="AP202" s="33"/>
      <c r="AQ202" s="194"/>
      <c r="AR202" s="194"/>
      <c r="AS202" s="194"/>
      <c r="AT202" s="194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98"/>
        <v>0</v>
      </c>
      <c r="K203" s="33">
        <f t="shared" si="99"/>
        <v>0</v>
      </c>
      <c r="L203" s="33">
        <f t="shared" si="100"/>
        <v>0</v>
      </c>
      <c r="M203" s="33">
        <f t="shared" si="101"/>
        <v>0</v>
      </c>
      <c r="N203" s="33">
        <f t="shared" si="87"/>
        <v>0</v>
      </c>
      <c r="O203" s="34">
        <f t="shared" si="88"/>
        <v>0</v>
      </c>
      <c r="P203" s="55">
        <v>198</v>
      </c>
      <c r="Q203" s="33">
        <f t="shared" si="96"/>
        <v>0</v>
      </c>
      <c r="R203" s="33">
        <f t="shared" si="102"/>
        <v>0</v>
      </c>
      <c r="S203" s="33">
        <f t="shared" si="103"/>
        <v>0</v>
      </c>
      <c r="T203" s="33">
        <f t="shared" si="89"/>
        <v>0</v>
      </c>
      <c r="U203" s="33">
        <f t="shared" si="97"/>
        <v>0</v>
      </c>
      <c r="V203" s="33">
        <f t="shared" si="90"/>
        <v>0</v>
      </c>
      <c r="W203" s="33">
        <v>0</v>
      </c>
      <c r="X203" s="33">
        <f t="shared" si="91"/>
        <v>0</v>
      </c>
      <c r="Y203" s="38">
        <f t="shared" si="92"/>
        <v>0</v>
      </c>
      <c r="AA203" s="71">
        <v>198</v>
      </c>
      <c r="AB203" s="33">
        <f t="shared" si="93"/>
        <v>0</v>
      </c>
      <c r="AC203" s="305">
        <f t="shared" si="86"/>
        <v>0</v>
      </c>
      <c r="AD203" s="100">
        <f t="shared" si="94"/>
        <v>0</v>
      </c>
      <c r="AE203" s="100">
        <f t="shared" si="95"/>
        <v>0</v>
      </c>
      <c r="AF203" s="194">
        <f t="shared" si="82"/>
        <v>0</v>
      </c>
      <c r="AG203" s="194">
        <f t="shared" si="83"/>
        <v>0</v>
      </c>
      <c r="AH203" s="194">
        <f t="shared" si="84"/>
        <v>0</v>
      </c>
      <c r="AI203" s="199">
        <f t="shared" si="85"/>
        <v>0</v>
      </c>
      <c r="AK203" s="71">
        <v>198</v>
      </c>
      <c r="AL203" s="33"/>
      <c r="AM203" s="33"/>
      <c r="AN203" s="33"/>
      <c r="AO203" s="33"/>
      <c r="AP203" s="33"/>
      <c r="AQ203" s="194"/>
      <c r="AR203" s="194"/>
      <c r="AS203" s="194"/>
      <c r="AT203" s="194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98"/>
        <v>0</v>
      </c>
      <c r="K204" s="33">
        <f t="shared" si="99"/>
        <v>0</v>
      </c>
      <c r="L204" s="33">
        <f t="shared" si="100"/>
        <v>0</v>
      </c>
      <c r="M204" s="33">
        <f t="shared" si="101"/>
        <v>0</v>
      </c>
      <c r="N204" s="33">
        <f t="shared" si="87"/>
        <v>0</v>
      </c>
      <c r="O204" s="34">
        <f t="shared" si="88"/>
        <v>0</v>
      </c>
      <c r="P204" s="55">
        <v>199</v>
      </c>
      <c r="Q204" s="33">
        <f t="shared" si="96"/>
        <v>0</v>
      </c>
      <c r="R204" s="33">
        <f t="shared" si="102"/>
        <v>0</v>
      </c>
      <c r="S204" s="33">
        <f t="shared" si="103"/>
        <v>0</v>
      </c>
      <c r="T204" s="33">
        <f t="shared" si="89"/>
        <v>0</v>
      </c>
      <c r="U204" s="33">
        <f t="shared" si="97"/>
        <v>0</v>
      </c>
      <c r="V204" s="33">
        <f t="shared" si="90"/>
        <v>0</v>
      </c>
      <c r="W204" s="33">
        <v>0</v>
      </c>
      <c r="X204" s="33">
        <f t="shared" si="91"/>
        <v>0</v>
      </c>
      <c r="Y204" s="38">
        <f t="shared" si="92"/>
        <v>0</v>
      </c>
      <c r="AA204" s="71">
        <v>199</v>
      </c>
      <c r="AB204" s="33">
        <f t="shared" si="93"/>
        <v>0</v>
      </c>
      <c r="AC204" s="305">
        <f t="shared" si="86"/>
        <v>0</v>
      </c>
      <c r="AD204" s="100">
        <f t="shared" si="94"/>
        <v>0</v>
      </c>
      <c r="AE204" s="100">
        <f t="shared" si="95"/>
        <v>0</v>
      </c>
      <c r="AF204" s="194">
        <f t="shared" si="82"/>
        <v>0</v>
      </c>
      <c r="AG204" s="194">
        <f t="shared" si="83"/>
        <v>0</v>
      </c>
      <c r="AH204" s="194">
        <f t="shared" si="84"/>
        <v>0</v>
      </c>
      <c r="AI204" s="199">
        <f t="shared" si="85"/>
        <v>0</v>
      </c>
      <c r="AK204" s="71">
        <v>199</v>
      </c>
      <c r="AL204" s="33"/>
      <c r="AM204" s="33"/>
      <c r="AN204" s="33"/>
      <c r="AO204" s="33"/>
      <c r="AP204" s="33"/>
      <c r="AQ204" s="194"/>
      <c r="AR204" s="194"/>
      <c r="AS204" s="194"/>
      <c r="AT204" s="194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98"/>
        <v>0</v>
      </c>
      <c r="K205" s="33">
        <f t="shared" si="99"/>
        <v>0</v>
      </c>
      <c r="L205" s="33">
        <f t="shared" si="100"/>
        <v>0</v>
      </c>
      <c r="M205" s="33">
        <f t="shared" si="101"/>
        <v>0</v>
      </c>
      <c r="N205" s="35">
        <f>IF(F208&lt;=$F$18,0,)</f>
        <v>0</v>
      </c>
      <c r="O205" s="34">
        <f t="shared" si="88"/>
        <v>0</v>
      </c>
      <c r="P205" s="56">
        <v>200</v>
      </c>
      <c r="Q205" s="35">
        <f t="shared" si="96"/>
        <v>0</v>
      </c>
      <c r="R205" s="35">
        <f t="shared" si="102"/>
        <v>0</v>
      </c>
      <c r="S205" s="35">
        <f t="shared" si="103"/>
        <v>0</v>
      </c>
      <c r="T205" s="35">
        <f t="shared" si="89"/>
        <v>0</v>
      </c>
      <c r="U205" s="35">
        <f t="shared" si="97"/>
        <v>0</v>
      </c>
      <c r="V205" s="35">
        <f t="shared" si="90"/>
        <v>0</v>
      </c>
      <c r="W205" s="35">
        <v>0</v>
      </c>
      <c r="X205" s="155">
        <f t="shared" si="91"/>
        <v>0</v>
      </c>
      <c r="Y205" s="39">
        <f t="shared" si="92"/>
        <v>0</v>
      </c>
      <c r="AA205" s="72">
        <v>200</v>
      </c>
      <c r="AB205" s="143">
        <f t="shared" si="93"/>
        <v>0</v>
      </c>
      <c r="AC205" s="305">
        <f t="shared" si="86"/>
        <v>0</v>
      </c>
      <c r="AD205" s="101">
        <f t="shared" si="94"/>
        <v>0</v>
      </c>
      <c r="AE205" s="101">
        <f t="shared" si="95"/>
        <v>0</v>
      </c>
      <c r="AF205" s="196">
        <f t="shared" si="82"/>
        <v>0</v>
      </c>
      <c r="AG205" s="196">
        <f t="shared" si="83"/>
        <v>0</v>
      </c>
      <c r="AH205" s="196">
        <f t="shared" si="84"/>
        <v>0</v>
      </c>
      <c r="AI205" s="203">
        <f t="shared" si="85"/>
        <v>0</v>
      </c>
      <c r="AK205" s="72">
        <v>200</v>
      </c>
      <c r="AL205" s="143"/>
      <c r="AM205" s="35"/>
      <c r="AN205" s="35"/>
      <c r="AO205" s="35"/>
      <c r="AP205" s="35"/>
      <c r="AQ205" s="196"/>
      <c r="AR205" s="196"/>
      <c r="AS205" s="196"/>
      <c r="AT205" s="196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D81:G81" xr:uid="{00000000-0002-0000-0500-000000000000}">
      <formula1>$B$104:$B$108</formula1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F17" xr:uid="{00000000-0002-0000-0500-000002000000}">
      <formula1>$C$130:$C$195</formula1>
    </dataValidation>
    <dataValidation type="list" allowBlank="1" showInputMessage="1" showErrorMessage="1" sqref="F12" xr:uid="{00000000-0002-0000-0500-000003000000}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AY207"/>
  <sheetViews>
    <sheetView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401" t="s">
        <v>171</v>
      </c>
      <c r="J3" s="402"/>
      <c r="K3" s="402"/>
      <c r="L3" s="402"/>
      <c r="M3" s="402"/>
      <c r="N3" s="402"/>
      <c r="O3" s="403"/>
      <c r="P3" s="404" t="s">
        <v>143</v>
      </c>
      <c r="Q3" s="405"/>
      <c r="R3" s="405"/>
      <c r="S3" s="405"/>
      <c r="T3" s="405"/>
      <c r="U3" s="405"/>
      <c r="V3" s="405"/>
      <c r="W3" s="405"/>
      <c r="X3" s="406"/>
      <c r="Y3" s="90"/>
      <c r="Z3" s="90"/>
      <c r="AA3" s="392" t="s">
        <v>158</v>
      </c>
      <c r="AB3" s="393"/>
      <c r="AC3" s="393"/>
      <c r="AD3" s="393"/>
      <c r="AE3" s="393"/>
      <c r="AF3" s="393"/>
      <c r="AG3" s="393"/>
      <c r="AH3" s="393"/>
      <c r="AI3" s="394"/>
      <c r="AJ3" s="90"/>
      <c r="AK3" s="392" t="s">
        <v>170</v>
      </c>
      <c r="AL3" s="393"/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4"/>
    </row>
    <row r="4" spans="2:51" ht="45" customHeight="1">
      <c r="B4" s="396" t="s">
        <v>172</v>
      </c>
      <c r="C4" s="396"/>
      <c r="D4" s="396"/>
      <c r="E4" s="396"/>
      <c r="F4" s="396"/>
      <c r="I4" s="59" t="s">
        <v>76</v>
      </c>
      <c r="J4" s="60" t="s">
        <v>107</v>
      </c>
      <c r="K4" s="60" t="s">
        <v>108</v>
      </c>
      <c r="L4" s="60" t="s">
        <v>72</v>
      </c>
      <c r="M4" s="60" t="s">
        <v>109</v>
      </c>
      <c r="N4" s="60" t="s">
        <v>110</v>
      </c>
      <c r="O4" s="88" t="s">
        <v>112</v>
      </c>
      <c r="P4" s="59" t="s">
        <v>76</v>
      </c>
      <c r="Q4" s="61" t="s">
        <v>117</v>
      </c>
      <c r="R4" s="61" t="s">
        <v>118</v>
      </c>
      <c r="S4" s="62" t="s">
        <v>104</v>
      </c>
      <c r="T4" s="63" t="s">
        <v>103</v>
      </c>
      <c r="U4" s="60" t="s">
        <v>3</v>
      </c>
      <c r="V4" s="60" t="s">
        <v>105</v>
      </c>
      <c r="W4" s="60" t="s">
        <v>106</v>
      </c>
      <c r="X4" s="89" t="s">
        <v>111</v>
      </c>
      <c r="Y4" s="66" t="s">
        <v>119</v>
      </c>
      <c r="AA4" s="70" t="s">
        <v>76</v>
      </c>
      <c r="AB4" s="61" t="s">
        <v>145</v>
      </c>
      <c r="AC4" s="62" t="s">
        <v>146</v>
      </c>
      <c r="AD4" s="68" t="s">
        <v>147</v>
      </c>
      <c r="AE4" s="64" t="s">
        <v>148</v>
      </c>
      <c r="AF4" s="64" t="s">
        <v>149</v>
      </c>
      <c r="AG4" s="64" t="s">
        <v>150</v>
      </c>
      <c r="AH4" s="64" t="s">
        <v>151</v>
      </c>
      <c r="AI4" s="75" t="s">
        <v>152</v>
      </c>
      <c r="AK4" s="70" t="s">
        <v>76</v>
      </c>
      <c r="AL4" s="61" t="s">
        <v>145</v>
      </c>
      <c r="AM4" s="62" t="s">
        <v>146</v>
      </c>
      <c r="AN4" s="68" t="s">
        <v>147</v>
      </c>
      <c r="AO4" s="64" t="s">
        <v>148</v>
      </c>
      <c r="AP4" s="64" t="s">
        <v>160</v>
      </c>
      <c r="AQ4" s="193" t="s">
        <v>186</v>
      </c>
      <c r="AR4" s="193" t="s">
        <v>187</v>
      </c>
      <c r="AS4" s="193" t="s">
        <v>188</v>
      </c>
      <c r="AT4" s="193" t="s">
        <v>189</v>
      </c>
      <c r="AU4" s="64" t="s">
        <v>161</v>
      </c>
      <c r="AV4" s="64" t="s">
        <v>162</v>
      </c>
      <c r="AW4" s="64" t="s">
        <v>163</v>
      </c>
      <c r="AX4" s="64" t="s">
        <v>164</v>
      </c>
      <c r="AY4" s="75" t="s">
        <v>152</v>
      </c>
    </row>
    <row r="5" spans="2:51">
      <c r="B5" s="385" t="s">
        <v>132</v>
      </c>
      <c r="C5" s="91" t="s">
        <v>73</v>
      </c>
      <c r="D5" s="397" t="s">
        <v>1</v>
      </c>
      <c r="E5" s="39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5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4">
        <v>0</v>
      </c>
      <c r="AR5" s="194">
        <v>0</v>
      </c>
      <c r="AS5" s="194">
        <v>0</v>
      </c>
      <c r="AT5" s="194">
        <v>0</v>
      </c>
      <c r="AU5" s="33"/>
      <c r="AV5" s="33"/>
      <c r="AW5" s="33"/>
      <c r="AX5" s="33"/>
      <c r="AY5" s="164">
        <v>0</v>
      </c>
    </row>
    <row r="6" spans="2:51">
      <c r="B6" s="386"/>
      <c r="C6" s="98" t="s">
        <v>74</v>
      </c>
      <c r="D6" s="388" t="s">
        <v>259</v>
      </c>
      <c r="E6" s="388"/>
      <c r="F6" s="99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3.2759999999999998</v>
      </c>
      <c r="R6" s="33">
        <f>IF(P6&lt;=$F$18,Q6+R5,)</f>
        <v>3.2759999999999998</v>
      </c>
      <c r="S6" s="33">
        <f>$F$19*R6</f>
        <v>1.9000799999999998</v>
      </c>
      <c r="T6" s="33">
        <f t="shared" si="2"/>
        <v>0.81259641861782395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172.53701204868321</v>
      </c>
      <c r="Y6" s="38">
        <f t="shared" si="5"/>
        <v>-4.4988897563949024</v>
      </c>
      <c r="AA6" s="71">
        <v>1</v>
      </c>
      <c r="AB6" s="33">
        <f t="shared" si="6"/>
        <v>0</v>
      </c>
      <c r="AC6" s="305">
        <f t="shared" si="7"/>
        <v>0</v>
      </c>
      <c r="AD6" s="100">
        <f t="shared" si="8"/>
        <v>0</v>
      </c>
      <c r="AE6" s="100">
        <f t="shared" si="9"/>
        <v>0</v>
      </c>
      <c r="AF6" s="194">
        <f>IF(OR(AA6&lt;=$F$18,AA6&lt;=30),EXP(-LN(2)/$D$104)*AF5+((1-EXP(-LN(2)/$D$104))/(LN(2)/$D$104))*$AB6*AC6*0.475*$F$19*44/12,)</f>
        <v>0</v>
      </c>
      <c r="AG6" s="194">
        <f>IF(OR(AA6&lt;=$F$18,AA6&lt;=30),EXP(-LN(2)/$D$106)*AG5+((1-EXP(-LN(2)/$D$106))/(LN(2)/$D$106))*$AB6*AD6*0.475*$F$19*44/12,)</f>
        <v>0</v>
      </c>
      <c r="AH6" s="194">
        <f>IF(OR(AA6&lt;=$F$18,AA6&lt;=30),EXP(-LN(2)/$D$105)*AH5+((1-EXP(-LN(2)/$D$105))/(LN(2)/$D$105))*$AB6*AE6*0.475*$F$19*44/12,)</f>
        <v>0</v>
      </c>
      <c r="AI6" s="199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4">
        <f t="shared" ref="AQ6:AT24" si="17">IF($AK6&lt;=$F$18,$AL6*AM6,)</f>
        <v>0</v>
      </c>
      <c r="AR6" s="194">
        <f t="shared" si="17"/>
        <v>0</v>
      </c>
      <c r="AS6" s="194">
        <f t="shared" si="17"/>
        <v>0</v>
      </c>
      <c r="AT6" s="194">
        <f t="shared" si="17"/>
        <v>0</v>
      </c>
      <c r="AU6" s="33"/>
      <c r="AV6" s="33"/>
      <c r="AW6" s="33"/>
      <c r="AX6" s="33"/>
      <c r="AY6" s="164">
        <f>IF(AK6&lt;=$F$18,AL6*$G$108+AY5,)</f>
        <v>0</v>
      </c>
    </row>
    <row r="7" spans="2:51">
      <c r="B7" s="385" t="s">
        <v>133</v>
      </c>
      <c r="C7" s="398"/>
      <c r="D7" s="399"/>
      <c r="E7" s="399"/>
      <c r="F7" s="40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3.2759999999999998</v>
      </c>
      <c r="R7" s="33">
        <f t="shared" ref="R7:R70" si="22">IF(P7&lt;=$F$18,Q7+R6,)</f>
        <v>6.5519999999999996</v>
      </c>
      <c r="S7" s="33">
        <f t="shared" ref="S7:S70" si="23">$F$19*R7</f>
        <v>3.8001599999999995</v>
      </c>
      <c r="T7" s="33">
        <f t="shared" si="2"/>
        <v>1.4992187603415517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179.82703262842904</v>
      </c>
      <c r="Y7" s="38">
        <f t="shared" si="5"/>
        <v>2.791130823350926</v>
      </c>
      <c r="AA7" s="71">
        <v>2</v>
      </c>
      <c r="AB7" s="33">
        <f t="shared" si="6"/>
        <v>0</v>
      </c>
      <c r="AC7" s="305">
        <f t="shared" si="7"/>
        <v>0</v>
      </c>
      <c r="AD7" s="100">
        <f t="shared" si="8"/>
        <v>0</v>
      </c>
      <c r="AE7" s="100">
        <f t="shared" si="9"/>
        <v>0</v>
      </c>
      <c r="AF7" s="194">
        <f>IF(OR(AA7&lt;=$F$18,AA7&lt;=30),EXP(-LN(2)/$D$104)*AF6+((1-EXP(-LN(2)/$D$104))/(LN(2)/$D$104))*$AB7*AC7*0.475*$F$19*44/12,)</f>
        <v>0</v>
      </c>
      <c r="AG7" s="194">
        <f>IF(OR(AA7&lt;=$F$18,AA7&lt;=30),EXP(-LN(2)/$D$106)*AG6+((1-EXP(-LN(2)/$D$106))/(LN(2)/$D$106))*$AB7*AD7*0.475*$F$19*44/12,)</f>
        <v>0</v>
      </c>
      <c r="AH7" s="194">
        <f>IF(OR(AA7&lt;=$F$18,AA7&lt;=30),EXP(-LN(2)/$D$105)*AH6+((1-EXP(-LN(2)/$D$105))/(LN(2)/$D$105))*$AB7*AE7*0.475*$F$19*44/12,)</f>
        <v>0</v>
      </c>
      <c r="AI7" s="199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4">
        <f t="shared" si="17"/>
        <v>0</v>
      </c>
      <c r="AR7" s="194">
        <f t="shared" si="17"/>
        <v>0</v>
      </c>
      <c r="AS7" s="194">
        <f t="shared" si="17"/>
        <v>0</v>
      </c>
      <c r="AT7" s="194">
        <f t="shared" si="17"/>
        <v>0</v>
      </c>
      <c r="AU7" s="33"/>
      <c r="AV7" s="33"/>
      <c r="AW7" s="33"/>
      <c r="AX7" s="33"/>
      <c r="AY7" s="164">
        <f t="shared" ref="AY7:AY35" si="24">IF(AK7&lt;=$F$18,AL7*$G$108+AY6,)</f>
        <v>0</v>
      </c>
    </row>
    <row r="8" spans="2:51">
      <c r="B8" s="395"/>
      <c r="C8" s="93" t="s">
        <v>73</v>
      </c>
      <c r="D8" s="391" t="s">
        <v>1</v>
      </c>
      <c r="E8" s="39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3.2759999999999998</v>
      </c>
      <c r="R8" s="33">
        <f t="shared" si="22"/>
        <v>9.8279999999999994</v>
      </c>
      <c r="S8" s="33">
        <f t="shared" si="23"/>
        <v>5.7002399999999991</v>
      </c>
      <c r="T8" s="33">
        <f t="shared" si="2"/>
        <v>2.1451577987315726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187.01908840267572</v>
      </c>
      <c r="Y8" s="38">
        <f t="shared" si="5"/>
        <v>9.9831865975976086</v>
      </c>
      <c r="AA8" s="71">
        <v>3</v>
      </c>
      <c r="AB8" s="33">
        <f t="shared" si="6"/>
        <v>0</v>
      </c>
      <c r="AC8" s="305">
        <f t="shared" si="7"/>
        <v>0</v>
      </c>
      <c r="AD8" s="100">
        <f t="shared" si="8"/>
        <v>0</v>
      </c>
      <c r="AE8" s="100">
        <f t="shared" si="9"/>
        <v>0</v>
      </c>
      <c r="AF8" s="194">
        <f>IF(OR(AA8&lt;=$F$18,AA8&lt;=30),EXP(-LN(2)/$D$104)*AF7+((1-EXP(-LN(2)/$D$104))/(LN(2)/$D$104))*$AB8*AC8*0.475*$F$19*44/12,)</f>
        <v>0</v>
      </c>
      <c r="AG8" s="194">
        <f>IF(OR(AA8&lt;=$F$18,AA8&lt;=30),EXP(-LN(2)/$D$106)*AG7+((1-EXP(-LN(2)/$D$106))/(LN(2)/$D$106))*$AB8*AD8*0.475*$F$19*44/12,)</f>
        <v>0</v>
      </c>
      <c r="AH8" s="194">
        <f>IF(OR(AA8&lt;=$F$18,AA8&lt;=30),EXP(-LN(2)/$D$105)*AH7+((1-EXP(-LN(2)/$D$105))/(LN(2)/$D$105))*$AB8*AE8*0.475*$F$19*44/12,)</f>
        <v>0</v>
      </c>
      <c r="AI8" s="199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4">
        <f t="shared" si="17"/>
        <v>0</v>
      </c>
      <c r="AR8" s="194">
        <f t="shared" si="17"/>
        <v>0</v>
      </c>
      <c r="AS8" s="194">
        <f t="shared" si="17"/>
        <v>0</v>
      </c>
      <c r="AT8" s="194">
        <f t="shared" si="17"/>
        <v>0</v>
      </c>
      <c r="AU8" s="33"/>
      <c r="AV8" s="33"/>
      <c r="AW8" s="33"/>
      <c r="AX8" s="33"/>
      <c r="AY8" s="164">
        <f t="shared" si="24"/>
        <v>0</v>
      </c>
    </row>
    <row r="9" spans="2:51">
      <c r="B9" s="395"/>
      <c r="C9" s="93" t="s">
        <v>74</v>
      </c>
      <c r="D9" s="387" t="str">
        <f>IF(D8=$B$100,"totale","néant")</f>
        <v>néant</v>
      </c>
      <c r="E9" s="38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3.2759999999999998</v>
      </c>
      <c r="R9" s="33">
        <f t="shared" si="22"/>
        <v>13.103999999999999</v>
      </c>
      <c r="S9" s="33">
        <f t="shared" si="23"/>
        <v>7.6003199999999991</v>
      </c>
      <c r="T9" s="33">
        <f t="shared" si="2"/>
        <v>2.7660187023506491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194.14082863743769</v>
      </c>
      <c r="Y9" s="38">
        <f t="shared" si="5"/>
        <v>17.104926832359581</v>
      </c>
      <c r="AA9" s="71">
        <v>4</v>
      </c>
      <c r="AB9" s="33">
        <f t="shared" si="6"/>
        <v>0</v>
      </c>
      <c r="AC9" s="305">
        <f t="shared" si="7"/>
        <v>0</v>
      </c>
      <c r="AD9" s="100">
        <f t="shared" si="8"/>
        <v>0</v>
      </c>
      <c r="AE9" s="100">
        <f t="shared" si="9"/>
        <v>0</v>
      </c>
      <c r="AF9" s="194">
        <f>IF(OR(AA9&lt;=$F$18,AA9&lt;=30),EXP(-LN(2)/$D$104)*AF8+((1-EXP(-LN(2)/$D$104))/(LN(2)/$D$104))*$AB9*AC9*0.475*$F$19*44/12,)</f>
        <v>0</v>
      </c>
      <c r="AG9" s="194">
        <f>IF(OR(AA9&lt;=$F$18,AA9&lt;=30),EXP(-LN(2)/$D$106)*AG8+((1-EXP(-LN(2)/$D$106))/(LN(2)/$D$106))*$AB9*AD9*0.475*$F$19*44/12,)</f>
        <v>0</v>
      </c>
      <c r="AH9" s="194">
        <f>IF(OR(AA9&lt;=$F$18,AA9&lt;=30),EXP(-LN(2)/$D$105)*AH8+((1-EXP(-LN(2)/$D$105))/(LN(2)/$D$105))*$AB9*AE9*0.475*$F$19*44/12,)</f>
        <v>0</v>
      </c>
      <c r="AI9" s="199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4">
        <f t="shared" si="17"/>
        <v>0</v>
      </c>
      <c r="AR9" s="194">
        <f t="shared" si="17"/>
        <v>0</v>
      </c>
      <c r="AS9" s="194">
        <f t="shared" si="17"/>
        <v>0</v>
      </c>
      <c r="AT9" s="194">
        <f t="shared" si="17"/>
        <v>0</v>
      </c>
      <c r="AU9" s="33"/>
      <c r="AV9" s="33"/>
      <c r="AW9" s="33"/>
      <c r="AX9" s="33"/>
      <c r="AY9" s="164">
        <f t="shared" si="24"/>
        <v>0</v>
      </c>
    </row>
    <row r="10" spans="2:51">
      <c r="B10" s="395"/>
      <c r="C10" s="389" t="s">
        <v>123</v>
      </c>
      <c r="D10" s="384" t="s">
        <v>135</v>
      </c>
      <c r="E10" s="384"/>
      <c r="F10" s="95">
        <f>F18</f>
        <v>135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3.2759999999999998</v>
      </c>
      <c r="R10" s="33">
        <f t="shared" si="22"/>
        <v>16.38</v>
      </c>
      <c r="S10" s="33">
        <f t="shared" si="23"/>
        <v>9.5003999999999991</v>
      </c>
      <c r="T10" s="33">
        <f t="shared" si="2"/>
        <v>3.3688742451626768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201.20503385343901</v>
      </c>
      <c r="Y10" s="38">
        <f t="shared" si="5"/>
        <v>24.169132048360893</v>
      </c>
      <c r="AA10" s="71">
        <v>5</v>
      </c>
      <c r="AB10" s="33">
        <f t="shared" si="6"/>
        <v>0</v>
      </c>
      <c r="AC10" s="305">
        <f t="shared" si="7"/>
        <v>0</v>
      </c>
      <c r="AD10" s="100">
        <f t="shared" si="8"/>
        <v>0</v>
      </c>
      <c r="AE10" s="100">
        <f t="shared" si="9"/>
        <v>0</v>
      </c>
      <c r="AF10" s="194">
        <f t="shared" ref="AF10:AF24" si="25">IF(OR(AA10&lt;=$F$18,AA10&lt;=30),EXP(-LN(2)/$D$104)*AF9+((1-EXP(-LN(2)/$D$104))/(LN(2)/$D$104))*$AB10*AC10*0.475*$F$19*44/12,)</f>
        <v>0</v>
      </c>
      <c r="AG10" s="194">
        <f t="shared" ref="AG10:AG24" si="26">IF(OR(AA10&lt;=$F$18,AA10&lt;=30),EXP(-LN(2)/$D$106)*AG9+((1-EXP(-LN(2)/$D$106))/(LN(2)/$D$106))*$AB10*AD10*0.475*$F$19*44/12,)</f>
        <v>0</v>
      </c>
      <c r="AH10" s="194">
        <f t="shared" ref="AH10:AH24" si="27">IF(OR(AA10&lt;=$F$18,AA10&lt;=30),EXP(-LN(2)/$D$105)*AH9+((1-EXP(-LN(2)/$D$105))/(LN(2)/$D$105))*$AB10*AE10*0.475*$F$19*44/12,)</f>
        <v>0</v>
      </c>
      <c r="AI10" s="199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4">
        <f t="shared" si="17"/>
        <v>0</v>
      </c>
      <c r="AR10" s="194">
        <f t="shared" si="17"/>
        <v>0</v>
      </c>
      <c r="AS10" s="194">
        <f t="shared" si="17"/>
        <v>0</v>
      </c>
      <c r="AT10" s="194">
        <f t="shared" si="17"/>
        <v>0</v>
      </c>
      <c r="AU10" s="33"/>
      <c r="AV10" s="33"/>
      <c r="AW10" s="33"/>
      <c r="AX10" s="33"/>
      <c r="AY10" s="164">
        <f t="shared" si="24"/>
        <v>0</v>
      </c>
    </row>
    <row r="11" spans="2:51">
      <c r="B11" s="395"/>
      <c r="C11" s="389"/>
      <c r="D11" s="387" t="s">
        <v>138</v>
      </c>
      <c r="E11" s="38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3.2759999999999998</v>
      </c>
      <c r="R11" s="33">
        <f t="shared" si="22"/>
        <v>19.655999999999999</v>
      </c>
      <c r="S11" s="33">
        <f t="shared" si="23"/>
        <v>11.400479999999998</v>
      </c>
      <c r="T11" s="33">
        <f t="shared" si="2"/>
        <v>3.9577590327332239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208.21918507826933</v>
      </c>
      <c r="Y11" s="38">
        <f t="shared" si="5"/>
        <v>31.183283273191222</v>
      </c>
      <c r="AA11" s="71">
        <v>6</v>
      </c>
      <c r="AB11" s="33">
        <f t="shared" si="6"/>
        <v>0</v>
      </c>
      <c r="AC11" s="305">
        <f t="shared" si="7"/>
        <v>0</v>
      </c>
      <c r="AD11" s="100">
        <f t="shared" si="8"/>
        <v>0</v>
      </c>
      <c r="AE11" s="100">
        <f t="shared" si="9"/>
        <v>0</v>
      </c>
      <c r="AF11" s="194">
        <f t="shared" si="25"/>
        <v>0</v>
      </c>
      <c r="AG11" s="194">
        <f t="shared" si="26"/>
        <v>0</v>
      </c>
      <c r="AH11" s="194">
        <f t="shared" si="27"/>
        <v>0</v>
      </c>
      <c r="AI11" s="199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4">
        <f t="shared" si="17"/>
        <v>0</v>
      </c>
      <c r="AR11" s="194">
        <f t="shared" si="17"/>
        <v>0</v>
      </c>
      <c r="AS11" s="194">
        <f t="shared" si="17"/>
        <v>0</v>
      </c>
      <c r="AT11" s="194">
        <f t="shared" si="17"/>
        <v>0</v>
      </c>
      <c r="AU11" s="33"/>
      <c r="AV11" s="33"/>
      <c r="AW11" s="33"/>
      <c r="AX11" s="33"/>
      <c r="AY11" s="164">
        <f t="shared" si="24"/>
        <v>0</v>
      </c>
    </row>
    <row r="12" spans="2:51" ht="16">
      <c r="B12" s="395"/>
      <c r="C12" s="389"/>
      <c r="D12" s="384" t="s">
        <v>130</v>
      </c>
      <c r="E12" s="38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3.2759999999999998</v>
      </c>
      <c r="R12" s="33">
        <f t="shared" si="22"/>
        <v>22.931999999999999</v>
      </c>
      <c r="S12" s="33">
        <f t="shared" si="23"/>
        <v>13.300559999999999</v>
      </c>
      <c r="T12" s="33">
        <f t="shared" si="2"/>
        <v>4.5352740192701093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215.18825851929833</v>
      </c>
      <c r="Y12" s="38">
        <f t="shared" si="5"/>
        <v>38.152356714220218</v>
      </c>
      <c r="AA12" s="71">
        <v>7</v>
      </c>
      <c r="AB12" s="33">
        <f t="shared" si="6"/>
        <v>0</v>
      </c>
      <c r="AC12" s="305">
        <f t="shared" si="7"/>
        <v>0</v>
      </c>
      <c r="AD12" s="100">
        <f t="shared" si="8"/>
        <v>0</v>
      </c>
      <c r="AE12" s="100">
        <f t="shared" si="9"/>
        <v>0</v>
      </c>
      <c r="AF12" s="194">
        <f t="shared" si="25"/>
        <v>0</v>
      </c>
      <c r="AG12" s="194">
        <f t="shared" si="26"/>
        <v>0</v>
      </c>
      <c r="AH12" s="194">
        <f t="shared" si="27"/>
        <v>0</v>
      </c>
      <c r="AI12" s="199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4">
        <f t="shared" si="17"/>
        <v>0</v>
      </c>
      <c r="AR12" s="194">
        <f t="shared" si="17"/>
        <v>0</v>
      </c>
      <c r="AS12" s="194">
        <f t="shared" si="17"/>
        <v>0</v>
      </c>
      <c r="AT12" s="194">
        <f t="shared" si="17"/>
        <v>0</v>
      </c>
      <c r="AU12" s="33"/>
      <c r="AV12" s="33"/>
      <c r="AW12" s="33"/>
      <c r="AX12" s="33"/>
      <c r="AY12" s="164">
        <f t="shared" si="24"/>
        <v>0</v>
      </c>
    </row>
    <row r="13" spans="2:51">
      <c r="B13" s="386"/>
      <c r="C13" s="390"/>
      <c r="D13" s="388" t="s">
        <v>154</v>
      </c>
      <c r="E13" s="38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3.2759999999999998</v>
      </c>
      <c r="R13" s="33">
        <f t="shared" si="22"/>
        <v>26.207999999999998</v>
      </c>
      <c r="S13" s="33">
        <f t="shared" si="23"/>
        <v>15.200639999999998</v>
      </c>
      <c r="T13" s="33">
        <f t="shared" si="2"/>
        <v>5.1032308720646968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222.11584796839995</v>
      </c>
      <c r="Y13" s="38">
        <f t="shared" si="5"/>
        <v>45.079946163321836</v>
      </c>
      <c r="AA13" s="71">
        <v>8</v>
      </c>
      <c r="AB13" s="33">
        <f t="shared" si="6"/>
        <v>0</v>
      </c>
      <c r="AC13" s="305">
        <f t="shared" si="7"/>
        <v>0</v>
      </c>
      <c r="AD13" s="100">
        <f t="shared" si="8"/>
        <v>0</v>
      </c>
      <c r="AE13" s="100">
        <f t="shared" si="9"/>
        <v>0</v>
      </c>
      <c r="AF13" s="194">
        <f t="shared" si="25"/>
        <v>0</v>
      </c>
      <c r="AG13" s="194">
        <f t="shared" si="26"/>
        <v>0</v>
      </c>
      <c r="AH13" s="194">
        <f t="shared" si="27"/>
        <v>0</v>
      </c>
      <c r="AI13" s="199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4">
        <f t="shared" si="17"/>
        <v>0</v>
      </c>
      <c r="AR13" s="194">
        <f t="shared" si="17"/>
        <v>0</v>
      </c>
      <c r="AS13" s="194">
        <f t="shared" si="17"/>
        <v>0</v>
      </c>
      <c r="AT13" s="194">
        <f t="shared" si="17"/>
        <v>0</v>
      </c>
      <c r="AU13" s="33"/>
      <c r="AV13" s="33"/>
      <c r="AW13" s="33"/>
      <c r="AX13" s="33"/>
      <c r="AY13" s="164">
        <f t="shared" si="24"/>
        <v>0</v>
      </c>
    </row>
    <row r="14" spans="2:51">
      <c r="B14" s="385" t="s">
        <v>131</v>
      </c>
      <c r="C14" s="381"/>
      <c r="D14" s="382"/>
      <c r="E14" s="382"/>
      <c r="F14" s="38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3.2759999999999998</v>
      </c>
      <c r="R14" s="33">
        <f t="shared" si="22"/>
        <v>29.483999999999998</v>
      </c>
      <c r="S14" s="33">
        <f t="shared" si="23"/>
        <v>17.100719999999999</v>
      </c>
      <c r="T14" s="33">
        <f t="shared" si="2"/>
        <v>5.6629611896223917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229.00470349114838</v>
      </c>
      <c r="Y14" s="38">
        <f t="shared" si="5"/>
        <v>51.968801686070265</v>
      </c>
      <c r="AA14" s="71">
        <v>9</v>
      </c>
      <c r="AB14" s="33">
        <f t="shared" si="6"/>
        <v>0</v>
      </c>
      <c r="AC14" s="305">
        <f t="shared" si="7"/>
        <v>0</v>
      </c>
      <c r="AD14" s="100">
        <f t="shared" si="8"/>
        <v>0</v>
      </c>
      <c r="AE14" s="100">
        <f t="shared" si="9"/>
        <v>0</v>
      </c>
      <c r="AF14" s="194">
        <f t="shared" si="25"/>
        <v>0</v>
      </c>
      <c r="AG14" s="194">
        <f t="shared" si="26"/>
        <v>0</v>
      </c>
      <c r="AH14" s="194">
        <f t="shared" si="27"/>
        <v>0</v>
      </c>
      <c r="AI14" s="199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4">
        <f t="shared" si="17"/>
        <v>0</v>
      </c>
      <c r="AR14" s="194">
        <f t="shared" si="17"/>
        <v>0</v>
      </c>
      <c r="AS14" s="194">
        <f t="shared" si="17"/>
        <v>0</v>
      </c>
      <c r="AT14" s="194">
        <f t="shared" si="17"/>
        <v>0</v>
      </c>
      <c r="AU14" s="33"/>
      <c r="AV14" s="33"/>
      <c r="AW14" s="33"/>
      <c r="AX14" s="33"/>
      <c r="AY14" s="164">
        <f t="shared" si="24"/>
        <v>0</v>
      </c>
    </row>
    <row r="15" spans="2:51">
      <c r="B15" s="395"/>
      <c r="C15" s="93" t="s">
        <v>73</v>
      </c>
      <c r="D15" s="391" t="s">
        <v>134</v>
      </c>
      <c r="E15" s="39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3.2759999999999998</v>
      </c>
      <c r="R15" s="33">
        <f t="shared" si="22"/>
        <v>32.76</v>
      </c>
      <c r="S15" s="33">
        <f t="shared" si="23"/>
        <v>19.000799999999998</v>
      </c>
      <c r="T15" s="33">
        <f t="shared" si="2"/>
        <v>6.2154833000251974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235.85702206592211</v>
      </c>
      <c r="Y15" s="38">
        <f t="shared" si="5"/>
        <v>58.821120260843998</v>
      </c>
      <c r="AA15" s="71">
        <v>10</v>
      </c>
      <c r="AB15" s="33">
        <f t="shared" si="6"/>
        <v>0</v>
      </c>
      <c r="AC15" s="305">
        <f t="shared" si="7"/>
        <v>0</v>
      </c>
      <c r="AD15" s="100">
        <f t="shared" si="8"/>
        <v>0</v>
      </c>
      <c r="AE15" s="100">
        <f t="shared" si="9"/>
        <v>0</v>
      </c>
      <c r="AF15" s="194">
        <f t="shared" si="25"/>
        <v>0</v>
      </c>
      <c r="AG15" s="194">
        <f t="shared" si="26"/>
        <v>0</v>
      </c>
      <c r="AH15" s="194">
        <f t="shared" si="27"/>
        <v>0</v>
      </c>
      <c r="AI15" s="199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4">
        <f t="shared" si="17"/>
        <v>0</v>
      </c>
      <c r="AR15" s="194">
        <f t="shared" si="17"/>
        <v>0</v>
      </c>
      <c r="AS15" s="194">
        <f t="shared" si="17"/>
        <v>0</v>
      </c>
      <c r="AT15" s="194">
        <f t="shared" si="17"/>
        <v>0</v>
      </c>
      <c r="AU15" s="33"/>
      <c r="AV15" s="33"/>
      <c r="AW15" s="33"/>
      <c r="AX15" s="33"/>
      <c r="AY15" s="164">
        <f t="shared" si="24"/>
        <v>0</v>
      </c>
    </row>
    <row r="16" spans="2:51">
      <c r="B16" s="395"/>
      <c r="C16" s="93" t="s">
        <v>74</v>
      </c>
      <c r="D16" s="387" t="s">
        <v>137</v>
      </c>
      <c r="E16" s="38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3.2759999999999998</v>
      </c>
      <c r="R16" s="33">
        <f t="shared" si="22"/>
        <v>36.036000000000001</v>
      </c>
      <c r="S16" s="33">
        <f t="shared" si="23"/>
        <v>20.900880000000001</v>
      </c>
      <c r="T16" s="33">
        <f t="shared" si="2"/>
        <v>6.7616000801538325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242.67461808204874</v>
      </c>
      <c r="Y16" s="38">
        <f t="shared" si="5"/>
        <v>65.638716276970626</v>
      </c>
      <c r="AA16" s="71">
        <v>11</v>
      </c>
      <c r="AB16" s="33">
        <f t="shared" si="6"/>
        <v>0</v>
      </c>
      <c r="AC16" s="305">
        <f t="shared" si="7"/>
        <v>0</v>
      </c>
      <c r="AD16" s="100">
        <f t="shared" si="8"/>
        <v>0</v>
      </c>
      <c r="AE16" s="100">
        <f t="shared" si="9"/>
        <v>0</v>
      </c>
      <c r="AF16" s="194">
        <f t="shared" si="25"/>
        <v>0</v>
      </c>
      <c r="AG16" s="194">
        <f t="shared" si="26"/>
        <v>0</v>
      </c>
      <c r="AH16" s="194">
        <f t="shared" si="27"/>
        <v>0</v>
      </c>
      <c r="AI16" s="199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4">
        <f t="shared" si="17"/>
        <v>0</v>
      </c>
      <c r="AR16" s="194">
        <f t="shared" si="17"/>
        <v>0</v>
      </c>
      <c r="AS16" s="194">
        <f t="shared" si="17"/>
        <v>0</v>
      </c>
      <c r="AT16" s="194">
        <f t="shared" si="17"/>
        <v>0</v>
      </c>
      <c r="AU16" s="33"/>
      <c r="AV16" s="33"/>
      <c r="AW16" s="33"/>
      <c r="AX16" s="33"/>
      <c r="AY16" s="164">
        <f t="shared" si="24"/>
        <v>0</v>
      </c>
    </row>
    <row r="17" spans="2:51" ht="32">
      <c r="B17" s="395"/>
      <c r="C17" s="389" t="s">
        <v>123</v>
      </c>
      <c r="D17" s="384" t="s">
        <v>130</v>
      </c>
      <c r="E17" s="384"/>
      <c r="F17" s="96" t="s">
        <v>20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3.2759999999999998</v>
      </c>
      <c r="R17" s="33">
        <f t="shared" si="22"/>
        <v>39.311999999999998</v>
      </c>
      <c r="S17" s="33">
        <f t="shared" si="23"/>
        <v>22.800959999999996</v>
      </c>
      <c r="T17" s="33">
        <f t="shared" si="2"/>
        <v>7.3019600564785572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249.45902988443302</v>
      </c>
      <c r="Y17" s="38">
        <f t="shared" si="5"/>
        <v>72.42312807935491</v>
      </c>
      <c r="AA17" s="71">
        <v>12</v>
      </c>
      <c r="AB17" s="33">
        <f t="shared" si="6"/>
        <v>0</v>
      </c>
      <c r="AC17" s="305">
        <f t="shared" si="7"/>
        <v>0</v>
      </c>
      <c r="AD17" s="100">
        <f t="shared" si="8"/>
        <v>0</v>
      </c>
      <c r="AE17" s="100">
        <f t="shared" si="9"/>
        <v>0</v>
      </c>
      <c r="AF17" s="194">
        <f t="shared" si="25"/>
        <v>0</v>
      </c>
      <c r="AG17" s="194">
        <f t="shared" si="26"/>
        <v>0</v>
      </c>
      <c r="AH17" s="194">
        <f t="shared" si="27"/>
        <v>0</v>
      </c>
      <c r="AI17" s="199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4">
        <f t="shared" si="17"/>
        <v>0</v>
      </c>
      <c r="AR17" s="194">
        <f t="shared" si="17"/>
        <v>0</v>
      </c>
      <c r="AS17" s="194">
        <f t="shared" si="17"/>
        <v>0</v>
      </c>
      <c r="AT17" s="194">
        <f t="shared" si="17"/>
        <v>0</v>
      </c>
      <c r="AU17" s="33"/>
      <c r="AV17" s="33"/>
      <c r="AW17" s="33"/>
      <c r="AX17" s="33"/>
      <c r="AY17" s="164">
        <f t="shared" si="24"/>
        <v>0</v>
      </c>
    </row>
    <row r="18" spans="2:51">
      <c r="B18" s="395"/>
      <c r="C18" s="389"/>
      <c r="D18" s="384" t="s">
        <v>135</v>
      </c>
      <c r="E18" s="384"/>
      <c r="F18" s="97">
        <v>135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3.2759999999999998</v>
      </c>
      <c r="R18" s="33">
        <f t="shared" si="22"/>
        <v>42.587999999999994</v>
      </c>
      <c r="S18" s="33">
        <f t="shared" si="23"/>
        <v>24.701039999999995</v>
      </c>
      <c r="T18" s="33">
        <f t="shared" si="2"/>
        <v>7.8370975041053317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256.21158973793558</v>
      </c>
      <c r="Y18" s="38">
        <f t="shared" si="5"/>
        <v>79.175687932857471</v>
      </c>
      <c r="AA18" s="71">
        <v>13</v>
      </c>
      <c r="AB18" s="33">
        <f t="shared" si="6"/>
        <v>0</v>
      </c>
      <c r="AC18" s="305">
        <f t="shared" si="7"/>
        <v>0</v>
      </c>
      <c r="AD18" s="100">
        <f t="shared" si="8"/>
        <v>0</v>
      </c>
      <c r="AE18" s="100">
        <f t="shared" si="9"/>
        <v>0</v>
      </c>
      <c r="AF18" s="194">
        <f t="shared" si="25"/>
        <v>0</v>
      </c>
      <c r="AG18" s="194">
        <f t="shared" si="26"/>
        <v>0</v>
      </c>
      <c r="AH18" s="194">
        <f t="shared" si="27"/>
        <v>0</v>
      </c>
      <c r="AI18" s="199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4">
        <f t="shared" si="17"/>
        <v>0</v>
      </c>
      <c r="AR18" s="194">
        <f t="shared" si="17"/>
        <v>0</v>
      </c>
      <c r="AS18" s="194">
        <f t="shared" si="17"/>
        <v>0</v>
      </c>
      <c r="AT18" s="194">
        <f t="shared" si="17"/>
        <v>0</v>
      </c>
      <c r="AU18" s="33"/>
      <c r="AV18" s="33"/>
      <c r="AW18" s="33"/>
      <c r="AX18" s="33"/>
      <c r="AY18" s="164">
        <f t="shared" si="24"/>
        <v>0</v>
      </c>
    </row>
    <row r="19" spans="2:51">
      <c r="B19" s="395"/>
      <c r="C19" s="389"/>
      <c r="D19" s="387" t="s">
        <v>154</v>
      </c>
      <c r="E19" s="387"/>
      <c r="F19" s="36">
        <f>IF(ISBLANK(F$17),,VLOOKUP(F$17,C131:D195,2,FALSE))</f>
        <v>0.57999999999999996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3.2759999999999998</v>
      </c>
      <c r="R19" s="33">
        <f t="shared" si="22"/>
        <v>45.86399999999999</v>
      </c>
      <c r="S19" s="33">
        <f t="shared" si="23"/>
        <v>26.601119999999991</v>
      </c>
      <c r="T19" s="33">
        <f t="shared" si="2"/>
        <v>8.3674598326985983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262.93347164755659</v>
      </c>
      <c r="Y19" s="38">
        <f t="shared" si="5"/>
        <v>85.897569842478475</v>
      </c>
      <c r="AA19" s="71">
        <v>14</v>
      </c>
      <c r="AB19" s="33">
        <f t="shared" si="6"/>
        <v>0</v>
      </c>
      <c r="AC19" s="305">
        <f t="shared" si="7"/>
        <v>0</v>
      </c>
      <c r="AD19" s="100">
        <f t="shared" si="8"/>
        <v>0</v>
      </c>
      <c r="AE19" s="100">
        <f t="shared" si="9"/>
        <v>0</v>
      </c>
      <c r="AF19" s="194">
        <f t="shared" si="25"/>
        <v>0</v>
      </c>
      <c r="AG19" s="194">
        <f t="shared" si="26"/>
        <v>0</v>
      </c>
      <c r="AH19" s="194">
        <f t="shared" si="27"/>
        <v>0</v>
      </c>
      <c r="AI19" s="199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4">
        <f t="shared" si="17"/>
        <v>0</v>
      </c>
      <c r="AR19" s="194">
        <f t="shared" si="17"/>
        <v>0</v>
      </c>
      <c r="AS19" s="194">
        <f t="shared" si="17"/>
        <v>0</v>
      </c>
      <c r="AT19" s="194">
        <f t="shared" si="17"/>
        <v>0</v>
      </c>
      <c r="AU19" s="33"/>
      <c r="AV19" s="33"/>
      <c r="AW19" s="33"/>
      <c r="AX19" s="33"/>
      <c r="AY19" s="164">
        <f t="shared" si="24"/>
        <v>0</v>
      </c>
    </row>
    <row r="20" spans="2:51">
      <c r="B20" s="395"/>
      <c r="C20" s="389"/>
      <c r="D20" s="387" t="s">
        <v>139</v>
      </c>
      <c r="E20" s="387"/>
      <c r="F20" s="36">
        <f>IF(ISBLANK(F$17),,VLOOKUP(F17,Tableau1459[#All],4,FALSE))</f>
        <v>1.56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3.2759999999999998</v>
      </c>
      <c r="R20" s="33">
        <f t="shared" si="22"/>
        <v>49.139999999999986</v>
      </c>
      <c r="S20" s="33">
        <f t="shared" si="23"/>
        <v>28.50119999999999</v>
      </c>
      <c r="T20" s="33">
        <f t="shared" si="2"/>
        <v>8.8934269144933431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269.62572514229026</v>
      </c>
      <c r="Y20" s="38">
        <f t="shared" si="5"/>
        <v>92.589823337212152</v>
      </c>
      <c r="AA20" s="71">
        <v>15</v>
      </c>
      <c r="AB20" s="33">
        <f t="shared" si="6"/>
        <v>0</v>
      </c>
      <c r="AC20" s="305">
        <f t="shared" si="7"/>
        <v>0</v>
      </c>
      <c r="AD20" s="100">
        <f t="shared" si="8"/>
        <v>0</v>
      </c>
      <c r="AE20" s="100">
        <f t="shared" si="9"/>
        <v>0</v>
      </c>
      <c r="AF20" s="194">
        <f t="shared" si="25"/>
        <v>0</v>
      </c>
      <c r="AG20" s="194">
        <f t="shared" si="26"/>
        <v>0</v>
      </c>
      <c r="AH20" s="194">
        <f t="shared" si="27"/>
        <v>0</v>
      </c>
      <c r="AI20" s="199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4">
        <f t="shared" si="17"/>
        <v>0</v>
      </c>
      <c r="AR20" s="194">
        <f t="shared" si="17"/>
        <v>0</v>
      </c>
      <c r="AS20" s="194">
        <f t="shared" si="17"/>
        <v>0</v>
      </c>
      <c r="AT20" s="194">
        <f t="shared" si="17"/>
        <v>0</v>
      </c>
      <c r="AU20" s="33"/>
      <c r="AV20" s="33"/>
      <c r="AW20" s="33"/>
      <c r="AX20" s="33"/>
      <c r="AY20" s="164">
        <f t="shared" si="24"/>
        <v>0</v>
      </c>
    </row>
    <row r="21" spans="2:51">
      <c r="B21" s="386"/>
      <c r="C21" s="390"/>
      <c r="D21" s="388" t="s">
        <v>142</v>
      </c>
      <c r="E21" s="388"/>
      <c r="F21" s="102">
        <f>1.3*75%</f>
        <v>0.97500000000000009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3.2759999999999998</v>
      </c>
      <c r="R21" s="33">
        <f t="shared" si="22"/>
        <v>52.415999999999983</v>
      </c>
      <c r="S21" s="33">
        <f t="shared" si="23"/>
        <v>30.401279999999989</v>
      </c>
      <c r="T21" s="33">
        <f t="shared" si="2"/>
        <v>9.4153251066097496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276.289299816126</v>
      </c>
      <c r="Y21" s="38">
        <f t="shared" si="5"/>
        <v>99.253398011047892</v>
      </c>
      <c r="AA21" s="71">
        <v>16</v>
      </c>
      <c r="AB21" s="33">
        <f t="shared" si="6"/>
        <v>0</v>
      </c>
      <c r="AC21" s="305">
        <f t="shared" si="7"/>
        <v>0</v>
      </c>
      <c r="AD21" s="100">
        <f t="shared" si="8"/>
        <v>0</v>
      </c>
      <c r="AE21" s="100">
        <f t="shared" si="9"/>
        <v>0</v>
      </c>
      <c r="AF21" s="194">
        <f t="shared" si="25"/>
        <v>0</v>
      </c>
      <c r="AG21" s="194">
        <f t="shared" si="26"/>
        <v>0</v>
      </c>
      <c r="AH21" s="194">
        <f t="shared" si="27"/>
        <v>0</v>
      </c>
      <c r="AI21" s="199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4">
        <f t="shared" si="17"/>
        <v>0</v>
      </c>
      <c r="AR21" s="194">
        <f t="shared" si="17"/>
        <v>0</v>
      </c>
      <c r="AS21" s="194">
        <f t="shared" si="17"/>
        <v>0</v>
      </c>
      <c r="AT21" s="194">
        <f t="shared" si="17"/>
        <v>0</v>
      </c>
      <c r="AU21" s="33"/>
      <c r="AV21" s="33"/>
      <c r="AW21" s="33"/>
      <c r="AX21" s="33"/>
      <c r="AY21" s="164">
        <f t="shared" si="24"/>
        <v>0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3.2759999999999998</v>
      </c>
      <c r="R22" s="33">
        <f t="shared" si="22"/>
        <v>55.691999999999979</v>
      </c>
      <c r="S22" s="33">
        <f t="shared" si="23"/>
        <v>32.301359999999988</v>
      </c>
      <c r="T22" s="33">
        <f t="shared" si="2"/>
        <v>9.9334376658075083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282.92506358382076</v>
      </c>
      <c r="Y22" s="38">
        <f t="shared" si="5"/>
        <v>105.88916177874265</v>
      </c>
      <c r="AA22" s="71">
        <v>17</v>
      </c>
      <c r="AB22" s="33">
        <f t="shared" si="6"/>
        <v>0</v>
      </c>
      <c r="AC22" s="305">
        <f t="shared" si="7"/>
        <v>0</v>
      </c>
      <c r="AD22" s="100">
        <f t="shared" si="8"/>
        <v>0</v>
      </c>
      <c r="AE22" s="100">
        <f t="shared" si="9"/>
        <v>0</v>
      </c>
      <c r="AF22" s="194">
        <f t="shared" si="25"/>
        <v>0</v>
      </c>
      <c r="AG22" s="194">
        <f t="shared" si="26"/>
        <v>0</v>
      </c>
      <c r="AH22" s="194">
        <f t="shared" si="27"/>
        <v>0</v>
      </c>
      <c r="AI22" s="199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4">
        <f t="shared" si="17"/>
        <v>0</v>
      </c>
      <c r="AR22" s="194">
        <f t="shared" si="17"/>
        <v>0</v>
      </c>
      <c r="AS22" s="194">
        <f t="shared" si="17"/>
        <v>0</v>
      </c>
      <c r="AT22" s="194">
        <f t="shared" si="17"/>
        <v>0</v>
      </c>
      <c r="AU22" s="33"/>
      <c r="AV22" s="33"/>
      <c r="AW22" s="33"/>
      <c r="AX22" s="33"/>
      <c r="AY22" s="164">
        <f t="shared" si="24"/>
        <v>0</v>
      </c>
    </row>
    <row r="23" spans="2:51">
      <c r="B23" s="407" t="s">
        <v>141</v>
      </c>
      <c r="C23" s="408"/>
      <c r="D23" s="408"/>
      <c r="E23" s="408"/>
      <c r="F23" s="408"/>
      <c r="G23" s="40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3.2759999999999998</v>
      </c>
      <c r="R23" s="33">
        <f t="shared" si="22"/>
        <v>58.967999999999975</v>
      </c>
      <c r="S23" s="33">
        <f t="shared" si="23"/>
        <v>34.201439999999984</v>
      </c>
      <c r="T23" s="33">
        <f t="shared" si="2"/>
        <v>10.448012642006208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289.53381654349727</v>
      </c>
      <c r="Y23" s="38">
        <f t="shared" si="5"/>
        <v>112.49791473841915</v>
      </c>
      <c r="AA23" s="71">
        <v>18</v>
      </c>
      <c r="AB23" s="33">
        <f t="shared" si="6"/>
        <v>0</v>
      </c>
      <c r="AC23" s="305">
        <f t="shared" si="7"/>
        <v>0</v>
      </c>
      <c r="AD23" s="100">
        <f t="shared" si="8"/>
        <v>0</v>
      </c>
      <c r="AE23" s="100">
        <f t="shared" si="9"/>
        <v>0</v>
      </c>
      <c r="AF23" s="194">
        <f t="shared" si="25"/>
        <v>0</v>
      </c>
      <c r="AG23" s="194">
        <f t="shared" si="26"/>
        <v>0</v>
      </c>
      <c r="AH23" s="194">
        <f t="shared" si="27"/>
        <v>0</v>
      </c>
      <c r="AI23" s="199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4">
        <f t="shared" si="17"/>
        <v>0</v>
      </c>
      <c r="AR23" s="194">
        <f t="shared" si="17"/>
        <v>0</v>
      </c>
      <c r="AS23" s="194">
        <f t="shared" si="17"/>
        <v>0</v>
      </c>
      <c r="AT23" s="194">
        <f t="shared" si="17"/>
        <v>0</v>
      </c>
      <c r="AU23" s="33"/>
      <c r="AV23" s="33"/>
      <c r="AW23" s="33"/>
      <c r="AX23" s="33"/>
      <c r="AY23" s="164">
        <f t="shared" si="24"/>
        <v>0</v>
      </c>
    </row>
    <row r="24" spans="2:51">
      <c r="B24" s="47" t="s">
        <v>113</v>
      </c>
      <c r="C24" s="48" t="s">
        <v>114</v>
      </c>
      <c r="D24" s="48" t="s">
        <v>83</v>
      </c>
      <c r="E24" s="48" t="s">
        <v>116</v>
      </c>
      <c r="F24" s="48" t="s">
        <v>115</v>
      </c>
      <c r="G24" s="49" t="s">
        <v>140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3.2759999999999998</v>
      </c>
      <c r="R24" s="33">
        <f t="shared" si="22"/>
        <v>62.243999999999971</v>
      </c>
      <c r="S24" s="33">
        <f t="shared" si="23"/>
        <v>36.101519999999979</v>
      </c>
      <c r="T24" s="33">
        <f t="shared" si="2"/>
        <v>10.9592689674013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296.11630169458073</v>
      </c>
      <c r="Y24" s="38">
        <f t="shared" si="5"/>
        <v>119.08039988950262</v>
      </c>
      <c r="AA24" s="71">
        <v>19</v>
      </c>
      <c r="AB24" s="33">
        <f t="shared" si="6"/>
        <v>0</v>
      </c>
      <c r="AC24" s="305">
        <f t="shared" si="7"/>
        <v>0</v>
      </c>
      <c r="AD24" s="100">
        <f t="shared" si="8"/>
        <v>0</v>
      </c>
      <c r="AE24" s="100">
        <f t="shared" si="9"/>
        <v>0</v>
      </c>
      <c r="AF24" s="194">
        <f t="shared" si="25"/>
        <v>0</v>
      </c>
      <c r="AG24" s="194">
        <f t="shared" si="26"/>
        <v>0</v>
      </c>
      <c r="AH24" s="194">
        <f t="shared" si="27"/>
        <v>0</v>
      </c>
      <c r="AI24" s="199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4">
        <f t="shared" si="17"/>
        <v>0</v>
      </c>
      <c r="AR24" s="194">
        <f t="shared" si="17"/>
        <v>0</v>
      </c>
      <c r="AS24" s="194">
        <f t="shared" si="17"/>
        <v>0</v>
      </c>
      <c r="AT24" s="194">
        <f t="shared" si="17"/>
        <v>0</v>
      </c>
      <c r="AU24" s="33"/>
      <c r="AV24" s="33"/>
      <c r="AW24" s="33"/>
      <c r="AX24" s="33"/>
      <c r="AY24" s="164">
        <f t="shared" si="24"/>
        <v>0</v>
      </c>
    </row>
    <row r="25" spans="2:51">
      <c r="B25" s="45">
        <v>0</v>
      </c>
      <c r="C25" s="334">
        <v>20</v>
      </c>
      <c r="D25" s="136">
        <f>D26+0</f>
        <v>42</v>
      </c>
      <c r="E25" s="140">
        <f t="shared" ref="E25:E78" si="29">$F$20</f>
        <v>1.56</v>
      </c>
      <c r="F25" s="46">
        <f t="shared" ref="F25:F47" si="30">D25*E25</f>
        <v>65.52</v>
      </c>
      <c r="G25" s="50">
        <f>F25/(C25-B25)</f>
        <v>3.2759999999999998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3.2759999999999998</v>
      </c>
      <c r="R25" s="33">
        <f t="shared" si="22"/>
        <v>65.519999999999968</v>
      </c>
      <c r="S25" s="33">
        <f t="shared" si="23"/>
        <v>38.001599999999982</v>
      </c>
      <c r="T25" s="33">
        <f t="shared" si="2"/>
        <v>11.467401227090507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302.67321335741161</v>
      </c>
      <c r="Y25" s="38">
        <f t="shared" si="5"/>
        <v>125.6373115523335</v>
      </c>
      <c r="AA25" s="71">
        <v>20</v>
      </c>
      <c r="AB25" s="33">
        <f t="shared" si="6"/>
        <v>0</v>
      </c>
      <c r="AC25" s="305">
        <f t="shared" si="7"/>
        <v>0</v>
      </c>
      <c r="AD25" s="100">
        <f t="shared" si="8"/>
        <v>0</v>
      </c>
      <c r="AE25" s="100">
        <f t="shared" si="9"/>
        <v>0</v>
      </c>
      <c r="AF25" s="194">
        <f>IF(OR(AA25&lt;=$F$18,AA25&lt;=30),EXP(-LN(2)/$D$104)*AF24+((1-EXP(-LN(2)/$D$104))/(LN(2)/$D$104))*$AB25*AC25*0.475*$F$19*44/12,)</f>
        <v>0</v>
      </c>
      <c r="AG25" s="194">
        <f>IF(OR(AA25&lt;=$F$18,AA25&lt;=30),EXP(-LN(2)/$D$106)*AG24+((1-EXP(-LN(2)/$D$106))/(LN(2)/$D$106))*$AB25*AD25*0.475*$F$19*44/12,)</f>
        <v>0</v>
      </c>
      <c r="AH25" s="194">
        <f>IF(OR(AA25&lt;=$F$18,AA25&lt;=30),EXP(-LN(2)/$D$105)*AH24+((1-EXP(-LN(2)/$D$105))/(LN(2)/$D$105))*$AB25*AE25*0.475*$F$19*44/12,)</f>
        <v>0</v>
      </c>
      <c r="AI25" s="199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4">
        <f>IF($AK25&lt;=$F$18,$AL25*AM25,)</f>
        <v>0</v>
      </c>
      <c r="AR25" s="194">
        <f>IF($AK25&lt;=$F$18,$AL25*AN25,)</f>
        <v>0</v>
      </c>
      <c r="AS25" s="194">
        <f>IF($AK25&lt;=$F$18,$AL25*AO25,)</f>
        <v>0</v>
      </c>
      <c r="AT25" s="194">
        <f>IF($AK25&lt;=$F$18,$AL25*AP25,)</f>
        <v>0</v>
      </c>
      <c r="AU25" s="33"/>
      <c r="AV25" s="33"/>
      <c r="AW25" s="33"/>
      <c r="AX25" s="33"/>
      <c r="AY25" s="164">
        <f t="shared" si="24"/>
        <v>0</v>
      </c>
    </row>
    <row r="26" spans="2:51">
      <c r="B26" s="40">
        <f t="shared" ref="B26:B78" si="31">C25</f>
        <v>20</v>
      </c>
      <c r="C26" s="41">
        <f>B26+1</f>
        <v>21</v>
      </c>
      <c r="D26" s="137">
        <v>42</v>
      </c>
      <c r="E26" s="141">
        <f t="shared" si="29"/>
        <v>1.56</v>
      </c>
      <c r="F26" s="42">
        <f t="shared" si="30"/>
        <v>65.52</v>
      </c>
      <c r="G26" s="142">
        <f>(F26-F25)/(C26-B26)</f>
        <v>0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0</v>
      </c>
      <c r="R26" s="33">
        <f t="shared" si="22"/>
        <v>65.519999999999968</v>
      </c>
      <c r="S26" s="33">
        <f t="shared" si="23"/>
        <v>38.001599999999982</v>
      </c>
      <c r="T26" s="33">
        <f t="shared" si="2"/>
        <v>11.467401227090507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305.0160388463903</v>
      </c>
      <c r="Y26" s="38">
        <f t="shared" si="5"/>
        <v>127.98013704131219</v>
      </c>
      <c r="AA26" s="71">
        <v>21</v>
      </c>
      <c r="AB26" s="33">
        <f t="shared" si="6"/>
        <v>0</v>
      </c>
      <c r="AC26" s="305">
        <f t="shared" si="7"/>
        <v>0</v>
      </c>
      <c r="AD26" s="100">
        <f t="shared" si="8"/>
        <v>0</v>
      </c>
      <c r="AE26" s="100">
        <f t="shared" si="9"/>
        <v>0</v>
      </c>
      <c r="AF26" s="194">
        <f>IF(OR(AA26&lt;=$F$18,AA26&lt;=30),EXP(-LN(2)/$D$104)*AF25+((1-EXP(-LN(2)/$D$104))/(LN(2)/$D$104))*$AB26*AC26*0.475*$F$19*44/12,)</f>
        <v>0</v>
      </c>
      <c r="AG26" s="194">
        <f>IF(OR(AA26&lt;=$F$18,AA26&lt;=30),EXP(-LN(2)/$D$106)*AG25+((1-EXP(-LN(2)/$D$106))/(LN(2)/$D$106))*$AB26*AD26*0.475*$F$19*44/12,)</f>
        <v>0</v>
      </c>
      <c r="AH26" s="194">
        <f>IF(OR(AA26&lt;=$F$18,AA26&lt;=30),EXP(-LN(2)/$D$105)*AH25+((1-EXP(-LN(2)/$D$105))/(LN(2)/$D$105))*$AB26*AE26*0.475*$F$19*44/12,)</f>
        <v>0</v>
      </c>
      <c r="AI26" s="199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4">
        <f t="shared" ref="AQ26:AT35" si="32">IF($AK26&lt;=$F$18,$AL26*AM26,)</f>
        <v>0</v>
      </c>
      <c r="AR26" s="194">
        <f t="shared" si="32"/>
        <v>0</v>
      </c>
      <c r="AS26" s="194">
        <f t="shared" si="32"/>
        <v>0</v>
      </c>
      <c r="AT26" s="194">
        <f t="shared" si="32"/>
        <v>0</v>
      </c>
      <c r="AU26" s="33"/>
      <c r="AV26" s="33"/>
      <c r="AW26" s="33"/>
      <c r="AX26" s="33"/>
      <c r="AY26" s="164">
        <f t="shared" si="24"/>
        <v>0</v>
      </c>
    </row>
    <row r="27" spans="2:51">
      <c r="B27" s="40">
        <f t="shared" si="31"/>
        <v>21</v>
      </c>
      <c r="C27" s="152">
        <f>C25+5</f>
        <v>25</v>
      </c>
      <c r="D27" s="137">
        <f>D28+8</f>
        <v>70</v>
      </c>
      <c r="E27" s="141">
        <f t="shared" si="29"/>
        <v>1.56</v>
      </c>
      <c r="F27" s="42">
        <f t="shared" si="30"/>
        <v>109.2</v>
      </c>
      <c r="G27" s="51">
        <f t="shared" ref="G27:G47" si="33">(F27-F26)/(C27-B27)</f>
        <v>10.920000000000002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10.920000000000002</v>
      </c>
      <c r="R27" s="33">
        <f t="shared" si="22"/>
        <v>76.439999999999969</v>
      </c>
      <c r="S27" s="33">
        <f t="shared" si="23"/>
        <v>44.335199999999979</v>
      </c>
      <c r="T27" s="33">
        <f t="shared" si="2"/>
        <v>13.140720903832602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321.28480947764342</v>
      </c>
      <c r="Y27" s="38">
        <f t="shared" si="5"/>
        <v>144.24890767256531</v>
      </c>
      <c r="AA27" s="71">
        <v>22</v>
      </c>
      <c r="AB27" s="33">
        <f t="shared" si="6"/>
        <v>0</v>
      </c>
      <c r="AC27" s="305">
        <f t="shared" si="7"/>
        <v>0</v>
      </c>
      <c r="AD27" s="100">
        <f t="shared" si="8"/>
        <v>0</v>
      </c>
      <c r="AE27" s="100">
        <f t="shared" si="9"/>
        <v>0</v>
      </c>
      <c r="AF27" s="194">
        <f t="shared" ref="AF27:AF90" si="34">IF(OR(AA27&lt;=$F$18,AA27&lt;=30),EXP(-LN(2)/$D$104)*AF26+((1-EXP(-LN(2)/$D$104))/(LN(2)/$D$104))*$AB27*AC27*0.475*$F$19*44/12,)</f>
        <v>0</v>
      </c>
      <c r="AG27" s="194">
        <f t="shared" ref="AG27:AG90" si="35">IF(OR(AA27&lt;=$F$18,AA27&lt;=30),EXP(-LN(2)/$D$106)*AG26+((1-EXP(-LN(2)/$D$106))/(LN(2)/$D$106))*$AB27*AD27*0.475*$F$19*44/12,)</f>
        <v>0</v>
      </c>
      <c r="AH27" s="194">
        <f t="shared" ref="AH27:AH90" si="36">IF(OR(AA27&lt;=$F$18,AA27&lt;=30),EXP(-LN(2)/$D$105)*AH26+((1-EXP(-LN(2)/$D$105))/(LN(2)/$D$105))*$AB27*AE27*0.475*$F$19*44/12,)</f>
        <v>0</v>
      </c>
      <c r="AI27" s="199">
        <f t="shared" ref="AI27:AI90" si="37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4">
        <f t="shared" si="32"/>
        <v>0</v>
      </c>
      <c r="AR27" s="194">
        <f t="shared" si="32"/>
        <v>0</v>
      </c>
      <c r="AS27" s="194">
        <f t="shared" si="32"/>
        <v>0</v>
      </c>
      <c r="AT27" s="194">
        <f t="shared" si="32"/>
        <v>0</v>
      </c>
      <c r="AU27" s="33"/>
      <c r="AV27" s="33"/>
      <c r="AW27" s="33"/>
      <c r="AX27" s="33"/>
      <c r="AY27" s="164">
        <f t="shared" si="24"/>
        <v>0</v>
      </c>
    </row>
    <row r="28" spans="2:51">
      <c r="B28" s="40">
        <f t="shared" si="31"/>
        <v>25</v>
      </c>
      <c r="C28" s="152">
        <f>C26+5</f>
        <v>26</v>
      </c>
      <c r="D28" s="137">
        <v>62</v>
      </c>
      <c r="E28" s="141">
        <f t="shared" si="29"/>
        <v>1.56</v>
      </c>
      <c r="F28" s="42">
        <f t="shared" si="30"/>
        <v>96.72</v>
      </c>
      <c r="G28" s="51">
        <f t="shared" si="33"/>
        <v>-12.480000000000004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10.920000000000002</v>
      </c>
      <c r="R28" s="33">
        <f t="shared" si="22"/>
        <v>87.359999999999971</v>
      </c>
      <c r="S28" s="33">
        <f t="shared" si="23"/>
        <v>50.668799999999983</v>
      </c>
      <c r="T28" s="33">
        <f t="shared" si="2"/>
        <v>14.786346384516113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337.48624332924538</v>
      </c>
      <c r="Y28" s="38">
        <f t="shared" si="5"/>
        <v>160.45034152416727</v>
      </c>
      <c r="AA28" s="71">
        <v>23</v>
      </c>
      <c r="AB28" s="33">
        <f t="shared" si="6"/>
        <v>0</v>
      </c>
      <c r="AC28" s="305">
        <f t="shared" si="7"/>
        <v>0</v>
      </c>
      <c r="AD28" s="100">
        <f t="shared" si="8"/>
        <v>0</v>
      </c>
      <c r="AE28" s="100">
        <f t="shared" si="9"/>
        <v>0</v>
      </c>
      <c r="AF28" s="194">
        <f t="shared" si="34"/>
        <v>0</v>
      </c>
      <c r="AG28" s="194">
        <f t="shared" si="35"/>
        <v>0</v>
      </c>
      <c r="AH28" s="194">
        <f t="shared" si="36"/>
        <v>0</v>
      </c>
      <c r="AI28" s="199">
        <f t="shared" si="37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4">
        <f t="shared" si="32"/>
        <v>0</v>
      </c>
      <c r="AR28" s="194">
        <f t="shared" si="32"/>
        <v>0</v>
      </c>
      <c r="AS28" s="194">
        <f t="shared" si="32"/>
        <v>0</v>
      </c>
      <c r="AT28" s="194">
        <f t="shared" si="32"/>
        <v>0</v>
      </c>
      <c r="AU28" s="33"/>
      <c r="AV28" s="33"/>
      <c r="AW28" s="33"/>
      <c r="AX28" s="33"/>
      <c r="AY28" s="164">
        <f t="shared" si="24"/>
        <v>0</v>
      </c>
    </row>
    <row r="29" spans="2:51">
      <c r="B29" s="40">
        <f t="shared" si="31"/>
        <v>26</v>
      </c>
      <c r="C29" s="152">
        <f t="shared" ref="C29:C78" si="38">C27+5</f>
        <v>30</v>
      </c>
      <c r="D29" s="137">
        <f>D30+21</f>
        <v>97</v>
      </c>
      <c r="E29" s="141">
        <f t="shared" si="29"/>
        <v>1.56</v>
      </c>
      <c r="F29" s="42">
        <f t="shared" si="30"/>
        <v>151.32</v>
      </c>
      <c r="G29" s="51">
        <f t="shared" si="33"/>
        <v>13.649999999999999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10.920000000000002</v>
      </c>
      <c r="R29" s="33">
        <f t="shared" si="22"/>
        <v>98.279999999999973</v>
      </c>
      <c r="S29" s="33">
        <f t="shared" si="23"/>
        <v>57.00239999999998</v>
      </c>
      <c r="T29" s="33">
        <f t="shared" si="2"/>
        <v>16.4081359066458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353.62739155436117</v>
      </c>
      <c r="Y29" s="38">
        <f t="shared" si="5"/>
        <v>176.59148974928306</v>
      </c>
      <c r="AA29" s="71">
        <v>24</v>
      </c>
      <c r="AB29" s="33">
        <f t="shared" si="6"/>
        <v>0</v>
      </c>
      <c r="AC29" s="305">
        <f t="shared" si="7"/>
        <v>0</v>
      </c>
      <c r="AD29" s="100">
        <f t="shared" si="8"/>
        <v>0</v>
      </c>
      <c r="AE29" s="100">
        <f t="shared" si="9"/>
        <v>0</v>
      </c>
      <c r="AF29" s="194">
        <f t="shared" si="34"/>
        <v>0</v>
      </c>
      <c r="AG29" s="194">
        <f t="shared" si="35"/>
        <v>0</v>
      </c>
      <c r="AH29" s="194">
        <f t="shared" si="36"/>
        <v>0</v>
      </c>
      <c r="AI29" s="199">
        <f t="shared" si="37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4">
        <f t="shared" si="32"/>
        <v>0</v>
      </c>
      <c r="AR29" s="194">
        <f t="shared" si="32"/>
        <v>0</v>
      </c>
      <c r="AS29" s="194">
        <f t="shared" si="32"/>
        <v>0</v>
      </c>
      <c r="AT29" s="194">
        <f t="shared" si="32"/>
        <v>0</v>
      </c>
      <c r="AU29" s="33"/>
      <c r="AV29" s="33"/>
      <c r="AW29" s="33"/>
      <c r="AX29" s="33"/>
      <c r="AY29" s="164">
        <f t="shared" si="24"/>
        <v>0</v>
      </c>
    </row>
    <row r="30" spans="2:51">
      <c r="B30" s="40">
        <f t="shared" si="31"/>
        <v>30</v>
      </c>
      <c r="C30" s="152">
        <f t="shared" si="38"/>
        <v>31</v>
      </c>
      <c r="D30" s="137">
        <v>76</v>
      </c>
      <c r="E30" s="141">
        <f t="shared" si="29"/>
        <v>1.56</v>
      </c>
      <c r="F30" s="42">
        <f t="shared" si="30"/>
        <v>118.56</v>
      </c>
      <c r="G30" s="51">
        <f t="shared" si="33"/>
        <v>-32.759999999999991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10.920000000000002</v>
      </c>
      <c r="R30" s="33">
        <f t="shared" si="22"/>
        <v>109.19999999999997</v>
      </c>
      <c r="S30" s="33">
        <f t="shared" si="23"/>
        <v>63.335999999999984</v>
      </c>
      <c r="T30" s="33">
        <f t="shared" si="2"/>
        <v>18.009040022946227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369.71371867296335</v>
      </c>
      <c r="Y30" s="38">
        <f t="shared" si="5"/>
        <v>192.67781686788524</v>
      </c>
      <c r="AA30" s="71">
        <v>25</v>
      </c>
      <c r="AB30" s="33">
        <f t="shared" si="6"/>
        <v>0</v>
      </c>
      <c r="AC30" s="305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4">
        <f t="shared" si="34"/>
        <v>0</v>
      </c>
      <c r="AG30" s="194">
        <f t="shared" si="35"/>
        <v>0</v>
      </c>
      <c r="AH30" s="194">
        <f t="shared" si="36"/>
        <v>0</v>
      </c>
      <c r="AI30" s="199">
        <f t="shared" si="37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4">
        <f t="shared" si="32"/>
        <v>0</v>
      </c>
      <c r="AR30" s="194">
        <f t="shared" si="32"/>
        <v>0</v>
      </c>
      <c r="AS30" s="194">
        <f t="shared" si="32"/>
        <v>0</v>
      </c>
      <c r="AT30" s="194">
        <f t="shared" si="32"/>
        <v>0</v>
      </c>
      <c r="AU30" s="33"/>
      <c r="AV30" s="33"/>
      <c r="AW30" s="33"/>
      <c r="AX30" s="33"/>
      <c r="AY30" s="164">
        <f t="shared" si="24"/>
        <v>0</v>
      </c>
    </row>
    <row r="31" spans="2:51">
      <c r="B31" s="40">
        <f t="shared" si="31"/>
        <v>31</v>
      </c>
      <c r="C31" s="152">
        <f t="shared" si="38"/>
        <v>35</v>
      </c>
      <c r="D31" s="137">
        <f>D32+21</f>
        <v>116</v>
      </c>
      <c r="E31" s="141">
        <f t="shared" si="29"/>
        <v>1.56</v>
      </c>
      <c r="F31" s="42">
        <f t="shared" si="30"/>
        <v>180.96</v>
      </c>
      <c r="G31" s="51">
        <f t="shared" si="33"/>
        <v>15.600000000000001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-12.480000000000004</v>
      </c>
      <c r="R31" s="33">
        <f t="shared" si="22"/>
        <v>96.71999999999997</v>
      </c>
      <c r="S31" s="33">
        <f t="shared" si="23"/>
        <v>56.097599999999979</v>
      </c>
      <c r="T31" s="33">
        <f t="shared" si="2"/>
        <v>16.177791426098278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356.16635411631131</v>
      </c>
      <c r="Y31" s="38">
        <f t="shared" si="5"/>
        <v>179.1304523112332</v>
      </c>
      <c r="AA31" s="71">
        <v>26</v>
      </c>
      <c r="AB31" s="33">
        <f t="shared" si="6"/>
        <v>8</v>
      </c>
      <c r="AC31" s="305">
        <f t="shared" ref="AC31:AC94" si="39">IF(AA31&lt;=$F$18,IFERROR(VLOOKUP($AA31,$B$82:$G$94,3,FALSE),0),)*50%</f>
        <v>0.05</v>
      </c>
      <c r="AD31" s="100">
        <f t="shared" si="8"/>
        <v>0</v>
      </c>
      <c r="AE31" s="100">
        <f t="shared" si="9"/>
        <v>0</v>
      </c>
      <c r="AF31" s="194">
        <f t="shared" si="34"/>
        <v>0.40009183976056534</v>
      </c>
      <c r="AG31" s="194">
        <f t="shared" si="35"/>
        <v>0</v>
      </c>
      <c r="AH31" s="194">
        <f t="shared" si="36"/>
        <v>0</v>
      </c>
      <c r="AI31" s="199">
        <f t="shared" si="37"/>
        <v>0.40009183976056534</v>
      </c>
      <c r="AK31" s="71">
        <v>26</v>
      </c>
      <c r="AL31" s="33">
        <f t="shared" si="10"/>
        <v>8</v>
      </c>
      <c r="AM31" s="33">
        <f t="shared" si="11"/>
        <v>0.1</v>
      </c>
      <c r="AN31" s="33">
        <f t="shared" si="12"/>
        <v>0</v>
      </c>
      <c r="AO31" s="33">
        <f t="shared" si="13"/>
        <v>0</v>
      </c>
      <c r="AP31" s="33">
        <f t="shared" si="14"/>
        <v>0.9</v>
      </c>
      <c r="AQ31" s="194">
        <f t="shared" si="32"/>
        <v>0.8</v>
      </c>
      <c r="AR31" s="194">
        <f t="shared" si="32"/>
        <v>0</v>
      </c>
      <c r="AS31" s="194">
        <f t="shared" si="32"/>
        <v>0</v>
      </c>
      <c r="AT31" s="194">
        <f t="shared" si="32"/>
        <v>7.2</v>
      </c>
      <c r="AU31" s="33"/>
      <c r="AV31" s="33"/>
      <c r="AW31" s="33"/>
      <c r="AX31" s="33"/>
      <c r="AY31" s="164">
        <f t="shared" si="24"/>
        <v>2</v>
      </c>
    </row>
    <row r="32" spans="2:51">
      <c r="B32" s="40">
        <f t="shared" si="31"/>
        <v>35</v>
      </c>
      <c r="C32" s="152">
        <f t="shared" si="38"/>
        <v>36</v>
      </c>
      <c r="D32" s="137">
        <v>95</v>
      </c>
      <c r="E32" s="141">
        <f t="shared" si="29"/>
        <v>1.56</v>
      </c>
      <c r="F32" s="42">
        <f t="shared" si="30"/>
        <v>148.20000000000002</v>
      </c>
      <c r="G32" s="51">
        <f t="shared" si="33"/>
        <v>-32.759999999999991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13.649999999999999</v>
      </c>
      <c r="R32" s="33">
        <f t="shared" si="22"/>
        <v>110.36999999999998</v>
      </c>
      <c r="S32" s="33">
        <f t="shared" si="23"/>
        <v>64.014599999999987</v>
      </c>
      <c r="T32" s="33">
        <f t="shared" si="2"/>
        <v>18.179428283787018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375.6724421334925</v>
      </c>
      <c r="Y32" s="38">
        <f t="shared" si="5"/>
        <v>198.63654032841438</v>
      </c>
      <c r="AA32" s="71">
        <v>27</v>
      </c>
      <c r="AB32" s="33">
        <f t="shared" si="6"/>
        <v>0</v>
      </c>
      <c r="AC32" s="305">
        <f t="shared" si="39"/>
        <v>0</v>
      </c>
      <c r="AD32" s="100">
        <f t="shared" si="8"/>
        <v>0</v>
      </c>
      <c r="AE32" s="100">
        <f t="shared" si="9"/>
        <v>0</v>
      </c>
      <c r="AF32" s="194">
        <f t="shared" si="34"/>
        <v>0.39224628281478674</v>
      </c>
      <c r="AG32" s="194">
        <f t="shared" si="35"/>
        <v>0</v>
      </c>
      <c r="AH32" s="194">
        <f t="shared" si="36"/>
        <v>0</v>
      </c>
      <c r="AI32" s="199">
        <f t="shared" si="37"/>
        <v>0.39224628281478674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4">
        <f t="shared" si="32"/>
        <v>0</v>
      </c>
      <c r="AR32" s="194">
        <f t="shared" si="32"/>
        <v>0</v>
      </c>
      <c r="AS32" s="194">
        <f t="shared" si="32"/>
        <v>0</v>
      </c>
      <c r="AT32" s="194">
        <f t="shared" si="32"/>
        <v>0</v>
      </c>
      <c r="AU32" s="33"/>
      <c r="AV32" s="33"/>
      <c r="AW32" s="33"/>
      <c r="AX32" s="33"/>
      <c r="AY32" s="164">
        <f t="shared" si="24"/>
        <v>2</v>
      </c>
    </row>
    <row r="33" spans="2:51">
      <c r="B33" s="40">
        <f t="shared" si="31"/>
        <v>36</v>
      </c>
      <c r="C33" s="152">
        <f t="shared" si="38"/>
        <v>40</v>
      </c>
      <c r="D33" s="137">
        <f>D34+21</f>
        <v>137</v>
      </c>
      <c r="E33" s="141">
        <f t="shared" si="29"/>
        <v>1.56</v>
      </c>
      <c r="F33" s="42">
        <f t="shared" si="30"/>
        <v>213.72</v>
      </c>
      <c r="G33" s="51">
        <f t="shared" si="33"/>
        <v>16.379999999999995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13.649999999999999</v>
      </c>
      <c r="R33" s="33">
        <f t="shared" si="22"/>
        <v>124.01999999999998</v>
      </c>
      <c r="S33" s="33">
        <f t="shared" si="23"/>
        <v>71.931599999999989</v>
      </c>
      <c r="T33" s="33">
        <f t="shared" si="2"/>
        <v>20.152379359631826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395.11106680667609</v>
      </c>
      <c r="Y33" s="38">
        <f t="shared" si="5"/>
        <v>218.07516500159798</v>
      </c>
      <c r="AA33" s="71">
        <v>28</v>
      </c>
      <c r="AB33" s="33">
        <f t="shared" si="6"/>
        <v>0</v>
      </c>
      <c r="AC33" s="305">
        <f t="shared" si="39"/>
        <v>0</v>
      </c>
      <c r="AD33" s="100">
        <f t="shared" si="8"/>
        <v>0</v>
      </c>
      <c r="AE33" s="100">
        <f t="shared" si="9"/>
        <v>0</v>
      </c>
      <c r="AF33" s="194">
        <f t="shared" si="34"/>
        <v>0.38455457245539765</v>
      </c>
      <c r="AG33" s="194">
        <f t="shared" si="35"/>
        <v>0</v>
      </c>
      <c r="AH33" s="194">
        <f t="shared" si="36"/>
        <v>0</v>
      </c>
      <c r="AI33" s="199">
        <f t="shared" si="37"/>
        <v>0.38455457245539765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4">
        <f t="shared" si="32"/>
        <v>0</v>
      </c>
      <c r="AR33" s="194">
        <f t="shared" si="32"/>
        <v>0</v>
      </c>
      <c r="AS33" s="194">
        <f t="shared" si="32"/>
        <v>0</v>
      </c>
      <c r="AT33" s="194">
        <f t="shared" si="32"/>
        <v>0</v>
      </c>
      <c r="AU33" s="33"/>
      <c r="AV33" s="33"/>
      <c r="AW33" s="33"/>
      <c r="AX33" s="33"/>
      <c r="AY33" s="164">
        <f t="shared" si="24"/>
        <v>2</v>
      </c>
    </row>
    <row r="34" spans="2:51" ht="16" thickBot="1">
      <c r="B34" s="40">
        <f t="shared" si="31"/>
        <v>40</v>
      </c>
      <c r="C34" s="152">
        <f t="shared" si="38"/>
        <v>41</v>
      </c>
      <c r="D34" s="137">
        <v>116</v>
      </c>
      <c r="E34" s="141">
        <f t="shared" si="29"/>
        <v>1.56</v>
      </c>
      <c r="F34" s="42">
        <f t="shared" si="30"/>
        <v>180.96</v>
      </c>
      <c r="G34" s="51">
        <f t="shared" si="33"/>
        <v>-32.759999999999991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13.649999999999999</v>
      </c>
      <c r="R34" s="33">
        <f t="shared" si="22"/>
        <v>137.66999999999999</v>
      </c>
      <c r="S34" s="33">
        <f t="shared" si="23"/>
        <v>79.84859999999999</v>
      </c>
      <c r="T34" s="33">
        <f t="shared" si="2"/>
        <v>22.100161961401962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414.48865773888423</v>
      </c>
      <c r="Y34" s="38">
        <f t="shared" si="5"/>
        <v>237.45275593380612</v>
      </c>
      <c r="AA34" s="71">
        <v>29</v>
      </c>
      <c r="AB34" s="143">
        <f t="shared" si="6"/>
        <v>0</v>
      </c>
      <c r="AC34" s="305">
        <f t="shared" si="39"/>
        <v>0</v>
      </c>
      <c r="AD34" s="101">
        <f t="shared" si="8"/>
        <v>0</v>
      </c>
      <c r="AE34" s="101">
        <f t="shared" si="9"/>
        <v>0</v>
      </c>
      <c r="AF34" s="196">
        <f t="shared" si="34"/>
        <v>0.37701369184467609</v>
      </c>
      <c r="AG34" s="196">
        <f t="shared" si="35"/>
        <v>0</v>
      </c>
      <c r="AH34" s="194">
        <f t="shared" si="36"/>
        <v>0</v>
      </c>
      <c r="AI34" s="199">
        <f t="shared" si="37"/>
        <v>0.37701369184467609</v>
      </c>
      <c r="AK34" s="71">
        <v>29</v>
      </c>
      <c r="AL34" s="143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4">
        <f t="shared" si="32"/>
        <v>0</v>
      </c>
      <c r="AR34" s="194">
        <f t="shared" si="32"/>
        <v>0</v>
      </c>
      <c r="AS34" s="194">
        <f t="shared" si="32"/>
        <v>0</v>
      </c>
      <c r="AT34" s="194">
        <f t="shared" si="32"/>
        <v>0</v>
      </c>
      <c r="AU34" s="33"/>
      <c r="AV34" s="33"/>
      <c r="AW34" s="33"/>
      <c r="AX34" s="33"/>
      <c r="AY34" s="164">
        <f t="shared" si="24"/>
        <v>2</v>
      </c>
    </row>
    <row r="35" spans="2:51" ht="16" thickBot="1">
      <c r="B35" s="40">
        <f t="shared" si="31"/>
        <v>41</v>
      </c>
      <c r="C35" s="152">
        <f t="shared" si="38"/>
        <v>45</v>
      </c>
      <c r="D35" s="137">
        <f>D36+21</f>
        <v>158</v>
      </c>
      <c r="E35" s="141">
        <f t="shared" si="29"/>
        <v>1.56</v>
      </c>
      <c r="F35" s="42">
        <f t="shared" si="30"/>
        <v>246.48000000000002</v>
      </c>
      <c r="G35" s="51">
        <f t="shared" si="33"/>
        <v>16.380000000000003</v>
      </c>
      <c r="I35" s="87">
        <v>30</v>
      </c>
      <c r="J35" s="159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13.649999999999999</v>
      </c>
      <c r="R35" s="54">
        <f t="shared" si="22"/>
        <v>151.32</v>
      </c>
      <c r="S35" s="53">
        <f t="shared" si="23"/>
        <v>87.765599999999992</v>
      </c>
      <c r="T35" s="54">
        <f t="shared" si="2"/>
        <v>24.025555589247954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433.81035425098213</v>
      </c>
      <c r="Y35" s="65">
        <f t="shared" si="5"/>
        <v>256.77445244590399</v>
      </c>
      <c r="AA35" s="73">
        <v>30</v>
      </c>
      <c r="AB35" s="143">
        <f t="shared" si="6"/>
        <v>0</v>
      </c>
      <c r="AC35" s="305">
        <f t="shared" si="39"/>
        <v>0</v>
      </c>
      <c r="AD35" s="101">
        <f t="shared" si="8"/>
        <v>0</v>
      </c>
      <c r="AE35" s="101">
        <f t="shared" si="9"/>
        <v>0</v>
      </c>
      <c r="AF35" s="200">
        <f t="shared" si="34"/>
        <v>0.36962068330324777</v>
      </c>
      <c r="AG35" s="195">
        <f t="shared" si="35"/>
        <v>0</v>
      </c>
      <c r="AH35" s="201">
        <f t="shared" si="36"/>
        <v>0</v>
      </c>
      <c r="AI35" s="202">
        <f t="shared" si="37"/>
        <v>0.36962068330324777</v>
      </c>
      <c r="AK35" s="73">
        <v>30</v>
      </c>
      <c r="AL35" s="143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5">
        <f t="shared" si="32"/>
        <v>0</v>
      </c>
      <c r="AR35" s="195">
        <f t="shared" si="32"/>
        <v>0</v>
      </c>
      <c r="AS35" s="195">
        <f t="shared" si="32"/>
        <v>0</v>
      </c>
      <c r="AT35" s="195">
        <f t="shared" si="32"/>
        <v>0</v>
      </c>
      <c r="AU35" s="53"/>
      <c r="AV35" s="53"/>
      <c r="AW35" s="53"/>
      <c r="AX35" s="53"/>
      <c r="AY35" s="165">
        <f t="shared" si="24"/>
        <v>2</v>
      </c>
    </row>
    <row r="36" spans="2:51">
      <c r="B36" s="40">
        <f t="shared" si="31"/>
        <v>45</v>
      </c>
      <c r="C36" s="152">
        <f t="shared" si="38"/>
        <v>46</v>
      </c>
      <c r="D36" s="137">
        <v>137</v>
      </c>
      <c r="E36" s="141">
        <f t="shared" si="29"/>
        <v>1.56</v>
      </c>
      <c r="F36" s="42">
        <f t="shared" si="30"/>
        <v>213.72</v>
      </c>
      <c r="G36" s="51">
        <f t="shared" si="33"/>
        <v>-32.760000000000019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-32.759999999999991</v>
      </c>
      <c r="R36" s="33">
        <f t="shared" si="22"/>
        <v>118.56</v>
      </c>
      <c r="S36" s="33">
        <f t="shared" si="23"/>
        <v>68.764799999999994</v>
      </c>
      <c r="T36" s="33">
        <f t="shared" si="2"/>
        <v>19.366396769521369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393.54329091973392</v>
      </c>
      <c r="Y36" s="38">
        <f t="shared" si="5"/>
        <v>216.50738911465581</v>
      </c>
      <c r="AA36" s="71">
        <v>31</v>
      </c>
      <c r="AB36" s="33">
        <f t="shared" si="6"/>
        <v>21</v>
      </c>
      <c r="AC36" s="305">
        <f t="shared" si="39"/>
        <v>0.1</v>
      </c>
      <c r="AD36" s="100">
        <f t="shared" si="8"/>
        <v>0</v>
      </c>
      <c r="AE36" s="100">
        <f t="shared" si="9"/>
        <v>0</v>
      </c>
      <c r="AF36" s="194">
        <f t="shared" si="34"/>
        <v>2.4628548058929947</v>
      </c>
      <c r="AG36" s="194">
        <f t="shared" si="35"/>
        <v>0</v>
      </c>
      <c r="AH36" s="194">
        <f t="shared" si="36"/>
        <v>0</v>
      </c>
      <c r="AI36" s="199">
        <f t="shared" si="37"/>
        <v>2.4628548058929947</v>
      </c>
      <c r="AK36" s="71">
        <v>31</v>
      </c>
      <c r="AL36" s="33"/>
      <c r="AM36" s="33"/>
      <c r="AN36" s="33"/>
      <c r="AO36" s="33"/>
      <c r="AP36" s="33"/>
      <c r="AQ36" s="194"/>
      <c r="AR36" s="194"/>
      <c r="AS36" s="194"/>
      <c r="AT36" s="194"/>
      <c r="AU36" s="33"/>
      <c r="AV36" s="33"/>
      <c r="AW36" s="33"/>
      <c r="AX36" s="33"/>
      <c r="AY36" s="76"/>
    </row>
    <row r="37" spans="2:51">
      <c r="B37" s="40">
        <f t="shared" si="31"/>
        <v>46</v>
      </c>
      <c r="C37" s="152">
        <f t="shared" si="38"/>
        <v>50</v>
      </c>
      <c r="D37" s="137">
        <f>D38+21</f>
        <v>178</v>
      </c>
      <c r="E37" s="141">
        <f t="shared" si="29"/>
        <v>1.56</v>
      </c>
      <c r="F37" s="42">
        <f t="shared" si="30"/>
        <v>277.68</v>
      </c>
      <c r="G37" s="51">
        <f t="shared" si="33"/>
        <v>15.990000000000002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15.600000000000001</v>
      </c>
      <c r="R37" s="33">
        <f t="shared" si="22"/>
        <v>134.16</v>
      </c>
      <c r="S37" s="33">
        <f t="shared" si="23"/>
        <v>77.812799999999996</v>
      </c>
      <c r="T37" s="33">
        <f t="shared" si="2"/>
        <v>21.601542634761511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414.11914923606827</v>
      </c>
      <c r="Y37" s="38">
        <f t="shared" si="5"/>
        <v>237.08324743099016</v>
      </c>
      <c r="AA37" s="71">
        <v>32</v>
      </c>
      <c r="AB37" s="33">
        <f t="shared" si="6"/>
        <v>0</v>
      </c>
      <c r="AC37" s="305">
        <f t="shared" si="39"/>
        <v>0</v>
      </c>
      <c r="AD37" s="100">
        <f t="shared" si="8"/>
        <v>0</v>
      </c>
      <c r="AE37" s="100">
        <f t="shared" si="9"/>
        <v>0</v>
      </c>
      <c r="AF37" s="194">
        <f t="shared" si="34"/>
        <v>2.4145597253425355</v>
      </c>
      <c r="AG37" s="194">
        <f t="shared" si="35"/>
        <v>0</v>
      </c>
      <c r="AH37" s="194">
        <f t="shared" si="36"/>
        <v>0</v>
      </c>
      <c r="AI37" s="199">
        <f t="shared" si="37"/>
        <v>2.4145597253425355</v>
      </c>
      <c r="AK37" s="71">
        <v>32</v>
      </c>
      <c r="AL37" s="33"/>
      <c r="AM37" s="33"/>
      <c r="AN37" s="33"/>
      <c r="AO37" s="33"/>
      <c r="AP37" s="33"/>
      <c r="AQ37" s="194"/>
      <c r="AR37" s="194"/>
      <c r="AS37" s="194"/>
      <c r="AT37" s="194"/>
      <c r="AU37" s="33"/>
      <c r="AV37" s="33"/>
      <c r="AW37" s="33"/>
      <c r="AX37" s="33"/>
      <c r="AY37" s="76"/>
    </row>
    <row r="38" spans="2:51">
      <c r="B38" s="40">
        <f t="shared" si="31"/>
        <v>50</v>
      </c>
      <c r="C38" s="152">
        <f t="shared" si="38"/>
        <v>51</v>
      </c>
      <c r="D38" s="137">
        <v>157</v>
      </c>
      <c r="E38" s="141">
        <f t="shared" si="29"/>
        <v>1.56</v>
      </c>
      <c r="F38" s="42">
        <f t="shared" si="30"/>
        <v>244.92000000000002</v>
      </c>
      <c r="G38" s="51">
        <f t="shared" si="33"/>
        <v>-32.759999999999991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15.600000000000001</v>
      </c>
      <c r="R38" s="33">
        <f t="shared" si="22"/>
        <v>149.76</v>
      </c>
      <c r="S38" s="33">
        <f t="shared" si="23"/>
        <v>86.860799999999983</v>
      </c>
      <c r="T38" s="33">
        <f t="shared" si="2"/>
        <v>23.806568296036275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434.6265122834705</v>
      </c>
      <c r="Y38" s="38">
        <f t="shared" si="5"/>
        <v>257.59061047839236</v>
      </c>
      <c r="AA38" s="71">
        <v>33</v>
      </c>
      <c r="AB38" s="33">
        <f t="shared" si="6"/>
        <v>0</v>
      </c>
      <c r="AC38" s="305">
        <f t="shared" si="39"/>
        <v>0</v>
      </c>
      <c r="AD38" s="100">
        <f t="shared" si="8"/>
        <v>0</v>
      </c>
      <c r="AE38" s="100">
        <f t="shared" si="9"/>
        <v>0</v>
      </c>
      <c r="AF38" s="194">
        <f t="shared" si="34"/>
        <v>2.3672116818645801</v>
      </c>
      <c r="AG38" s="194">
        <f t="shared" si="35"/>
        <v>0</v>
      </c>
      <c r="AH38" s="194">
        <f t="shared" si="36"/>
        <v>0</v>
      </c>
      <c r="AI38" s="199">
        <f t="shared" si="37"/>
        <v>2.3672116818645801</v>
      </c>
      <c r="AK38" s="71">
        <v>33</v>
      </c>
      <c r="AL38" s="33"/>
      <c r="AM38" s="33"/>
      <c r="AN38" s="33"/>
      <c r="AO38" s="33"/>
      <c r="AP38" s="33"/>
      <c r="AQ38" s="194"/>
      <c r="AR38" s="194"/>
      <c r="AS38" s="194"/>
      <c r="AT38" s="194"/>
      <c r="AU38" s="33"/>
      <c r="AV38" s="33"/>
      <c r="AW38" s="33"/>
      <c r="AX38" s="33"/>
      <c r="AY38" s="76"/>
    </row>
    <row r="39" spans="2:51">
      <c r="B39" s="40">
        <f t="shared" si="31"/>
        <v>51</v>
      </c>
      <c r="C39" s="152">
        <f t="shared" si="38"/>
        <v>55</v>
      </c>
      <c r="D39" s="137">
        <f>D40+21</f>
        <v>197</v>
      </c>
      <c r="E39" s="141">
        <f t="shared" si="29"/>
        <v>1.56</v>
      </c>
      <c r="F39" s="42">
        <f t="shared" si="30"/>
        <v>307.32</v>
      </c>
      <c r="G39" s="51">
        <f t="shared" si="33"/>
        <v>15.599999999999994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15.600000000000001</v>
      </c>
      <c r="R39" s="33">
        <f t="shared" si="22"/>
        <v>165.35999999999999</v>
      </c>
      <c r="S39" s="33">
        <f t="shared" si="23"/>
        <v>95.908799999999985</v>
      </c>
      <c r="T39" s="33">
        <f t="shared" si="2"/>
        <v>25.984968676228334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455.07174523987987</v>
      </c>
      <c r="Y39" s="38">
        <f t="shared" si="5"/>
        <v>278.03584343480179</v>
      </c>
      <c r="AA39" s="71">
        <v>34</v>
      </c>
      <c r="AB39" s="33">
        <f t="shared" si="6"/>
        <v>0</v>
      </c>
      <c r="AC39" s="305">
        <f t="shared" si="39"/>
        <v>0</v>
      </c>
      <c r="AD39" s="100">
        <f t="shared" si="8"/>
        <v>0</v>
      </c>
      <c r="AE39" s="100">
        <f t="shared" si="9"/>
        <v>0</v>
      </c>
      <c r="AF39" s="194">
        <f t="shared" si="34"/>
        <v>2.3207921046397728</v>
      </c>
      <c r="AG39" s="194">
        <f t="shared" si="35"/>
        <v>0</v>
      </c>
      <c r="AH39" s="194">
        <f t="shared" si="36"/>
        <v>0</v>
      </c>
      <c r="AI39" s="199">
        <f t="shared" si="37"/>
        <v>2.3207921046397728</v>
      </c>
      <c r="AK39" s="71">
        <v>34</v>
      </c>
      <c r="AL39" s="33"/>
      <c r="AM39" s="33"/>
      <c r="AN39" s="33"/>
      <c r="AO39" s="33"/>
      <c r="AP39" s="33"/>
      <c r="AQ39" s="194"/>
      <c r="AR39" s="194"/>
      <c r="AS39" s="194"/>
      <c r="AT39" s="194"/>
      <c r="AU39" s="33"/>
      <c r="AV39" s="33"/>
      <c r="AW39" s="33"/>
      <c r="AX39" s="33"/>
      <c r="AY39" s="76"/>
    </row>
    <row r="40" spans="2:51">
      <c r="B40" s="40">
        <f t="shared" si="31"/>
        <v>55</v>
      </c>
      <c r="C40" s="152">
        <f t="shared" si="38"/>
        <v>56</v>
      </c>
      <c r="D40" s="137">
        <v>176</v>
      </c>
      <c r="E40" s="141">
        <f t="shared" si="29"/>
        <v>1.56</v>
      </c>
      <c r="F40" s="42">
        <f t="shared" si="30"/>
        <v>274.56</v>
      </c>
      <c r="G40" s="51">
        <f t="shared" si="33"/>
        <v>-32.759999999999991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15.600000000000001</v>
      </c>
      <c r="R40" s="33">
        <f t="shared" si="22"/>
        <v>180.95999999999998</v>
      </c>
      <c r="S40" s="33">
        <f t="shared" si="23"/>
        <v>104.95679999999999</v>
      </c>
      <c r="T40" s="33">
        <f t="shared" si="2"/>
        <v>28.139541339232373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475.45999389040418</v>
      </c>
      <c r="Y40" s="38">
        <f t="shared" si="5"/>
        <v>298.42409208532604</v>
      </c>
      <c r="AA40" s="71">
        <v>35</v>
      </c>
      <c r="AB40" s="33">
        <f t="shared" si="6"/>
        <v>0</v>
      </c>
      <c r="AC40" s="305">
        <f t="shared" si="39"/>
        <v>0</v>
      </c>
      <c r="AD40" s="100">
        <f t="shared" si="8"/>
        <v>0</v>
      </c>
      <c r="AE40" s="100">
        <f t="shared" si="9"/>
        <v>0</v>
      </c>
      <c r="AF40" s="194">
        <f t="shared" si="34"/>
        <v>2.2752827870111973</v>
      </c>
      <c r="AG40" s="194">
        <f t="shared" si="35"/>
        <v>0</v>
      </c>
      <c r="AH40" s="194">
        <f t="shared" si="36"/>
        <v>0</v>
      </c>
      <c r="AI40" s="199">
        <f t="shared" si="37"/>
        <v>2.2752827870111973</v>
      </c>
      <c r="AK40" s="71">
        <v>35</v>
      </c>
      <c r="AL40" s="33"/>
      <c r="AM40" s="33"/>
      <c r="AN40" s="33"/>
      <c r="AO40" s="33"/>
      <c r="AP40" s="33"/>
      <c r="AQ40" s="194"/>
      <c r="AR40" s="194"/>
      <c r="AS40" s="194"/>
      <c r="AT40" s="194"/>
      <c r="AU40" s="33"/>
      <c r="AV40" s="33"/>
      <c r="AW40" s="33"/>
      <c r="AX40" s="33"/>
      <c r="AY40" s="76"/>
    </row>
    <row r="41" spans="2:51">
      <c r="B41" s="40">
        <f t="shared" si="31"/>
        <v>56</v>
      </c>
      <c r="C41" s="152">
        <f t="shared" si="38"/>
        <v>60</v>
      </c>
      <c r="D41" s="137">
        <f>D42+21</f>
        <v>214</v>
      </c>
      <c r="E41" s="141">
        <f t="shared" si="29"/>
        <v>1.56</v>
      </c>
      <c r="F41" s="42">
        <f t="shared" si="30"/>
        <v>333.84000000000003</v>
      </c>
      <c r="G41" s="51">
        <f t="shared" si="33"/>
        <v>14.820000000000007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-32.759999999999991</v>
      </c>
      <c r="R41" s="33">
        <f t="shared" si="22"/>
        <v>148.19999999999999</v>
      </c>
      <c r="S41" s="33">
        <f t="shared" si="23"/>
        <v>85.955999999999989</v>
      </c>
      <c r="T41" s="33">
        <f t="shared" si="2"/>
        <v>23.587315314606048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435.30035908063991</v>
      </c>
      <c r="Y41" s="38">
        <f t="shared" si="5"/>
        <v>258.26445727556177</v>
      </c>
      <c r="AA41" s="71">
        <v>36</v>
      </c>
      <c r="AB41" s="33">
        <f t="shared" si="6"/>
        <v>21</v>
      </c>
      <c r="AC41" s="305">
        <f t="shared" si="39"/>
        <v>0.15</v>
      </c>
      <c r="AD41" s="100">
        <f t="shared" si="8"/>
        <v>0</v>
      </c>
      <c r="AE41" s="100">
        <f t="shared" si="9"/>
        <v>0</v>
      </c>
      <c r="AF41" s="194">
        <f t="shared" si="34"/>
        <v>5.381389117457827</v>
      </c>
      <c r="AG41" s="194">
        <f t="shared" si="35"/>
        <v>0</v>
      </c>
      <c r="AH41" s="194">
        <f t="shared" si="36"/>
        <v>0</v>
      </c>
      <c r="AI41" s="199">
        <f t="shared" si="37"/>
        <v>5.381389117457827</v>
      </c>
      <c r="AK41" s="71">
        <v>36</v>
      </c>
      <c r="AL41" s="33"/>
      <c r="AM41" s="33"/>
      <c r="AN41" s="33"/>
      <c r="AO41" s="33"/>
      <c r="AP41" s="33"/>
      <c r="AQ41" s="194"/>
      <c r="AR41" s="194"/>
      <c r="AS41" s="194"/>
      <c r="AT41" s="194"/>
      <c r="AU41" s="33"/>
      <c r="AV41" s="33"/>
      <c r="AW41" s="33"/>
      <c r="AX41" s="33"/>
      <c r="AY41" s="76"/>
    </row>
    <row r="42" spans="2:51">
      <c r="B42" s="40">
        <f t="shared" si="31"/>
        <v>60</v>
      </c>
      <c r="C42" s="152">
        <f t="shared" si="38"/>
        <v>61</v>
      </c>
      <c r="D42" s="137">
        <v>193</v>
      </c>
      <c r="E42" s="141">
        <f t="shared" si="29"/>
        <v>1.56</v>
      </c>
      <c r="F42" s="42">
        <f t="shared" si="30"/>
        <v>301.08</v>
      </c>
      <c r="G42" s="51">
        <f t="shared" si="33"/>
        <v>-32.760000000000048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16.379999999999995</v>
      </c>
      <c r="R42" s="33">
        <f t="shared" si="22"/>
        <v>164.57999999999998</v>
      </c>
      <c r="S42" s="33">
        <f t="shared" si="23"/>
        <v>95.456399999999988</v>
      </c>
      <c r="T42" s="33">
        <f t="shared" si="2"/>
        <v>25.876635503249059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456.68105547216322</v>
      </c>
      <c r="Y42" s="38">
        <f t="shared" si="5"/>
        <v>279.64515366708508</v>
      </c>
      <c r="AA42" s="71">
        <v>37</v>
      </c>
      <c r="AB42" s="33">
        <f t="shared" si="6"/>
        <v>0</v>
      </c>
      <c r="AC42" s="305">
        <f t="shared" si="39"/>
        <v>0</v>
      </c>
      <c r="AD42" s="100">
        <f t="shared" si="8"/>
        <v>0</v>
      </c>
      <c r="AE42" s="100">
        <f t="shared" si="9"/>
        <v>0</v>
      </c>
      <c r="AF42" s="194">
        <f t="shared" si="34"/>
        <v>5.2758633591877384</v>
      </c>
      <c r="AG42" s="194">
        <f t="shared" si="35"/>
        <v>0</v>
      </c>
      <c r="AH42" s="194">
        <f t="shared" si="36"/>
        <v>0</v>
      </c>
      <c r="AI42" s="199">
        <f t="shared" si="37"/>
        <v>5.2758633591877384</v>
      </c>
      <c r="AK42" s="71">
        <v>37</v>
      </c>
      <c r="AL42" s="33"/>
      <c r="AM42" s="33"/>
      <c r="AN42" s="33"/>
      <c r="AO42" s="33"/>
      <c r="AP42" s="33"/>
      <c r="AQ42" s="194"/>
      <c r="AR42" s="194"/>
      <c r="AS42" s="194"/>
      <c r="AT42" s="194"/>
      <c r="AU42" s="33"/>
      <c r="AV42" s="33"/>
      <c r="AW42" s="33"/>
      <c r="AX42" s="33"/>
      <c r="AY42" s="76"/>
    </row>
    <row r="43" spans="2:51">
      <c r="B43" s="40">
        <f t="shared" si="31"/>
        <v>61</v>
      </c>
      <c r="C43" s="152">
        <f t="shared" si="38"/>
        <v>65</v>
      </c>
      <c r="D43" s="137">
        <f>D44+21</f>
        <v>229</v>
      </c>
      <c r="E43" s="141">
        <f t="shared" si="29"/>
        <v>1.56</v>
      </c>
      <c r="F43" s="42">
        <f t="shared" si="30"/>
        <v>357.24</v>
      </c>
      <c r="G43" s="51">
        <f t="shared" si="33"/>
        <v>14.040000000000006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16.379999999999995</v>
      </c>
      <c r="R43" s="33">
        <f t="shared" si="22"/>
        <v>180.95999999999998</v>
      </c>
      <c r="S43" s="33">
        <f t="shared" si="23"/>
        <v>104.95679999999999</v>
      </c>
      <c r="T43" s="33">
        <f t="shared" si="2"/>
        <v>28.139541339232373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478.00105445938834</v>
      </c>
      <c r="Y43" s="38">
        <f t="shared" si="5"/>
        <v>300.96515265431026</v>
      </c>
      <c r="AA43" s="71">
        <v>38</v>
      </c>
      <c r="AB43" s="33">
        <f t="shared" si="6"/>
        <v>0</v>
      </c>
      <c r="AC43" s="305">
        <f t="shared" si="39"/>
        <v>0</v>
      </c>
      <c r="AD43" s="100">
        <f t="shared" si="8"/>
        <v>0</v>
      </c>
      <c r="AE43" s="100">
        <f t="shared" si="9"/>
        <v>0</v>
      </c>
      <c r="AF43" s="194">
        <f t="shared" si="34"/>
        <v>5.1724068966729693</v>
      </c>
      <c r="AG43" s="194">
        <f t="shared" si="35"/>
        <v>0</v>
      </c>
      <c r="AH43" s="194">
        <f t="shared" si="36"/>
        <v>0</v>
      </c>
      <c r="AI43" s="199">
        <f t="shared" si="37"/>
        <v>5.1724068966729693</v>
      </c>
      <c r="AK43" s="71">
        <v>38</v>
      </c>
      <c r="AL43" s="33"/>
      <c r="AM43" s="33"/>
      <c r="AN43" s="33"/>
      <c r="AO43" s="33"/>
      <c r="AP43" s="33"/>
      <c r="AQ43" s="194"/>
      <c r="AR43" s="194"/>
      <c r="AS43" s="194"/>
      <c r="AT43" s="194"/>
      <c r="AU43" s="33"/>
      <c r="AV43" s="33"/>
      <c r="AW43" s="33"/>
      <c r="AX43" s="33"/>
      <c r="AY43" s="76"/>
    </row>
    <row r="44" spans="2:51">
      <c r="B44" s="40">
        <f t="shared" si="31"/>
        <v>65</v>
      </c>
      <c r="C44" s="152">
        <f t="shared" si="38"/>
        <v>66</v>
      </c>
      <c r="D44" s="137">
        <v>208</v>
      </c>
      <c r="E44" s="141">
        <f t="shared" si="29"/>
        <v>1.56</v>
      </c>
      <c r="F44" s="42">
        <f t="shared" si="30"/>
        <v>324.48</v>
      </c>
      <c r="G44" s="51">
        <f t="shared" si="33"/>
        <v>-32.759999999999991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16.379999999999995</v>
      </c>
      <c r="R44" s="33">
        <f t="shared" si="22"/>
        <v>197.33999999999997</v>
      </c>
      <c r="S44" s="33">
        <f t="shared" si="23"/>
        <v>114.45719999999997</v>
      </c>
      <c r="T44" s="33">
        <f t="shared" si="2"/>
        <v>30.378695686262596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499.26524874368107</v>
      </c>
      <c r="Y44" s="38">
        <f t="shared" si="5"/>
        <v>322.22934693860293</v>
      </c>
      <c r="AA44" s="71">
        <v>39</v>
      </c>
      <c r="AB44" s="33">
        <f t="shared" si="6"/>
        <v>0</v>
      </c>
      <c r="AC44" s="305">
        <f t="shared" si="39"/>
        <v>0</v>
      </c>
      <c r="AD44" s="100">
        <f t="shared" si="8"/>
        <v>0</v>
      </c>
      <c r="AE44" s="100">
        <f t="shared" si="9"/>
        <v>0</v>
      </c>
      <c r="AF44" s="194">
        <f t="shared" si="34"/>
        <v>5.0709791522859033</v>
      </c>
      <c r="AG44" s="194">
        <f t="shared" si="35"/>
        <v>0</v>
      </c>
      <c r="AH44" s="194">
        <f t="shared" si="36"/>
        <v>0</v>
      </c>
      <c r="AI44" s="199">
        <f t="shared" si="37"/>
        <v>5.0709791522859033</v>
      </c>
      <c r="AK44" s="71">
        <v>39</v>
      </c>
      <c r="AL44" s="33"/>
      <c r="AM44" s="33"/>
      <c r="AN44" s="33"/>
      <c r="AO44" s="33"/>
      <c r="AP44" s="33"/>
      <c r="AQ44" s="194"/>
      <c r="AR44" s="194"/>
      <c r="AS44" s="194"/>
      <c r="AT44" s="194"/>
      <c r="AU44" s="33"/>
      <c r="AV44" s="33"/>
      <c r="AW44" s="33"/>
      <c r="AX44" s="33"/>
      <c r="AY44" s="76"/>
    </row>
    <row r="45" spans="2:51">
      <c r="B45" s="40">
        <f t="shared" si="31"/>
        <v>66</v>
      </c>
      <c r="C45" s="152">
        <f t="shared" si="38"/>
        <v>70</v>
      </c>
      <c r="D45" s="137">
        <f>D46+21</f>
        <v>242</v>
      </c>
      <c r="E45" s="141">
        <f t="shared" si="29"/>
        <v>1.56</v>
      </c>
      <c r="F45" s="42">
        <f t="shared" si="30"/>
        <v>377.52000000000004</v>
      </c>
      <c r="G45" s="51">
        <f t="shared" si="33"/>
        <v>13.260000000000005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16.379999999999995</v>
      </c>
      <c r="R45" s="33">
        <f t="shared" si="22"/>
        <v>213.71999999999997</v>
      </c>
      <c r="S45" s="33">
        <f t="shared" si="23"/>
        <v>123.95759999999997</v>
      </c>
      <c r="T45" s="33">
        <f t="shared" si="2"/>
        <v>32.59629414926458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520.47771279575647</v>
      </c>
      <c r="Y45" s="38">
        <f t="shared" si="5"/>
        <v>343.44181099067839</v>
      </c>
      <c r="AA45" s="71">
        <v>40</v>
      </c>
      <c r="AB45" s="33">
        <f t="shared" si="6"/>
        <v>0</v>
      </c>
      <c r="AC45" s="305">
        <f t="shared" si="39"/>
        <v>0</v>
      </c>
      <c r="AD45" s="100">
        <f t="shared" si="8"/>
        <v>0</v>
      </c>
      <c r="AE45" s="100">
        <f t="shared" si="9"/>
        <v>0</v>
      </c>
      <c r="AF45" s="194">
        <f t="shared" si="34"/>
        <v>4.9715403441014523</v>
      </c>
      <c r="AG45" s="194">
        <f t="shared" si="35"/>
        <v>0</v>
      </c>
      <c r="AH45" s="194">
        <f t="shared" si="36"/>
        <v>0</v>
      </c>
      <c r="AI45" s="199">
        <f t="shared" si="37"/>
        <v>4.9715403441014523</v>
      </c>
      <c r="AK45" s="71">
        <v>40</v>
      </c>
      <c r="AL45" s="33"/>
      <c r="AM45" s="33"/>
      <c r="AN45" s="33"/>
      <c r="AO45" s="33"/>
      <c r="AP45" s="33"/>
      <c r="AQ45" s="194"/>
      <c r="AR45" s="194"/>
      <c r="AS45" s="194"/>
      <c r="AT45" s="194"/>
      <c r="AU45" s="33"/>
      <c r="AV45" s="33"/>
      <c r="AW45" s="33"/>
      <c r="AX45" s="33"/>
      <c r="AY45" s="76"/>
    </row>
    <row r="46" spans="2:51">
      <c r="B46" s="40">
        <f t="shared" si="31"/>
        <v>70</v>
      </c>
      <c r="C46" s="152">
        <f t="shared" si="38"/>
        <v>71</v>
      </c>
      <c r="D46" s="137">
        <v>221</v>
      </c>
      <c r="E46" s="141">
        <f t="shared" si="29"/>
        <v>1.56</v>
      </c>
      <c r="F46" s="42">
        <f t="shared" si="30"/>
        <v>344.76</v>
      </c>
      <c r="G46" s="51">
        <f t="shared" si="33"/>
        <v>-32.760000000000048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-32.759999999999991</v>
      </c>
      <c r="R46" s="33">
        <f t="shared" si="22"/>
        <v>180.95999999999998</v>
      </c>
      <c r="S46" s="33">
        <f t="shared" si="23"/>
        <v>104.95679999999999</v>
      </c>
      <c r="T46" s="33">
        <f t="shared" si="2"/>
        <v>28.139541339232373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480.41215076033359</v>
      </c>
      <c r="Y46" s="38">
        <f t="shared" si="5"/>
        <v>303.37624895525551</v>
      </c>
      <c r="AA46" s="71">
        <v>41</v>
      </c>
      <c r="AB46" s="33">
        <f t="shared" si="6"/>
        <v>21</v>
      </c>
      <c r="AC46" s="305">
        <f t="shared" si="39"/>
        <v>0.2</v>
      </c>
      <c r="AD46" s="100">
        <f t="shared" si="8"/>
        <v>0</v>
      </c>
      <c r="AE46" s="100">
        <f t="shared" si="9"/>
        <v>0</v>
      </c>
      <c r="AF46" s="194">
        <f t="shared" si="34"/>
        <v>9.0750157877797495</v>
      </c>
      <c r="AG46" s="194">
        <f t="shared" si="35"/>
        <v>0</v>
      </c>
      <c r="AH46" s="194">
        <f t="shared" si="36"/>
        <v>0</v>
      </c>
      <c r="AI46" s="199">
        <f t="shared" si="37"/>
        <v>9.0750157877797495</v>
      </c>
      <c r="AK46" s="71">
        <v>41</v>
      </c>
      <c r="AL46" s="33"/>
      <c r="AM46" s="33"/>
      <c r="AN46" s="33"/>
      <c r="AO46" s="33"/>
      <c r="AP46" s="33"/>
      <c r="AQ46" s="194"/>
      <c r="AR46" s="194"/>
      <c r="AS46" s="194"/>
      <c r="AT46" s="194"/>
      <c r="AU46" s="33"/>
      <c r="AV46" s="33"/>
      <c r="AW46" s="33"/>
      <c r="AX46" s="33"/>
      <c r="AY46" s="76"/>
    </row>
    <row r="47" spans="2:51">
      <c r="B47" s="40">
        <f t="shared" si="31"/>
        <v>71</v>
      </c>
      <c r="C47" s="152">
        <f t="shared" si="38"/>
        <v>75</v>
      </c>
      <c r="D47" s="137">
        <f>D48+21</f>
        <v>252</v>
      </c>
      <c r="E47" s="141">
        <f t="shared" si="29"/>
        <v>1.56</v>
      </c>
      <c r="F47" s="42">
        <f t="shared" si="30"/>
        <v>393.12</v>
      </c>
      <c r="G47" s="51">
        <f t="shared" si="33"/>
        <v>12.090000000000003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16.380000000000003</v>
      </c>
      <c r="R47" s="33">
        <f t="shared" si="22"/>
        <v>197.33999999999997</v>
      </c>
      <c r="S47" s="33">
        <f t="shared" si="23"/>
        <v>114.45719999999997</v>
      </c>
      <c r="T47" s="33">
        <f t="shared" si="2"/>
        <v>30.378695686262596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501.63451791420874</v>
      </c>
      <c r="Y47" s="38">
        <f t="shared" si="5"/>
        <v>324.5986161091306</v>
      </c>
      <c r="AA47" s="71">
        <v>42</v>
      </c>
      <c r="AB47" s="33">
        <f t="shared" si="6"/>
        <v>0</v>
      </c>
      <c r="AC47" s="305">
        <f t="shared" si="39"/>
        <v>0</v>
      </c>
      <c r="AD47" s="100">
        <f t="shared" si="8"/>
        <v>0</v>
      </c>
      <c r="AE47" s="100">
        <f t="shared" si="9"/>
        <v>0</v>
      </c>
      <c r="AF47" s="194">
        <f t="shared" si="34"/>
        <v>8.8970602633944615</v>
      </c>
      <c r="AG47" s="194">
        <f t="shared" si="35"/>
        <v>0</v>
      </c>
      <c r="AH47" s="194">
        <f t="shared" si="36"/>
        <v>0</v>
      </c>
      <c r="AI47" s="199">
        <f t="shared" si="37"/>
        <v>8.8970602633944615</v>
      </c>
      <c r="AK47" s="71">
        <v>42</v>
      </c>
      <c r="AL47" s="33"/>
      <c r="AM47" s="33"/>
      <c r="AN47" s="33"/>
      <c r="AO47" s="33"/>
      <c r="AP47" s="33"/>
      <c r="AQ47" s="194"/>
      <c r="AR47" s="194"/>
      <c r="AS47" s="194"/>
      <c r="AT47" s="194"/>
      <c r="AU47" s="33"/>
      <c r="AV47" s="33"/>
      <c r="AW47" s="33"/>
      <c r="AX47" s="33"/>
      <c r="AY47" s="76"/>
    </row>
    <row r="48" spans="2:51">
      <c r="B48" s="40">
        <f t="shared" si="31"/>
        <v>75</v>
      </c>
      <c r="C48" s="152">
        <f t="shared" si="38"/>
        <v>76</v>
      </c>
      <c r="D48" s="137">
        <v>231</v>
      </c>
      <c r="E48" s="141">
        <f t="shared" si="29"/>
        <v>1.56</v>
      </c>
      <c r="F48" s="42">
        <f t="shared" ref="F48:F78" si="40">D48*E48</f>
        <v>360.36</v>
      </c>
      <c r="G48" s="51">
        <f t="shared" ref="G48:G78" si="41">(F48-F47)/(C48-B48)</f>
        <v>-32.759999999999991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16.380000000000003</v>
      </c>
      <c r="R48" s="33">
        <f t="shared" si="22"/>
        <v>213.71999999999997</v>
      </c>
      <c r="S48" s="33">
        <f t="shared" si="23"/>
        <v>123.95759999999997</v>
      </c>
      <c r="T48" s="33">
        <f t="shared" si="2"/>
        <v>32.59629414926458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522.80588044306774</v>
      </c>
      <c r="Y48" s="38">
        <f t="shared" si="5"/>
        <v>345.76997863798965</v>
      </c>
      <c r="AA48" s="71">
        <v>43</v>
      </c>
      <c r="AB48" s="33">
        <f t="shared" si="6"/>
        <v>0</v>
      </c>
      <c r="AC48" s="305">
        <f t="shared" si="39"/>
        <v>0</v>
      </c>
      <c r="AD48" s="100">
        <f t="shared" si="8"/>
        <v>0</v>
      </c>
      <c r="AE48" s="100">
        <f t="shared" si="9"/>
        <v>0</v>
      </c>
      <c r="AF48" s="194">
        <f t="shared" si="34"/>
        <v>8.7225943383002171</v>
      </c>
      <c r="AG48" s="194">
        <f t="shared" si="35"/>
        <v>0</v>
      </c>
      <c r="AH48" s="194">
        <f t="shared" si="36"/>
        <v>0</v>
      </c>
      <c r="AI48" s="199">
        <f t="shared" si="37"/>
        <v>8.7225943383002171</v>
      </c>
      <c r="AK48" s="71">
        <v>43</v>
      </c>
      <c r="AL48" s="33"/>
      <c r="AM48" s="33"/>
      <c r="AN48" s="33"/>
      <c r="AO48" s="33"/>
      <c r="AP48" s="33"/>
      <c r="AQ48" s="194"/>
      <c r="AR48" s="194"/>
      <c r="AS48" s="194"/>
      <c r="AT48" s="194"/>
      <c r="AU48" s="33"/>
      <c r="AV48" s="33"/>
      <c r="AW48" s="33"/>
      <c r="AX48" s="33"/>
      <c r="AY48" s="76"/>
    </row>
    <row r="49" spans="2:51">
      <c r="B49" s="40">
        <f t="shared" si="31"/>
        <v>76</v>
      </c>
      <c r="C49" s="152">
        <f t="shared" si="38"/>
        <v>80</v>
      </c>
      <c r="D49" s="137">
        <f>D50+21</f>
        <v>261</v>
      </c>
      <c r="E49" s="141">
        <f t="shared" si="29"/>
        <v>1.56</v>
      </c>
      <c r="F49" s="42">
        <f t="shared" si="40"/>
        <v>407.16</v>
      </c>
      <c r="G49" s="51">
        <f t="shared" si="41"/>
        <v>11.700000000000003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16.380000000000003</v>
      </c>
      <c r="R49" s="33">
        <f t="shared" si="22"/>
        <v>230.09999999999997</v>
      </c>
      <c r="S49" s="33">
        <f t="shared" si="23"/>
        <v>133.45799999999997</v>
      </c>
      <c r="T49" s="33">
        <f t="shared" si="2"/>
        <v>34.794176665003405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543.92967642968495</v>
      </c>
      <c r="Y49" s="38">
        <f t="shared" si="5"/>
        <v>366.89377462460686</v>
      </c>
      <c r="AA49" s="71">
        <v>44</v>
      </c>
      <c r="AB49" s="33">
        <f t="shared" si="6"/>
        <v>0</v>
      </c>
      <c r="AC49" s="305">
        <f t="shared" si="39"/>
        <v>0</v>
      </c>
      <c r="AD49" s="100">
        <f t="shared" si="8"/>
        <v>0</v>
      </c>
      <c r="AE49" s="100">
        <f t="shared" si="9"/>
        <v>0</v>
      </c>
      <c r="AF49" s="194">
        <f t="shared" si="34"/>
        <v>8.5515495835833644</v>
      </c>
      <c r="AG49" s="194">
        <f t="shared" si="35"/>
        <v>0</v>
      </c>
      <c r="AH49" s="194">
        <f t="shared" si="36"/>
        <v>0</v>
      </c>
      <c r="AI49" s="199">
        <f t="shared" si="37"/>
        <v>8.5515495835833644</v>
      </c>
      <c r="AK49" s="71">
        <v>44</v>
      </c>
      <c r="AL49" s="33"/>
      <c r="AM49" s="33"/>
      <c r="AN49" s="33"/>
      <c r="AO49" s="33"/>
      <c r="AP49" s="33"/>
      <c r="AQ49" s="194"/>
      <c r="AR49" s="194"/>
      <c r="AS49" s="194"/>
      <c r="AT49" s="194"/>
      <c r="AU49" s="33"/>
      <c r="AV49" s="33"/>
      <c r="AW49" s="33"/>
      <c r="AX49" s="33"/>
      <c r="AY49" s="76"/>
    </row>
    <row r="50" spans="2:51">
      <c r="B50" s="40">
        <f t="shared" si="31"/>
        <v>80</v>
      </c>
      <c r="C50" s="152">
        <f t="shared" si="38"/>
        <v>81</v>
      </c>
      <c r="D50" s="137">
        <v>240</v>
      </c>
      <c r="E50" s="141">
        <f t="shared" si="29"/>
        <v>1.56</v>
      </c>
      <c r="F50" s="42">
        <f t="shared" si="40"/>
        <v>374.40000000000003</v>
      </c>
      <c r="G50" s="51">
        <f t="shared" si="41"/>
        <v>-32.759999999999991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16.380000000000003</v>
      </c>
      <c r="R50" s="33">
        <f t="shared" si="22"/>
        <v>246.47999999999996</v>
      </c>
      <c r="S50" s="33">
        <f t="shared" si="23"/>
        <v>142.95839999999995</v>
      </c>
      <c r="T50" s="33">
        <f t="shared" si="2"/>
        <v>36.973906370811264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565.00885781333022</v>
      </c>
      <c r="Y50" s="38">
        <f t="shared" si="5"/>
        <v>387.97295600825214</v>
      </c>
      <c r="AA50" s="71">
        <v>45</v>
      </c>
      <c r="AB50" s="33">
        <f t="shared" si="6"/>
        <v>0</v>
      </c>
      <c r="AC50" s="305">
        <f t="shared" si="39"/>
        <v>0</v>
      </c>
      <c r="AD50" s="100">
        <f t="shared" si="8"/>
        <v>0</v>
      </c>
      <c r="AE50" s="100">
        <f t="shared" si="9"/>
        <v>0</v>
      </c>
      <c r="AF50" s="194">
        <f t="shared" si="34"/>
        <v>8.3838589121795106</v>
      </c>
      <c r="AG50" s="194">
        <f t="shared" si="35"/>
        <v>0</v>
      </c>
      <c r="AH50" s="194">
        <f t="shared" si="36"/>
        <v>0</v>
      </c>
      <c r="AI50" s="199">
        <f t="shared" si="37"/>
        <v>8.3838589121795106</v>
      </c>
      <c r="AK50" s="71">
        <v>45</v>
      </c>
      <c r="AL50" s="33"/>
      <c r="AM50" s="33"/>
      <c r="AN50" s="33"/>
      <c r="AO50" s="33"/>
      <c r="AP50" s="33"/>
      <c r="AQ50" s="194"/>
      <c r="AR50" s="194"/>
      <c r="AS50" s="194"/>
      <c r="AT50" s="194"/>
      <c r="AU50" s="33"/>
      <c r="AV50" s="33"/>
      <c r="AW50" s="33"/>
      <c r="AX50" s="33"/>
      <c r="AY50" s="76"/>
    </row>
    <row r="51" spans="2:51">
      <c r="B51" s="40">
        <f t="shared" si="31"/>
        <v>81</v>
      </c>
      <c r="C51" s="152">
        <f t="shared" si="38"/>
        <v>85</v>
      </c>
      <c r="D51" s="137">
        <f>D52+21</f>
        <v>269</v>
      </c>
      <c r="E51" s="141">
        <f t="shared" si="29"/>
        <v>1.56</v>
      </c>
      <c r="F51" s="42">
        <f t="shared" si="40"/>
        <v>419.64</v>
      </c>
      <c r="G51" s="51">
        <f t="shared" si="41"/>
        <v>11.309999999999988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-32.760000000000019</v>
      </c>
      <c r="R51" s="33">
        <f t="shared" si="22"/>
        <v>213.71999999999994</v>
      </c>
      <c r="S51" s="33">
        <f t="shared" si="23"/>
        <v>123.95759999999996</v>
      </c>
      <c r="T51" s="33">
        <f t="shared" si="2"/>
        <v>32.59629414926458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525.01497237536148</v>
      </c>
      <c r="Y51" s="38">
        <f t="shared" si="5"/>
        <v>347.9790705702834</v>
      </c>
      <c r="AA51" s="71">
        <v>46</v>
      </c>
      <c r="AB51" s="33">
        <f t="shared" si="6"/>
        <v>21</v>
      </c>
      <c r="AC51" s="305">
        <f t="shared" si="39"/>
        <v>0.25</v>
      </c>
      <c r="AD51" s="100">
        <f t="shared" si="8"/>
        <v>0</v>
      </c>
      <c r="AE51" s="100">
        <f t="shared" si="9"/>
        <v>0</v>
      </c>
      <c r="AF51" s="194">
        <f t="shared" si="34"/>
        <v>13.470661949418094</v>
      </c>
      <c r="AG51" s="194">
        <f t="shared" si="35"/>
        <v>0</v>
      </c>
      <c r="AH51" s="194">
        <f t="shared" si="36"/>
        <v>0</v>
      </c>
      <c r="AI51" s="199">
        <f t="shared" si="37"/>
        <v>13.470661949418094</v>
      </c>
      <c r="AK51" s="71">
        <v>46</v>
      </c>
      <c r="AL51" s="33"/>
      <c r="AM51" s="33"/>
      <c r="AN51" s="33"/>
      <c r="AO51" s="33"/>
      <c r="AP51" s="33"/>
      <c r="AQ51" s="194"/>
      <c r="AR51" s="194"/>
      <c r="AS51" s="194"/>
      <c r="AT51" s="194"/>
      <c r="AU51" s="33"/>
      <c r="AV51" s="33"/>
      <c r="AW51" s="33"/>
      <c r="AX51" s="33"/>
      <c r="AY51" s="76"/>
    </row>
    <row r="52" spans="2:51">
      <c r="B52" s="40">
        <f t="shared" si="31"/>
        <v>85</v>
      </c>
      <c r="C52" s="152">
        <f t="shared" si="38"/>
        <v>86</v>
      </c>
      <c r="D52" s="137">
        <v>248</v>
      </c>
      <c r="E52" s="141">
        <f t="shared" si="29"/>
        <v>1.56</v>
      </c>
      <c r="F52" s="42">
        <f t="shared" si="40"/>
        <v>386.88</v>
      </c>
      <c r="G52" s="51">
        <f t="shared" si="41"/>
        <v>-32.759999999999991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15.990000000000002</v>
      </c>
      <c r="R52" s="33">
        <f t="shared" si="22"/>
        <v>229.70999999999995</v>
      </c>
      <c r="S52" s="33">
        <f t="shared" si="23"/>
        <v>133.23179999999996</v>
      </c>
      <c r="T52" s="33">
        <f t="shared" si="2"/>
        <v>34.742062818999585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545.61571560728623</v>
      </c>
      <c r="Y52" s="38">
        <f t="shared" si="5"/>
        <v>368.57981380220815</v>
      </c>
      <c r="AA52" s="71">
        <v>47</v>
      </c>
      <c r="AB52" s="33">
        <f t="shared" si="6"/>
        <v>0</v>
      </c>
      <c r="AC52" s="305">
        <f t="shared" si="39"/>
        <v>0</v>
      </c>
      <c r="AD52" s="100">
        <f t="shared" si="8"/>
        <v>0</v>
      </c>
      <c r="AE52" s="100">
        <f t="shared" si="9"/>
        <v>0</v>
      </c>
      <c r="AF52" s="194">
        <f t="shared" si="34"/>
        <v>13.206510484882504</v>
      </c>
      <c r="AG52" s="194">
        <f t="shared" si="35"/>
        <v>0</v>
      </c>
      <c r="AH52" s="194">
        <f t="shared" si="36"/>
        <v>0</v>
      </c>
      <c r="AI52" s="199">
        <f t="shared" si="37"/>
        <v>13.206510484882504</v>
      </c>
      <c r="AK52" s="71">
        <v>47</v>
      </c>
      <c r="AL52" s="33"/>
      <c r="AM52" s="33"/>
      <c r="AN52" s="33"/>
      <c r="AO52" s="33"/>
      <c r="AP52" s="33"/>
      <c r="AQ52" s="194"/>
      <c r="AR52" s="194"/>
      <c r="AS52" s="194"/>
      <c r="AT52" s="194"/>
      <c r="AU52" s="33"/>
      <c r="AV52" s="33"/>
      <c r="AW52" s="33"/>
      <c r="AX52" s="33"/>
      <c r="AY52" s="76"/>
    </row>
    <row r="53" spans="2:51">
      <c r="B53" s="40">
        <f t="shared" si="31"/>
        <v>86</v>
      </c>
      <c r="C53" s="152">
        <f t="shared" si="38"/>
        <v>90</v>
      </c>
      <c r="D53" s="137">
        <f>D54+21</f>
        <v>275</v>
      </c>
      <c r="E53" s="141">
        <f t="shared" si="29"/>
        <v>1.56</v>
      </c>
      <c r="F53" s="42">
        <f t="shared" si="40"/>
        <v>429</v>
      </c>
      <c r="G53" s="51">
        <f t="shared" si="41"/>
        <v>10.530000000000001</v>
      </c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15.990000000000002</v>
      </c>
      <c r="R53" s="33">
        <f t="shared" si="22"/>
        <v>245.69999999999996</v>
      </c>
      <c r="S53" s="33">
        <f t="shared" si="23"/>
        <v>142.50599999999997</v>
      </c>
      <c r="T53" s="33">
        <f t="shared" si="2"/>
        <v>36.870500776307537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566.17394087106993</v>
      </c>
      <c r="Y53" s="38">
        <f t="shared" si="5"/>
        <v>389.13803906599185</v>
      </c>
      <c r="AA53" s="71">
        <v>48</v>
      </c>
      <c r="AB53" s="33">
        <f t="shared" si="6"/>
        <v>0</v>
      </c>
      <c r="AC53" s="305">
        <f t="shared" si="39"/>
        <v>0</v>
      </c>
      <c r="AD53" s="100">
        <f t="shared" si="8"/>
        <v>0</v>
      </c>
      <c r="AE53" s="100">
        <f t="shared" si="9"/>
        <v>0</v>
      </c>
      <c r="AF53" s="194">
        <f t="shared" si="34"/>
        <v>12.947538869449971</v>
      </c>
      <c r="AG53" s="194">
        <f t="shared" si="35"/>
        <v>0</v>
      </c>
      <c r="AH53" s="194">
        <f t="shared" si="36"/>
        <v>0</v>
      </c>
      <c r="AI53" s="199">
        <f t="shared" si="37"/>
        <v>12.947538869449971</v>
      </c>
      <c r="AK53" s="71">
        <v>48</v>
      </c>
      <c r="AL53" s="33"/>
      <c r="AM53" s="33"/>
      <c r="AN53" s="33"/>
      <c r="AO53" s="33"/>
      <c r="AP53" s="33"/>
      <c r="AQ53" s="194"/>
      <c r="AR53" s="194"/>
      <c r="AS53" s="194"/>
      <c r="AT53" s="194"/>
      <c r="AU53" s="33"/>
      <c r="AV53" s="33"/>
      <c r="AW53" s="33"/>
      <c r="AX53" s="33"/>
      <c r="AY53" s="76"/>
    </row>
    <row r="54" spans="2:51">
      <c r="B54" s="40">
        <f t="shared" si="31"/>
        <v>90</v>
      </c>
      <c r="C54" s="152">
        <f t="shared" si="38"/>
        <v>91</v>
      </c>
      <c r="D54" s="137">
        <v>254</v>
      </c>
      <c r="E54" s="141">
        <f t="shared" si="29"/>
        <v>1.56</v>
      </c>
      <c r="F54" s="42">
        <f t="shared" si="40"/>
        <v>396.24</v>
      </c>
      <c r="G54" s="51">
        <f t="shared" si="41"/>
        <v>-32.759999999999991</v>
      </c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15.990000000000002</v>
      </c>
      <c r="R54" s="33">
        <f t="shared" si="22"/>
        <v>261.68999999999994</v>
      </c>
      <c r="S54" s="33">
        <f t="shared" si="23"/>
        <v>151.78019999999995</v>
      </c>
      <c r="T54" s="33">
        <f t="shared" si="2"/>
        <v>38.982864250754865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586.69205006102322</v>
      </c>
      <c r="Y54" s="38">
        <f t="shared" si="5"/>
        <v>409.65614825594514</v>
      </c>
      <c r="AA54" s="71">
        <v>49</v>
      </c>
      <c r="AB54" s="33">
        <f t="shared" si="6"/>
        <v>0</v>
      </c>
      <c r="AC54" s="305">
        <f t="shared" si="39"/>
        <v>0</v>
      </c>
      <c r="AD54" s="100">
        <f t="shared" si="8"/>
        <v>0</v>
      </c>
      <c r="AE54" s="100">
        <f t="shared" si="9"/>
        <v>0</v>
      </c>
      <c r="AF54" s="194">
        <f t="shared" si="34"/>
        <v>12.693645529438982</v>
      </c>
      <c r="AG54" s="194">
        <f t="shared" si="35"/>
        <v>0</v>
      </c>
      <c r="AH54" s="194">
        <f t="shared" si="36"/>
        <v>0</v>
      </c>
      <c r="AI54" s="199">
        <f t="shared" si="37"/>
        <v>12.693645529438982</v>
      </c>
      <c r="AK54" s="71">
        <v>49</v>
      </c>
      <c r="AL54" s="33"/>
      <c r="AM54" s="33"/>
      <c r="AN54" s="33"/>
      <c r="AO54" s="33"/>
      <c r="AP54" s="33"/>
      <c r="AQ54" s="194"/>
      <c r="AR54" s="194"/>
      <c r="AS54" s="194"/>
      <c r="AT54" s="194"/>
      <c r="AU54" s="33"/>
      <c r="AV54" s="33"/>
      <c r="AW54" s="33"/>
      <c r="AX54" s="33"/>
      <c r="AY54" s="76"/>
    </row>
    <row r="55" spans="2:51">
      <c r="B55" s="40">
        <f t="shared" si="31"/>
        <v>91</v>
      </c>
      <c r="C55" s="152">
        <f t="shared" si="38"/>
        <v>95</v>
      </c>
      <c r="D55" s="137">
        <f>D56+21</f>
        <v>279</v>
      </c>
      <c r="E55" s="141">
        <f t="shared" si="29"/>
        <v>1.56</v>
      </c>
      <c r="F55" s="42">
        <f t="shared" si="40"/>
        <v>435.24</v>
      </c>
      <c r="G55" s="51">
        <f t="shared" si="41"/>
        <v>9.75</v>
      </c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15.990000000000002</v>
      </c>
      <c r="R55" s="33">
        <f t="shared" si="22"/>
        <v>277.67999999999995</v>
      </c>
      <c r="S55" s="33">
        <f t="shared" si="23"/>
        <v>161.05439999999996</v>
      </c>
      <c r="T55" s="33">
        <f t="shared" si="2"/>
        <v>41.080247278685491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607.17215887318059</v>
      </c>
      <c r="Y55" s="38">
        <f t="shared" si="5"/>
        <v>430.13625706810251</v>
      </c>
      <c r="AA55" s="71">
        <v>50</v>
      </c>
      <c r="AB55" s="33">
        <f t="shared" si="6"/>
        <v>0</v>
      </c>
      <c r="AC55" s="305">
        <f t="shared" si="39"/>
        <v>0</v>
      </c>
      <c r="AD55" s="100">
        <f t="shared" si="8"/>
        <v>0</v>
      </c>
      <c r="AE55" s="100">
        <f t="shared" si="9"/>
        <v>0</v>
      </c>
      <c r="AF55" s="194">
        <f t="shared" si="34"/>
        <v>12.444730882965962</v>
      </c>
      <c r="AG55" s="194">
        <f t="shared" si="35"/>
        <v>0</v>
      </c>
      <c r="AH55" s="194">
        <f t="shared" si="36"/>
        <v>0</v>
      </c>
      <c r="AI55" s="199">
        <f t="shared" si="37"/>
        <v>12.444730882965962</v>
      </c>
      <c r="AK55" s="71">
        <v>50</v>
      </c>
      <c r="AL55" s="33"/>
      <c r="AM55" s="33"/>
      <c r="AN55" s="33"/>
      <c r="AO55" s="33"/>
      <c r="AP55" s="33"/>
      <c r="AQ55" s="194"/>
      <c r="AR55" s="194"/>
      <c r="AS55" s="194"/>
      <c r="AT55" s="194"/>
      <c r="AU55" s="33"/>
      <c r="AV55" s="33"/>
      <c r="AW55" s="33"/>
      <c r="AX55" s="33"/>
      <c r="AY55" s="76"/>
    </row>
    <row r="56" spans="2:51">
      <c r="B56" s="40">
        <f t="shared" si="31"/>
        <v>95</v>
      </c>
      <c r="C56" s="152">
        <f t="shared" si="38"/>
        <v>96</v>
      </c>
      <c r="D56" s="137">
        <v>258</v>
      </c>
      <c r="E56" s="141">
        <f t="shared" si="29"/>
        <v>1.56</v>
      </c>
      <c r="F56" s="42">
        <f t="shared" si="40"/>
        <v>402.48</v>
      </c>
      <c r="G56" s="51">
        <f t="shared" si="41"/>
        <v>-32.759999999999991</v>
      </c>
      <c r="I56" s="55">
        <v>51</v>
      </c>
      <c r="J56" s="33">
        <f t="shared" si="18"/>
        <v>5</v>
      </c>
      <c r="K56" s="33">
        <f t="shared" si="19"/>
        <v>1.910565629709926</v>
      </c>
      <c r="L56" s="33">
        <f t="shared" si="20"/>
        <v>45</v>
      </c>
      <c r="M56" s="33">
        <f t="shared" si="21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5"/>
        <v>-32.759999999999991</v>
      </c>
      <c r="R56" s="33">
        <f t="shared" si="22"/>
        <v>244.91999999999996</v>
      </c>
      <c r="S56" s="33">
        <f t="shared" si="23"/>
        <v>142.05359999999996</v>
      </c>
      <c r="T56" s="33">
        <f t="shared" si="2"/>
        <v>36.767056963845889</v>
      </c>
      <c r="U56" s="33">
        <f t="shared" si="16"/>
        <v>59.759240109976403</v>
      </c>
      <c r="V56" s="33">
        <f t="shared" si="3"/>
        <v>10</v>
      </c>
      <c r="W56" s="33">
        <v>0</v>
      </c>
      <c r="X56" s="33">
        <f t="shared" si="4"/>
        <v>567.22985794861177</v>
      </c>
      <c r="Y56" s="38">
        <f t="shared" si="5"/>
        <v>390.19395614353368</v>
      </c>
      <c r="AA56" s="71">
        <v>51</v>
      </c>
      <c r="AB56" s="33">
        <f t="shared" si="6"/>
        <v>21</v>
      </c>
      <c r="AC56" s="305">
        <f t="shared" si="39"/>
        <v>0.3</v>
      </c>
      <c r="AD56" s="100">
        <f t="shared" si="8"/>
        <v>0</v>
      </c>
      <c r="AE56" s="100">
        <f t="shared" si="9"/>
        <v>0</v>
      </c>
      <c r="AF56" s="194">
        <f t="shared" si="34"/>
        <v>18.502143777116238</v>
      </c>
      <c r="AG56" s="194">
        <f t="shared" si="35"/>
        <v>0</v>
      </c>
      <c r="AH56" s="194">
        <f t="shared" si="36"/>
        <v>0</v>
      </c>
      <c r="AI56" s="199">
        <f t="shared" si="37"/>
        <v>18.502143777116238</v>
      </c>
      <c r="AK56" s="71">
        <v>51</v>
      </c>
      <c r="AL56" s="33"/>
      <c r="AM56" s="33"/>
      <c r="AN56" s="33"/>
      <c r="AO56" s="33"/>
      <c r="AP56" s="33"/>
      <c r="AQ56" s="194"/>
      <c r="AR56" s="194"/>
      <c r="AS56" s="194"/>
      <c r="AT56" s="194"/>
      <c r="AU56" s="33"/>
      <c r="AV56" s="33"/>
      <c r="AW56" s="33"/>
      <c r="AX56" s="33"/>
      <c r="AY56" s="76"/>
    </row>
    <row r="57" spans="2:51">
      <c r="B57" s="40">
        <f t="shared" si="31"/>
        <v>96</v>
      </c>
      <c r="C57" s="152">
        <f t="shared" si="38"/>
        <v>100</v>
      </c>
      <c r="D57" s="137">
        <f>D58+21</f>
        <v>282</v>
      </c>
      <c r="E57" s="141">
        <f t="shared" si="29"/>
        <v>1.56</v>
      </c>
      <c r="F57" s="42">
        <f t="shared" si="40"/>
        <v>439.92</v>
      </c>
      <c r="G57" s="51">
        <f t="shared" si="41"/>
        <v>9.36</v>
      </c>
      <c r="I57" s="55">
        <v>52</v>
      </c>
      <c r="J57" s="33">
        <f t="shared" si="18"/>
        <v>5</v>
      </c>
      <c r="K57" s="33">
        <f t="shared" si="19"/>
        <v>1.910565629709926</v>
      </c>
      <c r="L57" s="33">
        <f t="shared" si="20"/>
        <v>45</v>
      </c>
      <c r="M57" s="33">
        <f t="shared" si="21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5"/>
        <v>15.599999999999994</v>
      </c>
      <c r="R57" s="33">
        <f t="shared" si="22"/>
        <v>260.52</v>
      </c>
      <c r="S57" s="33">
        <f t="shared" si="23"/>
        <v>151.10159999999999</v>
      </c>
      <c r="T57" s="33">
        <f t="shared" si="2"/>
        <v>38.82882146347977</v>
      </c>
      <c r="U57" s="33">
        <f t="shared" si="16"/>
        <v>59.936894399159101</v>
      </c>
      <c r="V57" s="33">
        <f t="shared" si="3"/>
        <v>10</v>
      </c>
      <c r="W57" s="33">
        <v>0</v>
      </c>
      <c r="X57" s="33">
        <f t="shared" si="4"/>
        <v>587.23076351247721</v>
      </c>
      <c r="Y57" s="38">
        <f t="shared" si="5"/>
        <v>410.19486170739913</v>
      </c>
      <c r="AA57" s="71">
        <v>52</v>
      </c>
      <c r="AB57" s="33">
        <f t="shared" si="6"/>
        <v>0</v>
      </c>
      <c r="AC57" s="305">
        <f t="shared" si="39"/>
        <v>0</v>
      </c>
      <c r="AD57" s="100">
        <f t="shared" si="8"/>
        <v>0</v>
      </c>
      <c r="AE57" s="100">
        <f t="shared" si="9"/>
        <v>0</v>
      </c>
      <c r="AF57" s="194">
        <f t="shared" si="34"/>
        <v>18.139328022840374</v>
      </c>
      <c r="AG57" s="194">
        <f t="shared" si="35"/>
        <v>0</v>
      </c>
      <c r="AH57" s="194">
        <f t="shared" si="36"/>
        <v>0</v>
      </c>
      <c r="AI57" s="199">
        <f t="shared" si="37"/>
        <v>18.139328022840374</v>
      </c>
      <c r="AK57" s="71">
        <v>52</v>
      </c>
      <c r="AL57" s="33"/>
      <c r="AM57" s="33"/>
      <c r="AN57" s="33"/>
      <c r="AO57" s="33"/>
      <c r="AP57" s="33"/>
      <c r="AQ57" s="194"/>
      <c r="AR57" s="194"/>
      <c r="AS57" s="194"/>
      <c r="AT57" s="194"/>
      <c r="AU57" s="33"/>
      <c r="AV57" s="33"/>
      <c r="AW57" s="33"/>
      <c r="AX57" s="33"/>
      <c r="AY57" s="76"/>
    </row>
    <row r="58" spans="2:51">
      <c r="B58" s="40">
        <f t="shared" si="31"/>
        <v>100</v>
      </c>
      <c r="C58" s="152">
        <f t="shared" si="38"/>
        <v>101</v>
      </c>
      <c r="D58" s="137">
        <v>261</v>
      </c>
      <c r="E58" s="141">
        <f t="shared" si="29"/>
        <v>1.56</v>
      </c>
      <c r="F58" s="42">
        <f t="shared" si="40"/>
        <v>407.16</v>
      </c>
      <c r="G58" s="51">
        <f t="shared" si="41"/>
        <v>-32.759999999999991</v>
      </c>
      <c r="I58" s="55">
        <v>53</v>
      </c>
      <c r="J58" s="33">
        <f t="shared" si="18"/>
        <v>5</v>
      </c>
      <c r="K58" s="33">
        <f t="shared" si="19"/>
        <v>1.910565629709926</v>
      </c>
      <c r="L58" s="33">
        <f t="shared" si="20"/>
        <v>45</v>
      </c>
      <c r="M58" s="33">
        <f t="shared" si="21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5"/>
        <v>15.599999999999994</v>
      </c>
      <c r="R58" s="33">
        <f t="shared" si="22"/>
        <v>276.12</v>
      </c>
      <c r="S58" s="33">
        <f t="shared" si="23"/>
        <v>160.14959999999999</v>
      </c>
      <c r="T58" s="33">
        <f t="shared" si="2"/>
        <v>40.876256268741535</v>
      </c>
      <c r="U58" s="33">
        <f t="shared" si="16"/>
        <v>60.111466783599973</v>
      </c>
      <c r="V58" s="33">
        <f t="shared" si="3"/>
        <v>10</v>
      </c>
      <c r="W58" s="33">
        <v>0</v>
      </c>
      <c r="X58" s="33">
        <f t="shared" si="4"/>
        <v>607.19541120792474</v>
      </c>
      <c r="Y58" s="38">
        <f t="shared" si="5"/>
        <v>430.15950940284665</v>
      </c>
      <c r="AA58" s="71">
        <v>53</v>
      </c>
      <c r="AB58" s="33">
        <f t="shared" si="6"/>
        <v>0</v>
      </c>
      <c r="AC58" s="305">
        <f t="shared" si="39"/>
        <v>0</v>
      </c>
      <c r="AD58" s="100">
        <f t="shared" si="8"/>
        <v>0</v>
      </c>
      <c r="AE58" s="100">
        <f t="shared" si="9"/>
        <v>0</v>
      </c>
      <c r="AF58" s="194">
        <f t="shared" si="34"/>
        <v>17.783626864210099</v>
      </c>
      <c r="AG58" s="194">
        <f t="shared" si="35"/>
        <v>0</v>
      </c>
      <c r="AH58" s="194">
        <f t="shared" si="36"/>
        <v>0</v>
      </c>
      <c r="AI58" s="199">
        <f t="shared" si="37"/>
        <v>17.783626864210099</v>
      </c>
      <c r="AK58" s="71">
        <v>53</v>
      </c>
      <c r="AL58" s="33"/>
      <c r="AM58" s="33"/>
      <c r="AN58" s="33"/>
      <c r="AO58" s="33"/>
      <c r="AP58" s="33"/>
      <c r="AQ58" s="194"/>
      <c r="AR58" s="194"/>
      <c r="AS58" s="194"/>
      <c r="AT58" s="194"/>
      <c r="AU58" s="33"/>
      <c r="AV58" s="33"/>
      <c r="AW58" s="33"/>
      <c r="AX58" s="33"/>
      <c r="AY58" s="76"/>
    </row>
    <row r="59" spans="2:51">
      <c r="B59" s="40">
        <f t="shared" si="31"/>
        <v>101</v>
      </c>
      <c r="C59" s="152">
        <f t="shared" si="38"/>
        <v>105</v>
      </c>
      <c r="D59" s="137">
        <f>D60+20</f>
        <v>284</v>
      </c>
      <c r="E59" s="141">
        <f t="shared" si="29"/>
        <v>1.56</v>
      </c>
      <c r="F59" s="42">
        <f t="shared" si="40"/>
        <v>443.04</v>
      </c>
      <c r="G59" s="51">
        <f t="shared" si="41"/>
        <v>8.9699999999999989</v>
      </c>
      <c r="I59" s="55">
        <v>54</v>
      </c>
      <c r="J59" s="33">
        <f t="shared" si="18"/>
        <v>5</v>
      </c>
      <c r="K59" s="33">
        <f t="shared" si="19"/>
        <v>1.910565629709926</v>
      </c>
      <c r="L59" s="33">
        <f t="shared" si="20"/>
        <v>45</v>
      </c>
      <c r="M59" s="33">
        <f t="shared" si="21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5"/>
        <v>15.599999999999994</v>
      </c>
      <c r="R59" s="33">
        <f t="shared" si="22"/>
        <v>291.72000000000003</v>
      </c>
      <c r="S59" s="33">
        <f t="shared" si="23"/>
        <v>169.19759999999999</v>
      </c>
      <c r="T59" s="33">
        <f t="shared" si="2"/>
        <v>42.910263223432885</v>
      </c>
      <c r="U59" s="33">
        <f t="shared" si="16"/>
        <v>60.283010727456173</v>
      </c>
      <c r="V59" s="33">
        <f t="shared" si="3"/>
        <v>10</v>
      </c>
      <c r="W59" s="33">
        <v>0</v>
      </c>
      <c r="X59" s="33">
        <f t="shared" si="4"/>
        <v>627.12556778148485</v>
      </c>
      <c r="Y59" s="38">
        <f t="shared" si="5"/>
        <v>450.08966597640676</v>
      </c>
      <c r="AA59" s="71">
        <v>54</v>
      </c>
      <c r="AB59" s="33">
        <f t="shared" si="6"/>
        <v>0</v>
      </c>
      <c r="AC59" s="305">
        <f t="shared" si="39"/>
        <v>0</v>
      </c>
      <c r="AD59" s="100">
        <f t="shared" si="8"/>
        <v>0</v>
      </c>
      <c r="AE59" s="100">
        <f t="shared" si="9"/>
        <v>0</v>
      </c>
      <c r="AF59" s="194">
        <f t="shared" si="34"/>
        <v>17.434900788344279</v>
      </c>
      <c r="AG59" s="194">
        <f t="shared" si="35"/>
        <v>0</v>
      </c>
      <c r="AH59" s="194">
        <f t="shared" si="36"/>
        <v>0</v>
      </c>
      <c r="AI59" s="199">
        <f t="shared" si="37"/>
        <v>17.434900788344279</v>
      </c>
      <c r="AK59" s="71">
        <v>54</v>
      </c>
      <c r="AL59" s="33"/>
      <c r="AM59" s="33"/>
      <c r="AN59" s="33"/>
      <c r="AO59" s="33"/>
      <c r="AP59" s="33"/>
      <c r="AQ59" s="194"/>
      <c r="AR59" s="194"/>
      <c r="AS59" s="194"/>
      <c r="AT59" s="194"/>
      <c r="AU59" s="33"/>
      <c r="AV59" s="33"/>
      <c r="AW59" s="33"/>
      <c r="AX59" s="33"/>
      <c r="AY59" s="76"/>
    </row>
    <row r="60" spans="2:51">
      <c r="B60" s="40">
        <f t="shared" si="31"/>
        <v>105</v>
      </c>
      <c r="C60" s="152">
        <f t="shared" si="38"/>
        <v>106</v>
      </c>
      <c r="D60" s="137">
        <v>264</v>
      </c>
      <c r="E60" s="141">
        <f t="shared" si="29"/>
        <v>1.56</v>
      </c>
      <c r="F60" s="42">
        <f t="shared" si="40"/>
        <v>411.84000000000003</v>
      </c>
      <c r="G60" s="51">
        <f t="shared" si="41"/>
        <v>-31.199999999999989</v>
      </c>
      <c r="I60" s="55">
        <v>55</v>
      </c>
      <c r="J60" s="33">
        <f t="shared" si="18"/>
        <v>5</v>
      </c>
      <c r="K60" s="33">
        <f t="shared" si="19"/>
        <v>1.910565629709926</v>
      </c>
      <c r="L60" s="33">
        <f t="shared" si="20"/>
        <v>45</v>
      </c>
      <c r="M60" s="33">
        <f t="shared" si="21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5"/>
        <v>15.599999999999994</v>
      </c>
      <c r="R60" s="33">
        <f t="shared" si="22"/>
        <v>307.32000000000005</v>
      </c>
      <c r="S60" s="33">
        <f t="shared" si="23"/>
        <v>178.24560000000002</v>
      </c>
      <c r="T60" s="33">
        <f t="shared" si="2"/>
        <v>44.931642269910427</v>
      </c>
      <c r="U60" s="33">
        <f t="shared" si="16"/>
        <v>60.45157876740128</v>
      </c>
      <c r="V60" s="33">
        <f t="shared" si="3"/>
        <v>10</v>
      </c>
      <c r="W60" s="33">
        <v>0</v>
      </c>
      <c r="X60" s="33">
        <f t="shared" si="4"/>
        <v>647.02281910056536</v>
      </c>
      <c r="Y60" s="38">
        <f t="shared" si="5"/>
        <v>469.98691729548727</v>
      </c>
      <c r="AA60" s="71">
        <v>55</v>
      </c>
      <c r="AB60" s="33">
        <f t="shared" si="6"/>
        <v>0</v>
      </c>
      <c r="AC60" s="305">
        <f t="shared" si="39"/>
        <v>0</v>
      </c>
      <c r="AD60" s="100">
        <f t="shared" si="8"/>
        <v>0</v>
      </c>
      <c r="AE60" s="100">
        <f t="shared" si="9"/>
        <v>0</v>
      </c>
      <c r="AF60" s="194">
        <f t="shared" si="34"/>
        <v>17.093013018124285</v>
      </c>
      <c r="AG60" s="194">
        <f t="shared" si="35"/>
        <v>0</v>
      </c>
      <c r="AH60" s="194">
        <f t="shared" si="36"/>
        <v>0</v>
      </c>
      <c r="AI60" s="199">
        <f t="shared" si="37"/>
        <v>17.093013018124285</v>
      </c>
      <c r="AK60" s="71">
        <v>55</v>
      </c>
      <c r="AL60" s="33"/>
      <c r="AM60" s="33"/>
      <c r="AN60" s="33"/>
      <c r="AO60" s="33"/>
      <c r="AP60" s="33"/>
      <c r="AQ60" s="194"/>
      <c r="AR60" s="194"/>
      <c r="AS60" s="194"/>
      <c r="AT60" s="194"/>
      <c r="AU60" s="33"/>
      <c r="AV60" s="33"/>
      <c r="AW60" s="33"/>
      <c r="AX60" s="33"/>
      <c r="AY60" s="76"/>
    </row>
    <row r="61" spans="2:51">
      <c r="B61" s="40">
        <f t="shared" si="31"/>
        <v>106</v>
      </c>
      <c r="C61" s="152">
        <f t="shared" si="38"/>
        <v>110</v>
      </c>
      <c r="D61" s="137">
        <f>D62+19</f>
        <v>285</v>
      </c>
      <c r="E61" s="141">
        <f t="shared" si="29"/>
        <v>1.56</v>
      </c>
      <c r="F61" s="42">
        <f t="shared" si="40"/>
        <v>444.6</v>
      </c>
      <c r="G61" s="51">
        <f t="shared" si="41"/>
        <v>8.1899999999999977</v>
      </c>
      <c r="I61" s="55">
        <v>56</v>
      </c>
      <c r="J61" s="33">
        <f t="shared" si="18"/>
        <v>5</v>
      </c>
      <c r="K61" s="33">
        <f t="shared" si="19"/>
        <v>1.910565629709926</v>
      </c>
      <c r="L61" s="33">
        <f t="shared" si="20"/>
        <v>45</v>
      </c>
      <c r="M61" s="33">
        <f t="shared" si="21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5"/>
        <v>-32.759999999999991</v>
      </c>
      <c r="R61" s="33">
        <f t="shared" si="22"/>
        <v>274.56000000000006</v>
      </c>
      <c r="S61" s="33">
        <f t="shared" si="23"/>
        <v>159.24480000000003</v>
      </c>
      <c r="T61" s="33">
        <f t="shared" si="2"/>
        <v>40.672131063901752</v>
      </c>
      <c r="U61" s="33">
        <f t="shared" si="16"/>
        <v>60.617222528715011</v>
      </c>
      <c r="V61" s="33">
        <f t="shared" si="3"/>
        <v>10</v>
      </c>
      <c r="W61" s="33">
        <v>0</v>
      </c>
      <c r="X61" s="33">
        <f t="shared" si="4"/>
        <v>607.11847087491731</v>
      </c>
      <c r="Y61" s="38">
        <f t="shared" si="5"/>
        <v>430.08256906983922</v>
      </c>
      <c r="AA61" s="71">
        <v>56</v>
      </c>
      <c r="AB61" s="33">
        <f t="shared" si="6"/>
        <v>21</v>
      </c>
      <c r="AC61" s="305">
        <f t="shared" si="39"/>
        <v>0.35</v>
      </c>
      <c r="AD61" s="100">
        <f t="shared" si="8"/>
        <v>0</v>
      </c>
      <c r="AE61" s="100">
        <f t="shared" si="9"/>
        <v>0</v>
      </c>
      <c r="AF61" s="194">
        <f t="shared" si="34"/>
        <v>24.109517014147741</v>
      </c>
      <c r="AG61" s="194">
        <f t="shared" si="35"/>
        <v>0</v>
      </c>
      <c r="AH61" s="194">
        <f t="shared" si="36"/>
        <v>0</v>
      </c>
      <c r="AI61" s="199">
        <f t="shared" si="37"/>
        <v>24.109517014147741</v>
      </c>
      <c r="AK61" s="71">
        <v>56</v>
      </c>
      <c r="AL61" s="33"/>
      <c r="AM61" s="33"/>
      <c r="AN61" s="33"/>
      <c r="AO61" s="33"/>
      <c r="AP61" s="33"/>
      <c r="AQ61" s="194"/>
      <c r="AR61" s="194"/>
      <c r="AS61" s="194"/>
      <c r="AT61" s="194"/>
      <c r="AU61" s="33"/>
      <c r="AV61" s="33"/>
      <c r="AW61" s="33"/>
      <c r="AX61" s="33"/>
      <c r="AY61" s="76"/>
    </row>
    <row r="62" spans="2:51">
      <c r="B62" s="40">
        <f t="shared" si="31"/>
        <v>110</v>
      </c>
      <c r="C62" s="152">
        <f t="shared" si="38"/>
        <v>111</v>
      </c>
      <c r="D62" s="137">
        <v>266</v>
      </c>
      <c r="E62" s="141">
        <f t="shared" si="29"/>
        <v>1.56</v>
      </c>
      <c r="F62" s="42">
        <f t="shared" si="40"/>
        <v>414.96000000000004</v>
      </c>
      <c r="G62" s="51">
        <f t="shared" si="41"/>
        <v>-29.639999999999986</v>
      </c>
      <c r="I62" s="55">
        <v>57</v>
      </c>
      <c r="J62" s="33">
        <f t="shared" si="18"/>
        <v>5</v>
      </c>
      <c r="K62" s="33">
        <f t="shared" si="19"/>
        <v>1.910565629709926</v>
      </c>
      <c r="L62" s="33">
        <f t="shared" si="20"/>
        <v>45</v>
      </c>
      <c r="M62" s="33">
        <f t="shared" si="21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5"/>
        <v>14.820000000000007</v>
      </c>
      <c r="R62" s="33">
        <f t="shared" si="22"/>
        <v>289.38000000000005</v>
      </c>
      <c r="S62" s="33">
        <f t="shared" si="23"/>
        <v>167.84040000000002</v>
      </c>
      <c r="T62" s="33">
        <f t="shared" si="2"/>
        <v>42.605985718279591</v>
      </c>
      <c r="U62" s="33">
        <f t="shared" si="16"/>
        <v>60.77999274109392</v>
      </c>
      <c r="V62" s="33">
        <f t="shared" si="3"/>
        <v>10</v>
      </c>
      <c r="W62" s="33">
        <v>0</v>
      </c>
      <c r="X62" s="33">
        <f t="shared" si="4"/>
        <v>626.05409517668124</v>
      </c>
      <c r="Y62" s="38">
        <f t="shared" si="5"/>
        <v>449.01819337160316</v>
      </c>
      <c r="AA62" s="71">
        <v>57</v>
      </c>
      <c r="AB62" s="33">
        <f t="shared" si="6"/>
        <v>0</v>
      </c>
      <c r="AC62" s="305">
        <f t="shared" si="39"/>
        <v>0</v>
      </c>
      <c r="AD62" s="100">
        <f t="shared" si="8"/>
        <v>0</v>
      </c>
      <c r="AE62" s="100">
        <f t="shared" si="9"/>
        <v>0</v>
      </c>
      <c r="AF62" s="194">
        <f t="shared" si="34"/>
        <v>23.63674409085365</v>
      </c>
      <c r="AG62" s="194">
        <f t="shared" si="35"/>
        <v>0</v>
      </c>
      <c r="AH62" s="194">
        <f t="shared" si="36"/>
        <v>0</v>
      </c>
      <c r="AI62" s="199">
        <f t="shared" si="37"/>
        <v>23.63674409085365</v>
      </c>
      <c r="AK62" s="71">
        <v>57</v>
      </c>
      <c r="AL62" s="33"/>
      <c r="AM62" s="33"/>
      <c r="AN62" s="33"/>
      <c r="AO62" s="33"/>
      <c r="AP62" s="33"/>
      <c r="AQ62" s="194"/>
      <c r="AR62" s="194"/>
      <c r="AS62" s="194"/>
      <c r="AT62" s="194"/>
      <c r="AU62" s="33"/>
      <c r="AV62" s="33"/>
      <c r="AW62" s="33"/>
      <c r="AX62" s="33"/>
      <c r="AY62" s="76"/>
    </row>
    <row r="63" spans="2:51">
      <c r="B63" s="40">
        <f t="shared" si="31"/>
        <v>111</v>
      </c>
      <c r="C63" s="152">
        <f t="shared" si="38"/>
        <v>115</v>
      </c>
      <c r="D63" s="137">
        <f>D64+18</f>
        <v>285</v>
      </c>
      <c r="E63" s="141">
        <f t="shared" si="29"/>
        <v>1.56</v>
      </c>
      <c r="F63" s="42">
        <f t="shared" si="40"/>
        <v>444.6</v>
      </c>
      <c r="G63" s="51">
        <f t="shared" si="41"/>
        <v>7.4099999999999966</v>
      </c>
      <c r="I63" s="55">
        <v>58</v>
      </c>
      <c r="J63" s="33">
        <f t="shared" si="18"/>
        <v>5</v>
      </c>
      <c r="K63" s="33">
        <f t="shared" si="19"/>
        <v>1.910565629709926</v>
      </c>
      <c r="L63" s="33">
        <f t="shared" si="20"/>
        <v>45</v>
      </c>
      <c r="M63" s="33">
        <f t="shared" si="21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5"/>
        <v>14.820000000000007</v>
      </c>
      <c r="R63" s="33">
        <f t="shared" si="22"/>
        <v>304.20000000000005</v>
      </c>
      <c r="S63" s="33">
        <f t="shared" si="23"/>
        <v>176.43600000000001</v>
      </c>
      <c r="T63" s="33">
        <f t="shared" si="2"/>
        <v>44.52834129105058</v>
      </c>
      <c r="U63" s="33">
        <f t="shared" si="16"/>
        <v>60.939939254187742</v>
      </c>
      <c r="V63" s="33">
        <f t="shared" si="3"/>
        <v>10</v>
      </c>
      <c r="W63" s="33">
        <v>0</v>
      </c>
      <c r="X63" s="33">
        <f t="shared" si="4"/>
        <v>644.95933834726816</v>
      </c>
      <c r="Y63" s="38">
        <f t="shared" si="5"/>
        <v>467.92343654219007</v>
      </c>
      <c r="AA63" s="71">
        <v>58</v>
      </c>
      <c r="AB63" s="33">
        <f t="shared" si="6"/>
        <v>0</v>
      </c>
      <c r="AC63" s="305">
        <f t="shared" si="39"/>
        <v>0</v>
      </c>
      <c r="AD63" s="100">
        <f t="shared" si="8"/>
        <v>0</v>
      </c>
      <c r="AE63" s="100">
        <f t="shared" si="9"/>
        <v>0</v>
      </c>
      <c r="AF63" s="194">
        <f t="shared" si="34"/>
        <v>23.173241956222345</v>
      </c>
      <c r="AG63" s="194">
        <f t="shared" si="35"/>
        <v>0</v>
      </c>
      <c r="AH63" s="194">
        <f t="shared" si="36"/>
        <v>0</v>
      </c>
      <c r="AI63" s="199">
        <f t="shared" si="37"/>
        <v>23.173241956222345</v>
      </c>
      <c r="AK63" s="71">
        <v>58</v>
      </c>
      <c r="AL63" s="33"/>
      <c r="AM63" s="33"/>
      <c r="AN63" s="33"/>
      <c r="AO63" s="33"/>
      <c r="AP63" s="33"/>
      <c r="AQ63" s="194"/>
      <c r="AR63" s="194"/>
      <c r="AS63" s="194"/>
      <c r="AT63" s="194"/>
      <c r="AU63" s="33"/>
      <c r="AV63" s="33"/>
      <c r="AW63" s="33"/>
      <c r="AX63" s="33"/>
      <c r="AY63" s="76"/>
    </row>
    <row r="64" spans="2:51">
      <c r="B64" s="40">
        <f t="shared" si="31"/>
        <v>115</v>
      </c>
      <c r="C64" s="152">
        <f t="shared" si="38"/>
        <v>116</v>
      </c>
      <c r="D64" s="137">
        <v>267</v>
      </c>
      <c r="E64" s="141">
        <f t="shared" si="29"/>
        <v>1.56</v>
      </c>
      <c r="F64" s="42">
        <f t="shared" si="40"/>
        <v>416.52000000000004</v>
      </c>
      <c r="G64" s="51">
        <f t="shared" si="41"/>
        <v>-28.079999999999984</v>
      </c>
      <c r="I64" s="55">
        <v>59</v>
      </c>
      <c r="J64" s="33">
        <f t="shared" si="18"/>
        <v>5</v>
      </c>
      <c r="K64" s="33">
        <f t="shared" si="19"/>
        <v>1.910565629709926</v>
      </c>
      <c r="L64" s="33">
        <f t="shared" si="20"/>
        <v>45</v>
      </c>
      <c r="M64" s="33">
        <f t="shared" si="21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5"/>
        <v>14.820000000000007</v>
      </c>
      <c r="R64" s="33">
        <f t="shared" si="22"/>
        <v>319.02000000000004</v>
      </c>
      <c r="S64" s="33">
        <f t="shared" si="23"/>
        <v>185.0316</v>
      </c>
      <c r="T64" s="33">
        <f t="shared" si="2"/>
        <v>46.439821937925259</v>
      </c>
      <c r="U64" s="33">
        <f t="shared" si="16"/>
        <v>61.097111052866211</v>
      </c>
      <c r="V64" s="33">
        <f t="shared" si="3"/>
        <v>10</v>
      </c>
      <c r="W64" s="33">
        <v>0</v>
      </c>
      <c r="X64" s="33">
        <f t="shared" si="4"/>
        <v>663.83546706906247</v>
      </c>
      <c r="Y64" s="38">
        <f t="shared" si="5"/>
        <v>486.79956526398439</v>
      </c>
      <c r="AA64" s="71">
        <v>59</v>
      </c>
      <c r="AB64" s="33">
        <f t="shared" si="6"/>
        <v>0</v>
      </c>
      <c r="AC64" s="305">
        <f t="shared" si="39"/>
        <v>0</v>
      </c>
      <c r="AD64" s="100">
        <f t="shared" si="8"/>
        <v>0</v>
      </c>
      <c r="AE64" s="100">
        <f t="shared" si="9"/>
        <v>0</v>
      </c>
      <c r="AF64" s="194">
        <f t="shared" si="34"/>
        <v>22.718828815742775</v>
      </c>
      <c r="AG64" s="194">
        <f t="shared" si="35"/>
        <v>0</v>
      </c>
      <c r="AH64" s="194">
        <f t="shared" si="36"/>
        <v>0</v>
      </c>
      <c r="AI64" s="199">
        <f t="shared" si="37"/>
        <v>22.718828815742775</v>
      </c>
      <c r="AK64" s="71">
        <v>59</v>
      </c>
      <c r="AL64" s="33"/>
      <c r="AM64" s="33"/>
      <c r="AN64" s="33"/>
      <c r="AO64" s="33"/>
      <c r="AP64" s="33"/>
      <c r="AQ64" s="194"/>
      <c r="AR64" s="194"/>
      <c r="AS64" s="194"/>
      <c r="AT64" s="194"/>
      <c r="AU64" s="33"/>
      <c r="AV64" s="33"/>
      <c r="AW64" s="33"/>
      <c r="AX64" s="33"/>
      <c r="AY64" s="76"/>
    </row>
    <row r="65" spans="2:51">
      <c r="B65" s="40">
        <f t="shared" si="31"/>
        <v>116</v>
      </c>
      <c r="C65" s="152">
        <f t="shared" si="38"/>
        <v>120</v>
      </c>
      <c r="D65" s="137">
        <f>D66+17</f>
        <v>285</v>
      </c>
      <c r="E65" s="141">
        <f t="shared" si="29"/>
        <v>1.56</v>
      </c>
      <c r="F65" s="42">
        <f t="shared" si="40"/>
        <v>444.6</v>
      </c>
      <c r="G65" s="51">
        <f t="shared" si="41"/>
        <v>7.019999999999996</v>
      </c>
      <c r="I65" s="55">
        <v>60</v>
      </c>
      <c r="J65" s="33">
        <f t="shared" si="18"/>
        <v>5</v>
      </c>
      <c r="K65" s="33">
        <f t="shared" si="19"/>
        <v>1.910565629709926</v>
      </c>
      <c r="L65" s="33">
        <f t="shared" si="20"/>
        <v>45</v>
      </c>
      <c r="M65" s="33">
        <f t="shared" si="21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5"/>
        <v>14.820000000000007</v>
      </c>
      <c r="R65" s="33">
        <f t="shared" si="22"/>
        <v>333.84000000000003</v>
      </c>
      <c r="S65" s="33">
        <f t="shared" si="23"/>
        <v>193.62720000000002</v>
      </c>
      <c r="T65" s="33">
        <f t="shared" si="2"/>
        <v>48.340990547231236</v>
      </c>
      <c r="U65" s="33">
        <f t="shared" si="16"/>
        <v>61.251556272221123</v>
      </c>
      <c r="V65" s="33">
        <f t="shared" si="3"/>
        <v>10</v>
      </c>
      <c r="W65" s="33">
        <v>0</v>
      </c>
      <c r="X65" s="33">
        <f t="shared" si="4"/>
        <v>682.68363820123841</v>
      </c>
      <c r="Y65" s="38">
        <f t="shared" si="5"/>
        <v>505.64773639616033</v>
      </c>
      <c r="AA65" s="71">
        <v>60</v>
      </c>
      <c r="AB65" s="33">
        <f t="shared" si="6"/>
        <v>0</v>
      </c>
      <c r="AC65" s="305">
        <f t="shared" si="39"/>
        <v>0</v>
      </c>
      <c r="AD65" s="100">
        <f t="shared" si="8"/>
        <v>0</v>
      </c>
      <c r="AE65" s="100">
        <f t="shared" si="9"/>
        <v>0</v>
      </c>
      <c r="AF65" s="194">
        <f t="shared" si="34"/>
        <v>22.273326439783361</v>
      </c>
      <c r="AG65" s="194">
        <f t="shared" si="35"/>
        <v>0</v>
      </c>
      <c r="AH65" s="194">
        <f t="shared" si="36"/>
        <v>0</v>
      </c>
      <c r="AI65" s="199">
        <f t="shared" si="37"/>
        <v>22.273326439783361</v>
      </c>
      <c r="AK65" s="71">
        <v>60</v>
      </c>
      <c r="AL65" s="33"/>
      <c r="AM65" s="33"/>
      <c r="AN65" s="33"/>
      <c r="AO65" s="33"/>
      <c r="AP65" s="33"/>
      <c r="AQ65" s="194"/>
      <c r="AR65" s="194"/>
      <c r="AS65" s="194"/>
      <c r="AT65" s="194"/>
      <c r="AU65" s="33"/>
      <c r="AV65" s="33"/>
      <c r="AW65" s="33"/>
      <c r="AX65" s="33"/>
      <c r="AY65" s="76"/>
    </row>
    <row r="66" spans="2:51">
      <c r="B66" s="40">
        <f t="shared" si="31"/>
        <v>120</v>
      </c>
      <c r="C66" s="152">
        <f t="shared" si="38"/>
        <v>121</v>
      </c>
      <c r="D66" s="137">
        <v>268</v>
      </c>
      <c r="E66" s="141">
        <f t="shared" si="29"/>
        <v>1.56</v>
      </c>
      <c r="F66" s="42">
        <f t="shared" si="40"/>
        <v>418.08000000000004</v>
      </c>
      <c r="G66" s="51">
        <f t="shared" si="41"/>
        <v>-26.519999999999982</v>
      </c>
      <c r="I66" s="55">
        <v>61</v>
      </c>
      <c r="J66" s="33">
        <f t="shared" si="18"/>
        <v>5</v>
      </c>
      <c r="K66" s="33">
        <f t="shared" si="19"/>
        <v>1.910565629709926</v>
      </c>
      <c r="L66" s="33">
        <f t="shared" si="20"/>
        <v>45</v>
      </c>
      <c r="M66" s="33">
        <f t="shared" si="21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5"/>
        <v>-32.760000000000048</v>
      </c>
      <c r="R66" s="33">
        <f t="shared" si="22"/>
        <v>301.08</v>
      </c>
      <c r="S66" s="33">
        <f t="shared" si="23"/>
        <v>174.62639999999999</v>
      </c>
      <c r="T66" s="33">
        <f t="shared" si="2"/>
        <v>44.124558536403974</v>
      </c>
      <c r="U66" s="33">
        <f t="shared" si="16"/>
        <v>61.403322212307998</v>
      </c>
      <c r="V66" s="33">
        <f t="shared" si="3"/>
        <v>10</v>
      </c>
      <c r="W66" s="33">
        <v>0</v>
      </c>
      <c r="X66" s="33">
        <f t="shared" si="4"/>
        <v>642.80343422936619</v>
      </c>
      <c r="Y66" s="38">
        <f t="shared" si="5"/>
        <v>465.76753242428811</v>
      </c>
      <c r="AA66" s="71">
        <v>61</v>
      </c>
      <c r="AB66" s="33">
        <f t="shared" si="6"/>
        <v>21</v>
      </c>
      <c r="AC66" s="305">
        <f t="shared" si="39"/>
        <v>0.4</v>
      </c>
      <c r="AD66" s="100">
        <f t="shared" si="8"/>
        <v>0</v>
      </c>
      <c r="AE66" s="100">
        <f t="shared" si="9"/>
        <v>0</v>
      </c>
      <c r="AF66" s="194">
        <f t="shared" si="34"/>
        <v>30.238488728658762</v>
      </c>
      <c r="AG66" s="194">
        <f t="shared" si="35"/>
        <v>0</v>
      </c>
      <c r="AH66" s="194">
        <f t="shared" si="36"/>
        <v>0</v>
      </c>
      <c r="AI66" s="199">
        <f t="shared" si="37"/>
        <v>30.238488728658762</v>
      </c>
      <c r="AK66" s="71">
        <v>61</v>
      </c>
      <c r="AL66" s="33"/>
      <c r="AM66" s="33"/>
      <c r="AN66" s="33"/>
      <c r="AO66" s="33"/>
      <c r="AP66" s="33"/>
      <c r="AQ66" s="194"/>
      <c r="AR66" s="194"/>
      <c r="AS66" s="194"/>
      <c r="AT66" s="194"/>
      <c r="AU66" s="33"/>
      <c r="AV66" s="33"/>
      <c r="AW66" s="33"/>
      <c r="AX66" s="33"/>
      <c r="AY66" s="76"/>
    </row>
    <row r="67" spans="2:51">
      <c r="B67" s="40">
        <f t="shared" si="31"/>
        <v>121</v>
      </c>
      <c r="C67" s="152">
        <f t="shared" si="38"/>
        <v>125</v>
      </c>
      <c r="D67" s="137">
        <f>D68+16</f>
        <v>284</v>
      </c>
      <c r="E67" s="141">
        <f t="shared" si="29"/>
        <v>1.56</v>
      </c>
      <c r="F67" s="42">
        <f t="shared" si="40"/>
        <v>443.04</v>
      </c>
      <c r="G67" s="51">
        <f t="shared" si="41"/>
        <v>6.2399999999999949</v>
      </c>
      <c r="I67" s="55">
        <v>62</v>
      </c>
      <c r="J67" s="33">
        <f t="shared" si="18"/>
        <v>5</v>
      </c>
      <c r="K67" s="33">
        <f t="shared" si="19"/>
        <v>1.910565629709926</v>
      </c>
      <c r="L67" s="33">
        <f t="shared" si="20"/>
        <v>45</v>
      </c>
      <c r="M67" s="33">
        <f t="shared" si="21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5"/>
        <v>14.040000000000006</v>
      </c>
      <c r="R67" s="33">
        <f t="shared" si="22"/>
        <v>315.12</v>
      </c>
      <c r="S67" s="33">
        <f t="shared" si="23"/>
        <v>182.7696</v>
      </c>
      <c r="T67" s="33">
        <f t="shared" si="2"/>
        <v>45.937822477650357</v>
      </c>
      <c r="U67" s="33">
        <f t="shared" si="16"/>
        <v>61.55245535263218</v>
      </c>
      <c r="V67" s="33">
        <f t="shared" si="3"/>
        <v>10</v>
      </c>
      <c r="W67" s="33">
        <v>0</v>
      </c>
      <c r="X67" s="33">
        <f t="shared" si="4"/>
        <v>660.69109710822568</v>
      </c>
      <c r="Y67" s="38">
        <f t="shared" si="5"/>
        <v>483.65519530314759</v>
      </c>
      <c r="AA67" s="71">
        <v>62</v>
      </c>
      <c r="AB67" s="33">
        <f t="shared" si="6"/>
        <v>0</v>
      </c>
      <c r="AC67" s="305">
        <f t="shared" si="39"/>
        <v>0</v>
      </c>
      <c r="AD67" s="100">
        <f t="shared" si="8"/>
        <v>0</v>
      </c>
      <c r="AE67" s="100">
        <f t="shared" si="9"/>
        <v>0</v>
      </c>
      <c r="AF67" s="194">
        <f t="shared" si="34"/>
        <v>29.64553040834673</v>
      </c>
      <c r="AG67" s="194">
        <f t="shared" si="35"/>
        <v>0</v>
      </c>
      <c r="AH67" s="194">
        <f t="shared" si="36"/>
        <v>0</v>
      </c>
      <c r="AI67" s="199">
        <f t="shared" si="37"/>
        <v>29.64553040834673</v>
      </c>
      <c r="AK67" s="71">
        <v>62</v>
      </c>
      <c r="AL67" s="33"/>
      <c r="AM67" s="33"/>
      <c r="AN67" s="33"/>
      <c r="AO67" s="33"/>
      <c r="AP67" s="33"/>
      <c r="AQ67" s="194"/>
      <c r="AR67" s="194"/>
      <c r="AS67" s="194"/>
      <c r="AT67" s="194"/>
      <c r="AU67" s="33"/>
      <c r="AV67" s="33"/>
      <c r="AW67" s="33"/>
      <c r="AX67" s="33"/>
      <c r="AY67" s="76"/>
    </row>
    <row r="68" spans="2:51">
      <c r="B68" s="40">
        <f t="shared" si="31"/>
        <v>125</v>
      </c>
      <c r="C68" s="152">
        <f t="shared" si="38"/>
        <v>126</v>
      </c>
      <c r="D68" s="137">
        <v>268</v>
      </c>
      <c r="E68" s="141">
        <f t="shared" si="29"/>
        <v>1.56</v>
      </c>
      <c r="F68" s="42">
        <f t="shared" si="40"/>
        <v>418.08000000000004</v>
      </c>
      <c r="G68" s="51">
        <f t="shared" si="41"/>
        <v>-24.95999999999998</v>
      </c>
      <c r="I68" s="55">
        <v>63</v>
      </c>
      <c r="J68" s="33">
        <f t="shared" si="18"/>
        <v>5</v>
      </c>
      <c r="K68" s="33">
        <f t="shared" si="19"/>
        <v>1.910565629709926</v>
      </c>
      <c r="L68" s="33">
        <f t="shared" si="20"/>
        <v>45</v>
      </c>
      <c r="M68" s="33">
        <f t="shared" si="21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5"/>
        <v>14.040000000000006</v>
      </c>
      <c r="R68" s="33">
        <f t="shared" si="22"/>
        <v>329.16</v>
      </c>
      <c r="S68" s="33">
        <f t="shared" si="23"/>
        <v>190.9128</v>
      </c>
      <c r="T68" s="33">
        <f t="shared" si="2"/>
        <v>47.741703645431606</v>
      </c>
      <c r="U68" s="33">
        <f t="shared" si="16"/>
        <v>61.699001366383484</v>
      </c>
      <c r="V68" s="33">
        <f t="shared" si="3"/>
        <v>10</v>
      </c>
      <c r="W68" s="33">
        <v>0</v>
      </c>
      <c r="X68" s="33">
        <f t="shared" si="4"/>
        <v>678.55293219253281</v>
      </c>
      <c r="Y68" s="38">
        <f t="shared" si="5"/>
        <v>501.51703038745472</v>
      </c>
      <c r="AA68" s="71">
        <v>63</v>
      </c>
      <c r="AB68" s="33">
        <f t="shared" si="6"/>
        <v>0</v>
      </c>
      <c r="AC68" s="305">
        <f t="shared" si="39"/>
        <v>0</v>
      </c>
      <c r="AD68" s="100">
        <f t="shared" si="8"/>
        <v>0</v>
      </c>
      <c r="AE68" s="100">
        <f t="shared" si="9"/>
        <v>0</v>
      </c>
      <c r="AF68" s="194">
        <f t="shared" si="34"/>
        <v>29.064199639027152</v>
      </c>
      <c r="AG68" s="194">
        <f t="shared" si="35"/>
        <v>0</v>
      </c>
      <c r="AH68" s="194">
        <f t="shared" si="36"/>
        <v>0</v>
      </c>
      <c r="AI68" s="199">
        <f t="shared" si="37"/>
        <v>29.064199639027152</v>
      </c>
      <c r="AK68" s="71">
        <v>63</v>
      </c>
      <c r="AL68" s="33"/>
      <c r="AM68" s="33"/>
      <c r="AN68" s="33"/>
      <c r="AO68" s="33"/>
      <c r="AP68" s="33"/>
      <c r="AQ68" s="194"/>
      <c r="AR68" s="194"/>
      <c r="AS68" s="194"/>
      <c r="AT68" s="194"/>
      <c r="AU68" s="33"/>
      <c r="AV68" s="33"/>
      <c r="AW68" s="33"/>
      <c r="AX68" s="33"/>
      <c r="AY68" s="76"/>
    </row>
    <row r="69" spans="2:51">
      <c r="B69" s="40">
        <f t="shared" si="31"/>
        <v>126</v>
      </c>
      <c r="C69" s="152">
        <f t="shared" si="38"/>
        <v>130</v>
      </c>
      <c r="D69" s="137">
        <f>D70+15</f>
        <v>284</v>
      </c>
      <c r="E69" s="141">
        <f t="shared" si="29"/>
        <v>1.56</v>
      </c>
      <c r="F69" s="42">
        <f t="shared" si="40"/>
        <v>443.04</v>
      </c>
      <c r="G69" s="51">
        <f t="shared" si="41"/>
        <v>6.2399999999999949</v>
      </c>
      <c r="I69" s="55">
        <v>64</v>
      </c>
      <c r="J69" s="33">
        <f t="shared" si="18"/>
        <v>5</v>
      </c>
      <c r="K69" s="33">
        <f t="shared" si="19"/>
        <v>1.910565629709926</v>
      </c>
      <c r="L69" s="33">
        <f t="shared" si="20"/>
        <v>45</v>
      </c>
      <c r="M69" s="33">
        <f t="shared" si="21"/>
        <v>0</v>
      </c>
      <c r="N69" s="33">
        <f t="shared" ref="N69:N132" si="42">IF(P70&lt;=$F$18,0,)</f>
        <v>0</v>
      </c>
      <c r="O69" s="34">
        <f t="shared" ref="O69:O132" si="43">((J69+K69)*0.475+L69+M69+N69)*44/12</f>
        <v>177.03590180507811</v>
      </c>
      <c r="P69" s="55">
        <v>64</v>
      </c>
      <c r="Q69" s="33">
        <f t="shared" si="15"/>
        <v>14.040000000000006</v>
      </c>
      <c r="R69" s="33">
        <f t="shared" si="22"/>
        <v>343.20000000000005</v>
      </c>
      <c r="S69" s="33">
        <f t="shared" si="23"/>
        <v>199.05600000000001</v>
      </c>
      <c r="T69" s="33">
        <f t="shared" ref="T69:T132" si="44">IF(S69=0,0,EXP(-1.0587+0.8836*LN(S69)+0.284))</f>
        <v>49.536648006253934</v>
      </c>
      <c r="U69" s="33">
        <f t="shared" si="16"/>
        <v>61.843005134424018</v>
      </c>
      <c r="V69" s="33">
        <f t="shared" ref="V69:V132" si="45">IF(P69&lt;=$F$18,IF(P69&lt;=30,P69*($F$16-$F$6)/30,$F$16-$F$6),)</f>
        <v>10</v>
      </c>
      <c r="W69" s="33">
        <v>0</v>
      </c>
      <c r="X69" s="33">
        <f t="shared" ref="X69:X132" si="46">((S69+T69)*0.475+U69+V69+W69)*44/12</f>
        <v>696.38988077044689</v>
      </c>
      <c r="Y69" s="38">
        <f t="shared" ref="Y69:Y132" si="47">IF(P69&lt;=$F$18,X69-O69,)</f>
        <v>519.35397896536881</v>
      </c>
      <c r="AA69" s="71">
        <v>64</v>
      </c>
      <c r="AB69" s="33">
        <f t="shared" ref="AB69:AB132" si="48">IF(AA69&lt;=$F$18,IFERROR(VLOOKUP($AA69,$B$82:$G$94,2,FALSE),0),)</f>
        <v>0</v>
      </c>
      <c r="AC69" s="305">
        <f t="shared" si="39"/>
        <v>0</v>
      </c>
      <c r="AD69" s="100">
        <f t="shared" ref="AD69:AD132" si="49">IF(AA69&lt;=$F$18,IFERROR(VLOOKUP($AA69,$B$82:$G$94,4,FALSE),0),)</f>
        <v>0</v>
      </c>
      <c r="AE69" s="100">
        <f t="shared" ref="AE69:AE132" si="50">IF(AA69&lt;=$F$18,IFERROR(VLOOKUP($AA69,$B$82:$G$94,5,FALSE),0),)</f>
        <v>0</v>
      </c>
      <c r="AF69" s="194">
        <f t="shared" si="34"/>
        <v>28.494268411517172</v>
      </c>
      <c r="AG69" s="194">
        <f t="shared" si="35"/>
        <v>0</v>
      </c>
      <c r="AH69" s="194">
        <f t="shared" si="36"/>
        <v>0</v>
      </c>
      <c r="AI69" s="199">
        <f t="shared" si="37"/>
        <v>28.494268411517172</v>
      </c>
      <c r="AK69" s="71">
        <v>64</v>
      </c>
      <c r="AL69" s="33"/>
      <c r="AM69" s="33"/>
      <c r="AN69" s="33"/>
      <c r="AO69" s="33"/>
      <c r="AP69" s="33"/>
      <c r="AQ69" s="194"/>
      <c r="AR69" s="194"/>
      <c r="AS69" s="194"/>
      <c r="AT69" s="194"/>
      <c r="AU69" s="33"/>
      <c r="AV69" s="33"/>
      <c r="AW69" s="33"/>
      <c r="AX69" s="33"/>
      <c r="AY69" s="76"/>
    </row>
    <row r="70" spans="2:51">
      <c r="B70" s="40">
        <f t="shared" si="31"/>
        <v>130</v>
      </c>
      <c r="C70" s="152">
        <f t="shared" si="38"/>
        <v>131</v>
      </c>
      <c r="D70" s="137">
        <v>269</v>
      </c>
      <c r="E70" s="141">
        <f t="shared" si="29"/>
        <v>1.56</v>
      </c>
      <c r="F70" s="42">
        <f t="shared" si="40"/>
        <v>419.64</v>
      </c>
      <c r="G70" s="51">
        <f t="shared" si="41"/>
        <v>-23.400000000000034</v>
      </c>
      <c r="I70" s="55">
        <v>65</v>
      </c>
      <c r="J70" s="33">
        <f t="shared" si="18"/>
        <v>5</v>
      </c>
      <c r="K70" s="33">
        <f t="shared" si="19"/>
        <v>1.910565629709926</v>
      </c>
      <c r="L70" s="33">
        <f t="shared" si="20"/>
        <v>45</v>
      </c>
      <c r="M70" s="33">
        <f t="shared" si="21"/>
        <v>0</v>
      </c>
      <c r="N70" s="33">
        <f t="shared" si="42"/>
        <v>0</v>
      </c>
      <c r="O70" s="34">
        <f t="shared" si="43"/>
        <v>177.03590180507811</v>
      </c>
      <c r="P70" s="55">
        <v>65</v>
      </c>
      <c r="Q70" s="33">
        <f t="shared" ref="Q70:Q133" si="51">IF(P70&lt;=$F$18,LOOKUP(P70-1,$B$25:$B$78,$G$25:$G$78),)</f>
        <v>14.040000000000006</v>
      </c>
      <c r="R70" s="33">
        <f t="shared" si="22"/>
        <v>357.24000000000007</v>
      </c>
      <c r="S70" s="33">
        <f t="shared" si="23"/>
        <v>207.19920000000002</v>
      </c>
      <c r="T70" s="33">
        <f t="shared" si="44"/>
        <v>51.32306297366555</v>
      </c>
      <c r="U70" s="33">
        <f t="shared" ref="U70:U133" si="52">IF(P70&lt;=$F$18,$F$5+($F$15-$F$5)*(1-EXP(-0.0175*P70)),)</f>
        <v>61.984510759033235</v>
      </c>
      <c r="V70" s="33">
        <f t="shared" si="45"/>
        <v>10</v>
      </c>
      <c r="W70" s="33">
        <v>0</v>
      </c>
      <c r="X70" s="33">
        <f t="shared" si="46"/>
        <v>714.2028141289228</v>
      </c>
      <c r="Y70" s="38">
        <f t="shared" si="47"/>
        <v>537.16691232384471</v>
      </c>
      <c r="AA70" s="71">
        <v>65</v>
      </c>
      <c r="AB70" s="33">
        <f t="shared" si="48"/>
        <v>0</v>
      </c>
      <c r="AC70" s="305">
        <f t="shared" si="39"/>
        <v>0</v>
      </c>
      <c r="AD70" s="100">
        <f t="shared" si="49"/>
        <v>0</v>
      </c>
      <c r="AE70" s="100">
        <f t="shared" si="50"/>
        <v>0</v>
      </c>
      <c r="AF70" s="194">
        <f t="shared" si="34"/>
        <v>27.935513187754939</v>
      </c>
      <c r="AG70" s="194">
        <f t="shared" si="35"/>
        <v>0</v>
      </c>
      <c r="AH70" s="194">
        <f t="shared" si="36"/>
        <v>0</v>
      </c>
      <c r="AI70" s="199">
        <f t="shared" si="37"/>
        <v>27.935513187754939</v>
      </c>
      <c r="AK70" s="71">
        <v>65</v>
      </c>
      <c r="AL70" s="33"/>
      <c r="AM70" s="33"/>
      <c r="AN70" s="33"/>
      <c r="AO70" s="33"/>
      <c r="AP70" s="33"/>
      <c r="AQ70" s="194"/>
      <c r="AR70" s="194"/>
      <c r="AS70" s="194"/>
      <c r="AT70" s="194"/>
      <c r="AU70" s="33"/>
      <c r="AV70" s="33"/>
      <c r="AW70" s="33"/>
      <c r="AX70" s="33"/>
      <c r="AY70" s="76"/>
    </row>
    <row r="71" spans="2:51">
      <c r="B71" s="40">
        <f t="shared" si="31"/>
        <v>131</v>
      </c>
      <c r="C71" s="152">
        <f t="shared" si="38"/>
        <v>135</v>
      </c>
      <c r="D71" s="137">
        <f>D72+14</f>
        <v>283</v>
      </c>
      <c r="E71" s="141">
        <f t="shared" si="29"/>
        <v>1.56</v>
      </c>
      <c r="F71" s="42">
        <f t="shared" si="40"/>
        <v>441.48</v>
      </c>
      <c r="G71" s="51">
        <f t="shared" si="41"/>
        <v>5.460000000000008</v>
      </c>
      <c r="I71" s="55">
        <v>66</v>
      </c>
      <c r="J71" s="33">
        <f t="shared" ref="J71:J134" si="53">IF($I71&lt;=$F$10,$F$11*$F$13+J70,)</f>
        <v>5</v>
      </c>
      <c r="K71" s="33">
        <f t="shared" ref="K71:K134" si="54">IF(J71=0,0,EXP(-1.0587+0.8836*LN(J71)+0.284))</f>
        <v>1.910565629709926</v>
      </c>
      <c r="L71" s="33">
        <f t="shared" ref="L71:L134" si="55">IF(I71&lt;=$F$10,$F$5+($F$8-$F$5)*(1-EXP(-0.0175*I71)),)</f>
        <v>45</v>
      </c>
      <c r="M71" s="33">
        <f t="shared" ref="M71:M134" si="56">IF(I71&lt;=$F$10,IF(I71&lt;=30,I71*($F$9-$F$6)/30,$F$9-$F$6),)</f>
        <v>0</v>
      </c>
      <c r="N71" s="33">
        <f t="shared" si="42"/>
        <v>0</v>
      </c>
      <c r="O71" s="34">
        <f t="shared" si="43"/>
        <v>177.03590180507811</v>
      </c>
      <c r="P71" s="55">
        <v>66</v>
      </c>
      <c r="Q71" s="33">
        <f t="shared" si="51"/>
        <v>-32.759999999999991</v>
      </c>
      <c r="R71" s="33">
        <f t="shared" ref="R71:R134" si="57">IF(P71&lt;=$F$18,Q71+R70,)</f>
        <v>324.48000000000008</v>
      </c>
      <c r="S71" s="33">
        <f t="shared" ref="S71:S134" si="58">$F$19*R71</f>
        <v>188.19840000000002</v>
      </c>
      <c r="T71" s="33">
        <f t="shared" si="44"/>
        <v>47.141424081428013</v>
      </c>
      <c r="U71" s="33">
        <f t="shared" si="52"/>
        <v>62.123561577414662</v>
      </c>
      <c r="V71" s="33">
        <f t="shared" si="45"/>
        <v>10</v>
      </c>
      <c r="W71" s="33">
        <v>0</v>
      </c>
      <c r="X71" s="33">
        <f t="shared" si="46"/>
        <v>674.33658605900757</v>
      </c>
      <c r="Y71" s="38">
        <f t="shared" si="47"/>
        <v>497.30068425392949</v>
      </c>
      <c r="AA71" s="71">
        <v>66</v>
      </c>
      <c r="AB71" s="33">
        <f t="shared" si="48"/>
        <v>21</v>
      </c>
      <c r="AC71" s="305">
        <f t="shared" si="39"/>
        <v>0.35</v>
      </c>
      <c r="AD71" s="100">
        <f t="shared" si="49"/>
        <v>0</v>
      </c>
      <c r="AE71" s="100">
        <f t="shared" si="50"/>
        <v>0</v>
      </c>
      <c r="AF71" s="194">
        <f t="shared" si="34"/>
        <v>34.739402368724036</v>
      </c>
      <c r="AG71" s="194">
        <f t="shared" si="35"/>
        <v>0</v>
      </c>
      <c r="AH71" s="194">
        <f t="shared" si="36"/>
        <v>0</v>
      </c>
      <c r="AI71" s="199">
        <f t="shared" si="37"/>
        <v>34.739402368724036</v>
      </c>
      <c r="AK71" s="71">
        <v>66</v>
      </c>
      <c r="AL71" s="33"/>
      <c r="AM71" s="33"/>
      <c r="AN71" s="33"/>
      <c r="AO71" s="33"/>
      <c r="AP71" s="33"/>
      <c r="AQ71" s="194"/>
      <c r="AR71" s="194"/>
      <c r="AS71" s="194"/>
      <c r="AT71" s="194"/>
      <c r="AU71" s="33"/>
      <c r="AV71" s="33"/>
      <c r="AW71" s="33"/>
      <c r="AX71" s="33"/>
      <c r="AY71" s="76"/>
    </row>
    <row r="72" spans="2:51">
      <c r="B72" s="40">
        <f t="shared" si="31"/>
        <v>135</v>
      </c>
      <c r="C72" s="152">
        <f t="shared" si="38"/>
        <v>136</v>
      </c>
      <c r="D72" s="137">
        <v>269</v>
      </c>
      <c r="E72" s="141">
        <f t="shared" si="29"/>
        <v>1.56</v>
      </c>
      <c r="F72" s="42">
        <f t="shared" si="40"/>
        <v>419.64</v>
      </c>
      <c r="G72" s="51">
        <f t="shared" si="41"/>
        <v>-21.840000000000032</v>
      </c>
      <c r="I72" s="55">
        <v>67</v>
      </c>
      <c r="J72" s="33">
        <f t="shared" si="53"/>
        <v>5</v>
      </c>
      <c r="K72" s="33">
        <f t="shared" si="54"/>
        <v>1.910565629709926</v>
      </c>
      <c r="L72" s="33">
        <f t="shared" si="55"/>
        <v>45</v>
      </c>
      <c r="M72" s="33">
        <f t="shared" si="56"/>
        <v>0</v>
      </c>
      <c r="N72" s="33">
        <f t="shared" si="42"/>
        <v>0</v>
      </c>
      <c r="O72" s="34">
        <f t="shared" si="43"/>
        <v>177.03590180507811</v>
      </c>
      <c r="P72" s="55">
        <v>67</v>
      </c>
      <c r="Q72" s="33">
        <f t="shared" si="51"/>
        <v>13.260000000000005</v>
      </c>
      <c r="R72" s="33">
        <f t="shared" si="57"/>
        <v>337.74000000000007</v>
      </c>
      <c r="S72" s="33">
        <f t="shared" si="58"/>
        <v>195.88920000000002</v>
      </c>
      <c r="T72" s="33">
        <f t="shared" si="44"/>
        <v>48.839649228671739</v>
      </c>
      <c r="U72" s="33">
        <f t="shared" si="52"/>
        <v>62.26020017496824</v>
      </c>
      <c r="V72" s="33">
        <f t="shared" si="45"/>
        <v>10</v>
      </c>
      <c r="W72" s="33">
        <v>0</v>
      </c>
      <c r="X72" s="33">
        <f t="shared" si="46"/>
        <v>691.1901463814869</v>
      </c>
      <c r="Y72" s="38">
        <f t="shared" si="47"/>
        <v>514.15424457640881</v>
      </c>
      <c r="AA72" s="71">
        <v>67</v>
      </c>
      <c r="AB72" s="33">
        <f t="shared" si="48"/>
        <v>0</v>
      </c>
      <c r="AC72" s="305">
        <f t="shared" si="39"/>
        <v>0</v>
      </c>
      <c r="AD72" s="100">
        <f t="shared" si="49"/>
        <v>0</v>
      </c>
      <c r="AE72" s="100">
        <f t="shared" si="50"/>
        <v>0</v>
      </c>
      <c r="AF72" s="194">
        <f t="shared" si="34"/>
        <v>34.058183877216571</v>
      </c>
      <c r="AG72" s="194">
        <f t="shared" si="35"/>
        <v>0</v>
      </c>
      <c r="AH72" s="194">
        <f t="shared" si="36"/>
        <v>0</v>
      </c>
      <c r="AI72" s="199">
        <f t="shared" si="37"/>
        <v>34.058183877216571</v>
      </c>
      <c r="AK72" s="71">
        <v>67</v>
      </c>
      <c r="AL72" s="33"/>
      <c r="AM72" s="33"/>
      <c r="AN72" s="33"/>
      <c r="AO72" s="33"/>
      <c r="AP72" s="33"/>
      <c r="AQ72" s="194"/>
      <c r="AR72" s="194"/>
      <c r="AS72" s="194"/>
      <c r="AT72" s="194"/>
      <c r="AU72" s="33"/>
      <c r="AV72" s="33"/>
      <c r="AW72" s="33"/>
      <c r="AX72" s="33"/>
      <c r="AY72" s="76"/>
    </row>
    <row r="73" spans="2:51">
      <c r="B73" s="40">
        <f t="shared" si="31"/>
        <v>136</v>
      </c>
      <c r="C73" s="152">
        <f t="shared" si="38"/>
        <v>140</v>
      </c>
      <c r="D73" s="137">
        <f>D74+13</f>
        <v>282</v>
      </c>
      <c r="E73" s="141">
        <f t="shared" si="29"/>
        <v>1.56</v>
      </c>
      <c r="F73" s="42">
        <f t="shared" si="40"/>
        <v>439.92</v>
      </c>
      <c r="G73" s="51">
        <f t="shared" si="41"/>
        <v>5.0700000000000074</v>
      </c>
      <c r="I73" s="55">
        <v>68</v>
      </c>
      <c r="J73" s="33">
        <f t="shared" si="53"/>
        <v>5</v>
      </c>
      <c r="K73" s="33">
        <f t="shared" si="54"/>
        <v>1.910565629709926</v>
      </c>
      <c r="L73" s="33">
        <f t="shared" si="55"/>
        <v>45</v>
      </c>
      <c r="M73" s="33">
        <f t="shared" si="56"/>
        <v>0</v>
      </c>
      <c r="N73" s="33">
        <f t="shared" si="42"/>
        <v>0</v>
      </c>
      <c r="O73" s="34">
        <f t="shared" si="43"/>
        <v>177.03590180507811</v>
      </c>
      <c r="P73" s="55">
        <v>68</v>
      </c>
      <c r="Q73" s="33">
        <f t="shared" si="51"/>
        <v>13.260000000000005</v>
      </c>
      <c r="R73" s="33">
        <f t="shared" si="57"/>
        <v>351.00000000000006</v>
      </c>
      <c r="S73" s="33">
        <f t="shared" si="58"/>
        <v>203.58</v>
      </c>
      <c r="T73" s="33">
        <f t="shared" si="44"/>
        <v>50.530129131114101</v>
      </c>
      <c r="U73" s="33">
        <f t="shared" si="52"/>
        <v>62.3944683983324</v>
      </c>
      <c r="V73" s="33">
        <f t="shared" si="45"/>
        <v>10</v>
      </c>
      <c r="W73" s="33">
        <v>0</v>
      </c>
      <c r="X73" s="33">
        <f t="shared" si="46"/>
        <v>708.02152569724251</v>
      </c>
      <c r="Y73" s="38">
        <f t="shared" si="47"/>
        <v>530.98562389216443</v>
      </c>
      <c r="AA73" s="71">
        <v>68</v>
      </c>
      <c r="AB73" s="33">
        <f t="shared" si="48"/>
        <v>0</v>
      </c>
      <c r="AC73" s="305">
        <f t="shared" si="39"/>
        <v>0</v>
      </c>
      <c r="AD73" s="100">
        <f t="shared" si="49"/>
        <v>0</v>
      </c>
      <c r="AE73" s="100">
        <f t="shared" si="50"/>
        <v>0</v>
      </c>
      <c r="AF73" s="194">
        <f t="shared" si="34"/>
        <v>33.39032366482531</v>
      </c>
      <c r="AG73" s="194">
        <f t="shared" si="35"/>
        <v>0</v>
      </c>
      <c r="AH73" s="194">
        <f t="shared" si="36"/>
        <v>0</v>
      </c>
      <c r="AI73" s="199">
        <f t="shared" si="37"/>
        <v>33.39032366482531</v>
      </c>
      <c r="AK73" s="71">
        <v>68</v>
      </c>
      <c r="AL73" s="33"/>
      <c r="AM73" s="33"/>
      <c r="AN73" s="33"/>
      <c r="AO73" s="33"/>
      <c r="AP73" s="33"/>
      <c r="AQ73" s="194"/>
      <c r="AR73" s="194"/>
      <c r="AS73" s="194"/>
      <c r="AT73" s="194"/>
      <c r="AU73" s="33"/>
      <c r="AV73" s="33"/>
      <c r="AW73" s="33"/>
      <c r="AX73" s="33"/>
      <c r="AY73" s="76"/>
    </row>
    <row r="74" spans="2:51">
      <c r="B74" s="40">
        <f t="shared" si="31"/>
        <v>140</v>
      </c>
      <c r="C74" s="152">
        <f t="shared" si="38"/>
        <v>141</v>
      </c>
      <c r="D74" s="137">
        <v>269</v>
      </c>
      <c r="E74" s="141">
        <f t="shared" si="29"/>
        <v>1.56</v>
      </c>
      <c r="F74" s="42">
        <f t="shared" si="40"/>
        <v>419.64</v>
      </c>
      <c r="G74" s="51">
        <f t="shared" si="41"/>
        <v>-20.28000000000003</v>
      </c>
      <c r="I74" s="55">
        <v>69</v>
      </c>
      <c r="J74" s="33">
        <f t="shared" si="53"/>
        <v>5</v>
      </c>
      <c r="K74" s="33">
        <f t="shared" si="54"/>
        <v>1.910565629709926</v>
      </c>
      <c r="L74" s="33">
        <f t="shared" si="55"/>
        <v>45</v>
      </c>
      <c r="M74" s="33">
        <f t="shared" si="56"/>
        <v>0</v>
      </c>
      <c r="N74" s="33">
        <f t="shared" si="42"/>
        <v>0</v>
      </c>
      <c r="O74" s="34">
        <f t="shared" si="43"/>
        <v>177.03590180507811</v>
      </c>
      <c r="P74" s="55">
        <v>69</v>
      </c>
      <c r="Q74" s="33">
        <f t="shared" si="51"/>
        <v>13.260000000000005</v>
      </c>
      <c r="R74" s="33">
        <f t="shared" si="57"/>
        <v>364.26000000000005</v>
      </c>
      <c r="S74" s="33">
        <f t="shared" si="58"/>
        <v>211.27080000000001</v>
      </c>
      <c r="T74" s="33">
        <f t="shared" si="44"/>
        <v>52.213189886050465</v>
      </c>
      <c r="U74" s="33">
        <f t="shared" si="52"/>
        <v>62.526407368199969</v>
      </c>
      <c r="V74" s="33">
        <f t="shared" si="45"/>
        <v>10</v>
      </c>
      <c r="W74" s="33">
        <v>0</v>
      </c>
      <c r="X74" s="33">
        <f t="shared" si="46"/>
        <v>724.83144273493781</v>
      </c>
      <c r="Y74" s="38">
        <f t="shared" si="47"/>
        <v>547.79554092985973</v>
      </c>
      <c r="AA74" s="71">
        <v>69</v>
      </c>
      <c r="AB74" s="33">
        <f t="shared" si="48"/>
        <v>0</v>
      </c>
      <c r="AC74" s="305">
        <f t="shared" si="39"/>
        <v>0</v>
      </c>
      <c r="AD74" s="100">
        <f t="shared" si="49"/>
        <v>0</v>
      </c>
      <c r="AE74" s="100">
        <f t="shared" si="50"/>
        <v>0</v>
      </c>
      <c r="AF74" s="194">
        <f t="shared" si="34"/>
        <v>32.735559783844536</v>
      </c>
      <c r="AG74" s="194">
        <f t="shared" si="35"/>
        <v>0</v>
      </c>
      <c r="AH74" s="194">
        <f t="shared" si="36"/>
        <v>0</v>
      </c>
      <c r="AI74" s="199">
        <f t="shared" si="37"/>
        <v>32.735559783844536</v>
      </c>
      <c r="AK74" s="71">
        <v>69</v>
      </c>
      <c r="AL74" s="33"/>
      <c r="AM74" s="33"/>
      <c r="AN74" s="33"/>
      <c r="AO74" s="33"/>
      <c r="AP74" s="33"/>
      <c r="AQ74" s="194"/>
      <c r="AR74" s="194"/>
      <c r="AS74" s="194"/>
      <c r="AT74" s="194"/>
      <c r="AU74" s="33"/>
      <c r="AV74" s="33"/>
      <c r="AW74" s="33"/>
      <c r="AX74" s="33"/>
      <c r="AY74" s="76"/>
    </row>
    <row r="75" spans="2:51">
      <c r="B75" s="40">
        <f t="shared" si="31"/>
        <v>141</v>
      </c>
      <c r="C75" s="152">
        <f t="shared" si="38"/>
        <v>145</v>
      </c>
      <c r="D75" s="137">
        <f>D76+13</f>
        <v>282</v>
      </c>
      <c r="E75" s="141">
        <f t="shared" si="29"/>
        <v>1.56</v>
      </c>
      <c r="F75" s="42">
        <f t="shared" si="40"/>
        <v>439.92</v>
      </c>
      <c r="G75" s="51">
        <f t="shared" si="41"/>
        <v>5.0700000000000074</v>
      </c>
      <c r="I75" s="55">
        <v>70</v>
      </c>
      <c r="J75" s="33">
        <f t="shared" si="53"/>
        <v>5</v>
      </c>
      <c r="K75" s="33">
        <f t="shared" si="54"/>
        <v>1.910565629709926</v>
      </c>
      <c r="L75" s="33">
        <f t="shared" si="55"/>
        <v>45</v>
      </c>
      <c r="M75" s="33">
        <f t="shared" si="56"/>
        <v>0</v>
      </c>
      <c r="N75" s="33">
        <f t="shared" si="42"/>
        <v>0</v>
      </c>
      <c r="O75" s="34">
        <f t="shared" si="43"/>
        <v>177.03590180507811</v>
      </c>
      <c r="P75" s="55">
        <v>70</v>
      </c>
      <c r="Q75" s="33">
        <f t="shared" si="51"/>
        <v>13.260000000000005</v>
      </c>
      <c r="R75" s="33">
        <f t="shared" si="57"/>
        <v>377.52000000000004</v>
      </c>
      <c r="S75" s="33">
        <f t="shared" si="58"/>
        <v>218.9616</v>
      </c>
      <c r="T75" s="33">
        <f t="shared" si="44"/>
        <v>53.88913250370743</v>
      </c>
      <c r="U75" s="33">
        <f t="shared" si="52"/>
        <v>62.656057491911682</v>
      </c>
      <c r="V75" s="33">
        <f t="shared" si="45"/>
        <v>10</v>
      </c>
      <c r="W75" s="33">
        <v>0</v>
      </c>
      <c r="X75" s="33">
        <f t="shared" si="46"/>
        <v>741.62056991430006</v>
      </c>
      <c r="Y75" s="38">
        <f t="shared" si="47"/>
        <v>564.58466810922198</v>
      </c>
      <c r="AA75" s="71">
        <v>70</v>
      </c>
      <c r="AB75" s="33">
        <f t="shared" si="48"/>
        <v>0</v>
      </c>
      <c r="AC75" s="305">
        <f t="shared" si="39"/>
        <v>0</v>
      </c>
      <c r="AD75" s="100">
        <f t="shared" si="49"/>
        <v>0</v>
      </c>
      <c r="AE75" s="100">
        <f t="shared" si="50"/>
        <v>0</v>
      </c>
      <c r="AF75" s="194">
        <f t="shared" si="34"/>
        <v>32.09363542320326</v>
      </c>
      <c r="AG75" s="194">
        <f t="shared" si="35"/>
        <v>0</v>
      </c>
      <c r="AH75" s="194">
        <f t="shared" si="36"/>
        <v>0</v>
      </c>
      <c r="AI75" s="199">
        <f t="shared" si="37"/>
        <v>32.09363542320326</v>
      </c>
      <c r="AK75" s="71">
        <v>70</v>
      </c>
      <c r="AL75" s="33"/>
      <c r="AM75" s="33"/>
      <c r="AN75" s="33"/>
      <c r="AO75" s="33"/>
      <c r="AP75" s="33"/>
      <c r="AQ75" s="194"/>
      <c r="AR75" s="194"/>
      <c r="AS75" s="194"/>
      <c r="AT75" s="194"/>
      <c r="AU75" s="33"/>
      <c r="AV75" s="33"/>
      <c r="AW75" s="33"/>
      <c r="AX75" s="33"/>
      <c r="AY75" s="76"/>
    </row>
    <row r="76" spans="2:51">
      <c r="B76" s="40">
        <f t="shared" si="31"/>
        <v>145</v>
      </c>
      <c r="C76" s="152">
        <f t="shared" si="38"/>
        <v>146</v>
      </c>
      <c r="D76" s="137">
        <v>269</v>
      </c>
      <c r="E76" s="141">
        <f t="shared" si="29"/>
        <v>1.56</v>
      </c>
      <c r="F76" s="42">
        <f t="shared" si="40"/>
        <v>419.64</v>
      </c>
      <c r="G76" s="51">
        <f t="shared" si="41"/>
        <v>-20.28000000000003</v>
      </c>
      <c r="I76" s="55">
        <v>71</v>
      </c>
      <c r="J76" s="33">
        <f t="shared" si="53"/>
        <v>5</v>
      </c>
      <c r="K76" s="33">
        <f t="shared" si="54"/>
        <v>1.910565629709926</v>
      </c>
      <c r="L76" s="33">
        <f t="shared" si="55"/>
        <v>45</v>
      </c>
      <c r="M76" s="33">
        <f t="shared" si="56"/>
        <v>0</v>
      </c>
      <c r="N76" s="33">
        <f t="shared" si="42"/>
        <v>0</v>
      </c>
      <c r="O76" s="34">
        <f t="shared" si="43"/>
        <v>177.03590180507811</v>
      </c>
      <c r="P76" s="55">
        <v>71</v>
      </c>
      <c r="Q76" s="33">
        <f t="shared" si="51"/>
        <v>-32.760000000000048</v>
      </c>
      <c r="R76" s="33">
        <f t="shared" si="57"/>
        <v>344.76</v>
      </c>
      <c r="S76" s="33">
        <f t="shared" si="58"/>
        <v>199.96079999999998</v>
      </c>
      <c r="T76" s="33">
        <f t="shared" si="44"/>
        <v>49.735552653569222</v>
      </c>
      <c r="U76" s="33">
        <f t="shared" si="52"/>
        <v>62.783458475831253</v>
      </c>
      <c r="V76" s="33">
        <f t="shared" si="45"/>
        <v>10</v>
      </c>
      <c r="W76" s="33">
        <v>0</v>
      </c>
      <c r="X76" s="33">
        <f t="shared" si="46"/>
        <v>701.76049528301428</v>
      </c>
      <c r="Y76" s="38">
        <f t="shared" si="47"/>
        <v>524.7245934779362</v>
      </c>
      <c r="AA76" s="71">
        <v>71</v>
      </c>
      <c r="AB76" s="33">
        <f t="shared" si="48"/>
        <v>21</v>
      </c>
      <c r="AC76" s="305">
        <f t="shared" si="39"/>
        <v>0.4</v>
      </c>
      <c r="AD76" s="100">
        <f t="shared" si="49"/>
        <v>0</v>
      </c>
      <c r="AE76" s="100">
        <f t="shared" si="50"/>
        <v>0</v>
      </c>
      <c r="AF76" s="194">
        <f t="shared" si="34"/>
        <v>39.866227442710837</v>
      </c>
      <c r="AG76" s="194">
        <f t="shared" si="35"/>
        <v>0</v>
      </c>
      <c r="AH76" s="194">
        <f t="shared" si="36"/>
        <v>0</v>
      </c>
      <c r="AI76" s="199">
        <f t="shared" si="37"/>
        <v>39.866227442710837</v>
      </c>
      <c r="AK76" s="71">
        <v>71</v>
      </c>
      <c r="AL76" s="33"/>
      <c r="AM76" s="33"/>
      <c r="AN76" s="33"/>
      <c r="AO76" s="33"/>
      <c r="AP76" s="33"/>
      <c r="AQ76" s="194"/>
      <c r="AR76" s="194"/>
      <c r="AS76" s="194"/>
      <c r="AT76" s="194"/>
      <c r="AU76" s="33"/>
      <c r="AV76" s="33"/>
      <c r="AW76" s="33"/>
      <c r="AX76" s="33"/>
      <c r="AY76" s="76"/>
    </row>
    <row r="77" spans="2:51">
      <c r="B77" s="40">
        <f t="shared" si="31"/>
        <v>146</v>
      </c>
      <c r="C77" s="152">
        <f t="shared" si="38"/>
        <v>150</v>
      </c>
      <c r="D77" s="137">
        <f>D78+12</f>
        <v>280</v>
      </c>
      <c r="E77" s="141">
        <f t="shared" si="29"/>
        <v>1.56</v>
      </c>
      <c r="F77" s="42">
        <f t="shared" si="40"/>
        <v>436.8</v>
      </c>
      <c r="G77" s="51">
        <f t="shared" si="41"/>
        <v>4.2900000000000063</v>
      </c>
      <c r="I77" s="55">
        <v>72</v>
      </c>
      <c r="J77" s="33">
        <f t="shared" si="53"/>
        <v>5</v>
      </c>
      <c r="K77" s="33">
        <f t="shared" si="54"/>
        <v>1.910565629709926</v>
      </c>
      <c r="L77" s="33">
        <f t="shared" si="55"/>
        <v>45</v>
      </c>
      <c r="M77" s="33">
        <f t="shared" si="56"/>
        <v>0</v>
      </c>
      <c r="N77" s="33">
        <f t="shared" si="42"/>
        <v>0</v>
      </c>
      <c r="O77" s="34">
        <f t="shared" si="43"/>
        <v>177.03590180507811</v>
      </c>
      <c r="P77" s="55">
        <v>72</v>
      </c>
      <c r="Q77" s="33">
        <f t="shared" si="51"/>
        <v>12.090000000000003</v>
      </c>
      <c r="R77" s="33">
        <f t="shared" si="57"/>
        <v>356.85</v>
      </c>
      <c r="S77" s="33">
        <f t="shared" si="58"/>
        <v>206.97299999999998</v>
      </c>
      <c r="T77" s="33">
        <f t="shared" si="44"/>
        <v>51.273552121085558</v>
      </c>
      <c r="U77" s="33">
        <f t="shared" si="52"/>
        <v>62.908649337505743</v>
      </c>
      <c r="V77" s="33">
        <f t="shared" si="45"/>
        <v>10</v>
      </c>
      <c r="W77" s="33">
        <v>0</v>
      </c>
      <c r="X77" s="33">
        <f t="shared" si="46"/>
        <v>717.11112584841169</v>
      </c>
      <c r="Y77" s="38">
        <f t="shared" si="47"/>
        <v>540.07522404333361</v>
      </c>
      <c r="AA77" s="71">
        <v>72</v>
      </c>
      <c r="AB77" s="33">
        <f t="shared" si="48"/>
        <v>0</v>
      </c>
      <c r="AC77" s="305">
        <f t="shared" si="39"/>
        <v>0</v>
      </c>
      <c r="AD77" s="100">
        <f t="shared" si="49"/>
        <v>0</v>
      </c>
      <c r="AE77" s="100">
        <f t="shared" si="50"/>
        <v>0</v>
      </c>
      <c r="AF77" s="194">
        <f t="shared" si="34"/>
        <v>39.084475038557009</v>
      </c>
      <c r="AG77" s="194">
        <f t="shared" si="35"/>
        <v>0</v>
      </c>
      <c r="AH77" s="194">
        <f t="shared" si="36"/>
        <v>0</v>
      </c>
      <c r="AI77" s="199">
        <f t="shared" si="37"/>
        <v>39.084475038557009</v>
      </c>
      <c r="AK77" s="71">
        <v>72</v>
      </c>
      <c r="AL77" s="33"/>
      <c r="AM77" s="33"/>
      <c r="AN77" s="33"/>
      <c r="AO77" s="33"/>
      <c r="AP77" s="33"/>
      <c r="AQ77" s="194"/>
      <c r="AR77" s="194"/>
      <c r="AS77" s="194"/>
      <c r="AT77" s="194"/>
      <c r="AU77" s="33"/>
      <c r="AV77" s="33"/>
      <c r="AW77" s="33"/>
      <c r="AX77" s="33"/>
      <c r="AY77" s="76"/>
    </row>
    <row r="78" spans="2:51">
      <c r="B78" s="43">
        <f t="shared" si="31"/>
        <v>150</v>
      </c>
      <c r="C78" s="153">
        <f t="shared" si="38"/>
        <v>151</v>
      </c>
      <c r="D78" s="154">
        <v>268</v>
      </c>
      <c r="E78" s="141">
        <f t="shared" si="29"/>
        <v>1.56</v>
      </c>
      <c r="F78" s="42">
        <f t="shared" si="40"/>
        <v>418.08000000000004</v>
      </c>
      <c r="G78" s="51">
        <f t="shared" si="41"/>
        <v>-18.71999999999997</v>
      </c>
      <c r="I78" s="55">
        <v>73</v>
      </c>
      <c r="J78" s="33">
        <f t="shared" si="53"/>
        <v>5</v>
      </c>
      <c r="K78" s="33">
        <f t="shared" si="54"/>
        <v>1.910565629709926</v>
      </c>
      <c r="L78" s="33">
        <f t="shared" si="55"/>
        <v>45</v>
      </c>
      <c r="M78" s="33">
        <f t="shared" si="56"/>
        <v>0</v>
      </c>
      <c r="N78" s="33">
        <f t="shared" si="42"/>
        <v>0</v>
      </c>
      <c r="O78" s="34">
        <f t="shared" si="43"/>
        <v>177.03590180507811</v>
      </c>
      <c r="P78" s="55">
        <v>73</v>
      </c>
      <c r="Q78" s="33">
        <f t="shared" si="51"/>
        <v>12.090000000000003</v>
      </c>
      <c r="R78" s="33">
        <f t="shared" si="57"/>
        <v>368.94000000000005</v>
      </c>
      <c r="S78" s="33">
        <f t="shared" si="58"/>
        <v>213.98520000000002</v>
      </c>
      <c r="T78" s="33">
        <f t="shared" si="44"/>
        <v>52.805497044008654</v>
      </c>
      <c r="U78" s="33">
        <f t="shared" si="52"/>
        <v>63.031668417615023</v>
      </c>
      <c r="V78" s="33">
        <f t="shared" si="45"/>
        <v>10</v>
      </c>
      <c r="W78" s="33">
        <v>0</v>
      </c>
      <c r="X78" s="33">
        <f t="shared" si="46"/>
        <v>732.44324821623684</v>
      </c>
      <c r="Y78" s="38">
        <f t="shared" si="47"/>
        <v>555.40734641115876</v>
      </c>
      <c r="AA78" s="71">
        <v>73</v>
      </c>
      <c r="AB78" s="33">
        <f t="shared" si="48"/>
        <v>0</v>
      </c>
      <c r="AC78" s="305">
        <f t="shared" si="39"/>
        <v>0</v>
      </c>
      <c r="AD78" s="100">
        <f t="shared" si="49"/>
        <v>0</v>
      </c>
      <c r="AE78" s="100">
        <f t="shared" si="50"/>
        <v>0</v>
      </c>
      <c r="AF78" s="194">
        <f t="shared" si="34"/>
        <v>38.318052322226755</v>
      </c>
      <c r="AG78" s="194">
        <f t="shared" si="35"/>
        <v>0</v>
      </c>
      <c r="AH78" s="194">
        <f t="shared" si="36"/>
        <v>0</v>
      </c>
      <c r="AI78" s="199">
        <f t="shared" si="37"/>
        <v>38.318052322226755</v>
      </c>
      <c r="AK78" s="71">
        <v>73</v>
      </c>
      <c r="AL78" s="33"/>
      <c r="AM78" s="33"/>
      <c r="AN78" s="33"/>
      <c r="AO78" s="33"/>
      <c r="AP78" s="33"/>
      <c r="AQ78" s="194"/>
      <c r="AR78" s="194"/>
      <c r="AS78" s="194"/>
      <c r="AT78" s="194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3"/>
        <v>5</v>
      </c>
      <c r="K79" s="33">
        <f t="shared" si="54"/>
        <v>1.910565629709926</v>
      </c>
      <c r="L79" s="33">
        <f t="shared" si="55"/>
        <v>45</v>
      </c>
      <c r="M79" s="33">
        <f t="shared" si="56"/>
        <v>0</v>
      </c>
      <c r="N79" s="33">
        <f t="shared" si="42"/>
        <v>0</v>
      </c>
      <c r="O79" s="34">
        <f t="shared" si="43"/>
        <v>177.03590180507811</v>
      </c>
      <c r="P79" s="55">
        <v>74</v>
      </c>
      <c r="Q79" s="33">
        <f t="shared" si="51"/>
        <v>12.090000000000003</v>
      </c>
      <c r="R79" s="33">
        <f t="shared" si="57"/>
        <v>381.03000000000009</v>
      </c>
      <c r="S79" s="33">
        <f t="shared" si="58"/>
        <v>220.99740000000003</v>
      </c>
      <c r="T79" s="33">
        <f t="shared" si="44"/>
        <v>54.331608579858553</v>
      </c>
      <c r="U79" s="33">
        <f t="shared" si="52"/>
        <v>63.152553391713859</v>
      </c>
      <c r="V79" s="33">
        <f t="shared" si="45"/>
        <v>10</v>
      </c>
      <c r="W79" s="33">
        <v>0</v>
      </c>
      <c r="X79" s="33">
        <f t="shared" si="46"/>
        <v>747.75738571287127</v>
      </c>
      <c r="Y79" s="38">
        <f t="shared" si="47"/>
        <v>570.72148390779319</v>
      </c>
      <c r="AA79" s="71">
        <v>74</v>
      </c>
      <c r="AB79" s="33">
        <f t="shared" si="48"/>
        <v>0</v>
      </c>
      <c r="AC79" s="305">
        <f t="shared" si="39"/>
        <v>0</v>
      </c>
      <c r="AD79" s="100">
        <f t="shared" si="49"/>
        <v>0</v>
      </c>
      <c r="AE79" s="100">
        <f t="shared" si="50"/>
        <v>0</v>
      </c>
      <c r="AF79" s="194">
        <f t="shared" si="34"/>
        <v>37.566658687892044</v>
      </c>
      <c r="AG79" s="194">
        <f t="shared" si="35"/>
        <v>0</v>
      </c>
      <c r="AH79" s="194">
        <f t="shared" si="36"/>
        <v>0</v>
      </c>
      <c r="AI79" s="199">
        <f t="shared" si="37"/>
        <v>37.566658687892044</v>
      </c>
      <c r="AK79" s="71">
        <v>74</v>
      </c>
      <c r="AL79" s="33"/>
      <c r="AM79" s="33"/>
      <c r="AN79" s="33"/>
      <c r="AO79" s="33"/>
      <c r="AP79" s="33"/>
      <c r="AQ79" s="194"/>
      <c r="AR79" s="194"/>
      <c r="AS79" s="194"/>
      <c r="AT79" s="194"/>
      <c r="AU79" s="33"/>
      <c r="AV79" s="33"/>
      <c r="AW79" s="33"/>
      <c r="AX79" s="33"/>
      <c r="AY79" s="76"/>
    </row>
    <row r="80" spans="2:51">
      <c r="B80" s="378" t="s">
        <v>258</v>
      </c>
      <c r="C80" s="379"/>
      <c r="D80" s="379"/>
      <c r="E80" s="379"/>
      <c r="F80" s="379"/>
      <c r="G80" s="380"/>
      <c r="H80" s="23"/>
      <c r="I80" s="55">
        <v>75</v>
      </c>
      <c r="J80" s="33">
        <f t="shared" si="53"/>
        <v>5</v>
      </c>
      <c r="K80" s="33">
        <f t="shared" si="54"/>
        <v>1.910565629709926</v>
      </c>
      <c r="L80" s="33">
        <f t="shared" si="55"/>
        <v>45</v>
      </c>
      <c r="M80" s="33">
        <f t="shared" si="56"/>
        <v>0</v>
      </c>
      <c r="N80" s="33">
        <f t="shared" si="42"/>
        <v>0</v>
      </c>
      <c r="O80" s="34">
        <f t="shared" si="43"/>
        <v>177.03590180507811</v>
      </c>
      <c r="P80" s="55">
        <v>75</v>
      </c>
      <c r="Q80" s="33">
        <f t="shared" si="51"/>
        <v>12.090000000000003</v>
      </c>
      <c r="R80" s="33">
        <f t="shared" si="57"/>
        <v>393.12000000000012</v>
      </c>
      <c r="S80" s="33">
        <f t="shared" si="58"/>
        <v>228.00960000000006</v>
      </c>
      <c r="T80" s="33">
        <f t="shared" si="44"/>
        <v>55.852093054619829</v>
      </c>
      <c r="U80" s="33">
        <f t="shared" si="52"/>
        <v>63.271341281770404</v>
      </c>
      <c r="V80" s="33">
        <f t="shared" si="45"/>
        <v>10</v>
      </c>
      <c r="W80" s="33">
        <v>0</v>
      </c>
      <c r="X80" s="33">
        <f t="shared" si="46"/>
        <v>763.05403343662113</v>
      </c>
      <c r="Y80" s="38">
        <f t="shared" si="47"/>
        <v>586.01813163154304</v>
      </c>
      <c r="AA80" s="71">
        <v>75</v>
      </c>
      <c r="AB80" s="33">
        <f t="shared" si="48"/>
        <v>0</v>
      </c>
      <c r="AC80" s="305">
        <f t="shared" si="39"/>
        <v>0</v>
      </c>
      <c r="AD80" s="100">
        <f t="shared" si="49"/>
        <v>0</v>
      </c>
      <c r="AE80" s="100">
        <f t="shared" si="50"/>
        <v>0</v>
      </c>
      <c r="AF80" s="194">
        <f t="shared" si="34"/>
        <v>36.829999424421771</v>
      </c>
      <c r="AG80" s="194">
        <f t="shared" si="35"/>
        <v>0</v>
      </c>
      <c r="AH80" s="194">
        <f t="shared" si="36"/>
        <v>0</v>
      </c>
      <c r="AI80" s="199">
        <f t="shared" si="37"/>
        <v>36.829999424421771</v>
      </c>
      <c r="AK80" s="71">
        <v>75</v>
      </c>
      <c r="AL80" s="33"/>
      <c r="AM80" s="33"/>
      <c r="AN80" s="33"/>
      <c r="AO80" s="33"/>
      <c r="AP80" s="33"/>
      <c r="AQ80" s="194"/>
      <c r="AR80" s="194"/>
      <c r="AS80" s="194"/>
      <c r="AT80" s="194"/>
      <c r="AU80" s="33"/>
      <c r="AV80" s="33"/>
      <c r="AW80" s="33"/>
      <c r="AX80" s="33"/>
      <c r="AY80" s="76"/>
    </row>
    <row r="81" spans="2:51">
      <c r="B81" s="156" t="s">
        <v>76</v>
      </c>
      <c r="C81" s="132" t="s">
        <v>155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7"/>
      <c r="I81" s="55">
        <v>76</v>
      </c>
      <c r="J81" s="33">
        <f t="shared" si="53"/>
        <v>5</v>
      </c>
      <c r="K81" s="33">
        <f t="shared" si="54"/>
        <v>1.910565629709926</v>
      </c>
      <c r="L81" s="33">
        <f t="shared" si="55"/>
        <v>45</v>
      </c>
      <c r="M81" s="33">
        <f t="shared" si="56"/>
        <v>0</v>
      </c>
      <c r="N81" s="33">
        <f t="shared" si="42"/>
        <v>0</v>
      </c>
      <c r="O81" s="34">
        <f t="shared" si="43"/>
        <v>177.03590180507811</v>
      </c>
      <c r="P81" s="55">
        <v>76</v>
      </c>
      <c r="Q81" s="33">
        <f t="shared" si="51"/>
        <v>-32.759999999999991</v>
      </c>
      <c r="R81" s="33">
        <f t="shared" si="57"/>
        <v>360.36000000000013</v>
      </c>
      <c r="S81" s="33">
        <f t="shared" si="58"/>
        <v>209.00880000000006</v>
      </c>
      <c r="T81" s="33">
        <f t="shared" si="44"/>
        <v>51.718923953824252</v>
      </c>
      <c r="U81" s="33">
        <f t="shared" si="52"/>
        <v>63.388068467504397</v>
      </c>
      <c r="V81" s="33">
        <f t="shared" si="45"/>
        <v>10</v>
      </c>
      <c r="W81" s="33">
        <v>0</v>
      </c>
      <c r="X81" s="33">
        <f t="shared" si="46"/>
        <v>723.19037026709339</v>
      </c>
      <c r="Y81" s="38">
        <f t="shared" si="47"/>
        <v>546.1544684620153</v>
      </c>
      <c r="AA81" s="71">
        <v>76</v>
      </c>
      <c r="AB81" s="33">
        <f t="shared" si="48"/>
        <v>21</v>
      </c>
      <c r="AC81" s="305">
        <f t="shared" si="39"/>
        <v>0.45</v>
      </c>
      <c r="AD81" s="100">
        <f t="shared" si="49"/>
        <v>0</v>
      </c>
      <c r="AE81" s="100">
        <f t="shared" si="50"/>
        <v>0</v>
      </c>
      <c r="AF81" s="194">
        <f t="shared" si="34"/>
        <v>45.559955314133724</v>
      </c>
      <c r="AG81" s="194">
        <f t="shared" si="35"/>
        <v>0</v>
      </c>
      <c r="AH81" s="194">
        <f t="shared" si="36"/>
        <v>0</v>
      </c>
      <c r="AI81" s="199">
        <f t="shared" si="37"/>
        <v>45.559955314133724</v>
      </c>
      <c r="AK81" s="71">
        <v>76</v>
      </c>
      <c r="AL81" s="33"/>
      <c r="AM81" s="33"/>
      <c r="AN81" s="33"/>
      <c r="AO81" s="33"/>
      <c r="AP81" s="33"/>
      <c r="AQ81" s="194"/>
      <c r="AR81" s="194"/>
      <c r="AS81" s="194"/>
      <c r="AT81" s="194"/>
      <c r="AU81" s="33"/>
      <c r="AV81" s="33"/>
      <c r="AW81" s="33"/>
      <c r="AX81" s="33"/>
      <c r="AY81" s="76"/>
    </row>
    <row r="82" spans="2:51">
      <c r="B82" s="170">
        <f>IF(C25&lt;=$F$18,C25+1,"-")</f>
        <v>21</v>
      </c>
      <c r="C82" s="145">
        <f>D25-D26</f>
        <v>0</v>
      </c>
      <c r="D82" s="146">
        <v>0</v>
      </c>
      <c r="E82" s="171">
        <f>IF(G82+D82&lt;&gt;1,(1-(G82+D82))*56%,0)</f>
        <v>0</v>
      </c>
      <c r="F82" s="171">
        <f>IF(G82+D82&lt;&gt;1,(1-(G82+D82))*44%,0)</f>
        <v>0</v>
      </c>
      <c r="G82" s="147">
        <f>1-D82</f>
        <v>1</v>
      </c>
      <c r="H82" s="58">
        <f t="shared" ref="H82:H94" si="59">IF(C82=0,0,IF(SUM(D82:G82)&lt;&gt;1,"erreur",))</f>
        <v>0</v>
      </c>
      <c r="I82" s="55">
        <v>77</v>
      </c>
      <c r="J82" s="33">
        <f t="shared" si="53"/>
        <v>5</v>
      </c>
      <c r="K82" s="33">
        <f t="shared" si="54"/>
        <v>1.910565629709926</v>
      </c>
      <c r="L82" s="33">
        <f t="shared" si="55"/>
        <v>45</v>
      </c>
      <c r="M82" s="33">
        <f t="shared" si="56"/>
        <v>0</v>
      </c>
      <c r="N82" s="33">
        <f t="shared" si="42"/>
        <v>0</v>
      </c>
      <c r="O82" s="34">
        <f t="shared" si="43"/>
        <v>177.03590180507811</v>
      </c>
      <c r="P82" s="55">
        <v>77</v>
      </c>
      <c r="Q82" s="33">
        <f t="shared" si="51"/>
        <v>11.700000000000003</v>
      </c>
      <c r="R82" s="33">
        <f t="shared" si="57"/>
        <v>372.06000000000012</v>
      </c>
      <c r="S82" s="33">
        <f t="shared" si="58"/>
        <v>215.79480000000007</v>
      </c>
      <c r="T82" s="33">
        <f t="shared" si="44"/>
        <v>53.199882199632363</v>
      </c>
      <c r="U82" s="33">
        <f t="shared" si="52"/>
        <v>63.50277069752881</v>
      </c>
      <c r="V82" s="33">
        <f t="shared" si="45"/>
        <v>10</v>
      </c>
      <c r="W82" s="33">
        <v>0</v>
      </c>
      <c r="X82" s="33">
        <f t="shared" si="46"/>
        <v>738.00923072196531</v>
      </c>
      <c r="Y82" s="38">
        <f t="shared" si="47"/>
        <v>560.97332891688723</v>
      </c>
      <c r="AA82" s="71">
        <v>77</v>
      </c>
      <c r="AB82" s="33">
        <f t="shared" si="48"/>
        <v>0</v>
      </c>
      <c r="AC82" s="305">
        <f t="shared" si="39"/>
        <v>0</v>
      </c>
      <c r="AD82" s="100">
        <f t="shared" si="49"/>
        <v>0</v>
      </c>
      <c r="AE82" s="100">
        <f t="shared" si="50"/>
        <v>0</v>
      </c>
      <c r="AF82" s="194">
        <f t="shared" si="34"/>
        <v>44.666552379252387</v>
      </c>
      <c r="AG82" s="194">
        <f t="shared" si="35"/>
        <v>0</v>
      </c>
      <c r="AH82" s="194">
        <f t="shared" si="36"/>
        <v>0</v>
      </c>
      <c r="AI82" s="199">
        <f t="shared" si="37"/>
        <v>44.666552379252387</v>
      </c>
      <c r="AK82" s="71">
        <v>77</v>
      </c>
      <c r="AL82" s="33"/>
      <c r="AM82" s="33"/>
      <c r="AN82" s="33"/>
      <c r="AO82" s="33"/>
      <c r="AP82" s="33"/>
      <c r="AQ82" s="194"/>
      <c r="AR82" s="194"/>
      <c r="AS82" s="194"/>
      <c r="AT82" s="194"/>
      <c r="AU82" s="33"/>
      <c r="AV82" s="33"/>
      <c r="AW82" s="33"/>
      <c r="AX82" s="33"/>
      <c r="AY82" s="76"/>
    </row>
    <row r="83" spans="2:51">
      <c r="B83" s="172">
        <f>IF(C27&lt;=$F$18,C27+1,"-")</f>
        <v>26</v>
      </c>
      <c r="C83" s="148">
        <f>D27-D28</f>
        <v>8</v>
      </c>
      <c r="D83" s="149">
        <v>0.1</v>
      </c>
      <c r="E83" s="129">
        <f t="shared" ref="E83:E94" si="60">IF(G83+D83&lt;&gt;1,(1-(G83+D83))*56%,0)</f>
        <v>0</v>
      </c>
      <c r="F83" s="129">
        <f t="shared" ref="F83:F94" si="61">IF(G83+D83&lt;&gt;1,(1-(G83+D83))*44%,0)</f>
        <v>0</v>
      </c>
      <c r="G83" s="150">
        <f t="shared" ref="G83:G94" si="62">1-D83</f>
        <v>0.9</v>
      </c>
      <c r="H83" s="58">
        <f t="shared" si="59"/>
        <v>0</v>
      </c>
      <c r="I83" s="55">
        <v>78</v>
      </c>
      <c r="J83" s="33">
        <f t="shared" si="53"/>
        <v>5</v>
      </c>
      <c r="K83" s="33">
        <f t="shared" si="54"/>
        <v>1.910565629709926</v>
      </c>
      <c r="L83" s="33">
        <f t="shared" si="55"/>
        <v>45</v>
      </c>
      <c r="M83" s="33">
        <f t="shared" si="56"/>
        <v>0</v>
      </c>
      <c r="N83" s="33">
        <f t="shared" si="42"/>
        <v>0</v>
      </c>
      <c r="O83" s="34">
        <f t="shared" si="43"/>
        <v>177.03590180507811</v>
      </c>
      <c r="P83" s="55">
        <v>78</v>
      </c>
      <c r="Q83" s="33">
        <f t="shared" si="51"/>
        <v>11.700000000000003</v>
      </c>
      <c r="R83" s="33">
        <f t="shared" si="57"/>
        <v>383.7600000000001</v>
      </c>
      <c r="S83" s="33">
        <f t="shared" si="58"/>
        <v>222.58080000000004</v>
      </c>
      <c r="T83" s="33">
        <f t="shared" si="44"/>
        <v>54.675428546153249</v>
      </c>
      <c r="U83" s="33">
        <f t="shared" si="52"/>
        <v>63.615483100298057</v>
      </c>
      <c r="V83" s="33">
        <f t="shared" si="45"/>
        <v>10</v>
      </c>
      <c r="W83" s="33">
        <v>0</v>
      </c>
      <c r="X83" s="33">
        <f t="shared" si="46"/>
        <v>752.81136941897648</v>
      </c>
      <c r="Y83" s="38">
        <f t="shared" si="47"/>
        <v>575.7754676138984</v>
      </c>
      <c r="AA83" s="71">
        <v>78</v>
      </c>
      <c r="AB83" s="33">
        <f t="shared" si="48"/>
        <v>0</v>
      </c>
      <c r="AC83" s="305">
        <f t="shared" si="39"/>
        <v>0</v>
      </c>
      <c r="AD83" s="100">
        <f t="shared" si="49"/>
        <v>0</v>
      </c>
      <c r="AE83" s="100">
        <f t="shared" si="50"/>
        <v>0</v>
      </c>
      <c r="AF83" s="194">
        <f t="shared" si="34"/>
        <v>43.790668531002083</v>
      </c>
      <c r="AG83" s="194">
        <f t="shared" si="35"/>
        <v>0</v>
      </c>
      <c r="AH83" s="194">
        <f t="shared" si="36"/>
        <v>0</v>
      </c>
      <c r="AI83" s="199">
        <f t="shared" si="37"/>
        <v>43.790668531002083</v>
      </c>
      <c r="AK83" s="71">
        <v>78</v>
      </c>
      <c r="AL83" s="33"/>
      <c r="AM83" s="33"/>
      <c r="AN83" s="33"/>
      <c r="AO83" s="33"/>
      <c r="AP83" s="33"/>
      <c r="AQ83" s="194"/>
      <c r="AR83" s="194"/>
      <c r="AS83" s="194"/>
      <c r="AT83" s="194"/>
      <c r="AU83" s="33"/>
      <c r="AV83" s="33"/>
      <c r="AW83" s="33"/>
      <c r="AX83" s="33"/>
      <c r="AY83" s="76"/>
    </row>
    <row r="84" spans="2:51">
      <c r="B84" s="187">
        <f>IF(C29&lt;=$F$18,C29+1,"-")</f>
        <v>31</v>
      </c>
      <c r="C84" s="148">
        <f>D29-D30</f>
        <v>21</v>
      </c>
      <c r="D84" s="149">
        <v>0.2</v>
      </c>
      <c r="E84" s="129">
        <f t="shared" si="60"/>
        <v>0</v>
      </c>
      <c r="F84" s="129">
        <f t="shared" si="61"/>
        <v>0</v>
      </c>
      <c r="G84" s="150">
        <f t="shared" si="62"/>
        <v>0.8</v>
      </c>
      <c r="H84" s="58">
        <f t="shared" si="59"/>
        <v>0</v>
      </c>
      <c r="I84" s="55">
        <v>79</v>
      </c>
      <c r="J84" s="33">
        <f t="shared" si="53"/>
        <v>5</v>
      </c>
      <c r="K84" s="33">
        <f t="shared" si="54"/>
        <v>1.910565629709926</v>
      </c>
      <c r="L84" s="33">
        <f t="shared" si="55"/>
        <v>45</v>
      </c>
      <c r="M84" s="33">
        <f t="shared" si="56"/>
        <v>0</v>
      </c>
      <c r="N84" s="33">
        <f t="shared" si="42"/>
        <v>0</v>
      </c>
      <c r="O84" s="34">
        <f t="shared" si="43"/>
        <v>177.03590180507811</v>
      </c>
      <c r="P84" s="55">
        <v>79</v>
      </c>
      <c r="Q84" s="33">
        <f t="shared" si="51"/>
        <v>11.700000000000003</v>
      </c>
      <c r="R84" s="33">
        <f t="shared" si="57"/>
        <v>395.46000000000009</v>
      </c>
      <c r="S84" s="33">
        <f t="shared" si="58"/>
        <v>229.36680000000004</v>
      </c>
      <c r="T84" s="33">
        <f t="shared" si="44"/>
        <v>56.14574692729505</v>
      </c>
      <c r="U84" s="33">
        <f t="shared" si="52"/>
        <v>63.726240194866449</v>
      </c>
      <c r="V84" s="33">
        <f t="shared" si="45"/>
        <v>10</v>
      </c>
      <c r="W84" s="33">
        <v>0</v>
      </c>
      <c r="X84" s="33">
        <f t="shared" si="46"/>
        <v>767.59723327954919</v>
      </c>
      <c r="Y84" s="38">
        <f t="shared" si="47"/>
        <v>590.5613314744711</v>
      </c>
      <c r="AA84" s="71">
        <v>79</v>
      </c>
      <c r="AB84" s="33">
        <f t="shared" si="48"/>
        <v>0</v>
      </c>
      <c r="AC84" s="305">
        <f t="shared" si="39"/>
        <v>0</v>
      </c>
      <c r="AD84" s="100">
        <f t="shared" si="49"/>
        <v>0</v>
      </c>
      <c r="AE84" s="100">
        <f t="shared" si="50"/>
        <v>0</v>
      </c>
      <c r="AF84" s="194">
        <f t="shared" si="34"/>
        <v>42.931960230779573</v>
      </c>
      <c r="AG84" s="194">
        <f t="shared" si="35"/>
        <v>0</v>
      </c>
      <c r="AH84" s="194">
        <f t="shared" si="36"/>
        <v>0</v>
      </c>
      <c r="AI84" s="199">
        <f t="shared" si="37"/>
        <v>42.931960230779573</v>
      </c>
      <c r="AK84" s="71">
        <v>79</v>
      </c>
      <c r="AL84" s="33"/>
      <c r="AM84" s="33"/>
      <c r="AN84" s="33"/>
      <c r="AO84" s="33"/>
      <c r="AP84" s="33"/>
      <c r="AQ84" s="194"/>
      <c r="AR84" s="194"/>
      <c r="AS84" s="194"/>
      <c r="AT84" s="194"/>
      <c r="AU84" s="33"/>
      <c r="AV84" s="33"/>
      <c r="AW84" s="33"/>
      <c r="AX84" s="33"/>
      <c r="AY84" s="76"/>
    </row>
    <row r="85" spans="2:51">
      <c r="B85" s="172">
        <f>IF(C31&lt;=$F$18,C31+1,"-")</f>
        <v>36</v>
      </c>
      <c r="C85" s="148">
        <f>D31-D32</f>
        <v>21</v>
      </c>
      <c r="D85" s="149">
        <v>0.3</v>
      </c>
      <c r="E85" s="129">
        <f t="shared" si="60"/>
        <v>0</v>
      </c>
      <c r="F85" s="129">
        <f t="shared" si="61"/>
        <v>0</v>
      </c>
      <c r="G85" s="150">
        <f t="shared" si="62"/>
        <v>0.7</v>
      </c>
      <c r="H85" s="58">
        <f t="shared" si="59"/>
        <v>0</v>
      </c>
      <c r="I85" s="55">
        <v>80</v>
      </c>
      <c r="J85" s="33">
        <f t="shared" si="53"/>
        <v>5</v>
      </c>
      <c r="K85" s="33">
        <f t="shared" si="54"/>
        <v>1.910565629709926</v>
      </c>
      <c r="L85" s="33">
        <f t="shared" si="55"/>
        <v>45</v>
      </c>
      <c r="M85" s="33">
        <f t="shared" si="56"/>
        <v>0</v>
      </c>
      <c r="N85" s="33">
        <f t="shared" si="42"/>
        <v>0</v>
      </c>
      <c r="O85" s="34">
        <f t="shared" si="43"/>
        <v>177.03590180507811</v>
      </c>
      <c r="P85" s="55">
        <v>80</v>
      </c>
      <c r="Q85" s="33">
        <f t="shared" si="51"/>
        <v>11.700000000000003</v>
      </c>
      <c r="R85" s="33">
        <f t="shared" si="57"/>
        <v>407.16000000000008</v>
      </c>
      <c r="S85" s="33">
        <f t="shared" si="58"/>
        <v>236.15280000000004</v>
      </c>
      <c r="T85" s="33">
        <f t="shared" si="44"/>
        <v>57.61100977459936</v>
      </c>
      <c r="U85" s="33">
        <f t="shared" si="52"/>
        <v>63.835075901459838</v>
      </c>
      <c r="V85" s="33">
        <f t="shared" si="45"/>
        <v>10</v>
      </c>
      <c r="W85" s="33">
        <v>0</v>
      </c>
      <c r="X85" s="33">
        <f t="shared" si="46"/>
        <v>782.36724699611341</v>
      </c>
      <c r="Y85" s="38">
        <f t="shared" si="47"/>
        <v>605.33134519103533</v>
      </c>
      <c r="AA85" s="71">
        <v>80</v>
      </c>
      <c r="AB85" s="33">
        <f t="shared" si="48"/>
        <v>0</v>
      </c>
      <c r="AC85" s="305">
        <f t="shared" si="39"/>
        <v>0</v>
      </c>
      <c r="AD85" s="100">
        <f t="shared" si="49"/>
        <v>0</v>
      </c>
      <c r="AE85" s="100">
        <f t="shared" si="50"/>
        <v>0</v>
      </c>
      <c r="AF85" s="194">
        <f t="shared" si="34"/>
        <v>42.090090676564081</v>
      </c>
      <c r="AG85" s="194">
        <f t="shared" si="35"/>
        <v>0</v>
      </c>
      <c r="AH85" s="194">
        <f t="shared" si="36"/>
        <v>0</v>
      </c>
      <c r="AI85" s="199">
        <f t="shared" si="37"/>
        <v>42.090090676564081</v>
      </c>
      <c r="AK85" s="71">
        <v>80</v>
      </c>
      <c r="AL85" s="33"/>
      <c r="AM85" s="33"/>
      <c r="AN85" s="33"/>
      <c r="AO85" s="33"/>
      <c r="AP85" s="33"/>
      <c r="AQ85" s="194"/>
      <c r="AR85" s="194"/>
      <c r="AS85" s="194"/>
      <c r="AT85" s="194"/>
      <c r="AU85" s="33"/>
      <c r="AV85" s="33"/>
      <c r="AW85" s="33"/>
      <c r="AX85" s="33"/>
      <c r="AY85" s="76"/>
    </row>
    <row r="86" spans="2:51">
      <c r="B86" s="172">
        <f>IF(C33&lt;=$F$18,C33+1,"-")</f>
        <v>41</v>
      </c>
      <c r="C86" s="148">
        <f>D33-D34</f>
        <v>21</v>
      </c>
      <c r="D86" s="149">
        <v>0.4</v>
      </c>
      <c r="E86" s="129">
        <f t="shared" si="60"/>
        <v>0</v>
      </c>
      <c r="F86" s="129">
        <f t="shared" si="61"/>
        <v>0</v>
      </c>
      <c r="G86" s="150">
        <f t="shared" si="62"/>
        <v>0.6</v>
      </c>
      <c r="H86" s="58">
        <f t="shared" si="59"/>
        <v>0</v>
      </c>
      <c r="I86" s="55">
        <v>81</v>
      </c>
      <c r="J86" s="33">
        <f t="shared" si="53"/>
        <v>5</v>
      </c>
      <c r="K86" s="33">
        <f t="shared" si="54"/>
        <v>1.910565629709926</v>
      </c>
      <c r="L86" s="33">
        <f t="shared" si="55"/>
        <v>45</v>
      </c>
      <c r="M86" s="33">
        <f t="shared" si="56"/>
        <v>0</v>
      </c>
      <c r="N86" s="33">
        <f t="shared" si="42"/>
        <v>0</v>
      </c>
      <c r="O86" s="34">
        <f t="shared" si="43"/>
        <v>177.03590180507811</v>
      </c>
      <c r="P86" s="55">
        <v>81</v>
      </c>
      <c r="Q86" s="33">
        <f t="shared" si="51"/>
        <v>-32.759999999999991</v>
      </c>
      <c r="R86" s="33">
        <f t="shared" si="57"/>
        <v>374.40000000000009</v>
      </c>
      <c r="S86" s="33">
        <f t="shared" si="58"/>
        <v>217.15200000000004</v>
      </c>
      <c r="T86" s="33">
        <f t="shared" si="44"/>
        <v>53.495418360394275</v>
      </c>
      <c r="U86" s="33">
        <f t="shared" si="52"/>
        <v>63.942023551864025</v>
      </c>
      <c r="V86" s="33">
        <f t="shared" si="45"/>
        <v>10</v>
      </c>
      <c r="W86" s="33">
        <v>0</v>
      </c>
      <c r="X86" s="33">
        <f t="shared" si="46"/>
        <v>742.49834000118824</v>
      </c>
      <c r="Y86" s="38">
        <f t="shared" si="47"/>
        <v>565.46243819611016</v>
      </c>
      <c r="AA86" s="71">
        <v>81</v>
      </c>
      <c r="AB86" s="33">
        <f t="shared" si="48"/>
        <v>0</v>
      </c>
      <c r="AC86" s="305">
        <f t="shared" si="39"/>
        <v>0</v>
      </c>
      <c r="AD86" s="100">
        <f t="shared" si="49"/>
        <v>0</v>
      </c>
      <c r="AE86" s="100">
        <f t="shared" si="50"/>
        <v>0</v>
      </c>
      <c r="AF86" s="194">
        <f t="shared" si="34"/>
        <v>41.264729670817033</v>
      </c>
      <c r="AG86" s="194">
        <f t="shared" si="35"/>
        <v>0</v>
      </c>
      <c r="AH86" s="194">
        <f t="shared" si="36"/>
        <v>0</v>
      </c>
      <c r="AI86" s="199">
        <f t="shared" si="37"/>
        <v>41.264729670817033</v>
      </c>
      <c r="AK86" s="71">
        <v>81</v>
      </c>
      <c r="AL86" s="33"/>
      <c r="AM86" s="33"/>
      <c r="AN86" s="33"/>
      <c r="AO86" s="33"/>
      <c r="AP86" s="33"/>
      <c r="AQ86" s="194"/>
      <c r="AR86" s="194"/>
      <c r="AS86" s="194"/>
      <c r="AT86" s="194"/>
      <c r="AU86" s="33"/>
      <c r="AV86" s="33"/>
      <c r="AW86" s="33"/>
      <c r="AX86" s="33"/>
      <c r="AY86" s="76"/>
    </row>
    <row r="87" spans="2:51">
      <c r="B87" s="172">
        <f>IF(C35&lt;=$F$18,C35+1,"-")</f>
        <v>46</v>
      </c>
      <c r="C87" s="148">
        <f>D35-D36</f>
        <v>21</v>
      </c>
      <c r="D87" s="149">
        <v>0.5</v>
      </c>
      <c r="E87" s="129">
        <f t="shared" si="60"/>
        <v>0</v>
      </c>
      <c r="F87" s="129">
        <f t="shared" si="61"/>
        <v>0</v>
      </c>
      <c r="G87" s="150">
        <f t="shared" si="62"/>
        <v>0.5</v>
      </c>
      <c r="H87" s="58">
        <f t="shared" si="59"/>
        <v>0</v>
      </c>
      <c r="I87" s="55">
        <v>82</v>
      </c>
      <c r="J87" s="33">
        <f t="shared" si="53"/>
        <v>5</v>
      </c>
      <c r="K87" s="33">
        <f t="shared" si="54"/>
        <v>1.910565629709926</v>
      </c>
      <c r="L87" s="33">
        <f t="shared" si="55"/>
        <v>45</v>
      </c>
      <c r="M87" s="33">
        <f t="shared" si="56"/>
        <v>0</v>
      </c>
      <c r="N87" s="33">
        <f t="shared" si="42"/>
        <v>0</v>
      </c>
      <c r="O87" s="34">
        <f t="shared" si="43"/>
        <v>177.03590180507811</v>
      </c>
      <c r="P87" s="55">
        <v>82</v>
      </c>
      <c r="Q87" s="33">
        <f t="shared" si="51"/>
        <v>11.309999999999988</v>
      </c>
      <c r="R87" s="33">
        <f t="shared" si="57"/>
        <v>385.71000000000009</v>
      </c>
      <c r="S87" s="33">
        <f t="shared" si="58"/>
        <v>223.71180000000004</v>
      </c>
      <c r="T87" s="33">
        <f t="shared" si="44"/>
        <v>54.920839869581336</v>
      </c>
      <c r="U87" s="33">
        <f t="shared" si="52"/>
        <v>64.047115899632828</v>
      </c>
      <c r="V87" s="33">
        <f t="shared" si="45"/>
        <v>10</v>
      </c>
      <c r="W87" s="33">
        <v>0</v>
      </c>
      <c r="X87" s="33">
        <f t="shared" si="46"/>
        <v>756.7912727381746</v>
      </c>
      <c r="Y87" s="38">
        <f t="shared" si="47"/>
        <v>579.75537093309651</v>
      </c>
      <c r="AA87" s="71">
        <v>82</v>
      </c>
      <c r="AB87" s="33">
        <f t="shared" si="48"/>
        <v>0</v>
      </c>
      <c r="AC87" s="305">
        <f t="shared" si="39"/>
        <v>0</v>
      </c>
      <c r="AD87" s="100">
        <f t="shared" si="49"/>
        <v>0</v>
      </c>
      <c r="AE87" s="100">
        <f t="shared" si="50"/>
        <v>0</v>
      </c>
      <c r="AF87" s="194">
        <f t="shared" si="34"/>
        <v>40.455553490972179</v>
      </c>
      <c r="AG87" s="194">
        <f t="shared" si="35"/>
        <v>0</v>
      </c>
      <c r="AH87" s="194">
        <f t="shared" si="36"/>
        <v>0</v>
      </c>
      <c r="AI87" s="199">
        <f t="shared" si="37"/>
        <v>40.455553490972179</v>
      </c>
      <c r="AK87" s="71">
        <v>82</v>
      </c>
      <c r="AL87" s="33"/>
      <c r="AM87" s="33"/>
      <c r="AN87" s="33"/>
      <c r="AO87" s="33"/>
      <c r="AP87" s="33"/>
      <c r="AQ87" s="194"/>
      <c r="AR87" s="194"/>
      <c r="AS87" s="194"/>
      <c r="AT87" s="194"/>
      <c r="AU87" s="33"/>
      <c r="AV87" s="33"/>
      <c r="AW87" s="33"/>
      <c r="AX87" s="33"/>
      <c r="AY87" s="76"/>
    </row>
    <row r="88" spans="2:51">
      <c r="B88" s="172">
        <f>IF(C37&lt;=$F$18,C37+1,"-")</f>
        <v>51</v>
      </c>
      <c r="C88" s="148">
        <f>D37-D38</f>
        <v>21</v>
      </c>
      <c r="D88" s="149">
        <v>0.6</v>
      </c>
      <c r="E88" s="129">
        <f t="shared" si="60"/>
        <v>0</v>
      </c>
      <c r="F88" s="129">
        <f t="shared" si="61"/>
        <v>0</v>
      </c>
      <c r="G88" s="150">
        <f t="shared" si="62"/>
        <v>0.4</v>
      </c>
      <c r="H88" s="58">
        <f t="shared" si="59"/>
        <v>0</v>
      </c>
      <c r="I88" s="55">
        <v>83</v>
      </c>
      <c r="J88" s="33">
        <f t="shared" si="53"/>
        <v>5</v>
      </c>
      <c r="K88" s="33">
        <f t="shared" si="54"/>
        <v>1.910565629709926</v>
      </c>
      <c r="L88" s="33">
        <f t="shared" si="55"/>
        <v>45</v>
      </c>
      <c r="M88" s="33">
        <f t="shared" si="56"/>
        <v>0</v>
      </c>
      <c r="N88" s="33">
        <f t="shared" si="42"/>
        <v>0</v>
      </c>
      <c r="O88" s="34">
        <f t="shared" si="43"/>
        <v>177.03590180507811</v>
      </c>
      <c r="P88" s="55">
        <v>83</v>
      </c>
      <c r="Q88" s="33">
        <f t="shared" si="51"/>
        <v>11.309999999999988</v>
      </c>
      <c r="R88" s="33">
        <f t="shared" si="57"/>
        <v>397.0200000000001</v>
      </c>
      <c r="S88" s="33">
        <f t="shared" si="58"/>
        <v>230.27160000000003</v>
      </c>
      <c r="T88" s="33">
        <f t="shared" si="44"/>
        <v>56.341403766865255</v>
      </c>
      <c r="U88" s="33">
        <f t="shared" si="52"/>
        <v>64.150385130119133</v>
      </c>
      <c r="V88" s="33">
        <f t="shared" si="45"/>
        <v>10</v>
      </c>
      <c r="W88" s="33">
        <v>0</v>
      </c>
      <c r="X88" s="33">
        <f t="shared" si="46"/>
        <v>771.06906037106046</v>
      </c>
      <c r="Y88" s="38">
        <f t="shared" si="47"/>
        <v>594.03315856598238</v>
      </c>
      <c r="AA88" s="71">
        <v>83</v>
      </c>
      <c r="AB88" s="33">
        <f t="shared" si="48"/>
        <v>0</v>
      </c>
      <c r="AC88" s="305">
        <f t="shared" si="39"/>
        <v>0</v>
      </c>
      <c r="AD88" s="100">
        <f t="shared" si="49"/>
        <v>0</v>
      </c>
      <c r="AE88" s="100">
        <f t="shared" si="50"/>
        <v>0</v>
      </c>
      <c r="AF88" s="194">
        <f t="shared" si="34"/>
        <v>39.662244762465342</v>
      </c>
      <c r="AG88" s="194">
        <f t="shared" si="35"/>
        <v>0</v>
      </c>
      <c r="AH88" s="194">
        <f t="shared" si="36"/>
        <v>0</v>
      </c>
      <c r="AI88" s="199">
        <f t="shared" si="37"/>
        <v>39.662244762465342</v>
      </c>
      <c r="AK88" s="71">
        <v>83</v>
      </c>
      <c r="AL88" s="33"/>
      <c r="AM88" s="33"/>
      <c r="AN88" s="33"/>
      <c r="AO88" s="33"/>
      <c r="AP88" s="33"/>
      <c r="AQ88" s="194"/>
      <c r="AR88" s="194"/>
      <c r="AS88" s="194"/>
      <c r="AT88" s="194"/>
      <c r="AU88" s="33"/>
      <c r="AV88" s="33"/>
      <c r="AW88" s="33"/>
      <c r="AX88" s="33"/>
      <c r="AY88" s="76"/>
    </row>
    <row r="89" spans="2:51">
      <c r="B89" s="172">
        <f>IF(C39&lt;=$F$18,C39+1,"-")</f>
        <v>56</v>
      </c>
      <c r="C89" s="148">
        <f>D39-D40</f>
        <v>21</v>
      </c>
      <c r="D89" s="149">
        <v>0.7</v>
      </c>
      <c r="E89" s="129">
        <f t="shared" si="60"/>
        <v>0</v>
      </c>
      <c r="F89" s="129">
        <f t="shared" si="61"/>
        <v>0</v>
      </c>
      <c r="G89" s="150">
        <f t="shared" si="62"/>
        <v>0.30000000000000004</v>
      </c>
      <c r="H89" s="58">
        <f t="shared" si="59"/>
        <v>0</v>
      </c>
      <c r="I89" s="55">
        <v>84</v>
      </c>
      <c r="J89" s="33">
        <f t="shared" si="53"/>
        <v>5</v>
      </c>
      <c r="K89" s="33">
        <f t="shared" si="54"/>
        <v>1.910565629709926</v>
      </c>
      <c r="L89" s="33">
        <f t="shared" si="55"/>
        <v>45</v>
      </c>
      <c r="M89" s="33">
        <f t="shared" si="56"/>
        <v>0</v>
      </c>
      <c r="N89" s="33">
        <f t="shared" si="42"/>
        <v>0</v>
      </c>
      <c r="O89" s="34">
        <f t="shared" si="43"/>
        <v>177.03590180507811</v>
      </c>
      <c r="P89" s="55">
        <v>84</v>
      </c>
      <c r="Q89" s="33">
        <f t="shared" si="51"/>
        <v>11.309999999999988</v>
      </c>
      <c r="R89" s="33">
        <f t="shared" si="57"/>
        <v>408.3300000000001</v>
      </c>
      <c r="S89" s="33">
        <f t="shared" si="58"/>
        <v>236.83140000000003</v>
      </c>
      <c r="T89" s="33">
        <f t="shared" si="44"/>
        <v>57.757264326006492</v>
      </c>
      <c r="U89" s="33">
        <f t="shared" si="52"/>
        <v>64.251862870331905</v>
      </c>
      <c r="V89" s="33">
        <f t="shared" si="45"/>
        <v>10</v>
      </c>
      <c r="W89" s="33">
        <v>0</v>
      </c>
      <c r="X89" s="33">
        <f t="shared" si="46"/>
        <v>785.33208755901171</v>
      </c>
      <c r="Y89" s="38">
        <f t="shared" si="47"/>
        <v>608.29618575393363</v>
      </c>
      <c r="AA89" s="71">
        <v>84</v>
      </c>
      <c r="AB89" s="33">
        <f t="shared" si="48"/>
        <v>0</v>
      </c>
      <c r="AC89" s="305">
        <f t="shared" si="39"/>
        <v>0</v>
      </c>
      <c r="AD89" s="100">
        <f t="shared" si="49"/>
        <v>0</v>
      </c>
      <c r="AE89" s="100">
        <f t="shared" si="50"/>
        <v>0</v>
      </c>
      <c r="AF89" s="194">
        <f t="shared" si="34"/>
        <v>38.884492334253984</v>
      </c>
      <c r="AG89" s="194">
        <f t="shared" si="35"/>
        <v>0</v>
      </c>
      <c r="AH89" s="194">
        <f t="shared" si="36"/>
        <v>0</v>
      </c>
      <c r="AI89" s="199">
        <f t="shared" si="37"/>
        <v>38.884492334253984</v>
      </c>
      <c r="AK89" s="71">
        <v>84</v>
      </c>
      <c r="AL89" s="33"/>
      <c r="AM89" s="33"/>
      <c r="AN89" s="33"/>
      <c r="AO89" s="33"/>
      <c r="AP89" s="33"/>
      <c r="AQ89" s="194"/>
      <c r="AR89" s="194"/>
      <c r="AS89" s="194"/>
      <c r="AT89" s="194"/>
      <c r="AU89" s="33"/>
      <c r="AV89" s="33"/>
      <c r="AW89" s="33"/>
      <c r="AX89" s="33"/>
      <c r="AY89" s="76"/>
    </row>
    <row r="90" spans="2:51">
      <c r="B90" s="172">
        <f>IF(C41&lt;=$F$18,C41+1,"-")</f>
        <v>61</v>
      </c>
      <c r="C90" s="148">
        <f>D41-D42</f>
        <v>21</v>
      </c>
      <c r="D90" s="149">
        <v>0.8</v>
      </c>
      <c r="E90" s="129">
        <f t="shared" si="60"/>
        <v>0</v>
      </c>
      <c r="F90" s="129">
        <f t="shared" si="61"/>
        <v>0</v>
      </c>
      <c r="G90" s="150">
        <f t="shared" si="62"/>
        <v>0.19999999999999996</v>
      </c>
      <c r="H90" s="58">
        <f t="shared" si="59"/>
        <v>0</v>
      </c>
      <c r="I90" s="55">
        <v>85</v>
      </c>
      <c r="J90" s="33">
        <f t="shared" si="53"/>
        <v>5</v>
      </c>
      <c r="K90" s="33">
        <f t="shared" si="54"/>
        <v>1.910565629709926</v>
      </c>
      <c r="L90" s="33">
        <f t="shared" si="55"/>
        <v>45</v>
      </c>
      <c r="M90" s="33">
        <f t="shared" si="56"/>
        <v>0</v>
      </c>
      <c r="N90" s="33">
        <f t="shared" si="42"/>
        <v>0</v>
      </c>
      <c r="O90" s="34">
        <f t="shared" si="43"/>
        <v>177.03590180507811</v>
      </c>
      <c r="P90" s="55">
        <v>85</v>
      </c>
      <c r="Q90" s="33">
        <f t="shared" si="51"/>
        <v>11.309999999999988</v>
      </c>
      <c r="R90" s="33">
        <f t="shared" si="57"/>
        <v>419.6400000000001</v>
      </c>
      <c r="S90" s="33">
        <f t="shared" si="58"/>
        <v>243.39120000000005</v>
      </c>
      <c r="T90" s="33">
        <f t="shared" si="44"/>
        <v>59.168566788241527</v>
      </c>
      <c r="U90" s="33">
        <f t="shared" si="52"/>
        <v>64.35158019862223</v>
      </c>
      <c r="V90" s="33">
        <f t="shared" si="45"/>
        <v>10</v>
      </c>
      <c r="W90" s="33">
        <v>0</v>
      </c>
      <c r="X90" s="33">
        <f t="shared" si="46"/>
        <v>799.58072121780231</v>
      </c>
      <c r="Y90" s="38">
        <f t="shared" si="47"/>
        <v>622.54481941272422</v>
      </c>
      <c r="AA90" s="71">
        <v>85</v>
      </c>
      <c r="AB90" s="33">
        <f t="shared" si="48"/>
        <v>0</v>
      </c>
      <c r="AC90" s="305">
        <f t="shared" si="39"/>
        <v>0</v>
      </c>
      <c r="AD90" s="100">
        <f t="shared" si="49"/>
        <v>0</v>
      </c>
      <c r="AE90" s="100">
        <f t="shared" si="50"/>
        <v>0</v>
      </c>
      <c r="AF90" s="194">
        <f t="shared" si="34"/>
        <v>38.12199115677771</v>
      </c>
      <c r="AG90" s="194">
        <f t="shared" si="35"/>
        <v>0</v>
      </c>
      <c r="AH90" s="194">
        <f t="shared" si="36"/>
        <v>0</v>
      </c>
      <c r="AI90" s="199">
        <f t="shared" si="37"/>
        <v>38.12199115677771</v>
      </c>
      <c r="AK90" s="71">
        <v>85</v>
      </c>
      <c r="AL90" s="33"/>
      <c r="AM90" s="33"/>
      <c r="AN90" s="33"/>
      <c r="AO90" s="33"/>
      <c r="AP90" s="33"/>
      <c r="AQ90" s="194"/>
      <c r="AR90" s="194"/>
      <c r="AS90" s="194"/>
      <c r="AT90" s="194"/>
      <c r="AU90" s="33"/>
      <c r="AV90" s="33"/>
      <c r="AW90" s="33"/>
      <c r="AX90" s="33"/>
      <c r="AY90" s="76"/>
    </row>
    <row r="91" spans="2:51">
      <c r="B91" s="172">
        <f>IF(C43&lt;=$F$18,C43+1,"-")</f>
        <v>66</v>
      </c>
      <c r="C91" s="148">
        <f>D43-D44</f>
        <v>21</v>
      </c>
      <c r="D91" s="149">
        <v>0.7</v>
      </c>
      <c r="E91" s="129">
        <f t="shared" si="60"/>
        <v>0</v>
      </c>
      <c r="F91" s="129">
        <f t="shared" si="61"/>
        <v>0</v>
      </c>
      <c r="G91" s="150">
        <f t="shared" si="62"/>
        <v>0.30000000000000004</v>
      </c>
      <c r="H91" s="58">
        <f t="shared" si="59"/>
        <v>0</v>
      </c>
      <c r="I91" s="55">
        <v>86</v>
      </c>
      <c r="J91" s="33">
        <f t="shared" si="53"/>
        <v>5</v>
      </c>
      <c r="K91" s="33">
        <f t="shared" si="54"/>
        <v>1.910565629709926</v>
      </c>
      <c r="L91" s="33">
        <f t="shared" si="55"/>
        <v>45</v>
      </c>
      <c r="M91" s="33">
        <f t="shared" si="56"/>
        <v>0</v>
      </c>
      <c r="N91" s="33">
        <f t="shared" si="42"/>
        <v>0</v>
      </c>
      <c r="O91" s="34">
        <f t="shared" si="43"/>
        <v>177.03590180507811</v>
      </c>
      <c r="P91" s="55">
        <v>86</v>
      </c>
      <c r="Q91" s="33">
        <f t="shared" si="51"/>
        <v>-32.759999999999991</v>
      </c>
      <c r="R91" s="33">
        <f t="shared" si="57"/>
        <v>386.88000000000011</v>
      </c>
      <c r="S91" s="33">
        <f t="shared" si="58"/>
        <v>224.39040000000006</v>
      </c>
      <c r="T91" s="33">
        <f t="shared" si="44"/>
        <v>55.068017311015858</v>
      </c>
      <c r="U91" s="33">
        <f t="shared" si="52"/>
        <v>64.449567654201275</v>
      </c>
      <c r="V91" s="33">
        <f t="shared" si="45"/>
        <v>10</v>
      </c>
      <c r="W91" s="33">
        <v>0</v>
      </c>
      <c r="X91" s="33">
        <f t="shared" si="46"/>
        <v>759.70515821542404</v>
      </c>
      <c r="Y91" s="38">
        <f t="shared" si="47"/>
        <v>582.66925641034595</v>
      </c>
      <c r="AA91" s="71">
        <v>86</v>
      </c>
      <c r="AB91" s="33">
        <f t="shared" si="48"/>
        <v>0</v>
      </c>
      <c r="AC91" s="305">
        <f t="shared" si="39"/>
        <v>0</v>
      </c>
      <c r="AD91" s="100">
        <f t="shared" si="49"/>
        <v>0</v>
      </c>
      <c r="AE91" s="100">
        <f t="shared" si="50"/>
        <v>0</v>
      </c>
      <c r="AF91" s="194">
        <f t="shared" ref="AF91:AF154" si="63">IF(OR(AA91&lt;=$F$18,AA91&lt;=30),EXP(-LN(2)/$D$104)*AF90+((1-EXP(-LN(2)/$D$104))/(LN(2)/$D$104))*$AB91*AC91*0.475*$F$19*44/12,)</f>
        <v>37.374442162311951</v>
      </c>
      <c r="AG91" s="194">
        <f t="shared" ref="AG91:AG154" si="64">IF(OR(AA91&lt;=$F$18,AA91&lt;=30),EXP(-LN(2)/$D$106)*AG90+((1-EXP(-LN(2)/$D$106))/(LN(2)/$D$106))*$AB91*AD91*0.475*$F$19*44/12,)</f>
        <v>0</v>
      </c>
      <c r="AH91" s="194">
        <f t="shared" ref="AH91:AH154" si="65">IF(OR(AA91&lt;=$F$18,AA91&lt;=30),EXP(-LN(2)/$D$105)*AH90+((1-EXP(-LN(2)/$D$105))/(LN(2)/$D$105))*$AB91*AE91*0.475*$F$19*44/12,)</f>
        <v>0</v>
      </c>
      <c r="AI91" s="199">
        <f t="shared" ref="AI91:AI154" si="66">IF(OR(AA91&lt;=$F$18,AA91&lt;=30),SUM(AF91:AH91),)</f>
        <v>37.374442162311951</v>
      </c>
      <c r="AK91" s="71">
        <v>86</v>
      </c>
      <c r="AL91" s="33"/>
      <c r="AM91" s="33"/>
      <c r="AN91" s="33"/>
      <c r="AO91" s="33"/>
      <c r="AP91" s="33"/>
      <c r="AQ91" s="194"/>
      <c r="AR91" s="194"/>
      <c r="AS91" s="194"/>
      <c r="AT91" s="194"/>
      <c r="AU91" s="33"/>
      <c r="AV91" s="33"/>
      <c r="AW91" s="33"/>
      <c r="AX91" s="33"/>
      <c r="AY91" s="76"/>
    </row>
    <row r="92" spans="2:51">
      <c r="B92" s="172">
        <f>IF(C45&lt;=$F$18,C45+1,"-")</f>
        <v>71</v>
      </c>
      <c r="C92" s="148">
        <f>D45-D46</f>
        <v>21</v>
      </c>
      <c r="D92" s="149">
        <v>0.8</v>
      </c>
      <c r="E92" s="129">
        <f t="shared" si="60"/>
        <v>0</v>
      </c>
      <c r="F92" s="129">
        <f t="shared" si="61"/>
        <v>0</v>
      </c>
      <c r="G92" s="150">
        <f t="shared" si="62"/>
        <v>0.19999999999999996</v>
      </c>
      <c r="H92" s="58">
        <f t="shared" si="59"/>
        <v>0</v>
      </c>
      <c r="I92" s="55">
        <v>87</v>
      </c>
      <c r="J92" s="33">
        <f t="shared" si="53"/>
        <v>5</v>
      </c>
      <c r="K92" s="33">
        <f t="shared" si="54"/>
        <v>1.910565629709926</v>
      </c>
      <c r="L92" s="33">
        <f t="shared" si="55"/>
        <v>45</v>
      </c>
      <c r="M92" s="33">
        <f t="shared" si="56"/>
        <v>0</v>
      </c>
      <c r="N92" s="33">
        <f t="shared" si="42"/>
        <v>0</v>
      </c>
      <c r="O92" s="34">
        <f t="shared" si="43"/>
        <v>177.03590180507811</v>
      </c>
      <c r="P92" s="55">
        <v>87</v>
      </c>
      <c r="Q92" s="33">
        <f t="shared" si="51"/>
        <v>10.530000000000001</v>
      </c>
      <c r="R92" s="33">
        <f t="shared" si="57"/>
        <v>397.41000000000008</v>
      </c>
      <c r="S92" s="33">
        <f t="shared" si="58"/>
        <v>230.49780000000004</v>
      </c>
      <c r="T92" s="33">
        <f t="shared" si="44"/>
        <v>56.39030398224152</v>
      </c>
      <c r="U92" s="33">
        <f t="shared" si="52"/>
        <v>64.545855246493133</v>
      </c>
      <c r="V92" s="33">
        <f t="shared" si="45"/>
        <v>10</v>
      </c>
      <c r="W92" s="33">
        <v>0</v>
      </c>
      <c r="X92" s="33">
        <f t="shared" si="46"/>
        <v>772.99825033954551</v>
      </c>
      <c r="Y92" s="38">
        <f t="shared" si="47"/>
        <v>595.96234853446742</v>
      </c>
      <c r="AA92" s="71">
        <v>87</v>
      </c>
      <c r="AB92" s="33">
        <f t="shared" si="48"/>
        <v>0</v>
      </c>
      <c r="AC92" s="305">
        <f t="shared" si="39"/>
        <v>0</v>
      </c>
      <c r="AD92" s="100">
        <f t="shared" si="49"/>
        <v>0</v>
      </c>
      <c r="AE92" s="100">
        <f t="shared" si="50"/>
        <v>0</v>
      </c>
      <c r="AF92" s="194">
        <f t="shared" si="63"/>
        <v>36.641552147667795</v>
      </c>
      <c r="AG92" s="194">
        <f t="shared" si="64"/>
        <v>0</v>
      </c>
      <c r="AH92" s="194">
        <f t="shared" si="65"/>
        <v>0</v>
      </c>
      <c r="AI92" s="199">
        <f t="shared" si="66"/>
        <v>36.641552147667795</v>
      </c>
      <c r="AK92" s="71">
        <v>87</v>
      </c>
      <c r="AL92" s="33"/>
      <c r="AM92" s="33"/>
      <c r="AN92" s="33"/>
      <c r="AO92" s="33"/>
      <c r="AP92" s="33"/>
      <c r="AQ92" s="194"/>
      <c r="AR92" s="194"/>
      <c r="AS92" s="194"/>
      <c r="AT92" s="194"/>
      <c r="AU92" s="33"/>
      <c r="AV92" s="33"/>
      <c r="AW92" s="33"/>
      <c r="AX92" s="33"/>
      <c r="AY92" s="76"/>
    </row>
    <row r="93" spans="2:51">
      <c r="B93" s="172">
        <f>IF(C47&lt;=$F$18,C47+1,"-")</f>
        <v>76</v>
      </c>
      <c r="C93" s="148">
        <f>D47-D48</f>
        <v>21</v>
      </c>
      <c r="D93" s="149">
        <v>0.9</v>
      </c>
      <c r="E93" s="129">
        <f t="shared" si="60"/>
        <v>0</v>
      </c>
      <c r="F93" s="129">
        <f t="shared" si="61"/>
        <v>0</v>
      </c>
      <c r="G93" s="150">
        <f t="shared" si="62"/>
        <v>9.9999999999999978E-2</v>
      </c>
      <c r="H93" s="58">
        <f t="shared" si="59"/>
        <v>0</v>
      </c>
      <c r="I93" s="55">
        <v>88</v>
      </c>
      <c r="J93" s="33">
        <f t="shared" si="53"/>
        <v>5</v>
      </c>
      <c r="K93" s="33">
        <f t="shared" si="54"/>
        <v>1.910565629709926</v>
      </c>
      <c r="L93" s="33">
        <f t="shared" si="55"/>
        <v>45</v>
      </c>
      <c r="M93" s="33">
        <f t="shared" si="56"/>
        <v>0</v>
      </c>
      <c r="N93" s="33">
        <f t="shared" si="42"/>
        <v>0</v>
      </c>
      <c r="O93" s="34">
        <f t="shared" si="43"/>
        <v>177.03590180507811</v>
      </c>
      <c r="P93" s="55">
        <v>88</v>
      </c>
      <c r="Q93" s="33">
        <f t="shared" si="51"/>
        <v>10.530000000000001</v>
      </c>
      <c r="R93" s="33">
        <f t="shared" si="57"/>
        <v>407.94000000000005</v>
      </c>
      <c r="S93" s="33">
        <f t="shared" si="58"/>
        <v>236.60520000000002</v>
      </c>
      <c r="T93" s="33">
        <f t="shared" si="44"/>
        <v>57.708518235622542</v>
      </c>
      <c r="U93" s="33">
        <f t="shared" si="52"/>
        <v>64.640472464325555</v>
      </c>
      <c r="V93" s="33">
        <f t="shared" si="45"/>
        <v>10</v>
      </c>
      <c r="W93" s="33">
        <v>0</v>
      </c>
      <c r="X93" s="33">
        <f t="shared" si="46"/>
        <v>786.27812496290289</v>
      </c>
      <c r="Y93" s="38">
        <f t="shared" si="47"/>
        <v>609.24222315782481</v>
      </c>
      <c r="AA93" s="71">
        <v>88</v>
      </c>
      <c r="AB93" s="33">
        <f t="shared" si="48"/>
        <v>0</v>
      </c>
      <c r="AC93" s="305">
        <f t="shared" si="39"/>
        <v>0</v>
      </c>
      <c r="AD93" s="100">
        <f t="shared" si="49"/>
        <v>0</v>
      </c>
      <c r="AE93" s="100">
        <f t="shared" si="50"/>
        <v>0</v>
      </c>
      <c r="AF93" s="194">
        <f t="shared" si="63"/>
        <v>35.923033659192043</v>
      </c>
      <c r="AG93" s="194">
        <f t="shared" si="64"/>
        <v>0</v>
      </c>
      <c r="AH93" s="194">
        <f t="shared" si="65"/>
        <v>0</v>
      </c>
      <c r="AI93" s="199">
        <f t="shared" si="66"/>
        <v>35.923033659192043</v>
      </c>
      <c r="AK93" s="71">
        <v>88</v>
      </c>
      <c r="AL93" s="33"/>
      <c r="AM93" s="33"/>
      <c r="AN93" s="33"/>
      <c r="AO93" s="33"/>
      <c r="AP93" s="33"/>
      <c r="AQ93" s="194"/>
      <c r="AR93" s="194"/>
      <c r="AS93" s="194"/>
      <c r="AT93" s="194"/>
      <c r="AU93" s="33"/>
      <c r="AV93" s="33"/>
      <c r="AW93" s="33"/>
      <c r="AX93" s="33"/>
      <c r="AY93" s="76"/>
    </row>
    <row r="94" spans="2:51">
      <c r="B94" s="184">
        <f>F18</f>
        <v>135</v>
      </c>
      <c r="C94" s="181">
        <f>IFERROR(VLOOKUP(B94,C25:D78,2),)</f>
        <v>283</v>
      </c>
      <c r="D94" s="182">
        <v>0.95</v>
      </c>
      <c r="E94" s="183">
        <f t="shared" si="60"/>
        <v>0</v>
      </c>
      <c r="F94" s="183">
        <f t="shared" si="61"/>
        <v>0</v>
      </c>
      <c r="G94" s="151">
        <f t="shared" si="62"/>
        <v>5.0000000000000044E-2</v>
      </c>
      <c r="H94" s="58">
        <f t="shared" si="59"/>
        <v>0</v>
      </c>
      <c r="I94" s="55">
        <v>89</v>
      </c>
      <c r="J94" s="33">
        <f t="shared" si="53"/>
        <v>5</v>
      </c>
      <c r="K94" s="33">
        <f t="shared" si="54"/>
        <v>1.910565629709926</v>
      </c>
      <c r="L94" s="33">
        <f t="shared" si="55"/>
        <v>45</v>
      </c>
      <c r="M94" s="33">
        <f t="shared" si="56"/>
        <v>0</v>
      </c>
      <c r="N94" s="33">
        <f t="shared" si="42"/>
        <v>0</v>
      </c>
      <c r="O94" s="34">
        <f t="shared" si="43"/>
        <v>177.03590180507811</v>
      </c>
      <c r="P94" s="55">
        <v>89</v>
      </c>
      <c r="Q94" s="33">
        <f t="shared" si="51"/>
        <v>10.530000000000001</v>
      </c>
      <c r="R94" s="33">
        <f t="shared" si="57"/>
        <v>418.47</v>
      </c>
      <c r="S94" s="33">
        <f t="shared" si="58"/>
        <v>242.71260000000001</v>
      </c>
      <c r="T94" s="33">
        <f t="shared" si="44"/>
        <v>59.022777277087158</v>
      </c>
      <c r="U94" s="33">
        <f t="shared" si="52"/>
        <v>64.733448284960986</v>
      </c>
      <c r="V94" s="33">
        <f t="shared" si="45"/>
        <v>10</v>
      </c>
      <c r="W94" s="33">
        <v>0</v>
      </c>
      <c r="X94" s="33">
        <f t="shared" si="46"/>
        <v>799.54509246911709</v>
      </c>
      <c r="Y94" s="38">
        <f t="shared" si="47"/>
        <v>622.50919066403901</v>
      </c>
      <c r="AA94" s="71">
        <v>89</v>
      </c>
      <c r="AB94" s="33">
        <f t="shared" si="48"/>
        <v>0</v>
      </c>
      <c r="AC94" s="305">
        <f t="shared" si="39"/>
        <v>0</v>
      </c>
      <c r="AD94" s="100">
        <f t="shared" si="49"/>
        <v>0</v>
      </c>
      <c r="AE94" s="100">
        <f t="shared" si="50"/>
        <v>0</v>
      </c>
      <c r="AF94" s="194">
        <f t="shared" si="63"/>
        <v>35.218604880022298</v>
      </c>
      <c r="AG94" s="194">
        <f t="shared" si="64"/>
        <v>0</v>
      </c>
      <c r="AH94" s="194">
        <f t="shared" si="65"/>
        <v>0</v>
      </c>
      <c r="AI94" s="199">
        <f t="shared" si="66"/>
        <v>35.218604880022298</v>
      </c>
      <c r="AK94" s="71">
        <v>89</v>
      </c>
      <c r="AL94" s="33"/>
      <c r="AM94" s="33"/>
      <c r="AN94" s="33"/>
      <c r="AO94" s="33"/>
      <c r="AP94" s="33"/>
      <c r="AQ94" s="194"/>
      <c r="AR94" s="194"/>
      <c r="AS94" s="194"/>
      <c r="AT94" s="194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3"/>
        <v>5</v>
      </c>
      <c r="K95" s="33">
        <f t="shared" si="54"/>
        <v>1.910565629709926</v>
      </c>
      <c r="L95" s="33">
        <f t="shared" si="55"/>
        <v>45</v>
      </c>
      <c r="M95" s="33">
        <f t="shared" si="56"/>
        <v>0</v>
      </c>
      <c r="N95" s="33">
        <f t="shared" si="42"/>
        <v>0</v>
      </c>
      <c r="O95" s="34">
        <f t="shared" si="43"/>
        <v>177.03590180507811</v>
      </c>
      <c r="P95" s="55">
        <v>90</v>
      </c>
      <c r="Q95" s="33">
        <f t="shared" si="51"/>
        <v>10.530000000000001</v>
      </c>
      <c r="R95" s="33">
        <f t="shared" si="57"/>
        <v>429</v>
      </c>
      <c r="S95" s="33">
        <f t="shared" si="58"/>
        <v>248.82</v>
      </c>
      <c r="T95" s="33">
        <f t="shared" si="44"/>
        <v>60.333192077890068</v>
      </c>
      <c r="U95" s="33">
        <f t="shared" si="52"/>
        <v>64.824811182971189</v>
      </c>
      <c r="V95" s="33">
        <f t="shared" si="45"/>
        <v>10</v>
      </c>
      <c r="W95" s="33">
        <v>0</v>
      </c>
      <c r="X95" s="33">
        <f t="shared" si="46"/>
        <v>812.79945053988615</v>
      </c>
      <c r="Y95" s="38">
        <f t="shared" si="47"/>
        <v>635.76354873480807</v>
      </c>
      <c r="AA95" s="71">
        <v>90</v>
      </c>
      <c r="AB95" s="33">
        <f t="shared" si="48"/>
        <v>0</v>
      </c>
      <c r="AC95" s="305">
        <f t="shared" ref="AC95:AC158" si="67">IF(AA95&lt;=$F$18,IFERROR(VLOOKUP($AA95,$B$82:$G$94,3,FALSE),0),)*50%</f>
        <v>0</v>
      </c>
      <c r="AD95" s="100">
        <f t="shared" si="49"/>
        <v>0</v>
      </c>
      <c r="AE95" s="100">
        <f t="shared" si="50"/>
        <v>0</v>
      </c>
      <c r="AF95" s="194">
        <f t="shared" si="63"/>
        <v>34.527989519552939</v>
      </c>
      <c r="AG95" s="194">
        <f t="shared" si="64"/>
        <v>0</v>
      </c>
      <c r="AH95" s="194">
        <f t="shared" si="65"/>
        <v>0</v>
      </c>
      <c r="AI95" s="199">
        <f t="shared" si="66"/>
        <v>34.527989519552939</v>
      </c>
      <c r="AK95" s="71">
        <v>90</v>
      </c>
      <c r="AL95" s="33"/>
      <c r="AM95" s="33"/>
      <c r="AN95" s="33"/>
      <c r="AO95" s="33"/>
      <c r="AP95" s="33"/>
      <c r="AQ95" s="194"/>
      <c r="AR95" s="194"/>
      <c r="AS95" s="194"/>
      <c r="AT95" s="194"/>
      <c r="AU95" s="33"/>
      <c r="AV95" s="33"/>
      <c r="AW95" s="33"/>
      <c r="AX95" s="33"/>
      <c r="AY95" s="76"/>
    </row>
    <row r="96" spans="2:51">
      <c r="C96" s="67" t="s">
        <v>153</v>
      </c>
      <c r="D96" t="s">
        <v>136</v>
      </c>
      <c r="E96" s="6"/>
      <c r="I96" s="55">
        <v>91</v>
      </c>
      <c r="J96" s="33">
        <f t="shared" si="53"/>
        <v>5</v>
      </c>
      <c r="K96" s="33">
        <f t="shared" si="54"/>
        <v>1.910565629709926</v>
      </c>
      <c r="L96" s="33">
        <f t="shared" si="55"/>
        <v>45</v>
      </c>
      <c r="M96" s="33">
        <f t="shared" si="56"/>
        <v>0</v>
      </c>
      <c r="N96" s="33">
        <f t="shared" si="42"/>
        <v>0</v>
      </c>
      <c r="O96" s="34">
        <f t="shared" si="43"/>
        <v>177.03590180507811</v>
      </c>
      <c r="P96" s="55">
        <v>91</v>
      </c>
      <c r="Q96" s="33">
        <f t="shared" si="51"/>
        <v>-32.759999999999991</v>
      </c>
      <c r="R96" s="33">
        <f t="shared" si="57"/>
        <v>396.24</v>
      </c>
      <c r="S96" s="33">
        <f t="shared" si="58"/>
        <v>229.8192</v>
      </c>
      <c r="T96" s="33">
        <f t="shared" si="44"/>
        <v>56.243586554989342</v>
      </c>
      <c r="U96" s="33">
        <f t="shared" si="52"/>
        <v>64.914589138957751</v>
      </c>
      <c r="V96" s="33">
        <f t="shared" si="45"/>
        <v>10</v>
      </c>
      <c r="W96" s="33">
        <v>0</v>
      </c>
      <c r="X96" s="33">
        <f t="shared" si="46"/>
        <v>772.91284675945144</v>
      </c>
      <c r="Y96" s="38">
        <f t="shared" si="47"/>
        <v>595.87694495437336</v>
      </c>
      <c r="AA96" s="71">
        <v>91</v>
      </c>
      <c r="AB96" s="33">
        <f t="shared" si="48"/>
        <v>0</v>
      </c>
      <c r="AC96" s="305">
        <f t="shared" si="67"/>
        <v>0</v>
      </c>
      <c r="AD96" s="100">
        <f t="shared" si="49"/>
        <v>0</v>
      </c>
      <c r="AE96" s="100">
        <f t="shared" si="50"/>
        <v>0</v>
      </c>
      <c r="AF96" s="194">
        <f t="shared" si="63"/>
        <v>33.850916705068613</v>
      </c>
      <c r="AG96" s="194">
        <f t="shared" si="64"/>
        <v>0</v>
      </c>
      <c r="AH96" s="194">
        <f t="shared" si="65"/>
        <v>0</v>
      </c>
      <c r="AI96" s="199">
        <f t="shared" si="66"/>
        <v>33.850916705068613</v>
      </c>
      <c r="AK96" s="71">
        <v>91</v>
      </c>
      <c r="AL96" s="33"/>
      <c r="AM96" s="33"/>
      <c r="AN96" s="33"/>
      <c r="AO96" s="33"/>
      <c r="AP96" s="33"/>
      <c r="AQ96" s="194"/>
      <c r="AR96" s="194"/>
      <c r="AS96" s="194"/>
      <c r="AT96" s="194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3"/>
        <v>5</v>
      </c>
      <c r="K97" s="33">
        <f t="shared" si="54"/>
        <v>1.910565629709926</v>
      </c>
      <c r="L97" s="33">
        <f t="shared" si="55"/>
        <v>45</v>
      </c>
      <c r="M97" s="33">
        <f t="shared" si="56"/>
        <v>0</v>
      </c>
      <c r="N97" s="33">
        <f t="shared" si="42"/>
        <v>0</v>
      </c>
      <c r="O97" s="34">
        <f t="shared" si="43"/>
        <v>177.03590180507811</v>
      </c>
      <c r="P97" s="55">
        <v>92</v>
      </c>
      <c r="Q97" s="33">
        <f t="shared" si="51"/>
        <v>9.75</v>
      </c>
      <c r="R97" s="33">
        <f t="shared" si="57"/>
        <v>405.99</v>
      </c>
      <c r="S97" s="33">
        <f t="shared" si="58"/>
        <v>235.4742</v>
      </c>
      <c r="T97" s="33">
        <f t="shared" si="44"/>
        <v>57.464706295312858</v>
      </c>
      <c r="U97" s="33">
        <f t="shared" si="52"/>
        <v>65.002809648121385</v>
      </c>
      <c r="V97" s="33">
        <f t="shared" si="45"/>
        <v>10</v>
      </c>
      <c r="W97" s="33">
        <v>0</v>
      </c>
      <c r="X97" s="33">
        <f t="shared" si="46"/>
        <v>785.21223050744823</v>
      </c>
      <c r="Y97" s="38">
        <f t="shared" si="47"/>
        <v>608.17632870237014</v>
      </c>
      <c r="AA97" s="71">
        <v>92</v>
      </c>
      <c r="AB97" s="33">
        <f t="shared" si="48"/>
        <v>0</v>
      </c>
      <c r="AC97" s="305">
        <f t="shared" si="67"/>
        <v>0</v>
      </c>
      <c r="AD97" s="100">
        <f t="shared" si="49"/>
        <v>0</v>
      </c>
      <c r="AE97" s="100">
        <f t="shared" si="50"/>
        <v>0</v>
      </c>
      <c r="AF97" s="194">
        <f t="shared" si="63"/>
        <v>33.187120875502686</v>
      </c>
      <c r="AG97" s="194">
        <f t="shared" si="64"/>
        <v>0</v>
      </c>
      <c r="AH97" s="194">
        <f t="shared" si="65"/>
        <v>0</v>
      </c>
      <c r="AI97" s="199">
        <f t="shared" si="66"/>
        <v>33.187120875502686</v>
      </c>
      <c r="AK97" s="71">
        <v>92</v>
      </c>
      <c r="AL97" s="33"/>
      <c r="AM97" s="33"/>
      <c r="AN97" s="33"/>
      <c r="AO97" s="33"/>
      <c r="AP97" s="33"/>
      <c r="AQ97" s="194"/>
      <c r="AR97" s="194"/>
      <c r="AS97" s="194"/>
      <c r="AT97" s="194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3"/>
        <v>5</v>
      </c>
      <c r="K98" s="33">
        <f t="shared" si="54"/>
        <v>1.910565629709926</v>
      </c>
      <c r="L98" s="33">
        <f t="shared" si="55"/>
        <v>45</v>
      </c>
      <c r="M98" s="33">
        <f t="shared" si="56"/>
        <v>0</v>
      </c>
      <c r="N98" s="33">
        <f t="shared" si="42"/>
        <v>0</v>
      </c>
      <c r="O98" s="34">
        <f t="shared" si="43"/>
        <v>177.03590180507811</v>
      </c>
      <c r="P98" s="55">
        <v>93</v>
      </c>
      <c r="Q98" s="33">
        <f t="shared" si="51"/>
        <v>9.75</v>
      </c>
      <c r="R98" s="33">
        <f t="shared" si="57"/>
        <v>415.74</v>
      </c>
      <c r="S98" s="33">
        <f t="shared" si="58"/>
        <v>241.1292</v>
      </c>
      <c r="T98" s="33">
        <f t="shared" si="44"/>
        <v>58.68241695115406</v>
      </c>
      <c r="U98" s="33">
        <f t="shared" si="52"/>
        <v>65.08949972868254</v>
      </c>
      <c r="V98" s="33">
        <f t="shared" si="45"/>
        <v>10</v>
      </c>
      <c r="W98" s="33">
        <v>0</v>
      </c>
      <c r="X98" s="33">
        <f t="shared" si="46"/>
        <v>797.50006519509589</v>
      </c>
      <c r="Y98" s="38">
        <f t="shared" si="47"/>
        <v>620.4641633900178</v>
      </c>
      <c r="AA98" s="71">
        <v>93</v>
      </c>
      <c r="AB98" s="33">
        <f t="shared" si="48"/>
        <v>0</v>
      </c>
      <c r="AC98" s="305">
        <f t="shared" si="67"/>
        <v>0</v>
      </c>
      <c r="AD98" s="100">
        <f t="shared" si="49"/>
        <v>0</v>
      </c>
      <c r="AE98" s="100">
        <f t="shared" si="50"/>
        <v>0</v>
      </c>
      <c r="AF98" s="194">
        <f t="shared" si="63"/>
        <v>32.536341677279069</v>
      </c>
      <c r="AG98" s="194">
        <f t="shared" si="64"/>
        <v>0</v>
      </c>
      <c r="AH98" s="194">
        <f t="shared" si="65"/>
        <v>0</v>
      </c>
      <c r="AI98" s="199">
        <f t="shared" si="66"/>
        <v>32.536341677279069</v>
      </c>
      <c r="AK98" s="71">
        <v>93</v>
      </c>
      <c r="AL98" s="33"/>
      <c r="AM98" s="33"/>
      <c r="AN98" s="33"/>
      <c r="AO98" s="33"/>
      <c r="AP98" s="33"/>
      <c r="AQ98" s="194"/>
      <c r="AR98" s="194"/>
      <c r="AS98" s="194"/>
      <c r="AT98" s="194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3"/>
        <v>5</v>
      </c>
      <c r="K99" s="33">
        <f t="shared" si="54"/>
        <v>1.910565629709926</v>
      </c>
      <c r="L99" s="33">
        <f t="shared" si="55"/>
        <v>45</v>
      </c>
      <c r="M99" s="33">
        <f t="shared" si="56"/>
        <v>0</v>
      </c>
      <c r="N99" s="33">
        <f t="shared" si="42"/>
        <v>0</v>
      </c>
      <c r="O99" s="34">
        <f t="shared" si="43"/>
        <v>177.03590180507811</v>
      </c>
      <c r="P99" s="55">
        <v>94</v>
      </c>
      <c r="Q99" s="33">
        <f t="shared" si="51"/>
        <v>9.75</v>
      </c>
      <c r="R99" s="33">
        <f t="shared" si="57"/>
        <v>425.49</v>
      </c>
      <c r="S99" s="33">
        <f t="shared" si="58"/>
        <v>246.7842</v>
      </c>
      <c r="T99" s="33">
        <f t="shared" si="44"/>
        <v>59.896807673928095</v>
      </c>
      <c r="U99" s="33">
        <f t="shared" si="52"/>
        <v>65.17468593015596</v>
      </c>
      <c r="V99" s="33">
        <f t="shared" si="45"/>
        <v>10</v>
      </c>
      <c r="W99" s="33">
        <v>0</v>
      </c>
      <c r="X99" s="33">
        <f t="shared" si="46"/>
        <v>809.77660344266326</v>
      </c>
      <c r="Y99" s="38">
        <f t="shared" si="47"/>
        <v>632.74070163758518</v>
      </c>
      <c r="AA99" s="71">
        <v>94</v>
      </c>
      <c r="AB99" s="33">
        <f t="shared" si="48"/>
        <v>0</v>
      </c>
      <c r="AC99" s="305">
        <f t="shared" si="67"/>
        <v>0</v>
      </c>
      <c r="AD99" s="100">
        <f t="shared" si="49"/>
        <v>0</v>
      </c>
      <c r="AE99" s="100">
        <f t="shared" si="50"/>
        <v>0</v>
      </c>
      <c r="AF99" s="194">
        <f t="shared" si="63"/>
        <v>31.898323862196499</v>
      </c>
      <c r="AG99" s="194">
        <f t="shared" si="64"/>
        <v>0</v>
      </c>
      <c r="AH99" s="194">
        <f t="shared" si="65"/>
        <v>0</v>
      </c>
      <c r="AI99" s="199">
        <f t="shared" si="66"/>
        <v>31.898323862196499</v>
      </c>
      <c r="AK99" s="71">
        <v>94</v>
      </c>
      <c r="AL99" s="33"/>
      <c r="AM99" s="33"/>
      <c r="AN99" s="33"/>
      <c r="AO99" s="33"/>
      <c r="AP99" s="33"/>
      <c r="AQ99" s="194"/>
      <c r="AR99" s="194"/>
      <c r="AS99" s="194"/>
      <c r="AT99" s="194"/>
      <c r="AU99" s="33"/>
      <c r="AV99" s="33"/>
      <c r="AW99" s="33"/>
      <c r="AX99" s="33"/>
      <c r="AY99" s="76"/>
    </row>
    <row r="100" spans="2:51">
      <c r="B100" s="2" t="s">
        <v>134</v>
      </c>
      <c r="C100">
        <v>70</v>
      </c>
      <c r="D100">
        <v>0</v>
      </c>
      <c r="E100" s="6"/>
      <c r="I100" s="55">
        <v>95</v>
      </c>
      <c r="J100" s="33">
        <f t="shared" si="53"/>
        <v>5</v>
      </c>
      <c r="K100" s="33">
        <f t="shared" si="54"/>
        <v>1.910565629709926</v>
      </c>
      <c r="L100" s="33">
        <f t="shared" si="55"/>
        <v>45</v>
      </c>
      <c r="M100" s="33">
        <f t="shared" si="56"/>
        <v>0</v>
      </c>
      <c r="N100" s="33">
        <f t="shared" si="42"/>
        <v>0</v>
      </c>
      <c r="O100" s="34">
        <f t="shared" si="43"/>
        <v>177.03590180507811</v>
      </c>
      <c r="P100" s="55">
        <v>95</v>
      </c>
      <c r="Q100" s="33">
        <f t="shared" si="51"/>
        <v>9.75</v>
      </c>
      <c r="R100" s="33">
        <f t="shared" si="57"/>
        <v>435.24</v>
      </c>
      <c r="S100" s="33">
        <f t="shared" si="58"/>
        <v>252.4392</v>
      </c>
      <c r="T100" s="33">
        <f t="shared" si="44"/>
        <v>61.107963296116218</v>
      </c>
      <c r="U100" s="33">
        <f t="shared" si="52"/>
        <v>65.258394341481619</v>
      </c>
      <c r="V100" s="33">
        <f t="shared" si="45"/>
        <v>10</v>
      </c>
      <c r="W100" s="33">
        <v>0</v>
      </c>
      <c r="X100" s="33">
        <f t="shared" si="46"/>
        <v>822.04208865950159</v>
      </c>
      <c r="Y100" s="38">
        <f t="shared" si="47"/>
        <v>645.0061868544235</v>
      </c>
      <c r="AA100" s="71">
        <v>95</v>
      </c>
      <c r="AB100" s="33">
        <f t="shared" si="48"/>
        <v>0</v>
      </c>
      <c r="AC100" s="305">
        <f t="shared" si="67"/>
        <v>0</v>
      </c>
      <c r="AD100" s="100">
        <f t="shared" si="49"/>
        <v>0</v>
      </c>
      <c r="AE100" s="100">
        <f t="shared" si="50"/>
        <v>0</v>
      </c>
      <c r="AF100" s="194">
        <f t="shared" si="63"/>
        <v>31.272817187315255</v>
      </c>
      <c r="AG100" s="194">
        <f t="shared" si="64"/>
        <v>0</v>
      </c>
      <c r="AH100" s="194">
        <f t="shared" si="65"/>
        <v>0</v>
      </c>
      <c r="AI100" s="199">
        <f t="shared" si="66"/>
        <v>31.272817187315255</v>
      </c>
      <c r="AK100" s="71">
        <v>95</v>
      </c>
      <c r="AL100" s="33"/>
      <c r="AM100" s="33"/>
      <c r="AN100" s="33"/>
      <c r="AO100" s="33"/>
      <c r="AP100" s="33"/>
      <c r="AQ100" s="194"/>
      <c r="AR100" s="194"/>
      <c r="AS100" s="194"/>
      <c r="AT100" s="194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3"/>
        <v>5</v>
      </c>
      <c r="K101" s="33">
        <f t="shared" si="54"/>
        <v>1.910565629709926</v>
      </c>
      <c r="L101" s="33">
        <f t="shared" si="55"/>
        <v>45</v>
      </c>
      <c r="M101" s="33">
        <f t="shared" si="56"/>
        <v>0</v>
      </c>
      <c r="N101" s="33">
        <f t="shared" si="42"/>
        <v>0</v>
      </c>
      <c r="O101" s="34">
        <f t="shared" si="43"/>
        <v>177.03590180507811</v>
      </c>
      <c r="P101" s="55">
        <v>96</v>
      </c>
      <c r="Q101" s="33">
        <f t="shared" si="51"/>
        <v>-32.759999999999991</v>
      </c>
      <c r="R101" s="33">
        <f t="shared" si="57"/>
        <v>402.48</v>
      </c>
      <c r="S101" s="33">
        <f t="shared" si="58"/>
        <v>233.4384</v>
      </c>
      <c r="T101" s="33">
        <f t="shared" si="44"/>
        <v>57.025500710931624</v>
      </c>
      <c r="U101" s="33">
        <f t="shared" si="52"/>
        <v>65.340650599014751</v>
      </c>
      <c r="V101" s="33">
        <f t="shared" si="45"/>
        <v>10</v>
      </c>
      <c r="W101" s="33">
        <v>0</v>
      </c>
      <c r="X101" s="33">
        <f t="shared" si="46"/>
        <v>782.14034593459337</v>
      </c>
      <c r="Y101" s="38">
        <f t="shared" si="47"/>
        <v>605.10444412951529</v>
      </c>
      <c r="AA101" s="71">
        <v>96</v>
      </c>
      <c r="AB101" s="33">
        <f t="shared" si="48"/>
        <v>0</v>
      </c>
      <c r="AC101" s="305">
        <f t="shared" si="67"/>
        <v>0</v>
      </c>
      <c r="AD101" s="100">
        <f t="shared" si="49"/>
        <v>0</v>
      </c>
      <c r="AE101" s="100">
        <f t="shared" si="50"/>
        <v>0</v>
      </c>
      <c r="AF101" s="194">
        <f t="shared" si="63"/>
        <v>30.659576316807033</v>
      </c>
      <c r="AG101" s="194">
        <f t="shared" si="64"/>
        <v>0</v>
      </c>
      <c r="AH101" s="194">
        <f t="shared" si="65"/>
        <v>0</v>
      </c>
      <c r="AI101" s="199">
        <f t="shared" si="66"/>
        <v>30.659576316807033</v>
      </c>
      <c r="AK101" s="71">
        <v>96</v>
      </c>
      <c r="AL101" s="33"/>
      <c r="AM101" s="33"/>
      <c r="AN101" s="33"/>
      <c r="AO101" s="33"/>
      <c r="AP101" s="33"/>
      <c r="AQ101" s="194"/>
      <c r="AR101" s="194"/>
      <c r="AS101" s="194"/>
      <c r="AT101" s="194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3"/>
        <v>5</v>
      </c>
      <c r="K102" s="33">
        <f t="shared" si="54"/>
        <v>1.910565629709926</v>
      </c>
      <c r="L102" s="33">
        <f t="shared" si="55"/>
        <v>45</v>
      </c>
      <c r="M102" s="33">
        <f t="shared" si="56"/>
        <v>0</v>
      </c>
      <c r="N102" s="33">
        <f t="shared" si="42"/>
        <v>0</v>
      </c>
      <c r="O102" s="34">
        <f t="shared" si="43"/>
        <v>177.03590180507811</v>
      </c>
      <c r="P102" s="55">
        <v>97</v>
      </c>
      <c r="Q102" s="33">
        <f t="shared" si="51"/>
        <v>9.36</v>
      </c>
      <c r="R102" s="33">
        <f t="shared" si="57"/>
        <v>411.84000000000003</v>
      </c>
      <c r="S102" s="33">
        <f t="shared" si="58"/>
        <v>238.8672</v>
      </c>
      <c r="T102" s="33">
        <f t="shared" si="44"/>
        <v>58.195735973104156</v>
      </c>
      <c r="U102" s="33">
        <f t="shared" si="52"/>
        <v>65.421479894377129</v>
      </c>
      <c r="V102" s="33">
        <f t="shared" si="45"/>
        <v>10</v>
      </c>
      <c r="W102" s="33">
        <v>0</v>
      </c>
      <c r="X102" s="33">
        <f t="shared" si="46"/>
        <v>793.93003976587249</v>
      </c>
      <c r="Y102" s="38">
        <f t="shared" si="47"/>
        <v>616.89413796079441</v>
      </c>
      <c r="AA102" s="71">
        <v>97</v>
      </c>
      <c r="AB102" s="33">
        <f t="shared" si="48"/>
        <v>0</v>
      </c>
      <c r="AC102" s="305">
        <f t="shared" si="67"/>
        <v>0</v>
      </c>
      <c r="AD102" s="100">
        <f t="shared" si="49"/>
        <v>0</v>
      </c>
      <c r="AE102" s="100">
        <f t="shared" si="50"/>
        <v>0</v>
      </c>
      <c r="AF102" s="194">
        <f t="shared" si="63"/>
        <v>30.058360725729479</v>
      </c>
      <c r="AG102" s="194">
        <f t="shared" si="64"/>
        <v>0</v>
      </c>
      <c r="AH102" s="194">
        <f t="shared" si="65"/>
        <v>0</v>
      </c>
      <c r="AI102" s="199">
        <f t="shared" si="66"/>
        <v>30.058360725729479</v>
      </c>
      <c r="AK102" s="71">
        <v>97</v>
      </c>
      <c r="AL102" s="33"/>
      <c r="AM102" s="33"/>
      <c r="AN102" s="33"/>
      <c r="AO102" s="33"/>
      <c r="AP102" s="33"/>
      <c r="AQ102" s="194"/>
      <c r="AR102" s="194"/>
      <c r="AS102" s="194"/>
      <c r="AT102" s="194"/>
      <c r="AU102" s="33"/>
      <c r="AV102" s="33"/>
      <c r="AW102" s="33"/>
      <c r="AX102" s="33"/>
      <c r="AY102" s="76"/>
    </row>
    <row r="103" spans="2:51" ht="16">
      <c r="C103" s="25" t="s">
        <v>156</v>
      </c>
      <c r="D103" s="157" t="s">
        <v>157</v>
      </c>
      <c r="F103" s="190" t="s">
        <v>231</v>
      </c>
      <c r="I103" s="55">
        <v>98</v>
      </c>
      <c r="J103" s="33">
        <f t="shared" si="53"/>
        <v>5</v>
      </c>
      <c r="K103" s="33">
        <f t="shared" si="54"/>
        <v>1.910565629709926</v>
      </c>
      <c r="L103" s="33">
        <f t="shared" si="55"/>
        <v>45</v>
      </c>
      <c r="M103" s="33">
        <f t="shared" si="56"/>
        <v>0</v>
      </c>
      <c r="N103" s="33">
        <f t="shared" si="42"/>
        <v>0</v>
      </c>
      <c r="O103" s="34">
        <f t="shared" si="43"/>
        <v>177.03590180507811</v>
      </c>
      <c r="P103" s="55">
        <v>98</v>
      </c>
      <c r="Q103" s="33">
        <f t="shared" si="51"/>
        <v>9.36</v>
      </c>
      <c r="R103" s="33">
        <f t="shared" si="57"/>
        <v>421.20000000000005</v>
      </c>
      <c r="S103" s="33">
        <f t="shared" si="58"/>
        <v>244.29600000000002</v>
      </c>
      <c r="T103" s="33">
        <f t="shared" si="44"/>
        <v>59.362879241040368</v>
      </c>
      <c r="U103" s="33">
        <f t="shared" si="52"/>
        <v>65.500906982172197</v>
      </c>
      <c r="V103" s="33">
        <f t="shared" si="45"/>
        <v>10</v>
      </c>
      <c r="W103" s="33">
        <v>0</v>
      </c>
      <c r="X103" s="33">
        <f t="shared" si="46"/>
        <v>805.70920694610993</v>
      </c>
      <c r="Y103" s="38">
        <f t="shared" si="47"/>
        <v>628.67330514103185</v>
      </c>
      <c r="AA103" s="71">
        <v>98</v>
      </c>
      <c r="AB103" s="33">
        <f t="shared" si="48"/>
        <v>0</v>
      </c>
      <c r="AC103" s="305">
        <f t="shared" si="67"/>
        <v>0</v>
      </c>
      <c r="AD103" s="100">
        <f t="shared" si="49"/>
        <v>0</v>
      </c>
      <c r="AE103" s="100">
        <f t="shared" si="50"/>
        <v>0</v>
      </c>
      <c r="AF103" s="194">
        <f t="shared" si="63"/>
        <v>29.468934605687654</v>
      </c>
      <c r="AG103" s="194">
        <f t="shared" si="64"/>
        <v>0</v>
      </c>
      <c r="AH103" s="194">
        <f t="shared" si="65"/>
        <v>0</v>
      </c>
      <c r="AI103" s="199">
        <f t="shared" si="66"/>
        <v>29.468934605687654</v>
      </c>
      <c r="AK103" s="71">
        <v>98</v>
      </c>
      <c r="AL103" s="33"/>
      <c r="AM103" s="33"/>
      <c r="AN103" s="33"/>
      <c r="AO103" s="33"/>
      <c r="AP103" s="33"/>
      <c r="AQ103" s="194"/>
      <c r="AR103" s="194"/>
      <c r="AS103" s="194"/>
      <c r="AT103" s="194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9" t="s">
        <v>227</v>
      </c>
      <c r="G104" s="24">
        <v>0.25</v>
      </c>
      <c r="I104" s="55">
        <v>99</v>
      </c>
      <c r="J104" s="33">
        <f t="shared" si="53"/>
        <v>5</v>
      </c>
      <c r="K104" s="33">
        <f t="shared" si="54"/>
        <v>1.910565629709926</v>
      </c>
      <c r="L104" s="33">
        <f t="shared" si="55"/>
        <v>45</v>
      </c>
      <c r="M104" s="33">
        <f t="shared" si="56"/>
        <v>0</v>
      </c>
      <c r="N104" s="33">
        <f t="shared" si="42"/>
        <v>0</v>
      </c>
      <c r="O104" s="34">
        <f t="shared" si="43"/>
        <v>177.03590180507811</v>
      </c>
      <c r="P104" s="55">
        <v>99</v>
      </c>
      <c r="Q104" s="33">
        <f t="shared" si="51"/>
        <v>9.36</v>
      </c>
      <c r="R104" s="33">
        <f t="shared" si="57"/>
        <v>430.56000000000006</v>
      </c>
      <c r="S104" s="33">
        <f t="shared" si="58"/>
        <v>249.72480000000002</v>
      </c>
      <c r="T104" s="33">
        <f t="shared" si="44"/>
        <v>60.527007137298142</v>
      </c>
      <c r="U104" s="33">
        <f t="shared" si="52"/>
        <v>65.578956187566391</v>
      </c>
      <c r="V104" s="33">
        <f t="shared" si="45"/>
        <v>10</v>
      </c>
      <c r="W104" s="33">
        <v>0</v>
      </c>
      <c r="X104" s="33">
        <f t="shared" si="46"/>
        <v>817.47807011853774</v>
      </c>
      <c r="Y104" s="38">
        <f t="shared" si="47"/>
        <v>640.44216831345966</v>
      </c>
      <c r="AA104" s="71">
        <v>99</v>
      </c>
      <c r="AB104" s="33">
        <f t="shared" si="48"/>
        <v>0</v>
      </c>
      <c r="AC104" s="305">
        <f t="shared" si="67"/>
        <v>0</v>
      </c>
      <c r="AD104" s="100">
        <f t="shared" si="49"/>
        <v>0</v>
      </c>
      <c r="AE104" s="100">
        <f t="shared" si="50"/>
        <v>0</v>
      </c>
      <c r="AF104" s="194">
        <f t="shared" si="63"/>
        <v>28.891066772345415</v>
      </c>
      <c r="AG104" s="194">
        <f t="shared" si="64"/>
        <v>0</v>
      </c>
      <c r="AH104" s="194">
        <f t="shared" si="65"/>
        <v>0</v>
      </c>
      <c r="AI104" s="199">
        <f t="shared" si="66"/>
        <v>28.891066772345415</v>
      </c>
      <c r="AK104" s="71">
        <v>99</v>
      </c>
      <c r="AL104" s="33"/>
      <c r="AM104" s="33"/>
      <c r="AN104" s="33"/>
      <c r="AO104" s="33"/>
      <c r="AP104" s="33"/>
      <c r="AQ104" s="194"/>
      <c r="AR104" s="194"/>
      <c r="AS104" s="194"/>
      <c r="AT104" s="194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9" t="s">
        <v>229</v>
      </c>
      <c r="G105" s="24">
        <v>1.03</v>
      </c>
      <c r="I105" s="55">
        <v>100</v>
      </c>
      <c r="J105" s="33">
        <f t="shared" si="53"/>
        <v>5</v>
      </c>
      <c r="K105" s="33">
        <f t="shared" si="54"/>
        <v>1.910565629709926</v>
      </c>
      <c r="L105" s="33">
        <f t="shared" si="55"/>
        <v>45</v>
      </c>
      <c r="M105" s="33">
        <f t="shared" si="56"/>
        <v>0</v>
      </c>
      <c r="N105" s="33">
        <f t="shared" si="42"/>
        <v>0</v>
      </c>
      <c r="O105" s="34">
        <f t="shared" si="43"/>
        <v>177.03590180507811</v>
      </c>
      <c r="P105" s="55">
        <v>100</v>
      </c>
      <c r="Q105" s="33">
        <f t="shared" si="51"/>
        <v>9.36</v>
      </c>
      <c r="R105" s="33">
        <f t="shared" si="57"/>
        <v>439.92000000000007</v>
      </c>
      <c r="S105" s="33">
        <f t="shared" si="58"/>
        <v>255.15360000000001</v>
      </c>
      <c r="T105" s="33">
        <f t="shared" si="44"/>
        <v>61.688192762754426</v>
      </c>
      <c r="U105" s="33">
        <f t="shared" si="52"/>
        <v>65.655651413738866</v>
      </c>
      <c r="V105" s="33">
        <f t="shared" si="45"/>
        <v>10</v>
      </c>
      <c r="W105" s="33">
        <v>0</v>
      </c>
      <c r="X105" s="33">
        <f t="shared" si="46"/>
        <v>829.2368442455064</v>
      </c>
      <c r="Y105" s="38">
        <f t="shared" si="47"/>
        <v>652.20094244042832</v>
      </c>
      <c r="AA105" s="71">
        <v>100</v>
      </c>
      <c r="AB105" s="33">
        <f t="shared" si="48"/>
        <v>0</v>
      </c>
      <c r="AC105" s="305">
        <f t="shared" si="67"/>
        <v>0</v>
      </c>
      <c r="AD105" s="100">
        <f t="shared" si="49"/>
        <v>0</v>
      </c>
      <c r="AE105" s="100">
        <f t="shared" si="50"/>
        <v>0</v>
      </c>
      <c r="AF105" s="194">
        <f t="shared" si="63"/>
        <v>28.324530574750444</v>
      </c>
      <c r="AG105" s="194">
        <f t="shared" si="64"/>
        <v>0</v>
      </c>
      <c r="AH105" s="194">
        <f t="shared" si="65"/>
        <v>0</v>
      </c>
      <c r="AI105" s="199">
        <f t="shared" si="66"/>
        <v>28.324530574750444</v>
      </c>
      <c r="AK105" s="71">
        <v>100</v>
      </c>
      <c r="AL105" s="33"/>
      <c r="AM105" s="33"/>
      <c r="AN105" s="33"/>
      <c r="AO105" s="33"/>
      <c r="AP105" s="33"/>
      <c r="AQ105" s="194"/>
      <c r="AR105" s="194"/>
      <c r="AS105" s="194"/>
      <c r="AT105" s="194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9" t="s">
        <v>230</v>
      </c>
      <c r="G106" s="24">
        <v>0.59</v>
      </c>
      <c r="I106" s="55">
        <v>101</v>
      </c>
      <c r="J106" s="33">
        <f t="shared" si="53"/>
        <v>5</v>
      </c>
      <c r="K106" s="33">
        <f t="shared" si="54"/>
        <v>1.910565629709926</v>
      </c>
      <c r="L106" s="33">
        <f t="shared" si="55"/>
        <v>45</v>
      </c>
      <c r="M106" s="33">
        <f t="shared" si="56"/>
        <v>0</v>
      </c>
      <c r="N106" s="33">
        <f t="shared" si="42"/>
        <v>0</v>
      </c>
      <c r="O106" s="34">
        <f t="shared" si="43"/>
        <v>177.03590180507811</v>
      </c>
      <c r="P106" s="55">
        <v>101</v>
      </c>
      <c r="Q106" s="33">
        <f t="shared" si="51"/>
        <v>-32.759999999999991</v>
      </c>
      <c r="R106" s="33">
        <f t="shared" si="57"/>
        <v>407.16000000000008</v>
      </c>
      <c r="S106" s="33">
        <f t="shared" si="58"/>
        <v>236.15280000000004</v>
      </c>
      <c r="T106" s="33">
        <f t="shared" si="44"/>
        <v>57.61100977459936</v>
      </c>
      <c r="U106" s="33">
        <f t="shared" si="52"/>
        <v>65.731016149202105</v>
      </c>
      <c r="V106" s="33">
        <f t="shared" si="45"/>
        <v>10</v>
      </c>
      <c r="W106" s="33">
        <v>0</v>
      </c>
      <c r="X106" s="33">
        <f t="shared" si="46"/>
        <v>789.3190279045017</v>
      </c>
      <c r="Y106" s="38">
        <f t="shared" si="47"/>
        <v>612.28312609942361</v>
      </c>
      <c r="AA106" s="71">
        <v>101</v>
      </c>
      <c r="AB106" s="33">
        <f t="shared" si="48"/>
        <v>0</v>
      </c>
      <c r="AC106" s="305">
        <f t="shared" si="67"/>
        <v>0</v>
      </c>
      <c r="AD106" s="100">
        <f t="shared" si="49"/>
        <v>0</v>
      </c>
      <c r="AE106" s="100">
        <f t="shared" si="50"/>
        <v>0</v>
      </c>
      <c r="AF106" s="194">
        <f t="shared" si="63"/>
        <v>27.76910380643735</v>
      </c>
      <c r="AG106" s="194">
        <f t="shared" si="64"/>
        <v>0</v>
      </c>
      <c r="AH106" s="194">
        <f t="shared" si="65"/>
        <v>0</v>
      </c>
      <c r="AI106" s="199">
        <f t="shared" si="66"/>
        <v>27.76910380643735</v>
      </c>
      <c r="AK106" s="71">
        <v>101</v>
      </c>
      <c r="AL106" s="33"/>
      <c r="AM106" s="33"/>
      <c r="AN106" s="33"/>
      <c r="AO106" s="33"/>
      <c r="AP106" s="33"/>
      <c r="AQ106" s="194"/>
      <c r="AR106" s="194"/>
      <c r="AS106" s="194"/>
      <c r="AT106" s="194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9" t="s">
        <v>228</v>
      </c>
      <c r="G107" s="24">
        <v>0.43</v>
      </c>
      <c r="I107" s="55">
        <v>102</v>
      </c>
      <c r="J107" s="33">
        <f t="shared" si="53"/>
        <v>5</v>
      </c>
      <c r="K107" s="33">
        <f t="shared" si="54"/>
        <v>1.910565629709926</v>
      </c>
      <c r="L107" s="33">
        <f t="shared" si="55"/>
        <v>45</v>
      </c>
      <c r="M107" s="33">
        <f t="shared" si="56"/>
        <v>0</v>
      </c>
      <c r="N107" s="33">
        <f t="shared" si="42"/>
        <v>0</v>
      </c>
      <c r="O107" s="34">
        <f t="shared" si="43"/>
        <v>177.03590180507811</v>
      </c>
      <c r="P107" s="55">
        <v>102</v>
      </c>
      <c r="Q107" s="33">
        <f t="shared" si="51"/>
        <v>8.9699999999999989</v>
      </c>
      <c r="R107" s="33">
        <f t="shared" si="57"/>
        <v>416.13000000000011</v>
      </c>
      <c r="S107" s="33">
        <f t="shared" si="58"/>
        <v>241.35540000000006</v>
      </c>
      <c r="T107" s="33">
        <f t="shared" si="44"/>
        <v>58.731055744468854</v>
      </c>
      <c r="U107" s="33">
        <f t="shared" si="52"/>
        <v>65.805073474995353</v>
      </c>
      <c r="V107" s="33">
        <f t="shared" si="45"/>
        <v>10</v>
      </c>
      <c r="W107" s="33">
        <v>0</v>
      </c>
      <c r="X107" s="33">
        <f t="shared" si="46"/>
        <v>800.60251316326639</v>
      </c>
      <c r="Y107" s="38">
        <f t="shared" si="47"/>
        <v>623.56661135818831</v>
      </c>
      <c r="AA107" s="71">
        <v>102</v>
      </c>
      <c r="AB107" s="33">
        <f t="shared" si="48"/>
        <v>0</v>
      </c>
      <c r="AC107" s="305">
        <f t="shared" si="67"/>
        <v>0</v>
      </c>
      <c r="AD107" s="100">
        <f t="shared" si="49"/>
        <v>0</v>
      </c>
      <c r="AE107" s="100">
        <f t="shared" si="50"/>
        <v>0</v>
      </c>
      <c r="AF107" s="194">
        <f t="shared" si="63"/>
        <v>27.224568618273999</v>
      </c>
      <c r="AG107" s="194">
        <f t="shared" si="64"/>
        <v>0</v>
      </c>
      <c r="AH107" s="194">
        <f t="shared" si="65"/>
        <v>0</v>
      </c>
      <c r="AI107" s="199">
        <f t="shared" si="66"/>
        <v>27.224568618273999</v>
      </c>
      <c r="AK107" s="71">
        <v>102</v>
      </c>
      <c r="AL107" s="33"/>
      <c r="AM107" s="33"/>
      <c r="AN107" s="33"/>
      <c r="AO107" s="33"/>
      <c r="AP107" s="33"/>
      <c r="AQ107" s="194"/>
      <c r="AR107" s="194"/>
      <c r="AS107" s="194"/>
      <c r="AT107" s="194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1" t="s">
        <v>232</v>
      </c>
      <c r="G108" s="192">
        <f>VLOOKUP(VLOOKUP(F17,C131:E195,3,FALSE),F104:G107,2,FALSE)</f>
        <v>0.25</v>
      </c>
      <c r="I108" s="55">
        <v>103</v>
      </c>
      <c r="J108" s="33">
        <f t="shared" si="53"/>
        <v>5</v>
      </c>
      <c r="K108" s="33">
        <f t="shared" si="54"/>
        <v>1.910565629709926</v>
      </c>
      <c r="L108" s="33">
        <f t="shared" si="55"/>
        <v>45</v>
      </c>
      <c r="M108" s="33">
        <f t="shared" si="56"/>
        <v>0</v>
      </c>
      <c r="N108" s="33">
        <f t="shared" si="42"/>
        <v>0</v>
      </c>
      <c r="O108" s="34">
        <f t="shared" si="43"/>
        <v>177.03590180507811</v>
      </c>
      <c r="P108" s="55">
        <v>103</v>
      </c>
      <c r="Q108" s="33">
        <f t="shared" si="51"/>
        <v>8.9699999999999989</v>
      </c>
      <c r="R108" s="33">
        <f t="shared" si="57"/>
        <v>425.10000000000014</v>
      </c>
      <c r="S108" s="33">
        <f t="shared" si="58"/>
        <v>246.55800000000005</v>
      </c>
      <c r="T108" s="33">
        <f t="shared" si="44"/>
        <v>59.848294710107773</v>
      </c>
      <c r="U108" s="33">
        <f t="shared" si="52"/>
        <v>65.877846071753467</v>
      </c>
      <c r="V108" s="33">
        <f t="shared" si="45"/>
        <v>10</v>
      </c>
      <c r="W108" s="33">
        <v>0</v>
      </c>
      <c r="X108" s="33">
        <f t="shared" si="46"/>
        <v>811.87639888320052</v>
      </c>
      <c r="Y108" s="38">
        <f t="shared" si="47"/>
        <v>634.84049707812244</v>
      </c>
      <c r="AA108" s="71">
        <v>103</v>
      </c>
      <c r="AB108" s="33">
        <f t="shared" si="48"/>
        <v>0</v>
      </c>
      <c r="AC108" s="305">
        <f t="shared" si="67"/>
        <v>0</v>
      </c>
      <c r="AD108" s="100">
        <f t="shared" si="49"/>
        <v>0</v>
      </c>
      <c r="AE108" s="100">
        <f t="shared" si="50"/>
        <v>0</v>
      </c>
      <c r="AF108" s="194">
        <f t="shared" si="63"/>
        <v>26.690711433016862</v>
      </c>
      <c r="AG108" s="194">
        <f t="shared" si="64"/>
        <v>0</v>
      </c>
      <c r="AH108" s="194">
        <f t="shared" si="65"/>
        <v>0</v>
      </c>
      <c r="AI108" s="199">
        <f t="shared" si="66"/>
        <v>26.690711433016862</v>
      </c>
      <c r="AK108" s="71">
        <v>103</v>
      </c>
      <c r="AL108" s="33"/>
      <c r="AM108" s="33"/>
      <c r="AN108" s="33"/>
      <c r="AO108" s="33"/>
      <c r="AP108" s="33"/>
      <c r="AQ108" s="194"/>
      <c r="AR108" s="194"/>
      <c r="AS108" s="194"/>
      <c r="AT108" s="194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3"/>
        <v>5</v>
      </c>
      <c r="K109" s="33">
        <f t="shared" si="54"/>
        <v>1.910565629709926</v>
      </c>
      <c r="L109" s="33">
        <f t="shared" si="55"/>
        <v>45</v>
      </c>
      <c r="M109" s="33">
        <f t="shared" si="56"/>
        <v>0</v>
      </c>
      <c r="N109" s="33">
        <f t="shared" si="42"/>
        <v>0</v>
      </c>
      <c r="O109" s="34">
        <f t="shared" si="43"/>
        <v>177.03590180507811</v>
      </c>
      <c r="P109" s="55">
        <v>104</v>
      </c>
      <c r="Q109" s="33">
        <f t="shared" si="51"/>
        <v>8.9699999999999989</v>
      </c>
      <c r="R109" s="33">
        <f t="shared" si="57"/>
        <v>434.07000000000016</v>
      </c>
      <c r="S109" s="33">
        <f t="shared" si="58"/>
        <v>251.76060000000007</v>
      </c>
      <c r="T109" s="33">
        <f t="shared" si="44"/>
        <v>60.96279272505339</v>
      </c>
      <c r="U109" s="33">
        <f t="shared" si="52"/>
        <v>65.949356226652981</v>
      </c>
      <c r="V109" s="33">
        <f t="shared" si="45"/>
        <v>10</v>
      </c>
      <c r="W109" s="33">
        <v>0</v>
      </c>
      <c r="X109" s="33">
        <f t="shared" si="46"/>
        <v>823.1408818271957</v>
      </c>
      <c r="Y109" s="38">
        <f t="shared" si="47"/>
        <v>646.10498002211762</v>
      </c>
      <c r="AA109" s="71">
        <v>104</v>
      </c>
      <c r="AB109" s="33">
        <f t="shared" si="48"/>
        <v>0</v>
      </c>
      <c r="AC109" s="305">
        <f t="shared" si="67"/>
        <v>0</v>
      </c>
      <c r="AD109" s="100">
        <f t="shared" si="49"/>
        <v>0</v>
      </c>
      <c r="AE109" s="100">
        <f t="shared" si="50"/>
        <v>0</v>
      </c>
      <c r="AF109" s="194">
        <f t="shared" si="63"/>
        <v>26.167322861541887</v>
      </c>
      <c r="AG109" s="194">
        <f t="shared" si="64"/>
        <v>0</v>
      </c>
      <c r="AH109" s="194">
        <f t="shared" si="65"/>
        <v>0</v>
      </c>
      <c r="AI109" s="199">
        <f t="shared" si="66"/>
        <v>26.167322861541887</v>
      </c>
      <c r="AK109" s="71">
        <v>104</v>
      </c>
      <c r="AL109" s="33"/>
      <c r="AM109" s="33"/>
      <c r="AN109" s="33"/>
      <c r="AO109" s="33"/>
      <c r="AP109" s="33"/>
      <c r="AQ109" s="194"/>
      <c r="AR109" s="194"/>
      <c r="AS109" s="194"/>
      <c r="AT109" s="194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3"/>
        <v>5</v>
      </c>
      <c r="K110" s="33">
        <f t="shared" si="54"/>
        <v>1.910565629709926</v>
      </c>
      <c r="L110" s="33">
        <f t="shared" si="55"/>
        <v>45</v>
      </c>
      <c r="M110" s="33">
        <f t="shared" si="56"/>
        <v>0</v>
      </c>
      <c r="N110" s="33">
        <f t="shared" si="42"/>
        <v>0</v>
      </c>
      <c r="O110" s="34">
        <f t="shared" si="43"/>
        <v>177.03590180507811</v>
      </c>
      <c r="P110" s="55">
        <v>105</v>
      </c>
      <c r="Q110" s="33">
        <f t="shared" si="51"/>
        <v>8.9699999999999989</v>
      </c>
      <c r="R110" s="33">
        <f t="shared" si="57"/>
        <v>443.04000000000019</v>
      </c>
      <c r="S110" s="33">
        <f t="shared" si="58"/>
        <v>256.96320000000009</v>
      </c>
      <c r="T110" s="33">
        <f t="shared" si="44"/>
        <v>62.074612956838024</v>
      </c>
      <c r="U110" s="33">
        <f t="shared" si="52"/>
        <v>66.019625840237751</v>
      </c>
      <c r="V110" s="33">
        <f t="shared" si="45"/>
        <v>10</v>
      </c>
      <c r="W110" s="33">
        <v>0</v>
      </c>
      <c r="X110" s="33">
        <f t="shared" si="46"/>
        <v>834.3961523140315</v>
      </c>
      <c r="Y110" s="38">
        <f t="shared" si="47"/>
        <v>657.36025050895341</v>
      </c>
      <c r="AA110" s="71">
        <v>105</v>
      </c>
      <c r="AB110" s="33">
        <f t="shared" si="48"/>
        <v>0</v>
      </c>
      <c r="AC110" s="305">
        <f t="shared" si="67"/>
        <v>0</v>
      </c>
      <c r="AD110" s="100">
        <f t="shared" si="49"/>
        <v>0</v>
      </c>
      <c r="AE110" s="100">
        <f t="shared" si="50"/>
        <v>0</v>
      </c>
      <c r="AF110" s="194">
        <f t="shared" si="63"/>
        <v>25.65419762071803</v>
      </c>
      <c r="AG110" s="194">
        <f t="shared" si="64"/>
        <v>0</v>
      </c>
      <c r="AH110" s="194">
        <f t="shared" si="65"/>
        <v>0</v>
      </c>
      <c r="AI110" s="199">
        <f t="shared" si="66"/>
        <v>25.65419762071803</v>
      </c>
      <c r="AK110" s="71">
        <v>105</v>
      </c>
      <c r="AL110" s="33"/>
      <c r="AM110" s="33"/>
      <c r="AN110" s="33"/>
      <c r="AO110" s="33"/>
      <c r="AP110" s="33"/>
      <c r="AQ110" s="194"/>
      <c r="AR110" s="194"/>
      <c r="AS110" s="194"/>
      <c r="AT110" s="194"/>
      <c r="AU110" s="33"/>
      <c r="AV110" s="33"/>
      <c r="AW110" s="33"/>
      <c r="AX110" s="33"/>
      <c r="AY110" s="76"/>
    </row>
    <row r="111" spans="2:51">
      <c r="C111" s="157" t="s">
        <v>168</v>
      </c>
      <c r="D111" s="157"/>
      <c r="E111" s="157"/>
      <c r="I111" s="55">
        <v>106</v>
      </c>
      <c r="J111" s="33">
        <f t="shared" si="53"/>
        <v>5</v>
      </c>
      <c r="K111" s="33">
        <f t="shared" si="54"/>
        <v>1.910565629709926</v>
      </c>
      <c r="L111" s="33">
        <f t="shared" si="55"/>
        <v>45</v>
      </c>
      <c r="M111" s="33">
        <f t="shared" si="56"/>
        <v>0</v>
      </c>
      <c r="N111" s="33">
        <f t="shared" si="42"/>
        <v>0</v>
      </c>
      <c r="O111" s="34">
        <f t="shared" si="43"/>
        <v>177.03590180507811</v>
      </c>
      <c r="P111" s="55">
        <v>106</v>
      </c>
      <c r="Q111" s="33">
        <f t="shared" si="51"/>
        <v>-31.199999999999989</v>
      </c>
      <c r="R111" s="33">
        <f t="shared" si="57"/>
        <v>411.8400000000002</v>
      </c>
      <c r="S111" s="33">
        <f t="shared" si="58"/>
        <v>238.86720000000011</v>
      </c>
      <c r="T111" s="33">
        <f t="shared" si="44"/>
        <v>58.195735973104156</v>
      </c>
      <c r="U111" s="33">
        <f t="shared" si="52"/>
        <v>66.088676433126125</v>
      </c>
      <c r="V111" s="33">
        <f t="shared" si="45"/>
        <v>10</v>
      </c>
      <c r="W111" s="33">
        <v>0</v>
      </c>
      <c r="X111" s="33">
        <f t="shared" si="46"/>
        <v>796.37642707461907</v>
      </c>
      <c r="Y111" s="38">
        <f t="shared" si="47"/>
        <v>619.34052526954099</v>
      </c>
      <c r="AA111" s="71">
        <v>106</v>
      </c>
      <c r="AB111" s="33">
        <f t="shared" si="48"/>
        <v>0</v>
      </c>
      <c r="AC111" s="305">
        <f t="shared" si="67"/>
        <v>0</v>
      </c>
      <c r="AD111" s="100">
        <f t="shared" si="49"/>
        <v>0</v>
      </c>
      <c r="AE111" s="100">
        <f t="shared" si="50"/>
        <v>0</v>
      </c>
      <c r="AF111" s="194">
        <f t="shared" si="63"/>
        <v>25.151134452891235</v>
      </c>
      <c r="AG111" s="194">
        <f t="shared" si="64"/>
        <v>0</v>
      </c>
      <c r="AH111" s="194">
        <f t="shared" si="65"/>
        <v>0</v>
      </c>
      <c r="AI111" s="199">
        <f t="shared" si="66"/>
        <v>25.151134452891235</v>
      </c>
      <c r="AK111" s="71">
        <v>106</v>
      </c>
      <c r="AL111" s="33"/>
      <c r="AM111" s="33"/>
      <c r="AN111" s="33"/>
      <c r="AO111" s="33"/>
      <c r="AP111" s="33"/>
      <c r="AQ111" s="194"/>
      <c r="AR111" s="194"/>
      <c r="AS111" s="194"/>
      <c r="AT111" s="194"/>
      <c r="AU111" s="33"/>
      <c r="AV111" s="33"/>
      <c r="AW111" s="33"/>
      <c r="AX111" s="33"/>
      <c r="AY111" s="76"/>
    </row>
    <row r="112" spans="2:51">
      <c r="C112" s="74" t="s">
        <v>144</v>
      </c>
      <c r="D112" s="74" t="s">
        <v>72</v>
      </c>
      <c r="E112" s="74" t="s">
        <v>165</v>
      </c>
      <c r="I112" s="55">
        <v>107</v>
      </c>
      <c r="J112" s="33">
        <f t="shared" si="53"/>
        <v>5</v>
      </c>
      <c r="K112" s="33">
        <f t="shared" si="54"/>
        <v>1.910565629709926</v>
      </c>
      <c r="L112" s="33">
        <f t="shared" si="55"/>
        <v>45</v>
      </c>
      <c r="M112" s="33">
        <f t="shared" si="56"/>
        <v>0</v>
      </c>
      <c r="N112" s="33">
        <f t="shared" si="42"/>
        <v>0</v>
      </c>
      <c r="O112" s="34">
        <f t="shared" si="43"/>
        <v>177.03590180507811</v>
      </c>
      <c r="P112" s="55">
        <v>107</v>
      </c>
      <c r="Q112" s="33">
        <f t="shared" si="51"/>
        <v>8.1899999999999977</v>
      </c>
      <c r="R112" s="33">
        <f t="shared" si="57"/>
        <v>420.0300000000002</v>
      </c>
      <c r="S112" s="33">
        <f t="shared" si="58"/>
        <v>243.61740000000009</v>
      </c>
      <c r="T112" s="33">
        <f t="shared" si="44"/>
        <v>59.217152772195554</v>
      </c>
      <c r="U112" s="33">
        <f t="shared" si="52"/>
        <v>66.156529152601905</v>
      </c>
      <c r="V112" s="33">
        <f t="shared" si="45"/>
        <v>10</v>
      </c>
      <c r="W112" s="33">
        <v>0</v>
      </c>
      <c r="X112" s="33">
        <f t="shared" si="46"/>
        <v>806.67745297111435</v>
      </c>
      <c r="Y112" s="38">
        <f t="shared" si="47"/>
        <v>629.64155116603627</v>
      </c>
      <c r="AA112" s="71">
        <v>107</v>
      </c>
      <c r="AB112" s="33">
        <f t="shared" si="48"/>
        <v>0</v>
      </c>
      <c r="AC112" s="305">
        <f t="shared" si="67"/>
        <v>0</v>
      </c>
      <c r="AD112" s="100">
        <f t="shared" si="49"/>
        <v>0</v>
      </c>
      <c r="AE112" s="100">
        <f t="shared" si="50"/>
        <v>0</v>
      </c>
      <c r="AF112" s="194">
        <f t="shared" si="63"/>
        <v>24.657936046947288</v>
      </c>
      <c r="AG112" s="194">
        <f t="shared" si="64"/>
        <v>0</v>
      </c>
      <c r="AH112" s="194">
        <f t="shared" si="65"/>
        <v>0</v>
      </c>
      <c r="AI112" s="199">
        <f t="shared" si="66"/>
        <v>24.657936046947288</v>
      </c>
      <c r="AK112" s="71">
        <v>107</v>
      </c>
      <c r="AL112" s="33"/>
      <c r="AM112" s="33"/>
      <c r="AN112" s="33"/>
      <c r="AO112" s="33"/>
      <c r="AP112" s="33"/>
      <c r="AQ112" s="194"/>
      <c r="AR112" s="194"/>
      <c r="AS112" s="194"/>
      <c r="AT112" s="194"/>
      <c r="AU112" s="33"/>
      <c r="AV112" s="33"/>
      <c r="AW112" s="33"/>
      <c r="AX112" s="33"/>
      <c r="AY112" s="76"/>
    </row>
    <row r="113" spans="2:51">
      <c r="B113" s="67" t="s">
        <v>166</v>
      </c>
      <c r="C113" s="79">
        <f>1/$F$18*SUM(X6:X205)</f>
        <v>619.09469962308253</v>
      </c>
      <c r="D113" s="79">
        <f>1/$F$10*SUM(O6:O205)</f>
        <v>177.03590180507788</v>
      </c>
      <c r="E113" s="78">
        <f>C113-D113</f>
        <v>442.05879781800468</v>
      </c>
      <c r="I113" s="55">
        <v>108</v>
      </c>
      <c r="J113" s="33">
        <f t="shared" si="53"/>
        <v>5</v>
      </c>
      <c r="K113" s="33">
        <f t="shared" si="54"/>
        <v>1.910565629709926</v>
      </c>
      <c r="L113" s="33">
        <f t="shared" si="55"/>
        <v>45</v>
      </c>
      <c r="M113" s="33">
        <f t="shared" si="56"/>
        <v>0</v>
      </c>
      <c r="N113" s="33">
        <f t="shared" si="42"/>
        <v>0</v>
      </c>
      <c r="O113" s="34">
        <f t="shared" si="43"/>
        <v>177.03590180507811</v>
      </c>
      <c r="P113" s="55">
        <v>108</v>
      </c>
      <c r="Q113" s="33">
        <f t="shared" si="51"/>
        <v>8.1899999999999977</v>
      </c>
      <c r="R113" s="33">
        <f t="shared" si="57"/>
        <v>428.2200000000002</v>
      </c>
      <c r="S113" s="33">
        <f t="shared" si="58"/>
        <v>248.3676000000001</v>
      </c>
      <c r="T113" s="33">
        <f t="shared" si="44"/>
        <v>60.236253798706343</v>
      </c>
      <c r="U113" s="33">
        <f t="shared" si="52"/>
        <v>66.223204779090736</v>
      </c>
      <c r="V113" s="33">
        <f t="shared" si="45"/>
        <v>10</v>
      </c>
      <c r="W113" s="33">
        <v>0</v>
      </c>
      <c r="X113" s="33">
        <f t="shared" si="46"/>
        <v>816.97012955607977</v>
      </c>
      <c r="Y113" s="38">
        <f t="shared" si="47"/>
        <v>639.93422775100169</v>
      </c>
      <c r="AA113" s="71">
        <v>108</v>
      </c>
      <c r="AB113" s="33">
        <f t="shared" si="48"/>
        <v>0</v>
      </c>
      <c r="AC113" s="305">
        <f t="shared" si="67"/>
        <v>0</v>
      </c>
      <c r="AD113" s="100">
        <f t="shared" si="49"/>
        <v>0</v>
      </c>
      <c r="AE113" s="100">
        <f t="shared" si="50"/>
        <v>0</v>
      </c>
      <c r="AF113" s="194">
        <f t="shared" si="63"/>
        <v>24.174408960922577</v>
      </c>
      <c r="AG113" s="194">
        <f t="shared" si="64"/>
        <v>0</v>
      </c>
      <c r="AH113" s="194">
        <f t="shared" si="65"/>
        <v>0</v>
      </c>
      <c r="AI113" s="199">
        <f t="shared" si="66"/>
        <v>24.174408960922577</v>
      </c>
      <c r="AK113" s="71">
        <v>108</v>
      </c>
      <c r="AL113" s="33"/>
      <c r="AM113" s="33"/>
      <c r="AN113" s="33"/>
      <c r="AO113" s="33"/>
      <c r="AP113" s="33"/>
      <c r="AQ113" s="194"/>
      <c r="AR113" s="194"/>
      <c r="AS113" s="194"/>
      <c r="AT113" s="194"/>
      <c r="AU113" s="33"/>
      <c r="AV113" s="33"/>
      <c r="AW113" s="33"/>
      <c r="AX113" s="33"/>
      <c r="AY113" s="76"/>
    </row>
    <row r="114" spans="2:51">
      <c r="B114" s="67" t="s">
        <v>167</v>
      </c>
      <c r="C114" s="79">
        <f>X35</f>
        <v>433.81035425098213</v>
      </c>
      <c r="D114" s="79">
        <f>O35</f>
        <v>177.03590180507811</v>
      </c>
      <c r="E114" s="78">
        <f>VLOOKUP(30,I5:Y205,17,FALSE)</f>
        <v>256.77445244590399</v>
      </c>
      <c r="I114" s="55">
        <v>109</v>
      </c>
      <c r="J114" s="33">
        <f t="shared" si="53"/>
        <v>5</v>
      </c>
      <c r="K114" s="33">
        <f t="shared" si="54"/>
        <v>1.910565629709926</v>
      </c>
      <c r="L114" s="33">
        <f t="shared" si="55"/>
        <v>45</v>
      </c>
      <c r="M114" s="33">
        <f t="shared" si="56"/>
        <v>0</v>
      </c>
      <c r="N114" s="33">
        <f t="shared" si="42"/>
        <v>0</v>
      </c>
      <c r="O114" s="34">
        <f t="shared" si="43"/>
        <v>177.03590180507811</v>
      </c>
      <c r="P114" s="55">
        <v>109</v>
      </c>
      <c r="Q114" s="33">
        <f t="shared" si="51"/>
        <v>8.1899999999999977</v>
      </c>
      <c r="R114" s="33">
        <f t="shared" si="57"/>
        <v>436.4100000000002</v>
      </c>
      <c r="S114" s="33">
        <f t="shared" si="58"/>
        <v>253.1178000000001</v>
      </c>
      <c r="T114" s="33">
        <f t="shared" si="44"/>
        <v>61.253088449887215</v>
      </c>
      <c r="U114" s="33">
        <f t="shared" si="52"/>
        <v>66.288723732524346</v>
      </c>
      <c r="V114" s="33">
        <f t="shared" si="45"/>
        <v>10</v>
      </c>
      <c r="W114" s="33">
        <v>0</v>
      </c>
      <c r="X114" s="33">
        <f t="shared" si="46"/>
        <v>827.2546177361429</v>
      </c>
      <c r="Y114" s="38">
        <f t="shared" si="47"/>
        <v>650.21871593106482</v>
      </c>
      <c r="AA114" s="71">
        <v>109</v>
      </c>
      <c r="AB114" s="33">
        <f t="shared" si="48"/>
        <v>0</v>
      </c>
      <c r="AC114" s="305">
        <f t="shared" si="67"/>
        <v>0</v>
      </c>
      <c r="AD114" s="100">
        <f t="shared" si="49"/>
        <v>0</v>
      </c>
      <c r="AE114" s="100">
        <f t="shared" si="50"/>
        <v>0</v>
      </c>
      <c r="AF114" s="194">
        <f t="shared" si="63"/>
        <v>23.700363546132412</v>
      </c>
      <c r="AG114" s="194">
        <f t="shared" si="64"/>
        <v>0</v>
      </c>
      <c r="AH114" s="194">
        <f t="shared" si="65"/>
        <v>0</v>
      </c>
      <c r="AI114" s="199">
        <f t="shared" si="66"/>
        <v>23.700363546132412</v>
      </c>
      <c r="AK114" s="71">
        <v>109</v>
      </c>
      <c r="AL114" s="33"/>
      <c r="AM114" s="33"/>
      <c r="AN114" s="33"/>
      <c r="AO114" s="33"/>
      <c r="AP114" s="33"/>
      <c r="AQ114" s="194"/>
      <c r="AR114" s="194"/>
      <c r="AS114" s="194"/>
      <c r="AT114" s="194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3"/>
        <v>5</v>
      </c>
      <c r="K115" s="33">
        <f t="shared" si="54"/>
        <v>1.910565629709926</v>
      </c>
      <c r="L115" s="33">
        <f t="shared" si="55"/>
        <v>45</v>
      </c>
      <c r="M115" s="33">
        <f t="shared" si="56"/>
        <v>0</v>
      </c>
      <c r="N115" s="33">
        <f t="shared" si="42"/>
        <v>0</v>
      </c>
      <c r="O115" s="34">
        <f t="shared" si="43"/>
        <v>177.03590180507811</v>
      </c>
      <c r="P115" s="55">
        <v>110</v>
      </c>
      <c r="Q115" s="33">
        <f t="shared" si="51"/>
        <v>8.1899999999999977</v>
      </c>
      <c r="R115" s="33">
        <f t="shared" si="57"/>
        <v>444.60000000000019</v>
      </c>
      <c r="S115" s="33">
        <f t="shared" si="58"/>
        <v>257.86800000000011</v>
      </c>
      <c r="T115" s="33">
        <f t="shared" si="44"/>
        <v>62.267704162827528</v>
      </c>
      <c r="U115" s="33">
        <f t="shared" si="52"/>
        <v>66.353106078594323</v>
      </c>
      <c r="V115" s="33">
        <f t="shared" si="45"/>
        <v>10</v>
      </c>
      <c r="W115" s="33">
        <v>0</v>
      </c>
      <c r="X115" s="33">
        <f t="shared" si="46"/>
        <v>837.53107370510395</v>
      </c>
      <c r="Y115" s="38">
        <f t="shared" si="47"/>
        <v>660.49517190002587</v>
      </c>
      <c r="AA115" s="71">
        <v>110</v>
      </c>
      <c r="AB115" s="33">
        <f t="shared" si="48"/>
        <v>0</v>
      </c>
      <c r="AC115" s="305">
        <f t="shared" si="67"/>
        <v>0</v>
      </c>
      <c r="AD115" s="100">
        <f t="shared" si="49"/>
        <v>0</v>
      </c>
      <c r="AE115" s="100">
        <f t="shared" si="50"/>
        <v>0</v>
      </c>
      <c r="AF115" s="194">
        <f t="shared" si="63"/>
        <v>23.235613872787127</v>
      </c>
      <c r="AG115" s="194">
        <f t="shared" si="64"/>
        <v>0</v>
      </c>
      <c r="AH115" s="194">
        <f t="shared" si="65"/>
        <v>0</v>
      </c>
      <c r="AI115" s="199">
        <f t="shared" si="66"/>
        <v>23.235613872787127</v>
      </c>
      <c r="AK115" s="71">
        <v>110</v>
      </c>
      <c r="AL115" s="33"/>
      <c r="AM115" s="33"/>
      <c r="AN115" s="33"/>
      <c r="AO115" s="33"/>
      <c r="AP115" s="33"/>
      <c r="AQ115" s="194"/>
      <c r="AR115" s="194"/>
      <c r="AS115" s="194"/>
      <c r="AT115" s="194"/>
      <c r="AU115" s="33"/>
      <c r="AV115" s="33"/>
      <c r="AW115" s="33"/>
      <c r="AX115" s="33"/>
      <c r="AY115" s="76"/>
    </row>
    <row r="116" spans="2:51">
      <c r="C116" s="135" t="s">
        <v>124</v>
      </c>
      <c r="D116" s="135"/>
      <c r="E116" s="135"/>
      <c r="I116" s="55">
        <v>111</v>
      </c>
      <c r="J116" s="33">
        <f t="shared" si="53"/>
        <v>5</v>
      </c>
      <c r="K116" s="33">
        <f t="shared" si="54"/>
        <v>1.910565629709926</v>
      </c>
      <c r="L116" s="33">
        <f t="shared" si="55"/>
        <v>45</v>
      </c>
      <c r="M116" s="33">
        <f t="shared" si="56"/>
        <v>0</v>
      </c>
      <c r="N116" s="33">
        <f t="shared" si="42"/>
        <v>0</v>
      </c>
      <c r="O116" s="34">
        <f t="shared" si="43"/>
        <v>177.03590180507811</v>
      </c>
      <c r="P116" s="55">
        <v>111</v>
      </c>
      <c r="Q116" s="33">
        <f t="shared" si="51"/>
        <v>-29.639999999999986</v>
      </c>
      <c r="R116" s="33">
        <f t="shared" si="57"/>
        <v>414.96000000000021</v>
      </c>
      <c r="S116" s="33">
        <f t="shared" si="58"/>
        <v>240.6768000000001</v>
      </c>
      <c r="T116" s="33">
        <f t="shared" si="44"/>
        <v>58.585123425001079</v>
      </c>
      <c r="U116" s="33">
        <f t="shared" si="52"/>
        <v>66.416371534897337</v>
      </c>
      <c r="V116" s="33">
        <f t="shared" si="45"/>
        <v>10</v>
      </c>
      <c r="W116" s="33">
        <v>0</v>
      </c>
      <c r="X116" s="33">
        <f t="shared" si="46"/>
        <v>801.40787892650053</v>
      </c>
      <c r="Y116" s="38">
        <f t="shared" si="47"/>
        <v>624.37197712142245</v>
      </c>
      <c r="AA116" s="71">
        <v>111</v>
      </c>
      <c r="AB116" s="33">
        <f t="shared" si="48"/>
        <v>0</v>
      </c>
      <c r="AC116" s="305">
        <f t="shared" si="67"/>
        <v>0</v>
      </c>
      <c r="AD116" s="100">
        <f t="shared" si="49"/>
        <v>0</v>
      </c>
      <c r="AE116" s="100">
        <f t="shared" si="50"/>
        <v>0</v>
      </c>
      <c r="AF116" s="194">
        <f t="shared" si="63"/>
        <v>22.779977657066834</v>
      </c>
      <c r="AG116" s="194">
        <f t="shared" si="64"/>
        <v>0</v>
      </c>
      <c r="AH116" s="194">
        <f t="shared" si="65"/>
        <v>0</v>
      </c>
      <c r="AI116" s="199">
        <f t="shared" si="66"/>
        <v>22.779977657066834</v>
      </c>
      <c r="AK116" s="71">
        <v>111</v>
      </c>
      <c r="AL116" s="33"/>
      <c r="AM116" s="33"/>
      <c r="AN116" s="33"/>
      <c r="AO116" s="33"/>
      <c r="AP116" s="33"/>
      <c r="AQ116" s="194"/>
      <c r="AR116" s="194"/>
      <c r="AS116" s="194"/>
      <c r="AT116" s="194"/>
      <c r="AU116" s="33"/>
      <c r="AV116" s="33"/>
      <c r="AW116" s="33"/>
      <c r="AX116" s="33"/>
      <c r="AY116" s="76"/>
    </row>
    <row r="117" spans="2:51">
      <c r="C117" s="135" t="s">
        <v>144</v>
      </c>
      <c r="D117" s="135" t="s">
        <v>72</v>
      </c>
      <c r="E117" s="81" t="s">
        <v>165</v>
      </c>
      <c r="I117" s="55">
        <v>112</v>
      </c>
      <c r="J117" s="33">
        <f t="shared" si="53"/>
        <v>5</v>
      </c>
      <c r="K117" s="33">
        <f t="shared" si="54"/>
        <v>1.910565629709926</v>
      </c>
      <c r="L117" s="33">
        <f t="shared" si="55"/>
        <v>45</v>
      </c>
      <c r="M117" s="33">
        <f t="shared" si="56"/>
        <v>0</v>
      </c>
      <c r="N117" s="33">
        <f t="shared" si="42"/>
        <v>0</v>
      </c>
      <c r="O117" s="34">
        <f t="shared" si="43"/>
        <v>177.03590180507811</v>
      </c>
      <c r="P117" s="55">
        <v>112</v>
      </c>
      <c r="Q117" s="33">
        <f t="shared" si="51"/>
        <v>7.4099999999999966</v>
      </c>
      <c r="R117" s="33">
        <f t="shared" si="57"/>
        <v>422.37000000000023</v>
      </c>
      <c r="S117" s="33">
        <f t="shared" si="58"/>
        <v>244.97460000000012</v>
      </c>
      <c r="T117" s="33">
        <f t="shared" si="44"/>
        <v>59.508558599212847</v>
      </c>
      <c r="U117" s="33">
        <f t="shared" si="52"/>
        <v>66.478539476973879</v>
      </c>
      <c r="V117" s="33">
        <f t="shared" si="45"/>
        <v>10</v>
      </c>
      <c r="W117" s="33">
        <v>0</v>
      </c>
      <c r="X117" s="33">
        <f t="shared" si="46"/>
        <v>810.72947930920009</v>
      </c>
      <c r="Y117" s="38">
        <f t="shared" si="47"/>
        <v>633.693577504122</v>
      </c>
      <c r="AA117" s="71">
        <v>112</v>
      </c>
      <c r="AB117" s="33">
        <f t="shared" si="48"/>
        <v>0</v>
      </c>
      <c r="AC117" s="305">
        <f t="shared" si="67"/>
        <v>0</v>
      </c>
      <c r="AD117" s="100">
        <f t="shared" si="49"/>
        <v>0</v>
      </c>
      <c r="AE117" s="100">
        <f t="shared" si="50"/>
        <v>0</v>
      </c>
      <c r="AF117" s="194">
        <f t="shared" si="63"/>
        <v>22.333276189626165</v>
      </c>
      <c r="AG117" s="194">
        <f t="shared" si="64"/>
        <v>0</v>
      </c>
      <c r="AH117" s="194">
        <f t="shared" si="65"/>
        <v>0</v>
      </c>
      <c r="AI117" s="199">
        <f t="shared" si="66"/>
        <v>22.333276189626165</v>
      </c>
      <c r="AK117" s="71">
        <v>112</v>
      </c>
      <c r="AL117" s="33"/>
      <c r="AM117" s="33"/>
      <c r="AN117" s="33"/>
      <c r="AO117" s="33"/>
      <c r="AP117" s="33"/>
      <c r="AQ117" s="194"/>
      <c r="AR117" s="194"/>
      <c r="AS117" s="194"/>
      <c r="AT117" s="194"/>
      <c r="AU117" s="33"/>
      <c r="AV117" s="33"/>
      <c r="AW117" s="33"/>
      <c r="AX117" s="33"/>
      <c r="AY117" s="76"/>
    </row>
    <row r="118" spans="2:51">
      <c r="B118" s="67" t="s">
        <v>260</v>
      </c>
      <c r="C118" s="303">
        <f>1/30*SUM(AI6:AI35)</f>
        <v>6.4117569005955777E-2</v>
      </c>
      <c r="D118" s="79">
        <v>0</v>
      </c>
      <c r="E118" s="78">
        <f>C118-D118</f>
        <v>6.4117569005955777E-2</v>
      </c>
      <c r="I118" s="55">
        <v>113</v>
      </c>
      <c r="J118" s="33">
        <f t="shared" si="53"/>
        <v>5</v>
      </c>
      <c r="K118" s="33">
        <f t="shared" si="54"/>
        <v>1.910565629709926</v>
      </c>
      <c r="L118" s="33">
        <f t="shared" si="55"/>
        <v>45</v>
      </c>
      <c r="M118" s="33">
        <f t="shared" si="56"/>
        <v>0</v>
      </c>
      <c r="N118" s="33">
        <f t="shared" si="42"/>
        <v>0</v>
      </c>
      <c r="O118" s="34">
        <f t="shared" si="43"/>
        <v>177.03590180507811</v>
      </c>
      <c r="P118" s="55">
        <v>113</v>
      </c>
      <c r="Q118" s="33">
        <f t="shared" si="51"/>
        <v>7.4099999999999966</v>
      </c>
      <c r="R118" s="33">
        <f t="shared" si="57"/>
        <v>429.7800000000002</v>
      </c>
      <c r="S118" s="33">
        <f t="shared" si="58"/>
        <v>249.27240000000009</v>
      </c>
      <c r="T118" s="33">
        <f t="shared" si="44"/>
        <v>60.430109843567763</v>
      </c>
      <c r="U118" s="33">
        <f t="shared" si="52"/>
        <v>66.539628944242082</v>
      </c>
      <c r="V118" s="33">
        <f t="shared" si="45"/>
        <v>10</v>
      </c>
      <c r="W118" s="33">
        <v>0</v>
      </c>
      <c r="X118" s="33">
        <f t="shared" si="46"/>
        <v>820.0438441064349</v>
      </c>
      <c r="Y118" s="38">
        <f t="shared" si="47"/>
        <v>643.00794230135682</v>
      </c>
      <c r="AA118" s="71">
        <v>113</v>
      </c>
      <c r="AB118" s="33">
        <f t="shared" si="48"/>
        <v>0</v>
      </c>
      <c r="AC118" s="305">
        <f t="shared" si="67"/>
        <v>0</v>
      </c>
      <c r="AD118" s="100">
        <f t="shared" si="49"/>
        <v>0</v>
      </c>
      <c r="AE118" s="100">
        <f t="shared" si="50"/>
        <v>0</v>
      </c>
      <c r="AF118" s="194">
        <f t="shared" si="63"/>
        <v>21.895334265501017</v>
      </c>
      <c r="AG118" s="194">
        <f t="shared" si="64"/>
        <v>0</v>
      </c>
      <c r="AH118" s="194">
        <f t="shared" si="65"/>
        <v>0</v>
      </c>
      <c r="AI118" s="199">
        <f t="shared" si="66"/>
        <v>21.895334265501017</v>
      </c>
      <c r="AK118" s="71">
        <v>113</v>
      </c>
      <c r="AL118" s="33"/>
      <c r="AM118" s="33"/>
      <c r="AN118" s="33"/>
      <c r="AO118" s="33"/>
      <c r="AP118" s="33"/>
      <c r="AQ118" s="194"/>
      <c r="AR118" s="194"/>
      <c r="AS118" s="194"/>
      <c r="AT118" s="194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3"/>
        <v>5</v>
      </c>
      <c r="K119" s="33">
        <f t="shared" si="54"/>
        <v>1.910565629709926</v>
      </c>
      <c r="L119" s="33">
        <f t="shared" si="55"/>
        <v>45</v>
      </c>
      <c r="M119" s="33">
        <f t="shared" si="56"/>
        <v>0</v>
      </c>
      <c r="N119" s="33">
        <f t="shared" si="42"/>
        <v>0</v>
      </c>
      <c r="O119" s="34">
        <f t="shared" si="43"/>
        <v>177.03590180507811</v>
      </c>
      <c r="P119" s="55">
        <v>114</v>
      </c>
      <c r="Q119" s="33">
        <f t="shared" si="51"/>
        <v>7.4099999999999966</v>
      </c>
      <c r="R119" s="33">
        <f t="shared" si="57"/>
        <v>437.19000000000017</v>
      </c>
      <c r="S119" s="33">
        <f t="shared" si="58"/>
        <v>253.57020000000009</v>
      </c>
      <c r="T119" s="33">
        <f t="shared" si="44"/>
        <v>61.349813387722385</v>
      </c>
      <c r="U119" s="33">
        <f t="shared" si="52"/>
        <v>66.599658645828768</v>
      </c>
      <c r="V119" s="33">
        <f t="shared" si="45"/>
        <v>10</v>
      </c>
      <c r="W119" s="33">
        <v>0</v>
      </c>
      <c r="X119" s="33">
        <f t="shared" si="46"/>
        <v>829.35110501832207</v>
      </c>
      <c r="Y119" s="38">
        <f t="shared" si="47"/>
        <v>652.31520321324399</v>
      </c>
      <c r="AA119" s="71">
        <v>114</v>
      </c>
      <c r="AB119" s="33">
        <f t="shared" si="48"/>
        <v>0</v>
      </c>
      <c r="AC119" s="305">
        <f t="shared" si="67"/>
        <v>0</v>
      </c>
      <c r="AD119" s="100">
        <f t="shared" si="49"/>
        <v>0</v>
      </c>
      <c r="AE119" s="100">
        <f t="shared" si="50"/>
        <v>0</v>
      </c>
      <c r="AF119" s="194">
        <f t="shared" si="63"/>
        <v>21.465980115389762</v>
      </c>
      <c r="AG119" s="194">
        <f t="shared" si="64"/>
        <v>0</v>
      </c>
      <c r="AH119" s="194">
        <f t="shared" si="65"/>
        <v>0</v>
      </c>
      <c r="AI119" s="199">
        <f t="shared" si="66"/>
        <v>21.465980115389762</v>
      </c>
      <c r="AK119" s="71">
        <v>114</v>
      </c>
      <c r="AL119" s="33"/>
      <c r="AM119" s="33"/>
      <c r="AN119" s="33"/>
      <c r="AO119" s="33"/>
      <c r="AP119" s="33"/>
      <c r="AQ119" s="194"/>
      <c r="AR119" s="194"/>
      <c r="AS119" s="194"/>
      <c r="AT119" s="194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3"/>
        <v>5</v>
      </c>
      <c r="K120" s="33">
        <f t="shared" si="54"/>
        <v>1.910565629709926</v>
      </c>
      <c r="L120" s="33">
        <f t="shared" si="55"/>
        <v>45</v>
      </c>
      <c r="M120" s="33">
        <f t="shared" si="56"/>
        <v>0</v>
      </c>
      <c r="N120" s="33">
        <f t="shared" si="42"/>
        <v>0</v>
      </c>
      <c r="O120" s="34">
        <f t="shared" si="43"/>
        <v>177.03590180507811</v>
      </c>
      <c r="P120" s="55">
        <v>115</v>
      </c>
      <c r="Q120" s="33">
        <f t="shared" si="51"/>
        <v>7.4099999999999966</v>
      </c>
      <c r="R120" s="33">
        <f t="shared" si="57"/>
        <v>444.60000000000014</v>
      </c>
      <c r="S120" s="33">
        <f t="shared" si="58"/>
        <v>257.86800000000005</v>
      </c>
      <c r="T120" s="33">
        <f t="shared" si="44"/>
        <v>62.267704162827528</v>
      </c>
      <c r="U120" s="33">
        <f t="shared" si="52"/>
        <v>66.658646966299244</v>
      </c>
      <c r="V120" s="33">
        <f t="shared" si="45"/>
        <v>10</v>
      </c>
      <c r="W120" s="33">
        <v>0</v>
      </c>
      <c r="X120" s="33">
        <f t="shared" si="46"/>
        <v>838.65139029335523</v>
      </c>
      <c r="Y120" s="38">
        <f t="shared" si="47"/>
        <v>661.61548848827715</v>
      </c>
      <c r="AA120" s="71">
        <v>115</v>
      </c>
      <c r="AB120" s="33">
        <f t="shared" si="48"/>
        <v>0</v>
      </c>
      <c r="AC120" s="305">
        <f t="shared" si="67"/>
        <v>0</v>
      </c>
      <c r="AD120" s="100">
        <f t="shared" si="49"/>
        <v>0</v>
      </c>
      <c r="AE120" s="100">
        <f t="shared" si="50"/>
        <v>0</v>
      </c>
      <c r="AF120" s="194">
        <f t="shared" si="63"/>
        <v>21.045045338282016</v>
      </c>
      <c r="AG120" s="194">
        <f t="shared" si="64"/>
        <v>0</v>
      </c>
      <c r="AH120" s="194">
        <f t="shared" si="65"/>
        <v>0</v>
      </c>
      <c r="AI120" s="199">
        <f t="shared" si="66"/>
        <v>21.045045338282016</v>
      </c>
      <c r="AK120" s="71">
        <v>115</v>
      </c>
      <c r="AL120" s="33"/>
      <c r="AM120" s="33"/>
      <c r="AN120" s="33"/>
      <c r="AO120" s="33"/>
      <c r="AP120" s="33"/>
      <c r="AQ120" s="194"/>
      <c r="AR120" s="194"/>
      <c r="AS120" s="194"/>
      <c r="AT120" s="194"/>
      <c r="AU120" s="33"/>
      <c r="AV120" s="33"/>
      <c r="AW120" s="33"/>
      <c r="AX120" s="33"/>
      <c r="AY120" s="76"/>
    </row>
    <row r="121" spans="2:51">
      <c r="C121" s="135" t="s">
        <v>159</v>
      </c>
      <c r="D121" s="135"/>
      <c r="E121" s="135"/>
      <c r="I121" s="55">
        <v>116</v>
      </c>
      <c r="J121" s="33">
        <f t="shared" si="53"/>
        <v>5</v>
      </c>
      <c r="K121" s="33">
        <f t="shared" si="54"/>
        <v>1.910565629709926</v>
      </c>
      <c r="L121" s="33">
        <f t="shared" si="55"/>
        <v>45</v>
      </c>
      <c r="M121" s="33">
        <f t="shared" si="56"/>
        <v>0</v>
      </c>
      <c r="N121" s="33">
        <f t="shared" si="42"/>
        <v>0</v>
      </c>
      <c r="O121" s="34">
        <f t="shared" si="43"/>
        <v>177.03590180507811</v>
      </c>
      <c r="P121" s="55">
        <v>116</v>
      </c>
      <c r="Q121" s="33">
        <f t="shared" si="51"/>
        <v>-28.079999999999984</v>
      </c>
      <c r="R121" s="33">
        <f t="shared" si="57"/>
        <v>416.52000000000015</v>
      </c>
      <c r="S121" s="33">
        <f t="shared" si="58"/>
        <v>241.58160000000007</v>
      </c>
      <c r="T121" s="33">
        <f t="shared" si="44"/>
        <v>58.779689232021951</v>
      </c>
      <c r="U121" s="33">
        <f t="shared" si="52"/>
        <v>66.716611971287676</v>
      </c>
      <c r="V121" s="33">
        <f t="shared" si="45"/>
        <v>10</v>
      </c>
      <c r="W121" s="33">
        <v>0</v>
      </c>
      <c r="X121" s="33">
        <f t="shared" si="46"/>
        <v>804.4234893071598</v>
      </c>
      <c r="Y121" s="38">
        <f t="shared" si="47"/>
        <v>627.38758750208171</v>
      </c>
      <c r="AA121" s="71">
        <v>116</v>
      </c>
      <c r="AB121" s="33">
        <f t="shared" si="48"/>
        <v>0</v>
      </c>
      <c r="AC121" s="305">
        <f t="shared" si="67"/>
        <v>0</v>
      </c>
      <c r="AD121" s="100">
        <f t="shared" si="49"/>
        <v>0</v>
      </c>
      <c r="AE121" s="100">
        <f t="shared" si="50"/>
        <v>0</v>
      </c>
      <c r="AF121" s="194">
        <f t="shared" si="63"/>
        <v>20.632364835408492</v>
      </c>
      <c r="AG121" s="194">
        <f t="shared" si="64"/>
        <v>0</v>
      </c>
      <c r="AH121" s="194">
        <f t="shared" si="65"/>
        <v>0</v>
      </c>
      <c r="AI121" s="199">
        <f t="shared" si="66"/>
        <v>20.632364835408492</v>
      </c>
      <c r="AK121" s="71">
        <v>116</v>
      </c>
      <c r="AL121" s="33"/>
      <c r="AM121" s="33"/>
      <c r="AN121" s="33"/>
      <c r="AO121" s="33"/>
      <c r="AP121" s="33"/>
      <c r="AQ121" s="194"/>
      <c r="AR121" s="194"/>
      <c r="AS121" s="194"/>
      <c r="AT121" s="194"/>
      <c r="AU121" s="33"/>
      <c r="AV121" s="33"/>
      <c r="AW121" s="33"/>
      <c r="AX121" s="33"/>
      <c r="AY121" s="76"/>
    </row>
    <row r="122" spans="2:51">
      <c r="C122" s="135" t="s">
        <v>144</v>
      </c>
      <c r="D122" s="135" t="s">
        <v>72</v>
      </c>
      <c r="E122" s="81" t="s">
        <v>165</v>
      </c>
      <c r="I122" s="55">
        <v>117</v>
      </c>
      <c r="J122" s="33">
        <f t="shared" si="53"/>
        <v>5</v>
      </c>
      <c r="K122" s="33">
        <f t="shared" si="54"/>
        <v>1.910565629709926</v>
      </c>
      <c r="L122" s="33">
        <f t="shared" si="55"/>
        <v>45</v>
      </c>
      <c r="M122" s="33">
        <f t="shared" si="56"/>
        <v>0</v>
      </c>
      <c r="N122" s="33">
        <f t="shared" si="42"/>
        <v>0</v>
      </c>
      <c r="O122" s="34">
        <f t="shared" si="43"/>
        <v>177.03590180507811</v>
      </c>
      <c r="P122" s="55">
        <v>117</v>
      </c>
      <c r="Q122" s="33">
        <f t="shared" si="51"/>
        <v>7.019999999999996</v>
      </c>
      <c r="R122" s="33">
        <f t="shared" si="57"/>
        <v>423.54000000000013</v>
      </c>
      <c r="S122" s="33">
        <f t="shared" si="58"/>
        <v>245.65320000000006</v>
      </c>
      <c r="T122" s="33">
        <f t="shared" si="44"/>
        <v>59.654190992380521</v>
      </c>
      <c r="U122" s="33">
        <f t="shared" si="52"/>
        <v>66.773571413029899</v>
      </c>
      <c r="V122" s="33">
        <f t="shared" si="45"/>
        <v>10</v>
      </c>
      <c r="W122" s="33">
        <v>0</v>
      </c>
      <c r="X122" s="33">
        <f t="shared" si="46"/>
        <v>813.24680115950594</v>
      </c>
      <c r="Y122" s="38">
        <f t="shared" si="47"/>
        <v>636.21089935442785</v>
      </c>
      <c r="AA122" s="71">
        <v>117</v>
      </c>
      <c r="AB122" s="33">
        <f t="shared" si="48"/>
        <v>0</v>
      </c>
      <c r="AC122" s="305">
        <f t="shared" si="67"/>
        <v>0</v>
      </c>
      <c r="AD122" s="100">
        <f t="shared" si="49"/>
        <v>0</v>
      </c>
      <c r="AE122" s="100">
        <f t="shared" si="50"/>
        <v>0</v>
      </c>
      <c r="AF122" s="194">
        <f t="shared" si="63"/>
        <v>20.227776745486064</v>
      </c>
      <c r="AG122" s="194">
        <f t="shared" si="64"/>
        <v>0</v>
      </c>
      <c r="AH122" s="194">
        <f t="shared" si="65"/>
        <v>0</v>
      </c>
      <c r="AI122" s="199">
        <f t="shared" si="66"/>
        <v>20.227776745486064</v>
      </c>
      <c r="AK122" s="71">
        <v>117</v>
      </c>
      <c r="AL122" s="33"/>
      <c r="AM122" s="33"/>
      <c r="AN122" s="33"/>
      <c r="AO122" s="33"/>
      <c r="AP122" s="33"/>
      <c r="AQ122" s="194"/>
      <c r="AR122" s="194"/>
      <c r="AS122" s="194"/>
      <c r="AT122" s="194"/>
      <c r="AU122" s="33"/>
      <c r="AV122" s="33"/>
      <c r="AW122" s="33"/>
      <c r="AX122" s="33"/>
      <c r="AY122" s="76"/>
    </row>
    <row r="123" spans="2:51">
      <c r="B123" s="67" t="s">
        <v>167</v>
      </c>
      <c r="C123" s="82">
        <f>AY35</f>
        <v>2</v>
      </c>
      <c r="D123" s="304">
        <f>IF(AND(D8=B100,F12=C194),J34*50%*G107,0)</f>
        <v>0</v>
      </c>
      <c r="E123" s="78">
        <f>C123-D123</f>
        <v>2</v>
      </c>
      <c r="I123" s="55">
        <v>118</v>
      </c>
      <c r="J123" s="33">
        <f t="shared" si="53"/>
        <v>5</v>
      </c>
      <c r="K123" s="33">
        <f t="shared" si="54"/>
        <v>1.910565629709926</v>
      </c>
      <c r="L123" s="33">
        <f t="shared" si="55"/>
        <v>45</v>
      </c>
      <c r="M123" s="33">
        <f t="shared" si="56"/>
        <v>0</v>
      </c>
      <c r="N123" s="33">
        <f t="shared" si="42"/>
        <v>0</v>
      </c>
      <c r="O123" s="34">
        <f t="shared" si="43"/>
        <v>177.03590180507811</v>
      </c>
      <c r="P123" s="55">
        <v>118</v>
      </c>
      <c r="Q123" s="33">
        <f t="shared" si="51"/>
        <v>7.019999999999996</v>
      </c>
      <c r="R123" s="33">
        <f t="shared" si="57"/>
        <v>430.56000000000012</v>
      </c>
      <c r="S123" s="33">
        <f t="shared" si="58"/>
        <v>249.72480000000004</v>
      </c>
      <c r="T123" s="33">
        <f t="shared" si="44"/>
        <v>60.527007137298142</v>
      </c>
      <c r="U123" s="33">
        <f t="shared" si="52"/>
        <v>66.829542735800118</v>
      </c>
      <c r="V123" s="33">
        <f t="shared" si="45"/>
        <v>10</v>
      </c>
      <c r="W123" s="33">
        <v>0</v>
      </c>
      <c r="X123" s="33">
        <f t="shared" si="46"/>
        <v>822.06355412872824</v>
      </c>
      <c r="Y123" s="38">
        <f t="shared" si="47"/>
        <v>645.02765232365016</v>
      </c>
      <c r="AA123" s="71">
        <v>118</v>
      </c>
      <c r="AB123" s="33">
        <f t="shared" si="48"/>
        <v>0</v>
      </c>
      <c r="AC123" s="305">
        <f t="shared" si="67"/>
        <v>0</v>
      </c>
      <c r="AD123" s="100">
        <f t="shared" si="49"/>
        <v>0</v>
      </c>
      <c r="AE123" s="100">
        <f t="shared" si="50"/>
        <v>0</v>
      </c>
      <c r="AF123" s="194">
        <f t="shared" si="63"/>
        <v>19.83112238123265</v>
      </c>
      <c r="AG123" s="194">
        <f t="shared" si="64"/>
        <v>0</v>
      </c>
      <c r="AH123" s="194">
        <f t="shared" si="65"/>
        <v>0</v>
      </c>
      <c r="AI123" s="199">
        <f t="shared" si="66"/>
        <v>19.83112238123265</v>
      </c>
      <c r="AK123" s="71">
        <v>118</v>
      </c>
      <c r="AL123" s="33"/>
      <c r="AM123" s="33"/>
      <c r="AN123" s="33"/>
      <c r="AO123" s="33"/>
      <c r="AP123" s="33"/>
      <c r="AQ123" s="194"/>
      <c r="AR123" s="194"/>
      <c r="AS123" s="194"/>
      <c r="AT123" s="194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3"/>
        <v>5</v>
      </c>
      <c r="K124" s="33">
        <f t="shared" si="54"/>
        <v>1.910565629709926</v>
      </c>
      <c r="L124" s="33">
        <f t="shared" si="55"/>
        <v>45</v>
      </c>
      <c r="M124" s="33">
        <f t="shared" si="56"/>
        <v>0</v>
      </c>
      <c r="N124" s="33">
        <f t="shared" si="42"/>
        <v>0</v>
      </c>
      <c r="O124" s="34">
        <f t="shared" si="43"/>
        <v>177.03590180507811</v>
      </c>
      <c r="P124" s="55">
        <v>119</v>
      </c>
      <c r="Q124" s="33">
        <f t="shared" si="51"/>
        <v>7.019999999999996</v>
      </c>
      <c r="R124" s="33">
        <f t="shared" si="57"/>
        <v>437.5800000000001</v>
      </c>
      <c r="S124" s="33">
        <f t="shared" si="58"/>
        <v>253.79640000000003</v>
      </c>
      <c r="T124" s="33">
        <f t="shared" si="44"/>
        <v>61.39816832228076</v>
      </c>
      <c r="U124" s="33">
        <f t="shared" si="52"/>
        <v>66.884543081253412</v>
      </c>
      <c r="V124" s="33">
        <f t="shared" si="45"/>
        <v>10</v>
      </c>
      <c r="W124" s="33">
        <v>0</v>
      </c>
      <c r="X124" s="33">
        <f t="shared" si="46"/>
        <v>830.87386445923494</v>
      </c>
      <c r="Y124" s="38">
        <f t="shared" si="47"/>
        <v>653.83796265415685</v>
      </c>
      <c r="AA124" s="71">
        <v>119</v>
      </c>
      <c r="AB124" s="33">
        <f t="shared" si="48"/>
        <v>0</v>
      </c>
      <c r="AC124" s="305">
        <f t="shared" si="67"/>
        <v>0</v>
      </c>
      <c r="AD124" s="100">
        <f t="shared" si="49"/>
        <v>0</v>
      </c>
      <c r="AE124" s="100">
        <f t="shared" si="50"/>
        <v>0</v>
      </c>
      <c r="AF124" s="194">
        <f t="shared" si="63"/>
        <v>19.442246167126971</v>
      </c>
      <c r="AG124" s="194">
        <f t="shared" si="64"/>
        <v>0</v>
      </c>
      <c r="AH124" s="194">
        <f t="shared" si="65"/>
        <v>0</v>
      </c>
      <c r="AI124" s="199">
        <f t="shared" si="66"/>
        <v>19.442246167126971</v>
      </c>
      <c r="AK124" s="71">
        <v>119</v>
      </c>
      <c r="AL124" s="33"/>
      <c r="AM124" s="33"/>
      <c r="AN124" s="33"/>
      <c r="AO124" s="33"/>
      <c r="AP124" s="33"/>
      <c r="AQ124" s="194"/>
      <c r="AR124" s="194"/>
      <c r="AS124" s="194"/>
      <c r="AT124" s="194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3"/>
        <v>5</v>
      </c>
      <c r="K125" s="33">
        <f t="shared" si="54"/>
        <v>1.910565629709926</v>
      </c>
      <c r="L125" s="33">
        <f t="shared" si="55"/>
        <v>45</v>
      </c>
      <c r="M125" s="33">
        <f t="shared" si="56"/>
        <v>0</v>
      </c>
      <c r="N125" s="33">
        <f t="shared" si="42"/>
        <v>0</v>
      </c>
      <c r="O125" s="34">
        <f t="shared" si="43"/>
        <v>177.03590180507811</v>
      </c>
      <c r="P125" s="55">
        <v>120</v>
      </c>
      <c r="Q125" s="33">
        <f t="shared" si="51"/>
        <v>7.019999999999996</v>
      </c>
      <c r="R125" s="33">
        <f t="shared" si="57"/>
        <v>444.60000000000008</v>
      </c>
      <c r="S125" s="33">
        <f t="shared" si="58"/>
        <v>257.86800000000005</v>
      </c>
      <c r="T125" s="33">
        <f t="shared" si="44"/>
        <v>62.267704162827528</v>
      </c>
      <c r="U125" s="33">
        <f t="shared" si="52"/>
        <v>66.938589293675449</v>
      </c>
      <c r="V125" s="33">
        <f t="shared" si="45"/>
        <v>10</v>
      </c>
      <c r="W125" s="33">
        <v>0</v>
      </c>
      <c r="X125" s="33">
        <f t="shared" si="46"/>
        <v>839.67784549373471</v>
      </c>
      <c r="Y125" s="38">
        <f t="shared" si="47"/>
        <v>662.64194368865662</v>
      </c>
      <c r="AA125" s="71">
        <v>120</v>
      </c>
      <c r="AB125" s="33">
        <f t="shared" si="48"/>
        <v>0</v>
      </c>
      <c r="AC125" s="305">
        <f t="shared" si="67"/>
        <v>0</v>
      </c>
      <c r="AD125" s="100">
        <f t="shared" si="49"/>
        <v>0</v>
      </c>
      <c r="AE125" s="100">
        <f t="shared" si="50"/>
        <v>0</v>
      </c>
      <c r="AF125" s="194">
        <f t="shared" si="63"/>
        <v>19.060995578388834</v>
      </c>
      <c r="AG125" s="194">
        <f t="shared" si="64"/>
        <v>0</v>
      </c>
      <c r="AH125" s="194">
        <f t="shared" si="65"/>
        <v>0</v>
      </c>
      <c r="AI125" s="199">
        <f t="shared" si="66"/>
        <v>19.060995578388834</v>
      </c>
      <c r="AK125" s="71">
        <v>120</v>
      </c>
      <c r="AL125" s="33"/>
      <c r="AM125" s="33"/>
      <c r="AN125" s="33"/>
      <c r="AO125" s="33"/>
      <c r="AP125" s="33"/>
      <c r="AQ125" s="194"/>
      <c r="AR125" s="194"/>
      <c r="AS125" s="194"/>
      <c r="AT125" s="194"/>
      <c r="AU125" s="33"/>
      <c r="AV125" s="33"/>
      <c r="AW125" s="33"/>
      <c r="AX125" s="33"/>
      <c r="AY125" s="76"/>
    </row>
    <row r="126" spans="2:51">
      <c r="C126" s="84" t="s">
        <v>128</v>
      </c>
      <c r="D126" s="84" t="s">
        <v>129</v>
      </c>
      <c r="E126" s="84" t="s">
        <v>159</v>
      </c>
      <c r="F126" s="157" t="s">
        <v>169</v>
      </c>
      <c r="I126" s="55">
        <v>121</v>
      </c>
      <c r="J126" s="33">
        <f t="shared" si="53"/>
        <v>5</v>
      </c>
      <c r="K126" s="33">
        <f t="shared" si="54"/>
        <v>1.910565629709926</v>
      </c>
      <c r="L126" s="33">
        <f t="shared" si="55"/>
        <v>45</v>
      </c>
      <c r="M126" s="33">
        <f t="shared" si="56"/>
        <v>0</v>
      </c>
      <c r="N126" s="33">
        <f t="shared" si="42"/>
        <v>0</v>
      </c>
      <c r="O126" s="34">
        <f t="shared" si="43"/>
        <v>177.03590180507811</v>
      </c>
      <c r="P126" s="55">
        <v>121</v>
      </c>
      <c r="Q126" s="33">
        <f t="shared" si="51"/>
        <v>-26.519999999999982</v>
      </c>
      <c r="R126" s="33">
        <f t="shared" si="57"/>
        <v>418.0800000000001</v>
      </c>
      <c r="S126" s="33">
        <f t="shared" si="58"/>
        <v>242.48640000000003</v>
      </c>
      <c r="T126" s="33">
        <f t="shared" si="44"/>
        <v>58.974170235372476</v>
      </c>
      <c r="U126" s="33">
        <f t="shared" si="52"/>
        <v>66.991697925141196</v>
      </c>
      <c r="V126" s="33">
        <f t="shared" si="45"/>
        <v>10</v>
      </c>
      <c r="W126" s="33">
        <v>0</v>
      </c>
      <c r="X126" s="33">
        <f t="shared" si="46"/>
        <v>807.34671888545824</v>
      </c>
      <c r="Y126" s="38">
        <f t="shared" si="47"/>
        <v>630.31081708038016</v>
      </c>
      <c r="AA126" s="71">
        <v>121</v>
      </c>
      <c r="AB126" s="33">
        <f t="shared" si="48"/>
        <v>0</v>
      </c>
      <c r="AC126" s="305">
        <f t="shared" si="67"/>
        <v>0</v>
      </c>
      <c r="AD126" s="100">
        <f t="shared" si="49"/>
        <v>0</v>
      </c>
      <c r="AE126" s="100">
        <f t="shared" si="50"/>
        <v>0</v>
      </c>
      <c r="AF126" s="194">
        <f t="shared" si="63"/>
        <v>18.687221081155954</v>
      </c>
      <c r="AG126" s="194">
        <f t="shared" si="64"/>
        <v>0</v>
      </c>
      <c r="AH126" s="194">
        <f t="shared" si="65"/>
        <v>0</v>
      </c>
      <c r="AI126" s="199">
        <f t="shared" si="66"/>
        <v>18.687221081155954</v>
      </c>
      <c r="AK126" s="71">
        <v>121</v>
      </c>
      <c r="AL126" s="33"/>
      <c r="AM126" s="33"/>
      <c r="AN126" s="33"/>
      <c r="AO126" s="33"/>
      <c r="AP126" s="33"/>
      <c r="AQ126" s="194"/>
      <c r="AR126" s="194"/>
      <c r="AS126" s="194"/>
      <c r="AT126" s="194"/>
      <c r="AU126" s="33"/>
      <c r="AV126" s="33"/>
      <c r="AW126" s="33"/>
      <c r="AX126" s="33"/>
      <c r="AY126" s="76"/>
    </row>
    <row r="127" spans="2:51">
      <c r="C127" s="82">
        <f>IF(F18&gt;30,MIN(E113:E114),E113)</f>
        <v>256.77445244590399</v>
      </c>
      <c r="D127" s="82">
        <f>MIN(E118:E119)</f>
        <v>6.4117569005955777E-2</v>
      </c>
      <c r="E127" s="85">
        <f>E123</f>
        <v>2</v>
      </c>
      <c r="F127" s="86">
        <f>SUM(C127:E127)</f>
        <v>258.83857001490992</v>
      </c>
      <c r="I127" s="55">
        <v>122</v>
      </c>
      <c r="J127" s="33">
        <f t="shared" si="53"/>
        <v>5</v>
      </c>
      <c r="K127" s="33">
        <f t="shared" si="54"/>
        <v>1.910565629709926</v>
      </c>
      <c r="L127" s="33">
        <f t="shared" si="55"/>
        <v>45</v>
      </c>
      <c r="M127" s="33">
        <f t="shared" si="56"/>
        <v>0</v>
      </c>
      <c r="N127" s="33">
        <f t="shared" si="42"/>
        <v>0</v>
      </c>
      <c r="O127" s="34">
        <f t="shared" si="43"/>
        <v>177.03590180507811</v>
      </c>
      <c r="P127" s="55">
        <v>122</v>
      </c>
      <c r="Q127" s="33">
        <f t="shared" si="51"/>
        <v>6.2399999999999949</v>
      </c>
      <c r="R127" s="33">
        <f t="shared" si="57"/>
        <v>424.32000000000011</v>
      </c>
      <c r="S127" s="33">
        <f t="shared" si="58"/>
        <v>246.10560000000004</v>
      </c>
      <c r="T127" s="33">
        <f t="shared" si="44"/>
        <v>59.75125323437193</v>
      </c>
      <c r="U127" s="33">
        <f t="shared" si="52"/>
        <v>67.043885240584117</v>
      </c>
      <c r="V127" s="33">
        <f t="shared" si="45"/>
        <v>10</v>
      </c>
      <c r="W127" s="33">
        <v>0</v>
      </c>
      <c r="X127" s="33">
        <f t="shared" si="46"/>
        <v>815.19493193200617</v>
      </c>
      <c r="Y127" s="38">
        <f t="shared" si="47"/>
        <v>638.15903012692809</v>
      </c>
      <c r="AA127" s="71">
        <v>122</v>
      </c>
      <c r="AB127" s="33">
        <f t="shared" si="48"/>
        <v>0</v>
      </c>
      <c r="AC127" s="305">
        <f t="shared" si="67"/>
        <v>0</v>
      </c>
      <c r="AD127" s="100">
        <f t="shared" si="49"/>
        <v>0</v>
      </c>
      <c r="AE127" s="100">
        <f t="shared" si="50"/>
        <v>0</v>
      </c>
      <c r="AF127" s="194">
        <f t="shared" si="63"/>
        <v>18.32077607383388</v>
      </c>
      <c r="AG127" s="194">
        <f t="shared" si="64"/>
        <v>0</v>
      </c>
      <c r="AH127" s="194">
        <f t="shared" si="65"/>
        <v>0</v>
      </c>
      <c r="AI127" s="199">
        <f t="shared" si="66"/>
        <v>18.32077607383388</v>
      </c>
      <c r="AK127" s="71">
        <v>122</v>
      </c>
      <c r="AL127" s="33"/>
      <c r="AM127" s="33"/>
      <c r="AN127" s="33"/>
      <c r="AO127" s="33"/>
      <c r="AP127" s="33"/>
      <c r="AQ127" s="194"/>
      <c r="AR127" s="194"/>
      <c r="AS127" s="194"/>
      <c r="AT127" s="194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3"/>
        <v>5</v>
      </c>
      <c r="K128" s="33">
        <f t="shared" si="54"/>
        <v>1.910565629709926</v>
      </c>
      <c r="L128" s="33">
        <f t="shared" si="55"/>
        <v>45</v>
      </c>
      <c r="M128" s="33">
        <f t="shared" si="56"/>
        <v>0</v>
      </c>
      <c r="N128" s="33">
        <f t="shared" si="42"/>
        <v>0</v>
      </c>
      <c r="O128" s="34">
        <f t="shared" si="43"/>
        <v>177.03590180507811</v>
      </c>
      <c r="P128" s="55">
        <v>123</v>
      </c>
      <c r="Q128" s="33">
        <f t="shared" si="51"/>
        <v>6.2399999999999949</v>
      </c>
      <c r="R128" s="33">
        <f t="shared" si="57"/>
        <v>430.56000000000012</v>
      </c>
      <c r="S128" s="33">
        <f t="shared" si="58"/>
        <v>249.72480000000004</v>
      </c>
      <c r="T128" s="33">
        <f t="shared" si="44"/>
        <v>60.527007137298142</v>
      </c>
      <c r="U128" s="33">
        <f t="shared" si="52"/>
        <v>67.095167222777462</v>
      </c>
      <c r="V128" s="33">
        <f t="shared" si="45"/>
        <v>10</v>
      </c>
      <c r="W128" s="33">
        <v>0</v>
      </c>
      <c r="X128" s="33">
        <f t="shared" si="46"/>
        <v>823.03751058097839</v>
      </c>
      <c r="Y128" s="38">
        <f t="shared" si="47"/>
        <v>646.00160877590031</v>
      </c>
      <c r="AA128" s="71">
        <v>123</v>
      </c>
      <c r="AB128" s="33">
        <f t="shared" si="48"/>
        <v>0</v>
      </c>
      <c r="AC128" s="305">
        <f t="shared" si="67"/>
        <v>0</v>
      </c>
      <c r="AD128" s="100">
        <f t="shared" si="49"/>
        <v>0</v>
      </c>
      <c r="AE128" s="100">
        <f t="shared" si="50"/>
        <v>0</v>
      </c>
      <c r="AF128" s="194">
        <f t="shared" si="63"/>
        <v>17.961516829596004</v>
      </c>
      <c r="AG128" s="194">
        <f t="shared" si="64"/>
        <v>0</v>
      </c>
      <c r="AH128" s="194">
        <f t="shared" si="65"/>
        <v>0</v>
      </c>
      <c r="AI128" s="199">
        <f t="shared" si="66"/>
        <v>17.961516829596004</v>
      </c>
      <c r="AK128" s="71">
        <v>123</v>
      </c>
      <c r="AL128" s="33"/>
      <c r="AM128" s="33"/>
      <c r="AN128" s="33"/>
      <c r="AO128" s="33"/>
      <c r="AP128" s="33"/>
      <c r="AQ128" s="194"/>
      <c r="AR128" s="194"/>
      <c r="AS128" s="194"/>
      <c r="AT128" s="194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3"/>
        <v>5</v>
      </c>
      <c r="K129" s="33">
        <f t="shared" si="54"/>
        <v>1.910565629709926</v>
      </c>
      <c r="L129" s="33">
        <f t="shared" si="55"/>
        <v>45</v>
      </c>
      <c r="M129" s="33">
        <f t="shared" si="56"/>
        <v>0</v>
      </c>
      <c r="N129" s="33">
        <f t="shared" si="42"/>
        <v>0</v>
      </c>
      <c r="O129" s="34">
        <f t="shared" si="43"/>
        <v>177.03590180507811</v>
      </c>
      <c r="P129" s="55">
        <v>124</v>
      </c>
      <c r="Q129" s="33">
        <f t="shared" si="51"/>
        <v>6.2399999999999949</v>
      </c>
      <c r="R129" s="33">
        <f t="shared" si="57"/>
        <v>436.80000000000013</v>
      </c>
      <c r="S129" s="33">
        <f t="shared" si="58"/>
        <v>253.34400000000005</v>
      </c>
      <c r="T129" s="33">
        <f t="shared" si="44"/>
        <v>61.301453431926305</v>
      </c>
      <c r="U129" s="33">
        <f t="shared" si="52"/>
        <v>67.145559577229093</v>
      </c>
      <c r="V129" s="33">
        <f t="shared" si="45"/>
        <v>10</v>
      </c>
      <c r="W129" s="33">
        <v>0</v>
      </c>
      <c r="X129" s="33">
        <f t="shared" si="46"/>
        <v>830.87454984377837</v>
      </c>
      <c r="Y129" s="38">
        <f t="shared" si="47"/>
        <v>653.83864803870028</v>
      </c>
      <c r="AA129" s="71">
        <v>124</v>
      </c>
      <c r="AB129" s="33">
        <f t="shared" si="48"/>
        <v>0</v>
      </c>
      <c r="AC129" s="305">
        <f t="shared" si="67"/>
        <v>0</v>
      </c>
      <c r="AD129" s="100">
        <f t="shared" si="49"/>
        <v>0</v>
      </c>
      <c r="AE129" s="100">
        <f t="shared" si="50"/>
        <v>0</v>
      </c>
      <c r="AF129" s="194">
        <f t="shared" si="63"/>
        <v>17.609302440011131</v>
      </c>
      <c r="AG129" s="194">
        <f t="shared" si="64"/>
        <v>0</v>
      </c>
      <c r="AH129" s="194">
        <f t="shared" si="65"/>
        <v>0</v>
      </c>
      <c r="AI129" s="199">
        <f t="shared" si="66"/>
        <v>17.609302440011131</v>
      </c>
      <c r="AK129" s="71">
        <v>124</v>
      </c>
      <c r="AL129" s="33"/>
      <c r="AM129" s="33"/>
      <c r="AN129" s="33"/>
      <c r="AO129" s="33"/>
      <c r="AP129" s="33"/>
      <c r="AQ129" s="194"/>
      <c r="AR129" s="194"/>
      <c r="AS129" s="194"/>
      <c r="AT129" s="194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8" t="s">
        <v>226</v>
      </c>
      <c r="F130" s="343" t="s">
        <v>272</v>
      </c>
      <c r="I130" s="55">
        <v>125</v>
      </c>
      <c r="J130" s="33">
        <f t="shared" si="53"/>
        <v>5</v>
      </c>
      <c r="K130" s="33">
        <f t="shared" si="54"/>
        <v>1.910565629709926</v>
      </c>
      <c r="L130" s="33">
        <f t="shared" si="55"/>
        <v>45</v>
      </c>
      <c r="M130" s="33">
        <f t="shared" si="56"/>
        <v>0</v>
      </c>
      <c r="N130" s="33">
        <f t="shared" si="42"/>
        <v>0</v>
      </c>
      <c r="O130" s="34">
        <f t="shared" si="43"/>
        <v>177.03590180507811</v>
      </c>
      <c r="P130" s="55">
        <v>125</v>
      </c>
      <c r="Q130" s="33">
        <f t="shared" si="51"/>
        <v>6.2399999999999949</v>
      </c>
      <c r="R130" s="33">
        <f t="shared" si="57"/>
        <v>443.04000000000013</v>
      </c>
      <c r="S130" s="33">
        <f t="shared" si="58"/>
        <v>256.96320000000009</v>
      </c>
      <c r="T130" s="33">
        <f t="shared" si="44"/>
        <v>62.074612956838024</v>
      </c>
      <c r="U130" s="33">
        <f t="shared" si="52"/>
        <v>67.195077736991408</v>
      </c>
      <c r="V130" s="33">
        <f t="shared" si="45"/>
        <v>10</v>
      </c>
      <c r="W130" s="33">
        <v>0</v>
      </c>
      <c r="X130" s="33">
        <f t="shared" si="46"/>
        <v>838.70614260212824</v>
      </c>
      <c r="Y130" s="38">
        <f t="shared" si="47"/>
        <v>661.67024079705016</v>
      </c>
      <c r="AA130" s="71">
        <v>125</v>
      </c>
      <c r="AB130" s="33">
        <f t="shared" si="48"/>
        <v>0</v>
      </c>
      <c r="AC130" s="305">
        <f t="shared" si="67"/>
        <v>0</v>
      </c>
      <c r="AD130" s="100">
        <f t="shared" si="49"/>
        <v>0</v>
      </c>
      <c r="AE130" s="100">
        <f t="shared" si="50"/>
        <v>0</v>
      </c>
      <c r="AF130" s="194">
        <f t="shared" si="63"/>
        <v>17.263994759776455</v>
      </c>
      <c r="AG130" s="194">
        <f t="shared" si="64"/>
        <v>0</v>
      </c>
      <c r="AH130" s="194">
        <f t="shared" si="65"/>
        <v>0</v>
      </c>
      <c r="AI130" s="199">
        <f t="shared" si="66"/>
        <v>17.263994759776455</v>
      </c>
      <c r="AK130" s="71">
        <v>125</v>
      </c>
      <c r="AL130" s="33"/>
      <c r="AM130" s="33"/>
      <c r="AN130" s="33"/>
      <c r="AO130" s="33"/>
      <c r="AP130" s="33"/>
      <c r="AQ130" s="194"/>
      <c r="AR130" s="194"/>
      <c r="AS130" s="194"/>
      <c r="AT130" s="194"/>
      <c r="AU130" s="33"/>
      <c r="AV130" s="33"/>
      <c r="AW130" s="33"/>
      <c r="AX130" s="33"/>
      <c r="AY130" s="76"/>
    </row>
    <row r="131" spans="3:51">
      <c r="C131" s="166" t="s">
        <v>7</v>
      </c>
      <c r="D131" s="4">
        <v>0.62</v>
      </c>
      <c r="E131" s="188" t="s">
        <v>227</v>
      </c>
      <c r="F131" s="343">
        <f>IF(OR(Tableau145[[#This Row],[Type]]="Feuillus",Tableau145[[#This Row],[Type]]="Peupliers"),1.56,1.3)</f>
        <v>1.56</v>
      </c>
      <c r="I131" s="55">
        <v>126</v>
      </c>
      <c r="J131" s="33">
        <f t="shared" si="53"/>
        <v>5</v>
      </c>
      <c r="K131" s="33">
        <f t="shared" si="54"/>
        <v>1.910565629709926</v>
      </c>
      <c r="L131" s="33">
        <f t="shared" si="55"/>
        <v>45</v>
      </c>
      <c r="M131" s="33">
        <f t="shared" si="56"/>
        <v>0</v>
      </c>
      <c r="N131" s="33">
        <f t="shared" si="42"/>
        <v>0</v>
      </c>
      <c r="O131" s="34">
        <f t="shared" si="43"/>
        <v>177.03590180507811</v>
      </c>
      <c r="P131" s="55">
        <v>126</v>
      </c>
      <c r="Q131" s="33">
        <f t="shared" si="51"/>
        <v>-24.95999999999998</v>
      </c>
      <c r="R131" s="33">
        <f t="shared" si="57"/>
        <v>418.08000000000015</v>
      </c>
      <c r="S131" s="33">
        <f t="shared" si="58"/>
        <v>242.48640000000006</v>
      </c>
      <c r="T131" s="33">
        <f t="shared" si="44"/>
        <v>58.974170235372476</v>
      </c>
      <c r="U131" s="33">
        <f t="shared" si="52"/>
        <v>67.243736867387867</v>
      </c>
      <c r="V131" s="33">
        <f t="shared" si="45"/>
        <v>10</v>
      </c>
      <c r="W131" s="33">
        <v>0</v>
      </c>
      <c r="X131" s="33">
        <f t="shared" si="46"/>
        <v>808.27086167369589</v>
      </c>
      <c r="Y131" s="38">
        <f t="shared" si="47"/>
        <v>631.23495986861781</v>
      </c>
      <c r="AA131" s="71">
        <v>126</v>
      </c>
      <c r="AB131" s="33">
        <f t="shared" si="48"/>
        <v>0</v>
      </c>
      <c r="AC131" s="305">
        <f t="shared" si="67"/>
        <v>0</v>
      </c>
      <c r="AD131" s="100">
        <f t="shared" si="49"/>
        <v>0</v>
      </c>
      <c r="AE131" s="100">
        <f t="shared" si="50"/>
        <v>0</v>
      </c>
      <c r="AF131" s="194">
        <f t="shared" si="63"/>
        <v>16.925458352534292</v>
      </c>
      <c r="AG131" s="194">
        <f t="shared" si="64"/>
        <v>0</v>
      </c>
      <c r="AH131" s="194">
        <f t="shared" si="65"/>
        <v>0</v>
      </c>
      <c r="AI131" s="199">
        <f t="shared" si="66"/>
        <v>16.925458352534292</v>
      </c>
      <c r="AK131" s="71">
        <v>126</v>
      </c>
      <c r="AL131" s="33"/>
      <c r="AM131" s="33"/>
      <c r="AN131" s="33"/>
      <c r="AO131" s="33"/>
      <c r="AP131" s="33"/>
      <c r="AQ131" s="194"/>
      <c r="AR131" s="194"/>
      <c r="AS131" s="194"/>
      <c r="AT131" s="194"/>
      <c r="AU131" s="33"/>
      <c r="AV131" s="33"/>
      <c r="AW131" s="33"/>
      <c r="AX131" s="33"/>
      <c r="AY131" s="76"/>
    </row>
    <row r="132" spans="3:51">
      <c r="C132" s="166" t="s">
        <v>4</v>
      </c>
      <c r="D132" s="4">
        <v>0.64</v>
      </c>
      <c r="E132" s="188" t="s">
        <v>227</v>
      </c>
      <c r="F132" s="343">
        <f>IF(OR(Tableau145[[#This Row],[Type]]="Feuillus",Tableau145[[#This Row],[Type]]="Peupliers"),1.56,1.3)</f>
        <v>1.56</v>
      </c>
      <c r="I132" s="55">
        <v>127</v>
      </c>
      <c r="J132" s="33">
        <f t="shared" si="53"/>
        <v>5</v>
      </c>
      <c r="K132" s="33">
        <f t="shared" si="54"/>
        <v>1.910565629709926</v>
      </c>
      <c r="L132" s="33">
        <f t="shared" si="55"/>
        <v>45</v>
      </c>
      <c r="M132" s="33">
        <f t="shared" si="56"/>
        <v>0</v>
      </c>
      <c r="N132" s="33">
        <f t="shared" si="42"/>
        <v>0</v>
      </c>
      <c r="O132" s="34">
        <f t="shared" si="43"/>
        <v>177.03590180507811</v>
      </c>
      <c r="P132" s="55">
        <v>127</v>
      </c>
      <c r="Q132" s="33">
        <f t="shared" si="51"/>
        <v>6.2399999999999949</v>
      </c>
      <c r="R132" s="33">
        <f t="shared" si="57"/>
        <v>424.32000000000016</v>
      </c>
      <c r="S132" s="33">
        <f t="shared" si="58"/>
        <v>246.10560000000007</v>
      </c>
      <c r="T132" s="33">
        <f t="shared" si="44"/>
        <v>59.75125323437193</v>
      </c>
      <c r="U132" s="33">
        <f t="shared" si="52"/>
        <v>67.291551870657472</v>
      </c>
      <c r="V132" s="33">
        <f t="shared" si="45"/>
        <v>10</v>
      </c>
      <c r="W132" s="33">
        <v>0</v>
      </c>
      <c r="X132" s="33">
        <f t="shared" si="46"/>
        <v>816.10304290894203</v>
      </c>
      <c r="Y132" s="38">
        <f t="shared" si="47"/>
        <v>639.06714110386395</v>
      </c>
      <c r="AA132" s="71">
        <v>127</v>
      </c>
      <c r="AB132" s="33">
        <f t="shared" si="48"/>
        <v>0</v>
      </c>
      <c r="AC132" s="305">
        <f t="shared" si="67"/>
        <v>0</v>
      </c>
      <c r="AD132" s="100">
        <f t="shared" si="49"/>
        <v>0</v>
      </c>
      <c r="AE132" s="100">
        <f t="shared" si="50"/>
        <v>0</v>
      </c>
      <c r="AF132" s="194">
        <f t="shared" si="63"/>
        <v>16.593560437751329</v>
      </c>
      <c r="AG132" s="194">
        <f t="shared" si="64"/>
        <v>0</v>
      </c>
      <c r="AH132" s="194">
        <f t="shared" si="65"/>
        <v>0</v>
      </c>
      <c r="AI132" s="199">
        <f t="shared" si="66"/>
        <v>16.593560437751329</v>
      </c>
      <c r="AK132" s="71">
        <v>127</v>
      </c>
      <c r="AL132" s="33"/>
      <c r="AM132" s="33"/>
      <c r="AN132" s="33"/>
      <c r="AO132" s="33"/>
      <c r="AP132" s="33"/>
      <c r="AQ132" s="194"/>
      <c r="AR132" s="194"/>
      <c r="AS132" s="194"/>
      <c r="AT132" s="194"/>
      <c r="AU132" s="33"/>
      <c r="AV132" s="33"/>
      <c r="AW132" s="33"/>
      <c r="AX132" s="33"/>
      <c r="AY132" s="76"/>
    </row>
    <row r="133" spans="3:51">
      <c r="C133" s="166" t="s">
        <v>8</v>
      </c>
      <c r="D133" s="4">
        <v>0.42</v>
      </c>
      <c r="E133" s="188" t="s">
        <v>227</v>
      </c>
      <c r="F133" s="343">
        <f>IF(OR(Tableau145[[#This Row],[Type]]="Feuillus",Tableau145[[#This Row],[Type]]="Peupliers"),1.56,1.3)</f>
        <v>1.56</v>
      </c>
      <c r="I133" s="55">
        <v>128</v>
      </c>
      <c r="J133" s="33">
        <f t="shared" si="53"/>
        <v>5</v>
      </c>
      <c r="K133" s="33">
        <f t="shared" si="54"/>
        <v>1.910565629709926</v>
      </c>
      <c r="L133" s="33">
        <f t="shared" si="55"/>
        <v>45</v>
      </c>
      <c r="M133" s="33">
        <f t="shared" si="56"/>
        <v>0</v>
      </c>
      <c r="N133" s="33">
        <f t="shared" ref="N133:N196" si="68">IF(P134&lt;=$F$18,0,)</f>
        <v>0</v>
      </c>
      <c r="O133" s="34">
        <f t="shared" ref="O133:O196" si="69">((J133+K133)*0.475+L133+M133+N133)*44/12</f>
        <v>177.03590180507811</v>
      </c>
      <c r="P133" s="55">
        <v>128</v>
      </c>
      <c r="Q133" s="33">
        <f t="shared" si="51"/>
        <v>6.2399999999999949</v>
      </c>
      <c r="R133" s="33">
        <f t="shared" si="57"/>
        <v>430.56000000000017</v>
      </c>
      <c r="S133" s="33">
        <f t="shared" si="58"/>
        <v>249.72480000000007</v>
      </c>
      <c r="T133" s="33">
        <f t="shared" ref="T133:T196" si="70">IF(S133=0,0,EXP(-1.0587+0.8836*LN(S133)+0.284))</f>
        <v>60.527007137298142</v>
      </c>
      <c r="U133" s="33">
        <f t="shared" si="52"/>
        <v>67.338537390518681</v>
      </c>
      <c r="V133" s="33">
        <f t="shared" ref="V133:V196" si="71">IF(P133&lt;=$F$18,IF(P133&lt;=30,P133*($F$16-$F$6)/30,$F$16-$F$6),)</f>
        <v>10</v>
      </c>
      <c r="W133" s="33">
        <v>0</v>
      </c>
      <c r="X133" s="33">
        <f t="shared" ref="X133:X196" si="72">((S133+T133)*0.475+U133+V133+W133)*44/12</f>
        <v>823.92986786269614</v>
      </c>
      <c r="Y133" s="38">
        <f t="shared" ref="Y133:Y196" si="73">IF(P133&lt;=$F$18,X133-O133,)</f>
        <v>646.89396605761806</v>
      </c>
      <c r="AA133" s="71">
        <v>128</v>
      </c>
      <c r="AB133" s="33">
        <f t="shared" ref="AB133:AB196" si="74">IF(AA133&lt;=$F$18,IFERROR(VLOOKUP($AA133,$B$82:$G$94,2,FALSE),0),)</f>
        <v>0</v>
      </c>
      <c r="AC133" s="305">
        <f t="shared" si="67"/>
        <v>0</v>
      </c>
      <c r="AD133" s="100">
        <f t="shared" ref="AD133:AD196" si="75">IF(AA133&lt;=$F$18,IFERROR(VLOOKUP($AA133,$B$82:$G$94,4,FALSE),0),)</f>
        <v>0</v>
      </c>
      <c r="AE133" s="100">
        <f t="shared" ref="AE133:AE196" si="76">IF(AA133&lt;=$F$18,IFERROR(VLOOKUP($AA133,$B$82:$G$94,5,FALSE),0),)</f>
        <v>0</v>
      </c>
      <c r="AF133" s="194">
        <f t="shared" si="63"/>
        <v>16.26817083863952</v>
      </c>
      <c r="AG133" s="194">
        <f t="shared" si="64"/>
        <v>0</v>
      </c>
      <c r="AH133" s="194">
        <f t="shared" si="65"/>
        <v>0</v>
      </c>
      <c r="AI133" s="199">
        <f t="shared" si="66"/>
        <v>16.26817083863952</v>
      </c>
      <c r="AK133" s="71">
        <v>128</v>
      </c>
      <c r="AL133" s="33"/>
      <c r="AM133" s="33"/>
      <c r="AN133" s="33"/>
      <c r="AO133" s="33"/>
      <c r="AP133" s="33"/>
      <c r="AQ133" s="194"/>
      <c r="AR133" s="194"/>
      <c r="AS133" s="194"/>
      <c r="AT133" s="194"/>
      <c r="AU133" s="33"/>
      <c r="AV133" s="33"/>
      <c r="AW133" s="33"/>
      <c r="AX133" s="33"/>
      <c r="AY133" s="76"/>
    </row>
    <row r="134" spans="3:51">
      <c r="C134" s="166" t="s">
        <v>9</v>
      </c>
      <c r="D134" s="4">
        <v>0.42</v>
      </c>
      <c r="E134" s="188" t="s">
        <v>227</v>
      </c>
      <c r="F134" s="343">
        <f>IF(OR(Tableau145[[#This Row],[Type]]="Feuillus",Tableau145[[#This Row],[Type]]="Peupliers"),1.56,1.3)</f>
        <v>1.56</v>
      </c>
      <c r="I134" s="55">
        <v>129</v>
      </c>
      <c r="J134" s="33">
        <f t="shared" si="53"/>
        <v>5</v>
      </c>
      <c r="K134" s="33">
        <f t="shared" si="54"/>
        <v>1.910565629709926</v>
      </c>
      <c r="L134" s="33">
        <f t="shared" si="55"/>
        <v>45</v>
      </c>
      <c r="M134" s="33">
        <f t="shared" si="56"/>
        <v>0</v>
      </c>
      <c r="N134" s="33">
        <f t="shared" si="68"/>
        <v>0</v>
      </c>
      <c r="O134" s="34">
        <f t="shared" si="69"/>
        <v>177.03590180507811</v>
      </c>
      <c r="P134" s="55">
        <v>129</v>
      </c>
      <c r="Q134" s="33">
        <f t="shared" ref="Q134:Q197" si="77">IF(P134&lt;=$F$18,LOOKUP(P134-1,$B$25:$B$78,$G$25:$G$78),)</f>
        <v>6.2399999999999949</v>
      </c>
      <c r="R134" s="33">
        <f t="shared" si="57"/>
        <v>436.80000000000018</v>
      </c>
      <c r="S134" s="33">
        <f t="shared" si="58"/>
        <v>253.34400000000008</v>
      </c>
      <c r="T134" s="33">
        <f t="shared" si="70"/>
        <v>61.301453431926305</v>
      </c>
      <c r="U134" s="33">
        <f t="shared" ref="U134:U197" si="78">IF(P134&lt;=$F$18,$F$5+($F$15-$F$5)*(1-EXP(-0.0175*P134)),)</f>
        <v>67.384707816654185</v>
      </c>
      <c r="V134" s="33">
        <f t="shared" si="71"/>
        <v>10</v>
      </c>
      <c r="W134" s="33">
        <v>0</v>
      </c>
      <c r="X134" s="33">
        <f t="shared" si="72"/>
        <v>831.75142672167055</v>
      </c>
      <c r="Y134" s="38">
        <f t="shared" si="73"/>
        <v>654.71552491659247</v>
      </c>
      <c r="AA134" s="71">
        <v>129</v>
      </c>
      <c r="AB134" s="33">
        <f t="shared" si="74"/>
        <v>0</v>
      </c>
      <c r="AC134" s="305">
        <f t="shared" si="67"/>
        <v>0</v>
      </c>
      <c r="AD134" s="100">
        <f t="shared" si="75"/>
        <v>0</v>
      </c>
      <c r="AE134" s="100">
        <f t="shared" si="76"/>
        <v>0</v>
      </c>
      <c r="AF134" s="194">
        <f t="shared" si="63"/>
        <v>15.949161931098235</v>
      </c>
      <c r="AG134" s="194">
        <f t="shared" si="64"/>
        <v>0</v>
      </c>
      <c r="AH134" s="194">
        <f t="shared" si="65"/>
        <v>0</v>
      </c>
      <c r="AI134" s="199">
        <f t="shared" si="66"/>
        <v>15.949161931098235</v>
      </c>
      <c r="AK134" s="71">
        <v>129</v>
      </c>
      <c r="AL134" s="33"/>
      <c r="AM134" s="33"/>
      <c r="AN134" s="33"/>
      <c r="AO134" s="33"/>
      <c r="AP134" s="33"/>
      <c r="AQ134" s="194"/>
      <c r="AR134" s="194"/>
      <c r="AS134" s="194"/>
      <c r="AT134" s="194"/>
      <c r="AU134" s="33"/>
      <c r="AV134" s="33"/>
      <c r="AW134" s="33"/>
      <c r="AX134" s="33"/>
      <c r="AY134" s="76"/>
    </row>
    <row r="135" spans="3:51">
      <c r="C135" s="166" t="s">
        <v>10</v>
      </c>
      <c r="D135" s="4">
        <v>0.52</v>
      </c>
      <c r="E135" s="188" t="s">
        <v>227</v>
      </c>
      <c r="F135" s="343">
        <f>IF(OR(Tableau145[[#This Row],[Type]]="Feuillus",Tableau145[[#This Row],[Type]]="Peupliers"),1.56,1.3)</f>
        <v>1.56</v>
      </c>
      <c r="I135" s="55">
        <v>130</v>
      </c>
      <c r="J135" s="33">
        <f t="shared" ref="J135:J198" si="79">IF($I135&lt;=$F$10,$F$11*$F$13+J134,)</f>
        <v>5</v>
      </c>
      <c r="K135" s="33">
        <f t="shared" ref="K135:K198" si="80">IF(J135=0,0,EXP(-1.0587+0.8836*LN(J135)+0.284))</f>
        <v>1.910565629709926</v>
      </c>
      <c r="L135" s="33">
        <f t="shared" ref="L135:L198" si="81">IF(I135&lt;=$F$10,$F$5+($F$8-$F$5)*(1-EXP(-0.0175*I135)),)</f>
        <v>45</v>
      </c>
      <c r="M135" s="33">
        <f t="shared" ref="M135:M198" si="82">IF(I135&lt;=$F$10,IF(I135&lt;=30,I135*($F$9-$F$6)/30,$F$9-$F$6),)</f>
        <v>0</v>
      </c>
      <c r="N135" s="33">
        <f t="shared" si="68"/>
        <v>0</v>
      </c>
      <c r="O135" s="34">
        <f t="shared" si="69"/>
        <v>177.03590180507811</v>
      </c>
      <c r="P135" s="55">
        <v>130</v>
      </c>
      <c r="Q135" s="33">
        <f t="shared" si="77"/>
        <v>6.2399999999999949</v>
      </c>
      <c r="R135" s="33">
        <f t="shared" ref="R135:R198" si="83">IF(P135&lt;=$F$18,Q135+R134,)</f>
        <v>443.04000000000019</v>
      </c>
      <c r="S135" s="33">
        <f t="shared" ref="S135:S198" si="84">$F$19*R135</f>
        <v>256.96320000000009</v>
      </c>
      <c r="T135" s="33">
        <f t="shared" si="70"/>
        <v>62.074612956838024</v>
      </c>
      <c r="U135" s="33">
        <f t="shared" si="78"/>
        <v>67.430077289117847</v>
      </c>
      <c r="V135" s="33">
        <f t="shared" si="71"/>
        <v>10</v>
      </c>
      <c r="W135" s="33">
        <v>0</v>
      </c>
      <c r="X135" s="33">
        <f t="shared" si="72"/>
        <v>839.56780762659184</v>
      </c>
      <c r="Y135" s="38">
        <f t="shared" si="73"/>
        <v>662.53190582151376</v>
      </c>
      <c r="AA135" s="71">
        <v>130</v>
      </c>
      <c r="AB135" s="33">
        <f t="shared" si="74"/>
        <v>0</v>
      </c>
      <c r="AC135" s="305">
        <f t="shared" si="67"/>
        <v>0</v>
      </c>
      <c r="AD135" s="100">
        <f t="shared" si="75"/>
        <v>0</v>
      </c>
      <c r="AE135" s="100">
        <f t="shared" si="76"/>
        <v>0</v>
      </c>
      <c r="AF135" s="194">
        <f t="shared" si="63"/>
        <v>15.636408593657613</v>
      </c>
      <c r="AG135" s="194">
        <f t="shared" si="64"/>
        <v>0</v>
      </c>
      <c r="AH135" s="194">
        <f t="shared" si="65"/>
        <v>0</v>
      </c>
      <c r="AI135" s="199">
        <f t="shared" si="66"/>
        <v>15.636408593657613</v>
      </c>
      <c r="AK135" s="71">
        <v>130</v>
      </c>
      <c r="AL135" s="33"/>
      <c r="AM135" s="33"/>
      <c r="AN135" s="33"/>
      <c r="AO135" s="33"/>
      <c r="AP135" s="33"/>
      <c r="AQ135" s="194"/>
      <c r="AR135" s="194"/>
      <c r="AS135" s="194"/>
      <c r="AT135" s="194"/>
      <c r="AU135" s="33"/>
      <c r="AV135" s="33"/>
      <c r="AW135" s="33"/>
      <c r="AX135" s="33"/>
      <c r="AY135" s="76"/>
    </row>
    <row r="136" spans="3:51">
      <c r="C136" s="166" t="s">
        <v>11</v>
      </c>
      <c r="D136" s="4">
        <v>0.36</v>
      </c>
      <c r="E136" s="188" t="s">
        <v>228</v>
      </c>
      <c r="F136" s="343">
        <f>IF(OR(Tableau145[[#This Row],[Type]]="Feuillus",Tableau145[[#This Row],[Type]]="Peupliers"),1.56,1.3)</f>
        <v>1.3</v>
      </c>
      <c r="I136" s="55">
        <v>131</v>
      </c>
      <c r="J136" s="33">
        <f t="shared" si="79"/>
        <v>5</v>
      </c>
      <c r="K136" s="33">
        <f t="shared" si="80"/>
        <v>1.910565629709926</v>
      </c>
      <c r="L136" s="33">
        <f t="shared" si="81"/>
        <v>45</v>
      </c>
      <c r="M136" s="33">
        <f t="shared" si="82"/>
        <v>0</v>
      </c>
      <c r="N136" s="33">
        <f t="shared" si="68"/>
        <v>0</v>
      </c>
      <c r="O136" s="34">
        <f t="shared" si="69"/>
        <v>177.03590180507811</v>
      </c>
      <c r="P136" s="55">
        <v>131</v>
      </c>
      <c r="Q136" s="33">
        <f t="shared" si="77"/>
        <v>-23.400000000000034</v>
      </c>
      <c r="R136" s="33">
        <f t="shared" si="83"/>
        <v>419.64000000000016</v>
      </c>
      <c r="S136" s="33">
        <f t="shared" si="84"/>
        <v>243.39120000000008</v>
      </c>
      <c r="T136" s="33">
        <f t="shared" si="70"/>
        <v>59.168566788241577</v>
      </c>
      <c r="U136" s="33">
        <f t="shared" si="78"/>
        <v>67.474659702665207</v>
      </c>
      <c r="V136" s="33">
        <f t="shared" si="71"/>
        <v>10</v>
      </c>
      <c r="W136" s="33">
        <v>0</v>
      </c>
      <c r="X136" s="33">
        <f t="shared" si="72"/>
        <v>811.03201273262664</v>
      </c>
      <c r="Y136" s="38">
        <f t="shared" si="73"/>
        <v>633.99611092754856</v>
      </c>
      <c r="AA136" s="71">
        <v>131</v>
      </c>
      <c r="AB136" s="33">
        <f t="shared" si="74"/>
        <v>0</v>
      </c>
      <c r="AC136" s="305">
        <f t="shared" si="67"/>
        <v>0</v>
      </c>
      <c r="AD136" s="100">
        <f t="shared" si="75"/>
        <v>0</v>
      </c>
      <c r="AE136" s="100">
        <f t="shared" si="76"/>
        <v>0</v>
      </c>
      <c r="AF136" s="194">
        <f t="shared" si="63"/>
        <v>15.329788158403503</v>
      </c>
      <c r="AG136" s="194">
        <f t="shared" si="64"/>
        <v>0</v>
      </c>
      <c r="AH136" s="194">
        <f t="shared" si="65"/>
        <v>0</v>
      </c>
      <c r="AI136" s="199">
        <f t="shared" si="66"/>
        <v>15.329788158403503</v>
      </c>
      <c r="AK136" s="71">
        <v>131</v>
      </c>
      <c r="AL136" s="33"/>
      <c r="AM136" s="33"/>
      <c r="AN136" s="33"/>
      <c r="AO136" s="33"/>
      <c r="AP136" s="33"/>
      <c r="AQ136" s="194"/>
      <c r="AR136" s="194"/>
      <c r="AS136" s="194"/>
      <c r="AT136" s="194"/>
      <c r="AU136" s="33"/>
      <c r="AV136" s="33"/>
      <c r="AW136" s="33"/>
      <c r="AX136" s="33"/>
      <c r="AY136" s="76"/>
    </row>
    <row r="137" spans="3:51">
      <c r="C137" s="166" t="s">
        <v>12</v>
      </c>
      <c r="D137" s="4">
        <v>0.61</v>
      </c>
      <c r="E137" s="188" t="s">
        <v>227</v>
      </c>
      <c r="F137" s="343">
        <f>IF(OR(Tableau145[[#This Row],[Type]]="Feuillus",Tableau145[[#This Row],[Type]]="Peupliers"),1.56,1.3)</f>
        <v>1.56</v>
      </c>
      <c r="I137" s="55">
        <v>132</v>
      </c>
      <c r="J137" s="33">
        <f t="shared" si="79"/>
        <v>5</v>
      </c>
      <c r="K137" s="33">
        <f t="shared" si="80"/>
        <v>1.910565629709926</v>
      </c>
      <c r="L137" s="33">
        <f t="shared" si="81"/>
        <v>45</v>
      </c>
      <c r="M137" s="33">
        <f t="shared" si="82"/>
        <v>0</v>
      </c>
      <c r="N137" s="33">
        <f t="shared" si="68"/>
        <v>0</v>
      </c>
      <c r="O137" s="34">
        <f t="shared" si="69"/>
        <v>177.03590180507811</v>
      </c>
      <c r="P137" s="55">
        <v>132</v>
      </c>
      <c r="Q137" s="33">
        <f t="shared" si="77"/>
        <v>5.460000000000008</v>
      </c>
      <c r="R137" s="33">
        <f t="shared" si="83"/>
        <v>425.10000000000014</v>
      </c>
      <c r="S137" s="33">
        <f t="shared" si="84"/>
        <v>246.55800000000005</v>
      </c>
      <c r="T137" s="33">
        <f t="shared" si="70"/>
        <v>59.848294710107773</v>
      </c>
      <c r="U137" s="33">
        <f t="shared" si="78"/>
        <v>67.518468711008865</v>
      </c>
      <c r="V137" s="33">
        <f t="shared" si="71"/>
        <v>10</v>
      </c>
      <c r="W137" s="33">
        <v>0</v>
      </c>
      <c r="X137" s="33">
        <f t="shared" si="72"/>
        <v>817.89201522713699</v>
      </c>
      <c r="Y137" s="38">
        <f t="shared" si="73"/>
        <v>640.85611342205891</v>
      </c>
      <c r="AA137" s="71">
        <v>132</v>
      </c>
      <c r="AB137" s="33">
        <f t="shared" si="74"/>
        <v>0</v>
      </c>
      <c r="AC137" s="305">
        <f t="shared" si="67"/>
        <v>0</v>
      </c>
      <c r="AD137" s="100">
        <f t="shared" si="75"/>
        <v>0</v>
      </c>
      <c r="AE137" s="100">
        <f t="shared" si="76"/>
        <v>0</v>
      </c>
      <c r="AF137" s="194">
        <f t="shared" si="63"/>
        <v>15.029180362864727</v>
      </c>
      <c r="AG137" s="194">
        <f t="shared" si="64"/>
        <v>0</v>
      </c>
      <c r="AH137" s="194">
        <f t="shared" si="65"/>
        <v>0</v>
      </c>
      <c r="AI137" s="199">
        <f t="shared" si="66"/>
        <v>15.029180362864727</v>
      </c>
      <c r="AK137" s="71">
        <v>132</v>
      </c>
      <c r="AL137" s="33"/>
      <c r="AM137" s="33"/>
      <c r="AN137" s="33"/>
      <c r="AO137" s="33"/>
      <c r="AP137" s="33"/>
      <c r="AQ137" s="194"/>
      <c r="AR137" s="194"/>
      <c r="AS137" s="194"/>
      <c r="AT137" s="194"/>
      <c r="AU137" s="33"/>
      <c r="AV137" s="33"/>
      <c r="AW137" s="33"/>
      <c r="AX137" s="33"/>
      <c r="AY137" s="76"/>
    </row>
    <row r="138" spans="3:51">
      <c r="C138" s="166" t="s">
        <v>13</v>
      </c>
      <c r="D138" s="4">
        <v>0.66</v>
      </c>
      <c r="E138" s="188" t="s">
        <v>227</v>
      </c>
      <c r="F138" s="343">
        <f>IF(OR(Tableau145[[#This Row],[Type]]="Feuillus",Tableau145[[#This Row],[Type]]="Peupliers"),1.56,1.3)</f>
        <v>1.56</v>
      </c>
      <c r="I138" s="55">
        <v>133</v>
      </c>
      <c r="J138" s="33">
        <f t="shared" si="79"/>
        <v>5</v>
      </c>
      <c r="K138" s="33">
        <f t="shared" si="80"/>
        <v>1.910565629709926</v>
      </c>
      <c r="L138" s="33">
        <f t="shared" si="81"/>
        <v>45</v>
      </c>
      <c r="M138" s="33">
        <f t="shared" si="82"/>
        <v>0</v>
      </c>
      <c r="N138" s="33">
        <f t="shared" si="68"/>
        <v>0</v>
      </c>
      <c r="O138" s="34">
        <f t="shared" si="69"/>
        <v>177.03590180507811</v>
      </c>
      <c r="P138" s="55">
        <v>133</v>
      </c>
      <c r="Q138" s="33">
        <f t="shared" si="77"/>
        <v>5.460000000000008</v>
      </c>
      <c r="R138" s="33">
        <f t="shared" si="83"/>
        <v>430.56000000000017</v>
      </c>
      <c r="S138" s="33">
        <f t="shared" si="84"/>
        <v>249.72480000000007</v>
      </c>
      <c r="T138" s="33">
        <f t="shared" si="70"/>
        <v>60.527007137298142</v>
      </c>
      <c r="U138" s="33">
        <f t="shared" si="78"/>
        <v>67.561517731000023</v>
      </c>
      <c r="V138" s="33">
        <f t="shared" si="71"/>
        <v>10</v>
      </c>
      <c r="W138" s="33">
        <v>0</v>
      </c>
      <c r="X138" s="33">
        <f t="shared" si="72"/>
        <v>824.74746244446112</v>
      </c>
      <c r="Y138" s="38">
        <f t="shared" si="73"/>
        <v>647.71156063938304</v>
      </c>
      <c r="AA138" s="71">
        <v>133</v>
      </c>
      <c r="AB138" s="33">
        <f t="shared" si="74"/>
        <v>0</v>
      </c>
      <c r="AC138" s="305">
        <f t="shared" si="67"/>
        <v>0</v>
      </c>
      <c r="AD138" s="100">
        <f t="shared" si="75"/>
        <v>0</v>
      </c>
      <c r="AE138" s="100">
        <f t="shared" si="76"/>
        <v>0</v>
      </c>
      <c r="AF138" s="194">
        <f t="shared" si="63"/>
        <v>14.734467302843814</v>
      </c>
      <c r="AG138" s="194">
        <f t="shared" si="64"/>
        <v>0</v>
      </c>
      <c r="AH138" s="194">
        <f t="shared" si="65"/>
        <v>0</v>
      </c>
      <c r="AI138" s="199">
        <f t="shared" si="66"/>
        <v>14.734467302843814</v>
      </c>
      <c r="AK138" s="71">
        <v>133</v>
      </c>
      <c r="AL138" s="33"/>
      <c r="AM138" s="33"/>
      <c r="AN138" s="33"/>
      <c r="AO138" s="33"/>
      <c r="AP138" s="33"/>
      <c r="AQ138" s="194"/>
      <c r="AR138" s="194"/>
      <c r="AS138" s="194"/>
      <c r="AT138" s="194"/>
      <c r="AU138" s="33"/>
      <c r="AV138" s="33"/>
      <c r="AW138" s="33"/>
      <c r="AX138" s="33"/>
      <c r="AY138" s="76"/>
    </row>
    <row r="139" spans="3:51">
      <c r="C139" s="167" t="s">
        <v>14</v>
      </c>
      <c r="D139" s="134">
        <v>0.47</v>
      </c>
      <c r="E139" s="188" t="s">
        <v>227</v>
      </c>
      <c r="F139" s="343">
        <f>IF(OR(Tableau145[[#This Row],[Type]]="Feuillus",Tableau145[[#This Row],[Type]]="Peupliers"),1.56,1.3)</f>
        <v>1.56</v>
      </c>
      <c r="I139" s="55">
        <v>134</v>
      </c>
      <c r="J139" s="33">
        <f t="shared" si="79"/>
        <v>5</v>
      </c>
      <c r="K139" s="33">
        <f t="shared" si="80"/>
        <v>1.910565629709926</v>
      </c>
      <c r="L139" s="33">
        <f t="shared" si="81"/>
        <v>45</v>
      </c>
      <c r="M139" s="33">
        <f t="shared" si="82"/>
        <v>0</v>
      </c>
      <c r="N139" s="33">
        <f t="shared" si="68"/>
        <v>0</v>
      </c>
      <c r="O139" s="34">
        <f t="shared" si="69"/>
        <v>177.03590180507811</v>
      </c>
      <c r="P139" s="55">
        <v>134</v>
      </c>
      <c r="Q139" s="33">
        <f t="shared" si="77"/>
        <v>5.460000000000008</v>
      </c>
      <c r="R139" s="33">
        <f t="shared" si="83"/>
        <v>436.02000000000021</v>
      </c>
      <c r="S139" s="33">
        <f t="shared" si="84"/>
        <v>252.8916000000001</v>
      </c>
      <c r="T139" s="33">
        <f t="shared" si="70"/>
        <v>61.204718436590369</v>
      </c>
      <c r="U139" s="33">
        <f t="shared" si="78"/>
        <v>67.603819946737531</v>
      </c>
      <c r="V139" s="33">
        <f t="shared" si="71"/>
        <v>10</v>
      </c>
      <c r="W139" s="33">
        <v>0</v>
      </c>
      <c r="X139" s="33">
        <f t="shared" si="72"/>
        <v>831.59842774843264</v>
      </c>
      <c r="Y139" s="38">
        <f t="shared" si="73"/>
        <v>654.56252594335456</v>
      </c>
      <c r="AA139" s="71">
        <v>134</v>
      </c>
      <c r="AB139" s="33">
        <f t="shared" si="74"/>
        <v>0</v>
      </c>
      <c r="AC139" s="305">
        <f t="shared" si="67"/>
        <v>0</v>
      </c>
      <c r="AD139" s="100">
        <f t="shared" si="75"/>
        <v>0</v>
      </c>
      <c r="AE139" s="100">
        <f t="shared" si="76"/>
        <v>0</v>
      </c>
      <c r="AF139" s="194">
        <f t="shared" si="63"/>
        <v>14.445533386172697</v>
      </c>
      <c r="AG139" s="194">
        <f t="shared" si="64"/>
        <v>0</v>
      </c>
      <c r="AH139" s="194">
        <f t="shared" si="65"/>
        <v>0</v>
      </c>
      <c r="AI139" s="199">
        <f t="shared" si="66"/>
        <v>14.445533386172697</v>
      </c>
      <c r="AK139" s="71">
        <v>134</v>
      </c>
      <c r="AL139" s="33"/>
      <c r="AM139" s="33"/>
      <c r="AN139" s="33"/>
      <c r="AO139" s="33"/>
      <c r="AP139" s="33"/>
      <c r="AQ139" s="194"/>
      <c r="AR139" s="194"/>
      <c r="AS139" s="194"/>
      <c r="AT139" s="194"/>
      <c r="AU139" s="33"/>
      <c r="AV139" s="33"/>
      <c r="AW139" s="33"/>
      <c r="AX139" s="33"/>
      <c r="AY139" s="76"/>
    </row>
    <row r="140" spans="3:51">
      <c r="C140" s="166" t="s">
        <v>15</v>
      </c>
      <c r="D140" s="4">
        <v>0.67</v>
      </c>
      <c r="E140" s="188" t="s">
        <v>227</v>
      </c>
      <c r="F140" s="343">
        <f>IF(OR(Tableau145[[#This Row],[Type]]="Feuillus",Tableau145[[#This Row],[Type]]="Peupliers"),1.56,1.3)</f>
        <v>1.56</v>
      </c>
      <c r="I140" s="55">
        <v>135</v>
      </c>
      <c r="J140" s="33">
        <f t="shared" si="79"/>
        <v>5</v>
      </c>
      <c r="K140" s="33">
        <f t="shared" si="80"/>
        <v>1.910565629709926</v>
      </c>
      <c r="L140" s="33">
        <f t="shared" si="81"/>
        <v>45</v>
      </c>
      <c r="M140" s="33">
        <f t="shared" si="82"/>
        <v>0</v>
      </c>
      <c r="N140" s="33">
        <f t="shared" si="68"/>
        <v>0</v>
      </c>
      <c r="O140" s="34">
        <f t="shared" si="69"/>
        <v>177.03590180507811</v>
      </c>
      <c r="P140" s="55">
        <v>135</v>
      </c>
      <c r="Q140" s="33">
        <f t="shared" si="77"/>
        <v>5.460000000000008</v>
      </c>
      <c r="R140" s="33">
        <f t="shared" si="83"/>
        <v>441.48000000000025</v>
      </c>
      <c r="S140" s="33">
        <f t="shared" si="84"/>
        <v>256.05840000000012</v>
      </c>
      <c r="T140" s="33">
        <f t="shared" si="70"/>
        <v>61.881442594256541</v>
      </c>
      <c r="U140" s="33">
        <f t="shared" si="78"/>
        <v>67.645388313605579</v>
      </c>
      <c r="V140" s="33">
        <f t="shared" si="71"/>
        <v>10</v>
      </c>
      <c r="W140" s="33">
        <v>0</v>
      </c>
      <c r="X140" s="33">
        <f t="shared" si="72"/>
        <v>838.4449830015509</v>
      </c>
      <c r="Y140" s="38">
        <f t="shared" si="73"/>
        <v>661.40908119647281</v>
      </c>
      <c r="AA140" s="71">
        <v>135</v>
      </c>
      <c r="AB140" s="33">
        <f t="shared" si="74"/>
        <v>283</v>
      </c>
      <c r="AC140" s="305">
        <f t="shared" si="67"/>
        <v>0.47499999999999998</v>
      </c>
      <c r="AD140" s="100">
        <f t="shared" si="75"/>
        <v>0</v>
      </c>
      <c r="AE140" s="100">
        <f t="shared" si="76"/>
        <v>0</v>
      </c>
      <c r="AF140" s="194">
        <f t="shared" si="63"/>
        <v>148.61812918691021</v>
      </c>
      <c r="AG140" s="194">
        <f t="shared" si="64"/>
        <v>0</v>
      </c>
      <c r="AH140" s="194">
        <f t="shared" si="65"/>
        <v>0</v>
      </c>
      <c r="AI140" s="199">
        <f t="shared" si="66"/>
        <v>148.61812918691021</v>
      </c>
      <c r="AK140" s="71">
        <v>135</v>
      </c>
      <c r="AL140" s="33"/>
      <c r="AM140" s="33"/>
      <c r="AN140" s="33"/>
      <c r="AO140" s="33"/>
      <c r="AP140" s="33"/>
      <c r="AQ140" s="194"/>
      <c r="AR140" s="194"/>
      <c r="AS140" s="194"/>
      <c r="AT140" s="194"/>
      <c r="AU140" s="33"/>
      <c r="AV140" s="33"/>
      <c r="AW140" s="33"/>
      <c r="AX140" s="33"/>
      <c r="AY140" s="76"/>
    </row>
    <row r="141" spans="3:51">
      <c r="C141" s="166" t="s">
        <v>16</v>
      </c>
      <c r="D141" s="4">
        <v>0.7</v>
      </c>
      <c r="E141" s="188" t="s">
        <v>227</v>
      </c>
      <c r="F141" s="343">
        <f>IF(OR(Tableau145[[#This Row],[Type]]="Feuillus",Tableau145[[#This Row],[Type]]="Peupliers"),1.56,1.3)</f>
        <v>1.56</v>
      </c>
      <c r="I141" s="55">
        <v>136</v>
      </c>
      <c r="J141" s="33">
        <f t="shared" si="79"/>
        <v>0</v>
      </c>
      <c r="K141" s="33">
        <f t="shared" si="80"/>
        <v>0</v>
      </c>
      <c r="L141" s="33">
        <f t="shared" si="81"/>
        <v>0</v>
      </c>
      <c r="M141" s="33">
        <f t="shared" si="82"/>
        <v>0</v>
      </c>
      <c r="N141" s="33">
        <f t="shared" si="68"/>
        <v>0</v>
      </c>
      <c r="O141" s="34">
        <f t="shared" si="69"/>
        <v>0</v>
      </c>
      <c r="P141" s="55">
        <v>136</v>
      </c>
      <c r="Q141" s="33">
        <f t="shared" si="77"/>
        <v>0</v>
      </c>
      <c r="R141" s="33">
        <f t="shared" si="83"/>
        <v>0</v>
      </c>
      <c r="S141" s="33">
        <f t="shared" si="84"/>
        <v>0</v>
      </c>
      <c r="T141" s="33">
        <f t="shared" si="70"/>
        <v>0</v>
      </c>
      <c r="U141" s="33">
        <f t="shared" si="78"/>
        <v>0</v>
      </c>
      <c r="V141" s="33">
        <f t="shared" si="71"/>
        <v>0</v>
      </c>
      <c r="W141" s="33">
        <v>0</v>
      </c>
      <c r="X141" s="33">
        <f t="shared" si="72"/>
        <v>0</v>
      </c>
      <c r="Y141" s="38">
        <f t="shared" si="73"/>
        <v>0</v>
      </c>
      <c r="AA141" s="71">
        <v>136</v>
      </c>
      <c r="AB141" s="33">
        <f t="shared" si="74"/>
        <v>0</v>
      </c>
      <c r="AC141" s="305">
        <f t="shared" si="67"/>
        <v>0</v>
      </c>
      <c r="AD141" s="100">
        <f t="shared" si="75"/>
        <v>0</v>
      </c>
      <c r="AE141" s="100">
        <f t="shared" si="76"/>
        <v>0</v>
      </c>
      <c r="AF141" s="194">
        <f t="shared" si="63"/>
        <v>0</v>
      </c>
      <c r="AG141" s="194">
        <f t="shared" si="64"/>
        <v>0</v>
      </c>
      <c r="AH141" s="194">
        <f t="shared" si="65"/>
        <v>0</v>
      </c>
      <c r="AI141" s="199">
        <f t="shared" si="66"/>
        <v>0</v>
      </c>
      <c r="AK141" s="71">
        <v>136</v>
      </c>
      <c r="AL141" s="33"/>
      <c r="AM141" s="33"/>
      <c r="AN141" s="33"/>
      <c r="AO141" s="33"/>
      <c r="AP141" s="33"/>
      <c r="AQ141" s="194"/>
      <c r="AR141" s="194"/>
      <c r="AS141" s="194"/>
      <c r="AT141" s="194"/>
      <c r="AU141" s="33"/>
      <c r="AV141" s="33"/>
      <c r="AW141" s="33"/>
      <c r="AX141" s="33"/>
      <c r="AY141" s="76"/>
    </row>
    <row r="142" spans="3:51">
      <c r="C142" s="166" t="s">
        <v>17</v>
      </c>
      <c r="D142" s="4">
        <v>0.54</v>
      </c>
      <c r="E142" s="188" t="s">
        <v>227</v>
      </c>
      <c r="F142" s="343">
        <f>IF(OR(Tableau145[[#This Row],[Type]]="Feuillus",Tableau145[[#This Row],[Type]]="Peupliers"),1.56,1.3)</f>
        <v>1.56</v>
      </c>
      <c r="I142" s="55">
        <v>137</v>
      </c>
      <c r="J142" s="33">
        <f t="shared" si="79"/>
        <v>0</v>
      </c>
      <c r="K142" s="33">
        <f t="shared" si="80"/>
        <v>0</v>
      </c>
      <c r="L142" s="33">
        <f t="shared" si="81"/>
        <v>0</v>
      </c>
      <c r="M142" s="33">
        <f t="shared" si="82"/>
        <v>0</v>
      </c>
      <c r="N142" s="33">
        <f t="shared" si="68"/>
        <v>0</v>
      </c>
      <c r="O142" s="34">
        <f t="shared" si="69"/>
        <v>0</v>
      </c>
      <c r="P142" s="55">
        <v>137</v>
      </c>
      <c r="Q142" s="33">
        <f t="shared" si="77"/>
        <v>0</v>
      </c>
      <c r="R142" s="33">
        <f t="shared" si="83"/>
        <v>0</v>
      </c>
      <c r="S142" s="33">
        <f t="shared" si="84"/>
        <v>0</v>
      </c>
      <c r="T142" s="33">
        <f t="shared" si="70"/>
        <v>0</v>
      </c>
      <c r="U142" s="33">
        <f t="shared" si="78"/>
        <v>0</v>
      </c>
      <c r="V142" s="33">
        <f t="shared" si="71"/>
        <v>0</v>
      </c>
      <c r="W142" s="33">
        <v>0</v>
      </c>
      <c r="X142" s="33">
        <f t="shared" si="72"/>
        <v>0</v>
      </c>
      <c r="Y142" s="38">
        <f t="shared" si="73"/>
        <v>0</v>
      </c>
      <c r="AA142" s="71">
        <v>137</v>
      </c>
      <c r="AB142" s="33">
        <f t="shared" si="74"/>
        <v>0</v>
      </c>
      <c r="AC142" s="305">
        <f t="shared" si="67"/>
        <v>0</v>
      </c>
      <c r="AD142" s="100">
        <f t="shared" si="75"/>
        <v>0</v>
      </c>
      <c r="AE142" s="100">
        <f t="shared" si="76"/>
        <v>0</v>
      </c>
      <c r="AF142" s="194">
        <f t="shared" si="63"/>
        <v>0</v>
      </c>
      <c r="AG142" s="194">
        <f t="shared" si="64"/>
        <v>0</v>
      </c>
      <c r="AH142" s="194">
        <f t="shared" si="65"/>
        <v>0</v>
      </c>
      <c r="AI142" s="199">
        <f t="shared" si="66"/>
        <v>0</v>
      </c>
      <c r="AK142" s="71">
        <v>137</v>
      </c>
      <c r="AL142" s="33"/>
      <c r="AM142" s="33"/>
      <c r="AN142" s="33"/>
      <c r="AO142" s="33"/>
      <c r="AP142" s="33"/>
      <c r="AQ142" s="194"/>
      <c r="AR142" s="194"/>
      <c r="AS142" s="194"/>
      <c r="AT142" s="194"/>
      <c r="AU142" s="33"/>
      <c r="AV142" s="33"/>
      <c r="AW142" s="33"/>
      <c r="AX142" s="33"/>
      <c r="AY142" s="76"/>
    </row>
    <row r="143" spans="3:51">
      <c r="C143" s="166" t="s">
        <v>18</v>
      </c>
      <c r="D143" s="4">
        <v>0.65</v>
      </c>
      <c r="E143" s="188" t="s">
        <v>227</v>
      </c>
      <c r="F143" s="343">
        <f>IF(OR(Tableau145[[#This Row],[Type]]="Feuillus",Tableau145[[#This Row],[Type]]="Peupliers"),1.56,1.3)</f>
        <v>1.56</v>
      </c>
      <c r="I143" s="55">
        <v>138</v>
      </c>
      <c r="J143" s="33">
        <f t="shared" si="79"/>
        <v>0</v>
      </c>
      <c r="K143" s="33">
        <f t="shared" si="80"/>
        <v>0</v>
      </c>
      <c r="L143" s="33">
        <f t="shared" si="81"/>
        <v>0</v>
      </c>
      <c r="M143" s="33">
        <f t="shared" si="82"/>
        <v>0</v>
      </c>
      <c r="N143" s="33">
        <f t="shared" si="68"/>
        <v>0</v>
      </c>
      <c r="O143" s="34">
        <f t="shared" si="69"/>
        <v>0</v>
      </c>
      <c r="P143" s="55">
        <v>138</v>
      </c>
      <c r="Q143" s="33">
        <f t="shared" si="77"/>
        <v>0</v>
      </c>
      <c r="R143" s="33">
        <f t="shared" si="83"/>
        <v>0</v>
      </c>
      <c r="S143" s="33">
        <f t="shared" si="84"/>
        <v>0</v>
      </c>
      <c r="T143" s="33">
        <f t="shared" si="70"/>
        <v>0</v>
      </c>
      <c r="U143" s="33">
        <f t="shared" si="78"/>
        <v>0</v>
      </c>
      <c r="V143" s="33">
        <f t="shared" si="71"/>
        <v>0</v>
      </c>
      <c r="W143" s="33">
        <v>0</v>
      </c>
      <c r="X143" s="33">
        <f t="shared" si="72"/>
        <v>0</v>
      </c>
      <c r="Y143" s="38">
        <f t="shared" si="73"/>
        <v>0</v>
      </c>
      <c r="AA143" s="71">
        <v>138</v>
      </c>
      <c r="AB143" s="33">
        <f t="shared" si="74"/>
        <v>0</v>
      </c>
      <c r="AC143" s="305">
        <f t="shared" si="67"/>
        <v>0</v>
      </c>
      <c r="AD143" s="100">
        <f t="shared" si="75"/>
        <v>0</v>
      </c>
      <c r="AE143" s="100">
        <f t="shared" si="76"/>
        <v>0</v>
      </c>
      <c r="AF143" s="194">
        <f t="shared" si="63"/>
        <v>0</v>
      </c>
      <c r="AG143" s="194">
        <f t="shared" si="64"/>
        <v>0</v>
      </c>
      <c r="AH143" s="194">
        <f t="shared" si="65"/>
        <v>0</v>
      </c>
      <c r="AI143" s="199">
        <f t="shared" si="66"/>
        <v>0</v>
      </c>
      <c r="AK143" s="71">
        <v>138</v>
      </c>
      <c r="AL143" s="33"/>
      <c r="AM143" s="33"/>
      <c r="AN143" s="33"/>
      <c r="AO143" s="33"/>
      <c r="AP143" s="33"/>
      <c r="AQ143" s="194"/>
      <c r="AR143" s="194"/>
      <c r="AS143" s="194"/>
      <c r="AT143" s="194"/>
      <c r="AU143" s="33"/>
      <c r="AV143" s="33"/>
      <c r="AW143" s="33"/>
      <c r="AX143" s="33"/>
      <c r="AY143" s="76"/>
    </row>
    <row r="144" spans="3:51">
      <c r="C144" s="166" t="s">
        <v>19</v>
      </c>
      <c r="D144" s="4">
        <v>0.56000000000000005</v>
      </c>
      <c r="E144" s="188" t="s">
        <v>227</v>
      </c>
      <c r="F144" s="343">
        <f>IF(OR(Tableau145[[#This Row],[Type]]="Feuillus",Tableau145[[#This Row],[Type]]="Peupliers"),1.56,1.3)</f>
        <v>1.56</v>
      </c>
      <c r="I144" s="55">
        <v>139</v>
      </c>
      <c r="J144" s="33">
        <f t="shared" si="79"/>
        <v>0</v>
      </c>
      <c r="K144" s="33">
        <f t="shared" si="80"/>
        <v>0</v>
      </c>
      <c r="L144" s="33">
        <f t="shared" si="81"/>
        <v>0</v>
      </c>
      <c r="M144" s="33">
        <f t="shared" si="82"/>
        <v>0</v>
      </c>
      <c r="N144" s="33">
        <f t="shared" si="68"/>
        <v>0</v>
      </c>
      <c r="O144" s="34">
        <f t="shared" si="69"/>
        <v>0</v>
      </c>
      <c r="P144" s="55">
        <v>139</v>
      </c>
      <c r="Q144" s="33">
        <f t="shared" si="77"/>
        <v>0</v>
      </c>
      <c r="R144" s="33">
        <f t="shared" si="83"/>
        <v>0</v>
      </c>
      <c r="S144" s="33">
        <f t="shared" si="84"/>
        <v>0</v>
      </c>
      <c r="T144" s="33">
        <f t="shared" si="70"/>
        <v>0</v>
      </c>
      <c r="U144" s="33">
        <f t="shared" si="78"/>
        <v>0</v>
      </c>
      <c r="V144" s="33">
        <f t="shared" si="71"/>
        <v>0</v>
      </c>
      <c r="W144" s="33">
        <v>0</v>
      </c>
      <c r="X144" s="33">
        <f t="shared" si="72"/>
        <v>0</v>
      </c>
      <c r="Y144" s="38">
        <f t="shared" si="73"/>
        <v>0</v>
      </c>
      <c r="AA144" s="71">
        <v>139</v>
      </c>
      <c r="AB144" s="33">
        <f t="shared" si="74"/>
        <v>0</v>
      </c>
      <c r="AC144" s="305">
        <f t="shared" si="67"/>
        <v>0</v>
      </c>
      <c r="AD144" s="100">
        <f t="shared" si="75"/>
        <v>0</v>
      </c>
      <c r="AE144" s="100">
        <f t="shared" si="76"/>
        <v>0</v>
      </c>
      <c r="AF144" s="194">
        <f t="shared" si="63"/>
        <v>0</v>
      </c>
      <c r="AG144" s="194">
        <f t="shared" si="64"/>
        <v>0</v>
      </c>
      <c r="AH144" s="194">
        <f t="shared" si="65"/>
        <v>0</v>
      </c>
      <c r="AI144" s="199">
        <f t="shared" si="66"/>
        <v>0</v>
      </c>
      <c r="AK144" s="71">
        <v>139</v>
      </c>
      <c r="AL144" s="33"/>
      <c r="AM144" s="33"/>
      <c r="AN144" s="33"/>
      <c r="AO144" s="33"/>
      <c r="AP144" s="33"/>
      <c r="AQ144" s="194"/>
      <c r="AR144" s="194"/>
      <c r="AS144" s="194"/>
      <c r="AT144" s="194"/>
      <c r="AU144" s="33"/>
      <c r="AV144" s="33"/>
      <c r="AW144" s="33"/>
      <c r="AX144" s="33"/>
      <c r="AY144" s="76"/>
    </row>
    <row r="145" spans="3:51">
      <c r="C145" s="166" t="s">
        <v>20</v>
      </c>
      <c r="D145" s="4">
        <v>0.57999999999999996</v>
      </c>
      <c r="E145" s="188" t="s">
        <v>227</v>
      </c>
      <c r="F145" s="343">
        <f>IF(OR(Tableau145[[#This Row],[Type]]="Feuillus",Tableau145[[#This Row],[Type]]="Peupliers"),1.56,1.3)</f>
        <v>1.56</v>
      </c>
      <c r="I145" s="55">
        <v>140</v>
      </c>
      <c r="J145" s="33">
        <f t="shared" si="79"/>
        <v>0</v>
      </c>
      <c r="K145" s="33">
        <f t="shared" si="80"/>
        <v>0</v>
      </c>
      <c r="L145" s="33">
        <f t="shared" si="81"/>
        <v>0</v>
      </c>
      <c r="M145" s="33">
        <f t="shared" si="82"/>
        <v>0</v>
      </c>
      <c r="N145" s="33">
        <f t="shared" si="68"/>
        <v>0</v>
      </c>
      <c r="O145" s="34">
        <f t="shared" si="69"/>
        <v>0</v>
      </c>
      <c r="P145" s="55">
        <v>140</v>
      </c>
      <c r="Q145" s="33">
        <f t="shared" si="77"/>
        <v>0</v>
      </c>
      <c r="R145" s="33">
        <f t="shared" si="83"/>
        <v>0</v>
      </c>
      <c r="S145" s="33">
        <f t="shared" si="84"/>
        <v>0</v>
      </c>
      <c r="T145" s="33">
        <f t="shared" si="70"/>
        <v>0</v>
      </c>
      <c r="U145" s="33">
        <f t="shared" si="78"/>
        <v>0</v>
      </c>
      <c r="V145" s="33">
        <f t="shared" si="71"/>
        <v>0</v>
      </c>
      <c r="W145" s="33">
        <v>0</v>
      </c>
      <c r="X145" s="33">
        <f t="shared" si="72"/>
        <v>0</v>
      </c>
      <c r="Y145" s="38">
        <f t="shared" si="73"/>
        <v>0</v>
      </c>
      <c r="AA145" s="71">
        <v>140</v>
      </c>
      <c r="AB145" s="33">
        <f t="shared" si="74"/>
        <v>0</v>
      </c>
      <c r="AC145" s="305">
        <f t="shared" si="67"/>
        <v>0</v>
      </c>
      <c r="AD145" s="100">
        <f t="shared" si="75"/>
        <v>0</v>
      </c>
      <c r="AE145" s="100">
        <f t="shared" si="76"/>
        <v>0</v>
      </c>
      <c r="AF145" s="194">
        <f t="shared" si="63"/>
        <v>0</v>
      </c>
      <c r="AG145" s="194">
        <f t="shared" si="64"/>
        <v>0</v>
      </c>
      <c r="AH145" s="194">
        <f t="shared" si="65"/>
        <v>0</v>
      </c>
      <c r="AI145" s="199">
        <f t="shared" si="66"/>
        <v>0</v>
      </c>
      <c r="AK145" s="71">
        <v>140</v>
      </c>
      <c r="AL145" s="33"/>
      <c r="AM145" s="33"/>
      <c r="AN145" s="33"/>
      <c r="AO145" s="33"/>
      <c r="AP145" s="33"/>
      <c r="AQ145" s="194"/>
      <c r="AR145" s="194"/>
      <c r="AS145" s="194"/>
      <c r="AT145" s="194"/>
      <c r="AU145" s="33"/>
      <c r="AV145" s="33"/>
      <c r="AW145" s="33"/>
      <c r="AX145" s="33"/>
      <c r="AY145" s="76"/>
    </row>
    <row r="146" spans="3:51">
      <c r="C146" s="166" t="s">
        <v>21</v>
      </c>
      <c r="D146" s="4">
        <v>0.64</v>
      </c>
      <c r="E146" s="188" t="s">
        <v>227</v>
      </c>
      <c r="F146" s="343">
        <f>IF(OR(Tableau145[[#This Row],[Type]]="Feuillus",Tableau145[[#This Row],[Type]]="Peupliers"),1.56,1.3)</f>
        <v>1.56</v>
      </c>
      <c r="I146" s="55">
        <v>141</v>
      </c>
      <c r="J146" s="33">
        <f t="shared" si="79"/>
        <v>0</v>
      </c>
      <c r="K146" s="33">
        <f t="shared" si="80"/>
        <v>0</v>
      </c>
      <c r="L146" s="33">
        <f t="shared" si="81"/>
        <v>0</v>
      </c>
      <c r="M146" s="33">
        <f t="shared" si="82"/>
        <v>0</v>
      </c>
      <c r="N146" s="33">
        <f t="shared" si="68"/>
        <v>0</v>
      </c>
      <c r="O146" s="34">
        <f t="shared" si="69"/>
        <v>0</v>
      </c>
      <c r="P146" s="55">
        <v>141</v>
      </c>
      <c r="Q146" s="33">
        <f t="shared" si="77"/>
        <v>0</v>
      </c>
      <c r="R146" s="33">
        <f t="shared" si="83"/>
        <v>0</v>
      </c>
      <c r="S146" s="33">
        <f t="shared" si="84"/>
        <v>0</v>
      </c>
      <c r="T146" s="33">
        <f t="shared" si="70"/>
        <v>0</v>
      </c>
      <c r="U146" s="33">
        <f t="shared" si="78"/>
        <v>0</v>
      </c>
      <c r="V146" s="33">
        <f t="shared" si="71"/>
        <v>0</v>
      </c>
      <c r="W146" s="33">
        <v>0</v>
      </c>
      <c r="X146" s="33">
        <f t="shared" si="72"/>
        <v>0</v>
      </c>
      <c r="Y146" s="38">
        <f t="shared" si="73"/>
        <v>0</v>
      </c>
      <c r="AA146" s="71">
        <v>141</v>
      </c>
      <c r="AB146" s="33">
        <f t="shared" si="74"/>
        <v>0</v>
      </c>
      <c r="AC146" s="305">
        <f t="shared" si="67"/>
        <v>0</v>
      </c>
      <c r="AD146" s="100">
        <f t="shared" si="75"/>
        <v>0</v>
      </c>
      <c r="AE146" s="100">
        <f t="shared" si="76"/>
        <v>0</v>
      </c>
      <c r="AF146" s="194">
        <f t="shared" si="63"/>
        <v>0</v>
      </c>
      <c r="AG146" s="194">
        <f t="shared" si="64"/>
        <v>0</v>
      </c>
      <c r="AH146" s="194">
        <f t="shared" si="65"/>
        <v>0</v>
      </c>
      <c r="AI146" s="199">
        <f t="shared" si="66"/>
        <v>0</v>
      </c>
      <c r="AK146" s="71">
        <v>141</v>
      </c>
      <c r="AL146" s="33"/>
      <c r="AM146" s="33"/>
      <c r="AN146" s="33"/>
      <c r="AO146" s="33"/>
      <c r="AP146" s="33"/>
      <c r="AQ146" s="194"/>
      <c r="AR146" s="194"/>
      <c r="AS146" s="194"/>
      <c r="AT146" s="194"/>
      <c r="AU146" s="33"/>
      <c r="AV146" s="33"/>
      <c r="AW146" s="33"/>
      <c r="AX146" s="33"/>
      <c r="AY146" s="76"/>
    </row>
    <row r="147" spans="3:51">
      <c r="C147" s="166" t="s">
        <v>22</v>
      </c>
      <c r="D147" s="4">
        <v>0.73</v>
      </c>
      <c r="E147" s="188" t="s">
        <v>227</v>
      </c>
      <c r="F147" s="343">
        <f>IF(OR(Tableau145[[#This Row],[Type]]="Feuillus",Tableau145[[#This Row],[Type]]="Peupliers"),1.56,1.3)</f>
        <v>1.56</v>
      </c>
      <c r="I147" s="55">
        <v>142</v>
      </c>
      <c r="J147" s="33">
        <f t="shared" si="79"/>
        <v>0</v>
      </c>
      <c r="K147" s="33">
        <f t="shared" si="80"/>
        <v>0</v>
      </c>
      <c r="L147" s="33">
        <f t="shared" si="81"/>
        <v>0</v>
      </c>
      <c r="M147" s="33">
        <f t="shared" si="82"/>
        <v>0</v>
      </c>
      <c r="N147" s="33">
        <f t="shared" si="68"/>
        <v>0</v>
      </c>
      <c r="O147" s="34">
        <f t="shared" si="69"/>
        <v>0</v>
      </c>
      <c r="P147" s="55">
        <v>142</v>
      </c>
      <c r="Q147" s="33">
        <f t="shared" si="77"/>
        <v>0</v>
      </c>
      <c r="R147" s="33">
        <f t="shared" si="83"/>
        <v>0</v>
      </c>
      <c r="S147" s="33">
        <f t="shared" si="84"/>
        <v>0</v>
      </c>
      <c r="T147" s="33">
        <f t="shared" si="70"/>
        <v>0</v>
      </c>
      <c r="U147" s="33">
        <f t="shared" si="78"/>
        <v>0</v>
      </c>
      <c r="V147" s="33">
        <f t="shared" si="71"/>
        <v>0</v>
      </c>
      <c r="W147" s="33">
        <v>0</v>
      </c>
      <c r="X147" s="33">
        <f t="shared" si="72"/>
        <v>0</v>
      </c>
      <c r="Y147" s="38">
        <f t="shared" si="73"/>
        <v>0</v>
      </c>
      <c r="AA147" s="71">
        <v>142</v>
      </c>
      <c r="AB147" s="33">
        <f t="shared" si="74"/>
        <v>0</v>
      </c>
      <c r="AC147" s="305">
        <f t="shared" si="67"/>
        <v>0</v>
      </c>
      <c r="AD147" s="100">
        <f t="shared" si="75"/>
        <v>0</v>
      </c>
      <c r="AE147" s="100">
        <f t="shared" si="76"/>
        <v>0</v>
      </c>
      <c r="AF147" s="194">
        <f t="shared" si="63"/>
        <v>0</v>
      </c>
      <c r="AG147" s="194">
        <f t="shared" si="64"/>
        <v>0</v>
      </c>
      <c r="AH147" s="194">
        <f t="shared" si="65"/>
        <v>0</v>
      </c>
      <c r="AI147" s="199">
        <f t="shared" si="66"/>
        <v>0</v>
      </c>
      <c r="AK147" s="71">
        <v>142</v>
      </c>
      <c r="AL147" s="33"/>
      <c r="AM147" s="33"/>
      <c r="AN147" s="33"/>
      <c r="AO147" s="33"/>
      <c r="AP147" s="33"/>
      <c r="AQ147" s="194"/>
      <c r="AR147" s="194"/>
      <c r="AS147" s="194"/>
      <c r="AT147" s="194"/>
      <c r="AU147" s="33"/>
      <c r="AV147" s="33"/>
      <c r="AW147" s="33"/>
      <c r="AX147" s="33"/>
      <c r="AY147" s="76"/>
    </row>
    <row r="148" spans="3:51">
      <c r="C148" s="166" t="s">
        <v>23</v>
      </c>
      <c r="D148" s="4">
        <v>0.56000000000000005</v>
      </c>
      <c r="E148" s="188" t="s">
        <v>227</v>
      </c>
      <c r="F148" s="343">
        <f>IF(OR(Tableau145[[#This Row],[Type]]="Feuillus",Tableau145[[#This Row],[Type]]="Peupliers"),1.56,1.3)</f>
        <v>1.56</v>
      </c>
      <c r="I148" s="55">
        <v>143</v>
      </c>
      <c r="J148" s="33">
        <f t="shared" si="79"/>
        <v>0</v>
      </c>
      <c r="K148" s="33">
        <f t="shared" si="80"/>
        <v>0</v>
      </c>
      <c r="L148" s="33">
        <f t="shared" si="81"/>
        <v>0</v>
      </c>
      <c r="M148" s="33">
        <f t="shared" si="82"/>
        <v>0</v>
      </c>
      <c r="N148" s="33">
        <f t="shared" si="68"/>
        <v>0</v>
      </c>
      <c r="O148" s="34">
        <f t="shared" si="69"/>
        <v>0</v>
      </c>
      <c r="P148" s="55">
        <v>143</v>
      </c>
      <c r="Q148" s="33">
        <f t="shared" si="77"/>
        <v>0</v>
      </c>
      <c r="R148" s="33">
        <f t="shared" si="83"/>
        <v>0</v>
      </c>
      <c r="S148" s="33">
        <f t="shared" si="84"/>
        <v>0</v>
      </c>
      <c r="T148" s="33">
        <f t="shared" si="70"/>
        <v>0</v>
      </c>
      <c r="U148" s="33">
        <f t="shared" si="78"/>
        <v>0</v>
      </c>
      <c r="V148" s="33">
        <f t="shared" si="71"/>
        <v>0</v>
      </c>
      <c r="W148" s="33">
        <v>0</v>
      </c>
      <c r="X148" s="33">
        <f t="shared" si="72"/>
        <v>0</v>
      </c>
      <c r="Y148" s="38">
        <f t="shared" si="73"/>
        <v>0</v>
      </c>
      <c r="AA148" s="71">
        <v>143</v>
      </c>
      <c r="AB148" s="33">
        <f t="shared" si="74"/>
        <v>0</v>
      </c>
      <c r="AC148" s="305">
        <f t="shared" si="67"/>
        <v>0</v>
      </c>
      <c r="AD148" s="100">
        <f t="shared" si="75"/>
        <v>0</v>
      </c>
      <c r="AE148" s="100">
        <f t="shared" si="76"/>
        <v>0</v>
      </c>
      <c r="AF148" s="194">
        <f t="shared" si="63"/>
        <v>0</v>
      </c>
      <c r="AG148" s="194">
        <f t="shared" si="64"/>
        <v>0</v>
      </c>
      <c r="AH148" s="194">
        <f t="shared" si="65"/>
        <v>0</v>
      </c>
      <c r="AI148" s="199">
        <f t="shared" si="66"/>
        <v>0</v>
      </c>
      <c r="AK148" s="71">
        <v>143</v>
      </c>
      <c r="AL148" s="33"/>
      <c r="AM148" s="33"/>
      <c r="AN148" s="33"/>
      <c r="AO148" s="33"/>
      <c r="AP148" s="33"/>
      <c r="AQ148" s="194"/>
      <c r="AR148" s="194"/>
      <c r="AS148" s="194"/>
      <c r="AT148" s="194"/>
      <c r="AU148" s="33"/>
      <c r="AV148" s="33"/>
      <c r="AW148" s="33"/>
      <c r="AX148" s="33"/>
      <c r="AY148" s="76"/>
    </row>
    <row r="149" spans="3:51">
      <c r="C149" s="166" t="s">
        <v>24</v>
      </c>
      <c r="D149" s="4">
        <v>0.74</v>
      </c>
      <c r="E149" s="188" t="s">
        <v>227</v>
      </c>
      <c r="F149" s="343">
        <f>IF(OR(Tableau145[[#This Row],[Type]]="Feuillus",Tableau145[[#This Row],[Type]]="Peupliers"),1.56,1.3)</f>
        <v>1.56</v>
      </c>
      <c r="I149" s="55">
        <v>144</v>
      </c>
      <c r="J149" s="33">
        <f t="shared" si="79"/>
        <v>0</v>
      </c>
      <c r="K149" s="33">
        <f t="shared" si="80"/>
        <v>0</v>
      </c>
      <c r="L149" s="33">
        <f t="shared" si="81"/>
        <v>0</v>
      </c>
      <c r="M149" s="33">
        <f t="shared" si="82"/>
        <v>0</v>
      </c>
      <c r="N149" s="33">
        <f t="shared" si="68"/>
        <v>0</v>
      </c>
      <c r="O149" s="34">
        <f t="shared" si="69"/>
        <v>0</v>
      </c>
      <c r="P149" s="55">
        <v>144</v>
      </c>
      <c r="Q149" s="33">
        <f t="shared" si="77"/>
        <v>0</v>
      </c>
      <c r="R149" s="33">
        <f t="shared" si="83"/>
        <v>0</v>
      </c>
      <c r="S149" s="33">
        <f t="shared" si="84"/>
        <v>0</v>
      </c>
      <c r="T149" s="33">
        <f t="shared" si="70"/>
        <v>0</v>
      </c>
      <c r="U149" s="33">
        <f t="shared" si="78"/>
        <v>0</v>
      </c>
      <c r="V149" s="33">
        <f t="shared" si="71"/>
        <v>0</v>
      </c>
      <c r="W149" s="33">
        <v>0</v>
      </c>
      <c r="X149" s="33">
        <f t="shared" si="72"/>
        <v>0</v>
      </c>
      <c r="Y149" s="38">
        <f t="shared" si="73"/>
        <v>0</v>
      </c>
      <c r="AA149" s="71">
        <v>144</v>
      </c>
      <c r="AB149" s="33">
        <f t="shared" si="74"/>
        <v>0</v>
      </c>
      <c r="AC149" s="305">
        <f t="shared" si="67"/>
        <v>0</v>
      </c>
      <c r="AD149" s="100">
        <f t="shared" si="75"/>
        <v>0</v>
      </c>
      <c r="AE149" s="100">
        <f t="shared" si="76"/>
        <v>0</v>
      </c>
      <c r="AF149" s="194">
        <f t="shared" si="63"/>
        <v>0</v>
      </c>
      <c r="AG149" s="194">
        <f t="shared" si="64"/>
        <v>0</v>
      </c>
      <c r="AH149" s="194">
        <f t="shared" si="65"/>
        <v>0</v>
      </c>
      <c r="AI149" s="199">
        <f t="shared" si="66"/>
        <v>0</v>
      </c>
      <c r="AK149" s="71">
        <v>144</v>
      </c>
      <c r="AL149" s="33"/>
      <c r="AM149" s="33"/>
      <c r="AN149" s="33"/>
      <c r="AO149" s="33"/>
      <c r="AP149" s="33"/>
      <c r="AQ149" s="194"/>
      <c r="AR149" s="194"/>
      <c r="AS149" s="194"/>
      <c r="AT149" s="194"/>
      <c r="AU149" s="33"/>
      <c r="AV149" s="33"/>
      <c r="AW149" s="33"/>
      <c r="AX149" s="33"/>
      <c r="AY149" s="76"/>
    </row>
    <row r="150" spans="3:51">
      <c r="C150" s="166" t="s">
        <v>25</v>
      </c>
      <c r="D150" s="4">
        <v>0.4</v>
      </c>
      <c r="E150" s="188" t="s">
        <v>228</v>
      </c>
      <c r="F150" s="343">
        <f>IF(OR(Tableau145[[#This Row],[Type]]="Feuillus",Tableau145[[#This Row],[Type]]="Peupliers"),1.56,1.3)</f>
        <v>1.3</v>
      </c>
      <c r="I150" s="55">
        <v>145</v>
      </c>
      <c r="J150" s="33">
        <f t="shared" si="79"/>
        <v>0</v>
      </c>
      <c r="K150" s="33">
        <f t="shared" si="80"/>
        <v>0</v>
      </c>
      <c r="L150" s="33">
        <f t="shared" si="81"/>
        <v>0</v>
      </c>
      <c r="M150" s="33">
        <f t="shared" si="82"/>
        <v>0</v>
      </c>
      <c r="N150" s="33">
        <f t="shared" si="68"/>
        <v>0</v>
      </c>
      <c r="O150" s="34">
        <f t="shared" si="69"/>
        <v>0</v>
      </c>
      <c r="P150" s="55">
        <v>145</v>
      </c>
      <c r="Q150" s="33">
        <f t="shared" si="77"/>
        <v>0</v>
      </c>
      <c r="R150" s="33">
        <f t="shared" si="83"/>
        <v>0</v>
      </c>
      <c r="S150" s="33">
        <f t="shared" si="84"/>
        <v>0</v>
      </c>
      <c r="T150" s="33">
        <f t="shared" si="70"/>
        <v>0</v>
      </c>
      <c r="U150" s="33">
        <f t="shared" si="78"/>
        <v>0</v>
      </c>
      <c r="V150" s="33">
        <f t="shared" si="71"/>
        <v>0</v>
      </c>
      <c r="W150" s="33">
        <v>0</v>
      </c>
      <c r="X150" s="33">
        <f t="shared" si="72"/>
        <v>0</v>
      </c>
      <c r="Y150" s="38">
        <f t="shared" si="73"/>
        <v>0</v>
      </c>
      <c r="AA150" s="71">
        <v>145</v>
      </c>
      <c r="AB150" s="33">
        <f t="shared" si="74"/>
        <v>0</v>
      </c>
      <c r="AC150" s="305">
        <f t="shared" si="67"/>
        <v>0</v>
      </c>
      <c r="AD150" s="100">
        <f t="shared" si="75"/>
        <v>0</v>
      </c>
      <c r="AE150" s="100">
        <f t="shared" si="76"/>
        <v>0</v>
      </c>
      <c r="AF150" s="194">
        <f t="shared" si="63"/>
        <v>0</v>
      </c>
      <c r="AG150" s="194">
        <f t="shared" si="64"/>
        <v>0</v>
      </c>
      <c r="AH150" s="194">
        <f t="shared" si="65"/>
        <v>0</v>
      </c>
      <c r="AI150" s="199">
        <f t="shared" si="66"/>
        <v>0</v>
      </c>
      <c r="AK150" s="71">
        <v>145</v>
      </c>
      <c r="AL150" s="33"/>
      <c r="AM150" s="33"/>
      <c r="AN150" s="33"/>
      <c r="AO150" s="33"/>
      <c r="AP150" s="33"/>
      <c r="AQ150" s="194"/>
      <c r="AR150" s="194"/>
      <c r="AS150" s="194"/>
      <c r="AT150" s="194"/>
      <c r="AU150" s="33"/>
      <c r="AV150" s="33"/>
      <c r="AW150" s="33"/>
      <c r="AX150" s="33"/>
      <c r="AY150" s="76"/>
    </row>
    <row r="151" spans="3:51">
      <c r="C151" s="166" t="s">
        <v>26</v>
      </c>
      <c r="D151" s="4">
        <v>0.6</v>
      </c>
      <c r="E151" s="188" t="s">
        <v>227</v>
      </c>
      <c r="F151" s="343">
        <f>IF(OR(Tableau145[[#This Row],[Type]]="Feuillus",Tableau145[[#This Row],[Type]]="Peupliers"),1.56,1.3)</f>
        <v>1.56</v>
      </c>
      <c r="I151" s="55">
        <v>146</v>
      </c>
      <c r="J151" s="33">
        <f t="shared" si="79"/>
        <v>0</v>
      </c>
      <c r="K151" s="33">
        <f t="shared" si="80"/>
        <v>0</v>
      </c>
      <c r="L151" s="33">
        <f t="shared" si="81"/>
        <v>0</v>
      </c>
      <c r="M151" s="33">
        <f t="shared" si="82"/>
        <v>0</v>
      </c>
      <c r="N151" s="33">
        <f t="shared" si="68"/>
        <v>0</v>
      </c>
      <c r="O151" s="34">
        <f t="shared" si="69"/>
        <v>0</v>
      </c>
      <c r="P151" s="55">
        <v>146</v>
      </c>
      <c r="Q151" s="33">
        <f t="shared" si="77"/>
        <v>0</v>
      </c>
      <c r="R151" s="33">
        <f t="shared" si="83"/>
        <v>0</v>
      </c>
      <c r="S151" s="33">
        <f t="shared" si="84"/>
        <v>0</v>
      </c>
      <c r="T151" s="33">
        <f t="shared" si="70"/>
        <v>0</v>
      </c>
      <c r="U151" s="33">
        <f t="shared" si="78"/>
        <v>0</v>
      </c>
      <c r="V151" s="33">
        <f t="shared" si="71"/>
        <v>0</v>
      </c>
      <c r="W151" s="33">
        <v>0</v>
      </c>
      <c r="X151" s="33">
        <f t="shared" si="72"/>
        <v>0</v>
      </c>
      <c r="Y151" s="38">
        <f t="shared" si="73"/>
        <v>0</v>
      </c>
      <c r="AA151" s="71">
        <v>146</v>
      </c>
      <c r="AB151" s="33">
        <f t="shared" si="74"/>
        <v>0</v>
      </c>
      <c r="AC151" s="305">
        <f t="shared" si="67"/>
        <v>0</v>
      </c>
      <c r="AD151" s="100">
        <f t="shared" si="75"/>
        <v>0</v>
      </c>
      <c r="AE151" s="100">
        <f t="shared" si="76"/>
        <v>0</v>
      </c>
      <c r="AF151" s="194">
        <f t="shared" si="63"/>
        <v>0</v>
      </c>
      <c r="AG151" s="194">
        <f t="shared" si="64"/>
        <v>0</v>
      </c>
      <c r="AH151" s="194">
        <f t="shared" si="65"/>
        <v>0</v>
      </c>
      <c r="AI151" s="199">
        <f t="shared" si="66"/>
        <v>0</v>
      </c>
      <c r="AK151" s="71">
        <v>146</v>
      </c>
      <c r="AL151" s="33"/>
      <c r="AM151" s="33"/>
      <c r="AN151" s="33"/>
      <c r="AO151" s="33"/>
      <c r="AP151" s="33"/>
      <c r="AQ151" s="194"/>
      <c r="AR151" s="194"/>
      <c r="AS151" s="194"/>
      <c r="AT151" s="194"/>
      <c r="AU151" s="33"/>
      <c r="AV151" s="33"/>
      <c r="AW151" s="33"/>
      <c r="AX151" s="33"/>
      <c r="AY151" s="76"/>
    </row>
    <row r="152" spans="3:51">
      <c r="C152" s="166" t="s">
        <v>27</v>
      </c>
      <c r="D152" s="4">
        <v>0.43</v>
      </c>
      <c r="E152" s="188" t="s">
        <v>228</v>
      </c>
      <c r="F152" s="343">
        <f>IF(OR(Tableau145[[#This Row],[Type]]="Feuillus",Tableau145[[#This Row],[Type]]="Peupliers"),1.56,1.3)</f>
        <v>1.3</v>
      </c>
      <c r="I152" s="55">
        <v>147</v>
      </c>
      <c r="J152" s="33">
        <f t="shared" si="79"/>
        <v>0</v>
      </c>
      <c r="K152" s="33">
        <f t="shared" si="80"/>
        <v>0</v>
      </c>
      <c r="L152" s="33">
        <f t="shared" si="81"/>
        <v>0</v>
      </c>
      <c r="M152" s="33">
        <f t="shared" si="82"/>
        <v>0</v>
      </c>
      <c r="N152" s="33">
        <f t="shared" si="68"/>
        <v>0</v>
      </c>
      <c r="O152" s="34">
        <f t="shared" si="69"/>
        <v>0</v>
      </c>
      <c r="P152" s="55">
        <v>147</v>
      </c>
      <c r="Q152" s="33">
        <f t="shared" si="77"/>
        <v>0</v>
      </c>
      <c r="R152" s="33">
        <f t="shared" si="83"/>
        <v>0</v>
      </c>
      <c r="S152" s="33">
        <f t="shared" si="84"/>
        <v>0</v>
      </c>
      <c r="T152" s="33">
        <f t="shared" si="70"/>
        <v>0</v>
      </c>
      <c r="U152" s="33">
        <f t="shared" si="78"/>
        <v>0</v>
      </c>
      <c r="V152" s="33">
        <f t="shared" si="71"/>
        <v>0</v>
      </c>
      <c r="W152" s="33">
        <v>0</v>
      </c>
      <c r="X152" s="33">
        <f t="shared" si="72"/>
        <v>0</v>
      </c>
      <c r="Y152" s="38">
        <f t="shared" si="73"/>
        <v>0</v>
      </c>
      <c r="AA152" s="71">
        <v>147</v>
      </c>
      <c r="AB152" s="33">
        <f t="shared" si="74"/>
        <v>0</v>
      </c>
      <c r="AC152" s="305">
        <f t="shared" si="67"/>
        <v>0</v>
      </c>
      <c r="AD152" s="100">
        <f t="shared" si="75"/>
        <v>0</v>
      </c>
      <c r="AE152" s="100">
        <f t="shared" si="76"/>
        <v>0</v>
      </c>
      <c r="AF152" s="194">
        <f t="shared" si="63"/>
        <v>0</v>
      </c>
      <c r="AG152" s="194">
        <f t="shared" si="64"/>
        <v>0</v>
      </c>
      <c r="AH152" s="194">
        <f t="shared" si="65"/>
        <v>0</v>
      </c>
      <c r="AI152" s="199">
        <f t="shared" si="66"/>
        <v>0</v>
      </c>
      <c r="AK152" s="71">
        <v>147</v>
      </c>
      <c r="AL152" s="33"/>
      <c r="AM152" s="33"/>
      <c r="AN152" s="33"/>
      <c r="AO152" s="33"/>
      <c r="AP152" s="33"/>
      <c r="AQ152" s="194"/>
      <c r="AR152" s="194"/>
      <c r="AS152" s="194"/>
      <c r="AT152" s="194"/>
      <c r="AU152" s="33"/>
      <c r="AV152" s="33"/>
      <c r="AW152" s="33"/>
      <c r="AX152" s="33"/>
      <c r="AY152" s="76"/>
    </row>
    <row r="153" spans="3:51">
      <c r="C153" s="166" t="s">
        <v>28</v>
      </c>
      <c r="D153" s="4">
        <v>0.37</v>
      </c>
      <c r="E153" s="188" t="s">
        <v>228</v>
      </c>
      <c r="F153" s="343">
        <f>IF(OR(Tableau145[[#This Row],[Type]]="Feuillus",Tableau145[[#This Row],[Type]]="Peupliers"),1.56,1.3)</f>
        <v>1.3</v>
      </c>
      <c r="I153" s="55">
        <v>148</v>
      </c>
      <c r="J153" s="33">
        <f t="shared" si="79"/>
        <v>0</v>
      </c>
      <c r="K153" s="33">
        <f t="shared" si="80"/>
        <v>0</v>
      </c>
      <c r="L153" s="33">
        <f t="shared" si="81"/>
        <v>0</v>
      </c>
      <c r="M153" s="33">
        <f t="shared" si="82"/>
        <v>0</v>
      </c>
      <c r="N153" s="33">
        <f t="shared" si="68"/>
        <v>0</v>
      </c>
      <c r="O153" s="34">
        <f t="shared" si="69"/>
        <v>0</v>
      </c>
      <c r="P153" s="55">
        <v>148</v>
      </c>
      <c r="Q153" s="33">
        <f t="shared" si="77"/>
        <v>0</v>
      </c>
      <c r="R153" s="33">
        <f t="shared" si="83"/>
        <v>0</v>
      </c>
      <c r="S153" s="33">
        <f t="shared" si="84"/>
        <v>0</v>
      </c>
      <c r="T153" s="33">
        <f t="shared" si="70"/>
        <v>0</v>
      </c>
      <c r="U153" s="33">
        <f t="shared" si="78"/>
        <v>0</v>
      </c>
      <c r="V153" s="33">
        <f t="shared" si="71"/>
        <v>0</v>
      </c>
      <c r="W153" s="33">
        <v>0</v>
      </c>
      <c r="X153" s="33">
        <f t="shared" si="72"/>
        <v>0</v>
      </c>
      <c r="Y153" s="38">
        <f t="shared" si="73"/>
        <v>0</v>
      </c>
      <c r="AA153" s="71">
        <v>148</v>
      </c>
      <c r="AB153" s="33">
        <f t="shared" si="74"/>
        <v>0</v>
      </c>
      <c r="AC153" s="305">
        <f t="shared" si="67"/>
        <v>0</v>
      </c>
      <c r="AD153" s="100">
        <f t="shared" si="75"/>
        <v>0</v>
      </c>
      <c r="AE153" s="100">
        <f t="shared" si="76"/>
        <v>0</v>
      </c>
      <c r="AF153" s="194">
        <f t="shared" si="63"/>
        <v>0</v>
      </c>
      <c r="AG153" s="194">
        <f t="shared" si="64"/>
        <v>0</v>
      </c>
      <c r="AH153" s="194">
        <f t="shared" si="65"/>
        <v>0</v>
      </c>
      <c r="AI153" s="199">
        <f t="shared" si="66"/>
        <v>0</v>
      </c>
      <c r="AK153" s="71">
        <v>148</v>
      </c>
      <c r="AL153" s="33"/>
      <c r="AM153" s="33"/>
      <c r="AN153" s="33"/>
      <c r="AO153" s="33"/>
      <c r="AP153" s="33"/>
      <c r="AQ153" s="194"/>
      <c r="AR153" s="194"/>
      <c r="AS153" s="194"/>
      <c r="AT153" s="194"/>
      <c r="AU153" s="33"/>
      <c r="AV153" s="33"/>
      <c r="AW153" s="33"/>
      <c r="AX153" s="33"/>
      <c r="AY153" s="76"/>
    </row>
    <row r="154" spans="3:51">
      <c r="C154" s="166" t="s">
        <v>29</v>
      </c>
      <c r="D154" s="4">
        <v>0.36</v>
      </c>
      <c r="E154" s="188" t="s">
        <v>228</v>
      </c>
      <c r="F154" s="343">
        <f>IF(OR(Tableau145[[#This Row],[Type]]="Feuillus",Tableau145[[#This Row],[Type]]="Peupliers"),1.56,1.3)</f>
        <v>1.3</v>
      </c>
      <c r="I154" s="55">
        <v>149</v>
      </c>
      <c r="J154" s="33">
        <f t="shared" si="79"/>
        <v>0</v>
      </c>
      <c r="K154" s="33">
        <f t="shared" si="80"/>
        <v>0</v>
      </c>
      <c r="L154" s="33">
        <f t="shared" si="81"/>
        <v>0</v>
      </c>
      <c r="M154" s="33">
        <f t="shared" si="82"/>
        <v>0</v>
      </c>
      <c r="N154" s="33">
        <f t="shared" si="68"/>
        <v>0</v>
      </c>
      <c r="O154" s="34">
        <f t="shared" si="69"/>
        <v>0</v>
      </c>
      <c r="P154" s="55">
        <v>149</v>
      </c>
      <c r="Q154" s="33">
        <f t="shared" si="77"/>
        <v>0</v>
      </c>
      <c r="R154" s="33">
        <f t="shared" si="83"/>
        <v>0</v>
      </c>
      <c r="S154" s="33">
        <f t="shared" si="84"/>
        <v>0</v>
      </c>
      <c r="T154" s="33">
        <f t="shared" si="70"/>
        <v>0</v>
      </c>
      <c r="U154" s="33">
        <f t="shared" si="78"/>
        <v>0</v>
      </c>
      <c r="V154" s="33">
        <f t="shared" si="71"/>
        <v>0</v>
      </c>
      <c r="W154" s="33">
        <v>0</v>
      </c>
      <c r="X154" s="33">
        <f t="shared" si="72"/>
        <v>0</v>
      </c>
      <c r="Y154" s="38">
        <f t="shared" si="73"/>
        <v>0</v>
      </c>
      <c r="AA154" s="71">
        <v>149</v>
      </c>
      <c r="AB154" s="33">
        <f t="shared" si="74"/>
        <v>0</v>
      </c>
      <c r="AC154" s="305">
        <f t="shared" si="67"/>
        <v>0</v>
      </c>
      <c r="AD154" s="100">
        <f t="shared" si="75"/>
        <v>0</v>
      </c>
      <c r="AE154" s="100">
        <f t="shared" si="76"/>
        <v>0</v>
      </c>
      <c r="AF154" s="194">
        <f t="shared" si="63"/>
        <v>0</v>
      </c>
      <c r="AG154" s="194">
        <f t="shared" si="64"/>
        <v>0</v>
      </c>
      <c r="AH154" s="194">
        <f t="shared" si="65"/>
        <v>0</v>
      </c>
      <c r="AI154" s="199">
        <f t="shared" si="66"/>
        <v>0</v>
      </c>
      <c r="AK154" s="71">
        <v>149</v>
      </c>
      <c r="AL154" s="33"/>
      <c r="AM154" s="33"/>
      <c r="AN154" s="33"/>
      <c r="AO154" s="33"/>
      <c r="AP154" s="33"/>
      <c r="AQ154" s="194"/>
      <c r="AR154" s="194"/>
      <c r="AS154" s="194"/>
      <c r="AT154" s="194"/>
      <c r="AU154" s="33"/>
      <c r="AV154" s="33"/>
      <c r="AW154" s="33"/>
      <c r="AX154" s="33"/>
      <c r="AY154" s="76"/>
    </row>
    <row r="155" spans="3:51">
      <c r="C155" s="166" t="s">
        <v>30</v>
      </c>
      <c r="D155" s="4">
        <v>0.51</v>
      </c>
      <c r="E155" s="188" t="s">
        <v>227</v>
      </c>
      <c r="F155" s="343">
        <f>IF(OR(Tableau145[[#This Row],[Type]]="Feuillus",Tableau145[[#This Row],[Type]]="Peupliers"),1.56,1.3)</f>
        <v>1.56</v>
      </c>
      <c r="I155" s="55">
        <v>150</v>
      </c>
      <c r="J155" s="33">
        <f t="shared" si="79"/>
        <v>0</v>
      </c>
      <c r="K155" s="33">
        <f t="shared" si="80"/>
        <v>0</v>
      </c>
      <c r="L155" s="33">
        <f t="shared" si="81"/>
        <v>0</v>
      </c>
      <c r="M155" s="33">
        <f t="shared" si="82"/>
        <v>0</v>
      </c>
      <c r="N155" s="33">
        <f t="shared" si="68"/>
        <v>0</v>
      </c>
      <c r="O155" s="34">
        <f t="shared" si="69"/>
        <v>0</v>
      </c>
      <c r="P155" s="55">
        <v>150</v>
      </c>
      <c r="Q155" s="33">
        <f t="shared" si="77"/>
        <v>0</v>
      </c>
      <c r="R155" s="33">
        <f t="shared" si="83"/>
        <v>0</v>
      </c>
      <c r="S155" s="33">
        <f t="shared" si="84"/>
        <v>0</v>
      </c>
      <c r="T155" s="33">
        <f t="shared" si="70"/>
        <v>0</v>
      </c>
      <c r="U155" s="33">
        <f t="shared" si="78"/>
        <v>0</v>
      </c>
      <c r="V155" s="33">
        <f t="shared" si="71"/>
        <v>0</v>
      </c>
      <c r="W155" s="33">
        <v>0</v>
      </c>
      <c r="X155" s="33">
        <f t="shared" si="72"/>
        <v>0</v>
      </c>
      <c r="Y155" s="38">
        <f t="shared" si="73"/>
        <v>0</v>
      </c>
      <c r="AA155" s="71">
        <v>150</v>
      </c>
      <c r="AB155" s="33">
        <f t="shared" si="74"/>
        <v>0</v>
      </c>
      <c r="AC155" s="305">
        <f t="shared" si="67"/>
        <v>0</v>
      </c>
      <c r="AD155" s="100">
        <f t="shared" si="75"/>
        <v>0</v>
      </c>
      <c r="AE155" s="100">
        <f t="shared" si="76"/>
        <v>0</v>
      </c>
      <c r="AF155" s="194">
        <f t="shared" ref="AF155:AF205" si="85">IF(OR(AA155&lt;=$F$18,AA155&lt;=30),EXP(-LN(2)/$D$104)*AF154+((1-EXP(-LN(2)/$D$104))/(LN(2)/$D$104))*$AB155*AC155*0.475*$F$19*44/12,)</f>
        <v>0</v>
      </c>
      <c r="AG155" s="194">
        <f t="shared" ref="AG155:AG205" si="86">IF(OR(AA155&lt;=$F$18,AA155&lt;=30),EXP(-LN(2)/$D$106)*AG154+((1-EXP(-LN(2)/$D$106))/(LN(2)/$D$106))*$AB155*AD155*0.475*$F$19*44/12,)</f>
        <v>0</v>
      </c>
      <c r="AH155" s="194">
        <f t="shared" ref="AH155:AH205" si="87">IF(OR(AA155&lt;=$F$18,AA155&lt;=30),EXP(-LN(2)/$D$105)*AH154+((1-EXP(-LN(2)/$D$105))/(LN(2)/$D$105))*$AB155*AE155*0.475*$F$19*44/12,)</f>
        <v>0</v>
      </c>
      <c r="AI155" s="199">
        <f t="shared" ref="AI155:AI205" si="88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4"/>
      <c r="AR155" s="194"/>
      <c r="AS155" s="194"/>
      <c r="AT155" s="194"/>
      <c r="AU155" s="33"/>
      <c r="AV155" s="33"/>
      <c r="AW155" s="33"/>
      <c r="AX155" s="33"/>
      <c r="AY155" s="76"/>
    </row>
    <row r="156" spans="3:51">
      <c r="C156" s="166" t="s">
        <v>31</v>
      </c>
      <c r="D156" s="4">
        <v>0.56000000000000005</v>
      </c>
      <c r="E156" s="188" t="s">
        <v>227</v>
      </c>
      <c r="F156" s="343">
        <f>IF(OR(Tableau145[[#This Row],[Type]]="Feuillus",Tableau145[[#This Row],[Type]]="Peupliers"),1.56,1.3)</f>
        <v>1.56</v>
      </c>
      <c r="I156" s="55">
        <v>151</v>
      </c>
      <c r="J156" s="33">
        <f t="shared" si="79"/>
        <v>0</v>
      </c>
      <c r="K156" s="33">
        <f t="shared" si="80"/>
        <v>0</v>
      </c>
      <c r="L156" s="33">
        <f t="shared" si="81"/>
        <v>0</v>
      </c>
      <c r="M156" s="33">
        <f t="shared" si="82"/>
        <v>0</v>
      </c>
      <c r="N156" s="33">
        <f t="shared" si="68"/>
        <v>0</v>
      </c>
      <c r="O156" s="34">
        <f t="shared" si="69"/>
        <v>0</v>
      </c>
      <c r="P156" s="55">
        <v>151</v>
      </c>
      <c r="Q156" s="33">
        <f t="shared" si="77"/>
        <v>0</v>
      </c>
      <c r="R156" s="33">
        <f t="shared" si="83"/>
        <v>0</v>
      </c>
      <c r="S156" s="33">
        <f t="shared" si="84"/>
        <v>0</v>
      </c>
      <c r="T156" s="33">
        <f t="shared" si="70"/>
        <v>0</v>
      </c>
      <c r="U156" s="33">
        <f t="shared" si="78"/>
        <v>0</v>
      </c>
      <c r="V156" s="33">
        <f t="shared" si="71"/>
        <v>0</v>
      </c>
      <c r="W156" s="33">
        <v>0</v>
      </c>
      <c r="X156" s="33">
        <f t="shared" si="72"/>
        <v>0</v>
      </c>
      <c r="Y156" s="38">
        <f t="shared" si="73"/>
        <v>0</v>
      </c>
      <c r="AA156" s="71">
        <v>151</v>
      </c>
      <c r="AB156" s="33">
        <f t="shared" si="74"/>
        <v>0</v>
      </c>
      <c r="AC156" s="305">
        <f t="shared" si="67"/>
        <v>0</v>
      </c>
      <c r="AD156" s="100">
        <f t="shared" si="75"/>
        <v>0</v>
      </c>
      <c r="AE156" s="100">
        <f t="shared" si="76"/>
        <v>0</v>
      </c>
      <c r="AF156" s="194">
        <f t="shared" si="85"/>
        <v>0</v>
      </c>
      <c r="AG156" s="194">
        <f t="shared" si="86"/>
        <v>0</v>
      </c>
      <c r="AH156" s="194">
        <f t="shared" si="87"/>
        <v>0</v>
      </c>
      <c r="AI156" s="199">
        <f t="shared" si="88"/>
        <v>0</v>
      </c>
      <c r="AK156" s="71">
        <v>151</v>
      </c>
      <c r="AL156" s="33"/>
      <c r="AM156" s="33"/>
      <c r="AN156" s="33"/>
      <c r="AO156" s="33"/>
      <c r="AP156" s="33"/>
      <c r="AQ156" s="194"/>
      <c r="AR156" s="194"/>
      <c r="AS156" s="194"/>
      <c r="AT156" s="194"/>
      <c r="AU156" s="33"/>
      <c r="AV156" s="33"/>
      <c r="AW156" s="33"/>
      <c r="AX156" s="33"/>
      <c r="AY156" s="76"/>
    </row>
    <row r="157" spans="3:51">
      <c r="C157" s="166" t="s">
        <v>32</v>
      </c>
      <c r="D157" s="4">
        <v>0.56000000000000005</v>
      </c>
      <c r="E157" s="188" t="s">
        <v>227</v>
      </c>
      <c r="F157" s="343">
        <f>IF(OR(Tableau145[[#This Row],[Type]]="Feuillus",Tableau145[[#This Row],[Type]]="Peupliers"),1.56,1.3)</f>
        <v>1.56</v>
      </c>
      <c r="I157" s="55">
        <v>152</v>
      </c>
      <c r="J157" s="33">
        <f t="shared" si="79"/>
        <v>0</v>
      </c>
      <c r="K157" s="33">
        <f t="shared" si="80"/>
        <v>0</v>
      </c>
      <c r="L157" s="33">
        <f t="shared" si="81"/>
        <v>0</v>
      </c>
      <c r="M157" s="33">
        <f t="shared" si="82"/>
        <v>0</v>
      </c>
      <c r="N157" s="33">
        <f t="shared" si="68"/>
        <v>0</v>
      </c>
      <c r="O157" s="34">
        <f t="shared" si="69"/>
        <v>0</v>
      </c>
      <c r="P157" s="55">
        <v>152</v>
      </c>
      <c r="Q157" s="33">
        <f t="shared" si="77"/>
        <v>0</v>
      </c>
      <c r="R157" s="33">
        <f t="shared" si="83"/>
        <v>0</v>
      </c>
      <c r="S157" s="33">
        <f t="shared" si="84"/>
        <v>0</v>
      </c>
      <c r="T157" s="33">
        <f t="shared" si="70"/>
        <v>0</v>
      </c>
      <c r="U157" s="33">
        <f t="shared" si="78"/>
        <v>0</v>
      </c>
      <c r="V157" s="33">
        <f t="shared" si="71"/>
        <v>0</v>
      </c>
      <c r="W157" s="33">
        <v>0</v>
      </c>
      <c r="X157" s="33">
        <f t="shared" si="72"/>
        <v>0</v>
      </c>
      <c r="Y157" s="38">
        <f t="shared" si="73"/>
        <v>0</v>
      </c>
      <c r="AA157" s="71">
        <v>152</v>
      </c>
      <c r="AB157" s="33">
        <f t="shared" si="74"/>
        <v>0</v>
      </c>
      <c r="AC157" s="305">
        <f t="shared" si="67"/>
        <v>0</v>
      </c>
      <c r="AD157" s="100">
        <f t="shared" si="75"/>
        <v>0</v>
      </c>
      <c r="AE157" s="100">
        <f t="shared" si="76"/>
        <v>0</v>
      </c>
      <c r="AF157" s="194">
        <f t="shared" si="85"/>
        <v>0</v>
      </c>
      <c r="AG157" s="194">
        <f t="shared" si="86"/>
        <v>0</v>
      </c>
      <c r="AH157" s="194">
        <f t="shared" si="87"/>
        <v>0</v>
      </c>
      <c r="AI157" s="199">
        <f t="shared" si="88"/>
        <v>0</v>
      </c>
      <c r="AK157" s="71">
        <v>152</v>
      </c>
      <c r="AL157" s="33"/>
      <c r="AM157" s="33"/>
      <c r="AN157" s="33"/>
      <c r="AO157" s="33"/>
      <c r="AP157" s="33"/>
      <c r="AQ157" s="194"/>
      <c r="AR157" s="194"/>
      <c r="AS157" s="194"/>
      <c r="AT157" s="194"/>
      <c r="AU157" s="33"/>
      <c r="AV157" s="33"/>
      <c r="AW157" s="33"/>
      <c r="AX157" s="33"/>
      <c r="AY157" s="76"/>
    </row>
    <row r="158" spans="3:51">
      <c r="C158" s="166" t="s">
        <v>33</v>
      </c>
      <c r="D158" s="4">
        <v>0.48</v>
      </c>
      <c r="E158" s="188" t="s">
        <v>227</v>
      </c>
      <c r="F158" s="343">
        <f>IF(OR(Tableau145[[#This Row],[Type]]="Feuillus",Tableau145[[#This Row],[Type]]="Peupliers"),1.56,1.3)</f>
        <v>1.56</v>
      </c>
      <c r="I158" s="55">
        <v>153</v>
      </c>
      <c r="J158" s="33">
        <f t="shared" si="79"/>
        <v>0</v>
      </c>
      <c r="K158" s="33">
        <f t="shared" si="80"/>
        <v>0</v>
      </c>
      <c r="L158" s="33">
        <f t="shared" si="81"/>
        <v>0</v>
      </c>
      <c r="M158" s="33">
        <f t="shared" si="82"/>
        <v>0</v>
      </c>
      <c r="N158" s="33">
        <f t="shared" si="68"/>
        <v>0</v>
      </c>
      <c r="O158" s="34">
        <f t="shared" si="69"/>
        <v>0</v>
      </c>
      <c r="P158" s="55">
        <v>153</v>
      </c>
      <c r="Q158" s="33">
        <f t="shared" si="77"/>
        <v>0</v>
      </c>
      <c r="R158" s="33">
        <f t="shared" si="83"/>
        <v>0</v>
      </c>
      <c r="S158" s="33">
        <f t="shared" si="84"/>
        <v>0</v>
      </c>
      <c r="T158" s="33">
        <f t="shared" si="70"/>
        <v>0</v>
      </c>
      <c r="U158" s="33">
        <f t="shared" si="78"/>
        <v>0</v>
      </c>
      <c r="V158" s="33">
        <f t="shared" si="71"/>
        <v>0</v>
      </c>
      <c r="W158" s="33">
        <v>0</v>
      </c>
      <c r="X158" s="33">
        <f t="shared" si="72"/>
        <v>0</v>
      </c>
      <c r="Y158" s="38">
        <f t="shared" si="73"/>
        <v>0</v>
      </c>
      <c r="AA158" s="71">
        <v>153</v>
      </c>
      <c r="AB158" s="33">
        <f t="shared" si="74"/>
        <v>0</v>
      </c>
      <c r="AC158" s="305">
        <f t="shared" si="67"/>
        <v>0</v>
      </c>
      <c r="AD158" s="100">
        <f t="shared" si="75"/>
        <v>0</v>
      </c>
      <c r="AE158" s="100">
        <f t="shared" si="76"/>
        <v>0</v>
      </c>
      <c r="AF158" s="194">
        <f t="shared" si="85"/>
        <v>0</v>
      </c>
      <c r="AG158" s="194">
        <f t="shared" si="86"/>
        <v>0</v>
      </c>
      <c r="AH158" s="194">
        <f t="shared" si="87"/>
        <v>0</v>
      </c>
      <c r="AI158" s="199">
        <f t="shared" si="88"/>
        <v>0</v>
      </c>
      <c r="AK158" s="71">
        <v>153</v>
      </c>
      <c r="AL158" s="33"/>
      <c r="AM158" s="33"/>
      <c r="AN158" s="33"/>
      <c r="AO158" s="33"/>
      <c r="AP158" s="33"/>
      <c r="AQ158" s="194"/>
      <c r="AR158" s="194"/>
      <c r="AS158" s="194"/>
      <c r="AT158" s="194"/>
      <c r="AU158" s="33"/>
      <c r="AV158" s="33"/>
      <c r="AW158" s="33"/>
      <c r="AX158" s="33"/>
      <c r="AY158" s="76"/>
    </row>
    <row r="159" spans="3:51">
      <c r="C159" s="166" t="s">
        <v>34</v>
      </c>
      <c r="D159" s="4">
        <v>0.55000000000000004</v>
      </c>
      <c r="E159" s="188" t="s">
        <v>227</v>
      </c>
      <c r="F159" s="343">
        <f>IF(OR(Tableau145[[#This Row],[Type]]="Feuillus",Tableau145[[#This Row],[Type]]="Peupliers"),1.56,1.3)</f>
        <v>1.56</v>
      </c>
      <c r="I159" s="55">
        <v>154</v>
      </c>
      <c r="J159" s="33">
        <f t="shared" si="79"/>
        <v>0</v>
      </c>
      <c r="K159" s="33">
        <f t="shared" si="80"/>
        <v>0</v>
      </c>
      <c r="L159" s="33">
        <f t="shared" si="81"/>
        <v>0</v>
      </c>
      <c r="M159" s="33">
        <f t="shared" si="82"/>
        <v>0</v>
      </c>
      <c r="N159" s="33">
        <f t="shared" si="68"/>
        <v>0</v>
      </c>
      <c r="O159" s="34">
        <f t="shared" si="69"/>
        <v>0</v>
      </c>
      <c r="P159" s="55">
        <v>154</v>
      </c>
      <c r="Q159" s="33">
        <f t="shared" si="77"/>
        <v>0</v>
      </c>
      <c r="R159" s="33">
        <f t="shared" si="83"/>
        <v>0</v>
      </c>
      <c r="S159" s="33">
        <f t="shared" si="84"/>
        <v>0</v>
      </c>
      <c r="T159" s="33">
        <f t="shared" si="70"/>
        <v>0</v>
      </c>
      <c r="U159" s="33">
        <f t="shared" si="78"/>
        <v>0</v>
      </c>
      <c r="V159" s="33">
        <f t="shared" si="71"/>
        <v>0</v>
      </c>
      <c r="W159" s="33">
        <v>0</v>
      </c>
      <c r="X159" s="33">
        <f t="shared" si="72"/>
        <v>0</v>
      </c>
      <c r="Y159" s="38">
        <f t="shared" si="73"/>
        <v>0</v>
      </c>
      <c r="AA159" s="71">
        <v>154</v>
      </c>
      <c r="AB159" s="33">
        <f t="shared" si="74"/>
        <v>0</v>
      </c>
      <c r="AC159" s="305">
        <f t="shared" ref="AC159:AC205" si="89">IF(AA159&lt;=$F$18,IFERROR(VLOOKUP($AA159,$B$82:$G$94,3,FALSE),0),)*50%</f>
        <v>0</v>
      </c>
      <c r="AD159" s="100">
        <f t="shared" si="75"/>
        <v>0</v>
      </c>
      <c r="AE159" s="100">
        <f t="shared" si="76"/>
        <v>0</v>
      </c>
      <c r="AF159" s="194">
        <f t="shared" si="85"/>
        <v>0</v>
      </c>
      <c r="AG159" s="194">
        <f t="shared" si="86"/>
        <v>0</v>
      </c>
      <c r="AH159" s="194">
        <f t="shared" si="87"/>
        <v>0</v>
      </c>
      <c r="AI159" s="199">
        <f t="shared" si="88"/>
        <v>0</v>
      </c>
      <c r="AK159" s="71">
        <v>154</v>
      </c>
      <c r="AL159" s="33"/>
      <c r="AM159" s="33"/>
      <c r="AN159" s="33"/>
      <c r="AO159" s="33"/>
      <c r="AP159" s="33"/>
      <c r="AQ159" s="194"/>
      <c r="AR159" s="194"/>
      <c r="AS159" s="194"/>
      <c r="AT159" s="194"/>
      <c r="AU159" s="33"/>
      <c r="AV159" s="33"/>
      <c r="AW159" s="33"/>
      <c r="AX159" s="33"/>
      <c r="AY159" s="76"/>
    </row>
    <row r="160" spans="3:51">
      <c r="C160" s="166" t="s">
        <v>35</v>
      </c>
      <c r="D160" s="4">
        <v>0.56000000000000005</v>
      </c>
      <c r="E160" s="188" t="s">
        <v>227</v>
      </c>
      <c r="F160" s="343">
        <f>IF(OR(Tableau145[[#This Row],[Type]]="Feuillus",Tableau145[[#This Row],[Type]]="Peupliers"),1.56,1.3)</f>
        <v>1.56</v>
      </c>
      <c r="I160" s="55">
        <v>155</v>
      </c>
      <c r="J160" s="33">
        <f t="shared" si="79"/>
        <v>0</v>
      </c>
      <c r="K160" s="33">
        <f t="shared" si="80"/>
        <v>0</v>
      </c>
      <c r="L160" s="33">
        <f t="shared" si="81"/>
        <v>0</v>
      </c>
      <c r="M160" s="33">
        <f t="shared" si="82"/>
        <v>0</v>
      </c>
      <c r="N160" s="33">
        <f t="shared" si="68"/>
        <v>0</v>
      </c>
      <c r="O160" s="34">
        <f t="shared" si="69"/>
        <v>0</v>
      </c>
      <c r="P160" s="55">
        <v>155</v>
      </c>
      <c r="Q160" s="33">
        <f t="shared" si="77"/>
        <v>0</v>
      </c>
      <c r="R160" s="33">
        <f t="shared" si="83"/>
        <v>0</v>
      </c>
      <c r="S160" s="33">
        <f t="shared" si="84"/>
        <v>0</v>
      </c>
      <c r="T160" s="33">
        <f t="shared" si="70"/>
        <v>0</v>
      </c>
      <c r="U160" s="33">
        <f t="shared" si="78"/>
        <v>0</v>
      </c>
      <c r="V160" s="33">
        <f t="shared" si="71"/>
        <v>0</v>
      </c>
      <c r="W160" s="33">
        <v>0</v>
      </c>
      <c r="X160" s="33">
        <f t="shared" si="72"/>
        <v>0</v>
      </c>
      <c r="Y160" s="38">
        <f t="shared" si="73"/>
        <v>0</v>
      </c>
      <c r="AA160" s="71">
        <v>155</v>
      </c>
      <c r="AB160" s="33">
        <f t="shared" si="74"/>
        <v>0</v>
      </c>
      <c r="AC160" s="305">
        <f t="shared" si="89"/>
        <v>0</v>
      </c>
      <c r="AD160" s="100">
        <f t="shared" si="75"/>
        <v>0</v>
      </c>
      <c r="AE160" s="100">
        <f t="shared" si="76"/>
        <v>0</v>
      </c>
      <c r="AF160" s="194">
        <f t="shared" si="85"/>
        <v>0</v>
      </c>
      <c r="AG160" s="194">
        <f t="shared" si="86"/>
        <v>0</v>
      </c>
      <c r="AH160" s="194">
        <f t="shared" si="87"/>
        <v>0</v>
      </c>
      <c r="AI160" s="199">
        <f t="shared" si="88"/>
        <v>0</v>
      </c>
      <c r="AK160" s="71">
        <v>155</v>
      </c>
      <c r="AL160" s="33"/>
      <c r="AM160" s="33"/>
      <c r="AN160" s="33"/>
      <c r="AO160" s="33"/>
      <c r="AP160" s="33"/>
      <c r="AQ160" s="194"/>
      <c r="AR160" s="194"/>
      <c r="AS160" s="194"/>
      <c r="AT160" s="194"/>
      <c r="AU160" s="33"/>
      <c r="AV160" s="33"/>
      <c r="AW160" s="33"/>
      <c r="AX160" s="33"/>
      <c r="AY160" s="76"/>
    </row>
    <row r="161" spans="3:51">
      <c r="C161" s="166" t="s">
        <v>36</v>
      </c>
      <c r="D161" s="4">
        <v>0.57999999999999996</v>
      </c>
      <c r="E161" s="188" t="s">
        <v>227</v>
      </c>
      <c r="F161" s="343">
        <f>IF(OR(Tableau145[[#This Row],[Type]]="Feuillus",Tableau145[[#This Row],[Type]]="Peupliers"),1.56,1.3)</f>
        <v>1.56</v>
      </c>
      <c r="I161" s="55">
        <v>156</v>
      </c>
      <c r="J161" s="33">
        <f t="shared" si="79"/>
        <v>0</v>
      </c>
      <c r="K161" s="33">
        <f t="shared" si="80"/>
        <v>0</v>
      </c>
      <c r="L161" s="33">
        <f t="shared" si="81"/>
        <v>0</v>
      </c>
      <c r="M161" s="33">
        <f t="shared" si="82"/>
        <v>0</v>
      </c>
      <c r="N161" s="33">
        <f t="shared" si="68"/>
        <v>0</v>
      </c>
      <c r="O161" s="34">
        <f t="shared" si="69"/>
        <v>0</v>
      </c>
      <c r="P161" s="55">
        <v>156</v>
      </c>
      <c r="Q161" s="33">
        <f t="shared" si="77"/>
        <v>0</v>
      </c>
      <c r="R161" s="33">
        <f t="shared" si="83"/>
        <v>0</v>
      </c>
      <c r="S161" s="33">
        <f t="shared" si="84"/>
        <v>0</v>
      </c>
      <c r="T161" s="33">
        <f t="shared" si="70"/>
        <v>0</v>
      </c>
      <c r="U161" s="33">
        <f t="shared" si="78"/>
        <v>0</v>
      </c>
      <c r="V161" s="33">
        <f t="shared" si="71"/>
        <v>0</v>
      </c>
      <c r="W161" s="33">
        <v>0</v>
      </c>
      <c r="X161" s="33">
        <f t="shared" si="72"/>
        <v>0</v>
      </c>
      <c r="Y161" s="38">
        <f t="shared" si="73"/>
        <v>0</v>
      </c>
      <c r="AA161" s="71">
        <v>156</v>
      </c>
      <c r="AB161" s="33">
        <f t="shared" si="74"/>
        <v>0</v>
      </c>
      <c r="AC161" s="305">
        <f t="shared" si="89"/>
        <v>0</v>
      </c>
      <c r="AD161" s="100">
        <f t="shared" si="75"/>
        <v>0</v>
      </c>
      <c r="AE161" s="100">
        <f t="shared" si="76"/>
        <v>0</v>
      </c>
      <c r="AF161" s="194">
        <f t="shared" si="85"/>
        <v>0</v>
      </c>
      <c r="AG161" s="194">
        <f t="shared" si="86"/>
        <v>0</v>
      </c>
      <c r="AH161" s="194">
        <f t="shared" si="87"/>
        <v>0</v>
      </c>
      <c r="AI161" s="199">
        <f t="shared" si="88"/>
        <v>0</v>
      </c>
      <c r="AK161" s="71">
        <v>156</v>
      </c>
      <c r="AL161" s="33"/>
      <c r="AM161" s="33"/>
      <c r="AN161" s="33"/>
      <c r="AO161" s="33"/>
      <c r="AP161" s="33"/>
      <c r="AQ161" s="194"/>
      <c r="AR161" s="194"/>
      <c r="AS161" s="194"/>
      <c r="AT161" s="194"/>
      <c r="AU161" s="33"/>
      <c r="AV161" s="33"/>
      <c r="AW161" s="33"/>
      <c r="AX161" s="33"/>
      <c r="AY161" s="76"/>
    </row>
    <row r="162" spans="3:51">
      <c r="C162" s="166" t="s">
        <v>37</v>
      </c>
      <c r="D162" s="4">
        <v>0.57999999999999996</v>
      </c>
      <c r="E162" s="188" t="s">
        <v>228</v>
      </c>
      <c r="F162" s="343">
        <f>IF(OR(Tableau145[[#This Row],[Type]]="Feuillus",Tableau145[[#This Row],[Type]]="Peupliers"),1.56,1.3)</f>
        <v>1.3</v>
      </c>
      <c r="I162" s="55">
        <v>157</v>
      </c>
      <c r="J162" s="33">
        <f t="shared" si="79"/>
        <v>0</v>
      </c>
      <c r="K162" s="33">
        <f t="shared" si="80"/>
        <v>0</v>
      </c>
      <c r="L162" s="33">
        <f t="shared" si="81"/>
        <v>0</v>
      </c>
      <c r="M162" s="33">
        <f t="shared" si="82"/>
        <v>0</v>
      </c>
      <c r="N162" s="33">
        <f t="shared" si="68"/>
        <v>0</v>
      </c>
      <c r="O162" s="34">
        <f t="shared" si="69"/>
        <v>0</v>
      </c>
      <c r="P162" s="55">
        <v>157</v>
      </c>
      <c r="Q162" s="33">
        <f t="shared" si="77"/>
        <v>0</v>
      </c>
      <c r="R162" s="33">
        <f t="shared" si="83"/>
        <v>0</v>
      </c>
      <c r="S162" s="33">
        <f t="shared" si="84"/>
        <v>0</v>
      </c>
      <c r="T162" s="33">
        <f t="shared" si="70"/>
        <v>0</v>
      </c>
      <c r="U162" s="33">
        <f t="shared" si="78"/>
        <v>0</v>
      </c>
      <c r="V162" s="33">
        <f t="shared" si="71"/>
        <v>0</v>
      </c>
      <c r="W162" s="33">
        <v>0</v>
      </c>
      <c r="X162" s="33">
        <f t="shared" si="72"/>
        <v>0</v>
      </c>
      <c r="Y162" s="38">
        <f t="shared" si="73"/>
        <v>0</v>
      </c>
      <c r="AA162" s="71">
        <v>157</v>
      </c>
      <c r="AB162" s="33">
        <f t="shared" si="74"/>
        <v>0</v>
      </c>
      <c r="AC162" s="305">
        <f t="shared" si="89"/>
        <v>0</v>
      </c>
      <c r="AD162" s="100">
        <f t="shared" si="75"/>
        <v>0</v>
      </c>
      <c r="AE162" s="100">
        <f t="shared" si="76"/>
        <v>0</v>
      </c>
      <c r="AF162" s="194">
        <f t="shared" si="85"/>
        <v>0</v>
      </c>
      <c r="AG162" s="194">
        <f t="shared" si="86"/>
        <v>0</v>
      </c>
      <c r="AH162" s="194">
        <f t="shared" si="87"/>
        <v>0</v>
      </c>
      <c r="AI162" s="199">
        <f t="shared" si="88"/>
        <v>0</v>
      </c>
      <c r="AK162" s="71">
        <v>157</v>
      </c>
      <c r="AL162" s="33"/>
      <c r="AM162" s="33"/>
      <c r="AN162" s="33"/>
      <c r="AO162" s="33"/>
      <c r="AP162" s="33"/>
      <c r="AQ162" s="194"/>
      <c r="AR162" s="194"/>
      <c r="AS162" s="194"/>
      <c r="AT162" s="194"/>
      <c r="AU162" s="33"/>
      <c r="AV162" s="33"/>
      <c r="AW162" s="33"/>
      <c r="AX162" s="33"/>
      <c r="AY162" s="76"/>
    </row>
    <row r="163" spans="3:51">
      <c r="C163" s="166" t="s">
        <v>38</v>
      </c>
      <c r="D163" s="4">
        <v>0.48</v>
      </c>
      <c r="E163" s="188" t="s">
        <v>228</v>
      </c>
      <c r="F163" s="343">
        <f>IF(OR(Tableau145[[#This Row],[Type]]="Feuillus",Tableau145[[#This Row],[Type]]="Peupliers"),1.56,1.3)</f>
        <v>1.3</v>
      </c>
      <c r="I163" s="55">
        <v>158</v>
      </c>
      <c r="J163" s="33">
        <f t="shared" si="79"/>
        <v>0</v>
      </c>
      <c r="K163" s="33">
        <f t="shared" si="80"/>
        <v>0</v>
      </c>
      <c r="L163" s="33">
        <f t="shared" si="81"/>
        <v>0</v>
      </c>
      <c r="M163" s="33">
        <f t="shared" si="82"/>
        <v>0</v>
      </c>
      <c r="N163" s="33">
        <f t="shared" si="68"/>
        <v>0</v>
      </c>
      <c r="O163" s="34">
        <f t="shared" si="69"/>
        <v>0</v>
      </c>
      <c r="P163" s="55">
        <v>158</v>
      </c>
      <c r="Q163" s="33">
        <f t="shared" si="77"/>
        <v>0</v>
      </c>
      <c r="R163" s="33">
        <f t="shared" si="83"/>
        <v>0</v>
      </c>
      <c r="S163" s="33">
        <f t="shared" si="84"/>
        <v>0</v>
      </c>
      <c r="T163" s="33">
        <f t="shared" si="70"/>
        <v>0</v>
      </c>
      <c r="U163" s="33">
        <f t="shared" si="78"/>
        <v>0</v>
      </c>
      <c r="V163" s="33">
        <f t="shared" si="71"/>
        <v>0</v>
      </c>
      <c r="W163" s="33">
        <v>0</v>
      </c>
      <c r="X163" s="33">
        <f t="shared" si="72"/>
        <v>0</v>
      </c>
      <c r="Y163" s="38">
        <f t="shared" si="73"/>
        <v>0</v>
      </c>
      <c r="AA163" s="71">
        <v>158</v>
      </c>
      <c r="AB163" s="33">
        <f t="shared" si="74"/>
        <v>0</v>
      </c>
      <c r="AC163" s="305">
        <f t="shared" si="89"/>
        <v>0</v>
      </c>
      <c r="AD163" s="100">
        <f t="shared" si="75"/>
        <v>0</v>
      </c>
      <c r="AE163" s="100">
        <f t="shared" si="76"/>
        <v>0</v>
      </c>
      <c r="AF163" s="194">
        <f t="shared" si="85"/>
        <v>0</v>
      </c>
      <c r="AG163" s="194">
        <f t="shared" si="86"/>
        <v>0</v>
      </c>
      <c r="AH163" s="194">
        <f t="shared" si="87"/>
        <v>0</v>
      </c>
      <c r="AI163" s="199">
        <f t="shared" si="88"/>
        <v>0</v>
      </c>
      <c r="AK163" s="71">
        <v>158</v>
      </c>
      <c r="AL163" s="33"/>
      <c r="AM163" s="33"/>
      <c r="AN163" s="33"/>
      <c r="AO163" s="33"/>
      <c r="AP163" s="33"/>
      <c r="AQ163" s="194"/>
      <c r="AR163" s="194"/>
      <c r="AS163" s="194"/>
      <c r="AT163" s="194"/>
      <c r="AU163" s="33"/>
      <c r="AV163" s="33"/>
      <c r="AW163" s="33"/>
      <c r="AX163" s="33"/>
      <c r="AY163" s="76"/>
    </row>
    <row r="164" spans="3:51">
      <c r="C164" s="166" t="s">
        <v>39</v>
      </c>
      <c r="D164" s="4">
        <v>0.42</v>
      </c>
      <c r="E164" s="188" t="s">
        <v>228</v>
      </c>
      <c r="F164" s="343">
        <f>IF(OR(Tableau145[[#This Row],[Type]]="Feuillus",Tableau145[[#This Row],[Type]]="Peupliers"),1.56,1.3)</f>
        <v>1.3</v>
      </c>
      <c r="I164" s="55">
        <v>159</v>
      </c>
      <c r="J164" s="33">
        <f t="shared" si="79"/>
        <v>0</v>
      </c>
      <c r="K164" s="33">
        <f t="shared" si="80"/>
        <v>0</v>
      </c>
      <c r="L164" s="33">
        <f t="shared" si="81"/>
        <v>0</v>
      </c>
      <c r="M164" s="33">
        <f t="shared" si="82"/>
        <v>0</v>
      </c>
      <c r="N164" s="33">
        <f t="shared" si="68"/>
        <v>0</v>
      </c>
      <c r="O164" s="34">
        <f t="shared" si="69"/>
        <v>0</v>
      </c>
      <c r="P164" s="55">
        <v>159</v>
      </c>
      <c r="Q164" s="33">
        <f t="shared" si="77"/>
        <v>0</v>
      </c>
      <c r="R164" s="33">
        <f t="shared" si="83"/>
        <v>0</v>
      </c>
      <c r="S164" s="33">
        <f t="shared" si="84"/>
        <v>0</v>
      </c>
      <c r="T164" s="33">
        <f t="shared" si="70"/>
        <v>0</v>
      </c>
      <c r="U164" s="33">
        <f t="shared" si="78"/>
        <v>0</v>
      </c>
      <c r="V164" s="33">
        <f t="shared" si="71"/>
        <v>0</v>
      </c>
      <c r="W164" s="33">
        <v>0</v>
      </c>
      <c r="X164" s="33">
        <f t="shared" si="72"/>
        <v>0</v>
      </c>
      <c r="Y164" s="38">
        <f t="shared" si="73"/>
        <v>0</v>
      </c>
      <c r="AA164" s="71">
        <v>159</v>
      </c>
      <c r="AB164" s="33">
        <f t="shared" si="74"/>
        <v>0</v>
      </c>
      <c r="AC164" s="305">
        <f t="shared" si="89"/>
        <v>0</v>
      </c>
      <c r="AD164" s="100">
        <f t="shared" si="75"/>
        <v>0</v>
      </c>
      <c r="AE164" s="100">
        <f t="shared" si="76"/>
        <v>0</v>
      </c>
      <c r="AF164" s="194">
        <f t="shared" si="85"/>
        <v>0</v>
      </c>
      <c r="AG164" s="194">
        <f t="shared" si="86"/>
        <v>0</v>
      </c>
      <c r="AH164" s="194">
        <f t="shared" si="87"/>
        <v>0</v>
      </c>
      <c r="AI164" s="199">
        <f t="shared" si="88"/>
        <v>0</v>
      </c>
      <c r="AK164" s="71">
        <v>159</v>
      </c>
      <c r="AL164" s="33"/>
      <c r="AM164" s="33"/>
      <c r="AN164" s="33"/>
      <c r="AO164" s="33"/>
      <c r="AP164" s="33"/>
      <c r="AQ164" s="194"/>
      <c r="AR164" s="194"/>
      <c r="AS164" s="194"/>
      <c r="AT164" s="194"/>
      <c r="AU164" s="33"/>
      <c r="AV164" s="33"/>
      <c r="AW164" s="33"/>
      <c r="AX164" s="33"/>
      <c r="AY164" s="76"/>
    </row>
    <row r="165" spans="3:51">
      <c r="C165" s="166" t="s">
        <v>40</v>
      </c>
      <c r="D165" s="4">
        <v>0.5</v>
      </c>
      <c r="E165" s="188" t="s">
        <v>227</v>
      </c>
      <c r="F165" s="343">
        <f>IF(OR(Tableau145[[#This Row],[Type]]="Feuillus",Tableau145[[#This Row],[Type]]="Peupliers"),1.56,1.3)</f>
        <v>1.56</v>
      </c>
      <c r="I165" s="55">
        <v>160</v>
      </c>
      <c r="J165" s="33">
        <f t="shared" si="79"/>
        <v>0</v>
      </c>
      <c r="K165" s="33">
        <f t="shared" si="80"/>
        <v>0</v>
      </c>
      <c r="L165" s="33">
        <f t="shared" si="81"/>
        <v>0</v>
      </c>
      <c r="M165" s="33">
        <f t="shared" si="82"/>
        <v>0</v>
      </c>
      <c r="N165" s="33">
        <f t="shared" si="68"/>
        <v>0</v>
      </c>
      <c r="O165" s="34">
        <f t="shared" si="69"/>
        <v>0</v>
      </c>
      <c r="P165" s="55">
        <v>160</v>
      </c>
      <c r="Q165" s="33">
        <f t="shared" si="77"/>
        <v>0</v>
      </c>
      <c r="R165" s="33">
        <f t="shared" si="83"/>
        <v>0</v>
      </c>
      <c r="S165" s="33">
        <f t="shared" si="84"/>
        <v>0</v>
      </c>
      <c r="T165" s="33">
        <f t="shared" si="70"/>
        <v>0</v>
      </c>
      <c r="U165" s="33">
        <f t="shared" si="78"/>
        <v>0</v>
      </c>
      <c r="V165" s="33">
        <f t="shared" si="71"/>
        <v>0</v>
      </c>
      <c r="W165" s="33">
        <v>0</v>
      </c>
      <c r="X165" s="33">
        <f t="shared" si="72"/>
        <v>0</v>
      </c>
      <c r="Y165" s="38">
        <f t="shared" si="73"/>
        <v>0</v>
      </c>
      <c r="AA165" s="71">
        <v>160</v>
      </c>
      <c r="AB165" s="33">
        <f t="shared" si="74"/>
        <v>0</v>
      </c>
      <c r="AC165" s="305">
        <f t="shared" si="89"/>
        <v>0</v>
      </c>
      <c r="AD165" s="100">
        <f t="shared" si="75"/>
        <v>0</v>
      </c>
      <c r="AE165" s="100">
        <f t="shared" si="76"/>
        <v>0</v>
      </c>
      <c r="AF165" s="194">
        <f t="shared" si="85"/>
        <v>0</v>
      </c>
      <c r="AG165" s="194">
        <f t="shared" si="86"/>
        <v>0</v>
      </c>
      <c r="AH165" s="194">
        <f t="shared" si="87"/>
        <v>0</v>
      </c>
      <c r="AI165" s="199">
        <f t="shared" si="88"/>
        <v>0</v>
      </c>
      <c r="AK165" s="71">
        <v>160</v>
      </c>
      <c r="AL165" s="33"/>
      <c r="AM165" s="33"/>
      <c r="AN165" s="33"/>
      <c r="AO165" s="33"/>
      <c r="AP165" s="33"/>
      <c r="AQ165" s="194"/>
      <c r="AR165" s="194"/>
      <c r="AS165" s="194"/>
      <c r="AT165" s="194"/>
      <c r="AU165" s="33"/>
      <c r="AV165" s="33"/>
      <c r="AW165" s="33"/>
      <c r="AX165" s="33"/>
      <c r="AY165" s="76"/>
    </row>
    <row r="166" spans="3:51">
      <c r="C166" s="166" t="s">
        <v>41</v>
      </c>
      <c r="D166" s="4">
        <v>0.55000000000000004</v>
      </c>
      <c r="E166" s="188" t="s">
        <v>227</v>
      </c>
      <c r="F166" s="343">
        <f>IF(OR(Tableau145[[#This Row],[Type]]="Feuillus",Tableau145[[#This Row],[Type]]="Peupliers"),1.56,1.3)</f>
        <v>1.56</v>
      </c>
      <c r="I166" s="55">
        <v>161</v>
      </c>
      <c r="J166" s="33">
        <f t="shared" si="79"/>
        <v>0</v>
      </c>
      <c r="K166" s="33">
        <f t="shared" si="80"/>
        <v>0</v>
      </c>
      <c r="L166" s="33">
        <f t="shared" si="81"/>
        <v>0</v>
      </c>
      <c r="M166" s="33">
        <f t="shared" si="82"/>
        <v>0</v>
      </c>
      <c r="N166" s="33">
        <f t="shared" si="68"/>
        <v>0</v>
      </c>
      <c r="O166" s="34">
        <f t="shared" si="69"/>
        <v>0</v>
      </c>
      <c r="P166" s="55">
        <v>161</v>
      </c>
      <c r="Q166" s="33">
        <f t="shared" si="77"/>
        <v>0</v>
      </c>
      <c r="R166" s="33">
        <f t="shared" si="83"/>
        <v>0</v>
      </c>
      <c r="S166" s="33">
        <f t="shared" si="84"/>
        <v>0</v>
      </c>
      <c r="T166" s="33">
        <f t="shared" si="70"/>
        <v>0</v>
      </c>
      <c r="U166" s="33">
        <f t="shared" si="78"/>
        <v>0</v>
      </c>
      <c r="V166" s="33">
        <f t="shared" si="71"/>
        <v>0</v>
      </c>
      <c r="W166" s="33">
        <v>0</v>
      </c>
      <c r="X166" s="33">
        <f t="shared" si="72"/>
        <v>0</v>
      </c>
      <c r="Y166" s="38">
        <f t="shared" si="73"/>
        <v>0</v>
      </c>
      <c r="AA166" s="71">
        <v>161</v>
      </c>
      <c r="AB166" s="33">
        <f t="shared" si="74"/>
        <v>0</v>
      </c>
      <c r="AC166" s="305">
        <f t="shared" si="89"/>
        <v>0</v>
      </c>
      <c r="AD166" s="100">
        <f t="shared" si="75"/>
        <v>0</v>
      </c>
      <c r="AE166" s="100">
        <f t="shared" si="76"/>
        <v>0</v>
      </c>
      <c r="AF166" s="194">
        <f t="shared" si="85"/>
        <v>0</v>
      </c>
      <c r="AG166" s="194">
        <f t="shared" si="86"/>
        <v>0</v>
      </c>
      <c r="AH166" s="194">
        <f t="shared" si="87"/>
        <v>0</v>
      </c>
      <c r="AI166" s="199">
        <f t="shared" si="88"/>
        <v>0</v>
      </c>
      <c r="AK166" s="71">
        <v>161</v>
      </c>
      <c r="AL166" s="33"/>
      <c r="AM166" s="33"/>
      <c r="AN166" s="33"/>
      <c r="AO166" s="33"/>
      <c r="AP166" s="33"/>
      <c r="AQ166" s="194"/>
      <c r="AR166" s="194"/>
      <c r="AS166" s="194"/>
      <c r="AT166" s="194"/>
      <c r="AU166" s="33"/>
      <c r="AV166" s="33"/>
      <c r="AW166" s="33"/>
      <c r="AX166" s="33"/>
      <c r="AY166" s="76"/>
    </row>
    <row r="167" spans="3:51">
      <c r="C167" s="166" t="s">
        <v>42</v>
      </c>
      <c r="D167" s="4">
        <v>0.53</v>
      </c>
      <c r="E167" s="188" t="s">
        <v>227</v>
      </c>
      <c r="F167" s="343">
        <f>IF(OR(Tableau145[[#This Row],[Type]]="Feuillus",Tableau145[[#This Row],[Type]]="Peupliers"),1.56,1.3)</f>
        <v>1.56</v>
      </c>
      <c r="I167" s="55">
        <v>162</v>
      </c>
      <c r="J167" s="33">
        <f t="shared" si="79"/>
        <v>0</v>
      </c>
      <c r="K167" s="33">
        <f t="shared" si="80"/>
        <v>0</v>
      </c>
      <c r="L167" s="33">
        <f t="shared" si="81"/>
        <v>0</v>
      </c>
      <c r="M167" s="33">
        <f t="shared" si="82"/>
        <v>0</v>
      </c>
      <c r="N167" s="33">
        <f t="shared" si="68"/>
        <v>0</v>
      </c>
      <c r="O167" s="34">
        <f t="shared" si="69"/>
        <v>0</v>
      </c>
      <c r="P167" s="55">
        <v>162</v>
      </c>
      <c r="Q167" s="33">
        <f t="shared" si="77"/>
        <v>0</v>
      </c>
      <c r="R167" s="33">
        <f t="shared" si="83"/>
        <v>0</v>
      </c>
      <c r="S167" s="33">
        <f t="shared" si="84"/>
        <v>0</v>
      </c>
      <c r="T167" s="33">
        <f t="shared" si="70"/>
        <v>0</v>
      </c>
      <c r="U167" s="33">
        <f t="shared" si="78"/>
        <v>0</v>
      </c>
      <c r="V167" s="33">
        <f t="shared" si="71"/>
        <v>0</v>
      </c>
      <c r="W167" s="33">
        <v>0</v>
      </c>
      <c r="X167" s="33">
        <f t="shared" si="72"/>
        <v>0</v>
      </c>
      <c r="Y167" s="38">
        <f t="shared" si="73"/>
        <v>0</v>
      </c>
      <c r="AA167" s="71">
        <v>162</v>
      </c>
      <c r="AB167" s="33">
        <f t="shared" si="74"/>
        <v>0</v>
      </c>
      <c r="AC167" s="305">
        <f t="shared" si="89"/>
        <v>0</v>
      </c>
      <c r="AD167" s="100">
        <f t="shared" si="75"/>
        <v>0</v>
      </c>
      <c r="AE167" s="100">
        <f t="shared" si="76"/>
        <v>0</v>
      </c>
      <c r="AF167" s="194">
        <f t="shared" si="85"/>
        <v>0</v>
      </c>
      <c r="AG167" s="194">
        <f t="shared" si="86"/>
        <v>0</v>
      </c>
      <c r="AH167" s="194">
        <f t="shared" si="87"/>
        <v>0</v>
      </c>
      <c r="AI167" s="199">
        <f t="shared" si="88"/>
        <v>0</v>
      </c>
      <c r="AK167" s="71">
        <v>162</v>
      </c>
      <c r="AL167" s="33"/>
      <c r="AM167" s="33"/>
      <c r="AN167" s="33"/>
      <c r="AO167" s="33"/>
      <c r="AP167" s="33"/>
      <c r="AQ167" s="194"/>
      <c r="AR167" s="194"/>
      <c r="AS167" s="194"/>
      <c r="AT167" s="194"/>
      <c r="AU167" s="33"/>
      <c r="AV167" s="33"/>
      <c r="AW167" s="33"/>
      <c r="AX167" s="33"/>
      <c r="AY167" s="76"/>
    </row>
    <row r="168" spans="3:51">
      <c r="C168" s="166" t="s">
        <v>43</v>
      </c>
      <c r="D168" s="4">
        <v>0.52</v>
      </c>
      <c r="E168" s="188" t="s">
        <v>227</v>
      </c>
      <c r="F168" s="343">
        <f>IF(OR(Tableau145[[#This Row],[Type]]="Feuillus",Tableau145[[#This Row],[Type]]="Peupliers"),1.56,1.3)</f>
        <v>1.56</v>
      </c>
      <c r="I168" s="55">
        <v>163</v>
      </c>
      <c r="J168" s="33">
        <f t="shared" si="79"/>
        <v>0</v>
      </c>
      <c r="K168" s="33">
        <f t="shared" si="80"/>
        <v>0</v>
      </c>
      <c r="L168" s="33">
        <f t="shared" si="81"/>
        <v>0</v>
      </c>
      <c r="M168" s="33">
        <f t="shared" si="82"/>
        <v>0</v>
      </c>
      <c r="N168" s="33">
        <f t="shared" si="68"/>
        <v>0</v>
      </c>
      <c r="O168" s="34">
        <f t="shared" si="69"/>
        <v>0</v>
      </c>
      <c r="P168" s="55">
        <v>163</v>
      </c>
      <c r="Q168" s="33">
        <f t="shared" si="77"/>
        <v>0</v>
      </c>
      <c r="R168" s="33">
        <f t="shared" si="83"/>
        <v>0</v>
      </c>
      <c r="S168" s="33">
        <f t="shared" si="84"/>
        <v>0</v>
      </c>
      <c r="T168" s="33">
        <f t="shared" si="70"/>
        <v>0</v>
      </c>
      <c r="U168" s="33">
        <f t="shared" si="78"/>
        <v>0</v>
      </c>
      <c r="V168" s="33">
        <f t="shared" si="71"/>
        <v>0</v>
      </c>
      <c r="W168" s="33">
        <v>0</v>
      </c>
      <c r="X168" s="33">
        <f t="shared" si="72"/>
        <v>0</v>
      </c>
      <c r="Y168" s="38">
        <f t="shared" si="73"/>
        <v>0</v>
      </c>
      <c r="AA168" s="71">
        <v>163</v>
      </c>
      <c r="AB168" s="33">
        <f t="shared" si="74"/>
        <v>0</v>
      </c>
      <c r="AC168" s="305">
        <f t="shared" si="89"/>
        <v>0</v>
      </c>
      <c r="AD168" s="100">
        <f t="shared" si="75"/>
        <v>0</v>
      </c>
      <c r="AE168" s="100">
        <f t="shared" si="76"/>
        <v>0</v>
      </c>
      <c r="AF168" s="194">
        <f t="shared" si="85"/>
        <v>0</v>
      </c>
      <c r="AG168" s="194">
        <f t="shared" si="86"/>
        <v>0</v>
      </c>
      <c r="AH168" s="194">
        <f t="shared" si="87"/>
        <v>0</v>
      </c>
      <c r="AI168" s="199">
        <f t="shared" si="88"/>
        <v>0</v>
      </c>
      <c r="AK168" s="71">
        <v>163</v>
      </c>
      <c r="AL168" s="33"/>
      <c r="AM168" s="33"/>
      <c r="AN168" s="33"/>
      <c r="AO168" s="33"/>
      <c r="AP168" s="33"/>
      <c r="AQ168" s="194"/>
      <c r="AR168" s="194"/>
      <c r="AS168" s="194"/>
      <c r="AT168" s="194"/>
      <c r="AU168" s="33"/>
      <c r="AV168" s="33"/>
      <c r="AW168" s="33"/>
      <c r="AX168" s="33"/>
      <c r="AY168" s="76"/>
    </row>
    <row r="169" spans="3:51">
      <c r="C169" s="166" t="s">
        <v>44</v>
      </c>
      <c r="D169" s="4">
        <v>0.52</v>
      </c>
      <c r="E169" s="188" t="s">
        <v>227</v>
      </c>
      <c r="F169" s="343">
        <f>IF(OR(Tableau145[[#This Row],[Type]]="Feuillus",Tableau145[[#This Row],[Type]]="Peupliers"),1.56,1.3)</f>
        <v>1.56</v>
      </c>
      <c r="I169" s="55">
        <v>164</v>
      </c>
      <c r="J169" s="33">
        <f t="shared" si="79"/>
        <v>0</v>
      </c>
      <c r="K169" s="33">
        <f t="shared" si="80"/>
        <v>0</v>
      </c>
      <c r="L169" s="33">
        <f t="shared" si="81"/>
        <v>0</v>
      </c>
      <c r="M169" s="33">
        <f t="shared" si="82"/>
        <v>0</v>
      </c>
      <c r="N169" s="33">
        <f t="shared" si="68"/>
        <v>0</v>
      </c>
      <c r="O169" s="34">
        <f t="shared" si="69"/>
        <v>0</v>
      </c>
      <c r="P169" s="55">
        <v>164</v>
      </c>
      <c r="Q169" s="33">
        <f t="shared" si="77"/>
        <v>0</v>
      </c>
      <c r="R169" s="33">
        <f t="shared" si="83"/>
        <v>0</v>
      </c>
      <c r="S169" s="33">
        <f t="shared" si="84"/>
        <v>0</v>
      </c>
      <c r="T169" s="33">
        <f t="shared" si="70"/>
        <v>0</v>
      </c>
      <c r="U169" s="33">
        <f t="shared" si="78"/>
        <v>0</v>
      </c>
      <c r="V169" s="33">
        <f t="shared" si="71"/>
        <v>0</v>
      </c>
      <c r="W169" s="33">
        <v>0</v>
      </c>
      <c r="X169" s="33">
        <f t="shared" si="72"/>
        <v>0</v>
      </c>
      <c r="Y169" s="38">
        <f t="shared" si="73"/>
        <v>0</v>
      </c>
      <c r="AA169" s="71">
        <v>164</v>
      </c>
      <c r="AB169" s="33">
        <f t="shared" si="74"/>
        <v>0</v>
      </c>
      <c r="AC169" s="305">
        <f t="shared" si="89"/>
        <v>0</v>
      </c>
      <c r="AD169" s="100">
        <f t="shared" si="75"/>
        <v>0</v>
      </c>
      <c r="AE169" s="100">
        <f t="shared" si="76"/>
        <v>0</v>
      </c>
      <c r="AF169" s="194">
        <f t="shared" si="85"/>
        <v>0</v>
      </c>
      <c r="AG169" s="194">
        <f t="shared" si="86"/>
        <v>0</v>
      </c>
      <c r="AH169" s="194">
        <f t="shared" si="87"/>
        <v>0</v>
      </c>
      <c r="AI169" s="199">
        <f t="shared" si="88"/>
        <v>0</v>
      </c>
      <c r="AK169" s="71">
        <v>164</v>
      </c>
      <c r="AL169" s="33"/>
      <c r="AM169" s="33"/>
      <c r="AN169" s="33"/>
      <c r="AO169" s="33"/>
      <c r="AP169" s="33"/>
      <c r="AQ169" s="194"/>
      <c r="AR169" s="194"/>
      <c r="AS169" s="194"/>
      <c r="AT169" s="194"/>
      <c r="AU169" s="33"/>
      <c r="AV169" s="33"/>
      <c r="AW169" s="33"/>
      <c r="AX169" s="33"/>
      <c r="AY169" s="76"/>
    </row>
    <row r="170" spans="3:51">
      <c r="C170" s="166" t="s">
        <v>45</v>
      </c>
      <c r="D170" s="4">
        <v>0.75</v>
      </c>
      <c r="E170" s="188" t="s">
        <v>227</v>
      </c>
      <c r="F170" s="343">
        <f>IF(OR(Tableau145[[#This Row],[Type]]="Feuillus",Tableau145[[#This Row],[Type]]="Peupliers"),1.56,1.3)</f>
        <v>1.56</v>
      </c>
      <c r="I170" s="55">
        <v>165</v>
      </c>
      <c r="J170" s="33">
        <f t="shared" si="79"/>
        <v>0</v>
      </c>
      <c r="K170" s="33">
        <f t="shared" si="80"/>
        <v>0</v>
      </c>
      <c r="L170" s="33">
        <f t="shared" si="81"/>
        <v>0</v>
      </c>
      <c r="M170" s="33">
        <f t="shared" si="82"/>
        <v>0</v>
      </c>
      <c r="N170" s="33">
        <f t="shared" si="68"/>
        <v>0</v>
      </c>
      <c r="O170" s="34">
        <f t="shared" si="69"/>
        <v>0</v>
      </c>
      <c r="P170" s="55">
        <v>165</v>
      </c>
      <c r="Q170" s="33">
        <f t="shared" si="77"/>
        <v>0</v>
      </c>
      <c r="R170" s="33">
        <f t="shared" si="83"/>
        <v>0</v>
      </c>
      <c r="S170" s="33">
        <f t="shared" si="84"/>
        <v>0</v>
      </c>
      <c r="T170" s="33">
        <f t="shared" si="70"/>
        <v>0</v>
      </c>
      <c r="U170" s="33">
        <f t="shared" si="78"/>
        <v>0</v>
      </c>
      <c r="V170" s="33">
        <f t="shared" si="71"/>
        <v>0</v>
      </c>
      <c r="W170" s="33">
        <v>0</v>
      </c>
      <c r="X170" s="33">
        <f t="shared" si="72"/>
        <v>0</v>
      </c>
      <c r="Y170" s="38">
        <f t="shared" si="73"/>
        <v>0</v>
      </c>
      <c r="AA170" s="71">
        <v>165</v>
      </c>
      <c r="AB170" s="33">
        <f t="shared" si="74"/>
        <v>0</v>
      </c>
      <c r="AC170" s="305">
        <f t="shared" si="89"/>
        <v>0</v>
      </c>
      <c r="AD170" s="100">
        <f t="shared" si="75"/>
        <v>0</v>
      </c>
      <c r="AE170" s="100">
        <f t="shared" si="76"/>
        <v>0</v>
      </c>
      <c r="AF170" s="194">
        <f t="shared" si="85"/>
        <v>0</v>
      </c>
      <c r="AG170" s="194">
        <f t="shared" si="86"/>
        <v>0</v>
      </c>
      <c r="AH170" s="194">
        <f t="shared" si="87"/>
        <v>0</v>
      </c>
      <c r="AI170" s="199">
        <f t="shared" si="88"/>
        <v>0</v>
      </c>
      <c r="AK170" s="71">
        <v>165</v>
      </c>
      <c r="AL170" s="33"/>
      <c r="AM170" s="33"/>
      <c r="AN170" s="33"/>
      <c r="AO170" s="33"/>
      <c r="AP170" s="33"/>
      <c r="AQ170" s="194"/>
      <c r="AR170" s="194"/>
      <c r="AS170" s="194"/>
      <c r="AT170" s="194"/>
      <c r="AU170" s="33"/>
      <c r="AV170" s="33"/>
      <c r="AW170" s="33"/>
      <c r="AX170" s="33"/>
      <c r="AY170" s="76"/>
    </row>
    <row r="171" spans="3:51">
      <c r="C171" s="166" t="s">
        <v>46</v>
      </c>
      <c r="D171" s="4">
        <v>0.52</v>
      </c>
      <c r="E171" s="188" t="s">
        <v>227</v>
      </c>
      <c r="F171" s="343">
        <f>IF(OR(Tableau145[[#This Row],[Type]]="Feuillus",Tableau145[[#This Row],[Type]]="Peupliers"),1.56,1.3)</f>
        <v>1.56</v>
      </c>
      <c r="I171" s="55">
        <v>166</v>
      </c>
      <c r="J171" s="33">
        <f t="shared" si="79"/>
        <v>0</v>
      </c>
      <c r="K171" s="33">
        <f t="shared" si="80"/>
        <v>0</v>
      </c>
      <c r="L171" s="33">
        <f t="shared" si="81"/>
        <v>0</v>
      </c>
      <c r="M171" s="33">
        <f t="shared" si="82"/>
        <v>0</v>
      </c>
      <c r="N171" s="33">
        <f t="shared" si="68"/>
        <v>0</v>
      </c>
      <c r="O171" s="34">
        <f t="shared" si="69"/>
        <v>0</v>
      </c>
      <c r="P171" s="55">
        <v>166</v>
      </c>
      <c r="Q171" s="33">
        <f t="shared" si="77"/>
        <v>0</v>
      </c>
      <c r="R171" s="33">
        <f t="shared" si="83"/>
        <v>0</v>
      </c>
      <c r="S171" s="33">
        <f t="shared" si="84"/>
        <v>0</v>
      </c>
      <c r="T171" s="33">
        <f t="shared" si="70"/>
        <v>0</v>
      </c>
      <c r="U171" s="33">
        <f t="shared" si="78"/>
        <v>0</v>
      </c>
      <c r="V171" s="33">
        <f t="shared" si="71"/>
        <v>0</v>
      </c>
      <c r="W171" s="33">
        <v>0</v>
      </c>
      <c r="X171" s="33">
        <f t="shared" si="72"/>
        <v>0</v>
      </c>
      <c r="Y171" s="38">
        <f t="shared" si="73"/>
        <v>0</v>
      </c>
      <c r="AA171" s="71">
        <v>166</v>
      </c>
      <c r="AB171" s="33">
        <f t="shared" si="74"/>
        <v>0</v>
      </c>
      <c r="AC171" s="305">
        <f t="shared" si="89"/>
        <v>0</v>
      </c>
      <c r="AD171" s="100">
        <f t="shared" si="75"/>
        <v>0</v>
      </c>
      <c r="AE171" s="100">
        <f t="shared" si="76"/>
        <v>0</v>
      </c>
      <c r="AF171" s="194">
        <f t="shared" si="85"/>
        <v>0</v>
      </c>
      <c r="AG171" s="194">
        <f t="shared" si="86"/>
        <v>0</v>
      </c>
      <c r="AH171" s="194">
        <f t="shared" si="87"/>
        <v>0</v>
      </c>
      <c r="AI171" s="199">
        <f t="shared" si="88"/>
        <v>0</v>
      </c>
      <c r="AK171" s="71">
        <v>166</v>
      </c>
      <c r="AL171" s="33"/>
      <c r="AM171" s="33"/>
      <c r="AN171" s="33"/>
      <c r="AO171" s="33"/>
      <c r="AP171" s="33"/>
      <c r="AQ171" s="194"/>
      <c r="AR171" s="194"/>
      <c r="AS171" s="194"/>
      <c r="AT171" s="194"/>
      <c r="AU171" s="33"/>
      <c r="AV171" s="33"/>
      <c r="AW171" s="33"/>
      <c r="AX171" s="33"/>
      <c r="AY171" s="76"/>
    </row>
    <row r="172" spans="3:51">
      <c r="C172" s="166" t="s">
        <v>47</v>
      </c>
      <c r="D172" s="4">
        <v>0.35</v>
      </c>
      <c r="E172" s="188" t="s">
        <v>229</v>
      </c>
      <c r="F172" s="343">
        <f>IF(OR(Tableau145[[#This Row],[Type]]="Feuillus",Tableau145[[#This Row],[Type]]="Peupliers"),1.56,1.3)</f>
        <v>1.56</v>
      </c>
      <c r="I172" s="55">
        <v>167</v>
      </c>
      <c r="J172" s="33">
        <f t="shared" si="79"/>
        <v>0</v>
      </c>
      <c r="K172" s="33">
        <f t="shared" si="80"/>
        <v>0</v>
      </c>
      <c r="L172" s="33">
        <f t="shared" si="81"/>
        <v>0</v>
      </c>
      <c r="M172" s="33">
        <f t="shared" si="82"/>
        <v>0</v>
      </c>
      <c r="N172" s="33">
        <f t="shared" si="68"/>
        <v>0</v>
      </c>
      <c r="O172" s="34">
        <f t="shared" si="69"/>
        <v>0</v>
      </c>
      <c r="P172" s="55">
        <v>167</v>
      </c>
      <c r="Q172" s="33">
        <f t="shared" si="77"/>
        <v>0</v>
      </c>
      <c r="R172" s="33">
        <f t="shared" si="83"/>
        <v>0</v>
      </c>
      <c r="S172" s="33">
        <f t="shared" si="84"/>
        <v>0</v>
      </c>
      <c r="T172" s="33">
        <f t="shared" si="70"/>
        <v>0</v>
      </c>
      <c r="U172" s="33">
        <f t="shared" si="78"/>
        <v>0</v>
      </c>
      <c r="V172" s="33">
        <f t="shared" si="71"/>
        <v>0</v>
      </c>
      <c r="W172" s="33">
        <v>0</v>
      </c>
      <c r="X172" s="33">
        <f t="shared" si="72"/>
        <v>0</v>
      </c>
      <c r="Y172" s="38">
        <f t="shared" si="73"/>
        <v>0</v>
      </c>
      <c r="AA172" s="71">
        <v>167</v>
      </c>
      <c r="AB172" s="33">
        <f t="shared" si="74"/>
        <v>0</v>
      </c>
      <c r="AC172" s="305">
        <f t="shared" si="89"/>
        <v>0</v>
      </c>
      <c r="AD172" s="100">
        <f t="shared" si="75"/>
        <v>0</v>
      </c>
      <c r="AE172" s="100">
        <f t="shared" si="76"/>
        <v>0</v>
      </c>
      <c r="AF172" s="194">
        <f t="shared" si="85"/>
        <v>0</v>
      </c>
      <c r="AG172" s="194">
        <f t="shared" si="86"/>
        <v>0</v>
      </c>
      <c r="AH172" s="194">
        <f t="shared" si="87"/>
        <v>0</v>
      </c>
      <c r="AI172" s="199">
        <f t="shared" si="88"/>
        <v>0</v>
      </c>
      <c r="AK172" s="71">
        <v>167</v>
      </c>
      <c r="AL172" s="33"/>
      <c r="AM172" s="33"/>
      <c r="AN172" s="33"/>
      <c r="AO172" s="33"/>
      <c r="AP172" s="33"/>
      <c r="AQ172" s="194"/>
      <c r="AR172" s="194"/>
      <c r="AS172" s="194"/>
      <c r="AT172" s="194"/>
      <c r="AU172" s="33"/>
      <c r="AV172" s="33"/>
      <c r="AW172" s="33"/>
      <c r="AX172" s="33"/>
      <c r="AY172" s="76"/>
    </row>
    <row r="173" spans="3:51">
      <c r="C173" s="166" t="s">
        <v>48</v>
      </c>
      <c r="D173" s="4">
        <v>0.37</v>
      </c>
      <c r="E173" s="188" t="s">
        <v>227</v>
      </c>
      <c r="F173" s="343">
        <f>IF(OR(Tableau145[[#This Row],[Type]]="Feuillus",Tableau145[[#This Row],[Type]]="Peupliers"),1.56,1.3)</f>
        <v>1.56</v>
      </c>
      <c r="I173" s="55">
        <v>168</v>
      </c>
      <c r="J173" s="33">
        <f t="shared" si="79"/>
        <v>0</v>
      </c>
      <c r="K173" s="33">
        <f t="shared" si="80"/>
        <v>0</v>
      </c>
      <c r="L173" s="33">
        <f t="shared" si="81"/>
        <v>0</v>
      </c>
      <c r="M173" s="33">
        <f t="shared" si="82"/>
        <v>0</v>
      </c>
      <c r="N173" s="33">
        <f t="shared" si="68"/>
        <v>0</v>
      </c>
      <c r="O173" s="34">
        <f t="shared" si="69"/>
        <v>0</v>
      </c>
      <c r="P173" s="55">
        <v>168</v>
      </c>
      <c r="Q173" s="33">
        <f t="shared" si="77"/>
        <v>0</v>
      </c>
      <c r="R173" s="33">
        <f t="shared" si="83"/>
        <v>0</v>
      </c>
      <c r="S173" s="33">
        <f t="shared" si="84"/>
        <v>0</v>
      </c>
      <c r="T173" s="33">
        <f t="shared" si="70"/>
        <v>0</v>
      </c>
      <c r="U173" s="33">
        <f t="shared" si="78"/>
        <v>0</v>
      </c>
      <c r="V173" s="33">
        <f t="shared" si="71"/>
        <v>0</v>
      </c>
      <c r="W173" s="33">
        <v>0</v>
      </c>
      <c r="X173" s="33">
        <f t="shared" si="72"/>
        <v>0</v>
      </c>
      <c r="Y173" s="38">
        <f t="shared" si="73"/>
        <v>0</v>
      </c>
      <c r="AA173" s="71">
        <v>168</v>
      </c>
      <c r="AB173" s="33">
        <f t="shared" si="74"/>
        <v>0</v>
      </c>
      <c r="AC173" s="305">
        <f t="shared" si="89"/>
        <v>0</v>
      </c>
      <c r="AD173" s="100">
        <f t="shared" si="75"/>
        <v>0</v>
      </c>
      <c r="AE173" s="100">
        <f t="shared" si="76"/>
        <v>0</v>
      </c>
      <c r="AF173" s="194">
        <f t="shared" si="85"/>
        <v>0</v>
      </c>
      <c r="AG173" s="194">
        <f t="shared" si="86"/>
        <v>0</v>
      </c>
      <c r="AH173" s="194">
        <f t="shared" si="87"/>
        <v>0</v>
      </c>
      <c r="AI173" s="199">
        <f t="shared" si="88"/>
        <v>0</v>
      </c>
      <c r="AK173" s="71">
        <v>168</v>
      </c>
      <c r="AL173" s="33"/>
      <c r="AM173" s="33"/>
      <c r="AN173" s="33"/>
      <c r="AO173" s="33"/>
      <c r="AP173" s="33"/>
      <c r="AQ173" s="194"/>
      <c r="AR173" s="194"/>
      <c r="AS173" s="194"/>
      <c r="AT173" s="194"/>
      <c r="AU173" s="33"/>
      <c r="AV173" s="33"/>
      <c r="AW173" s="33"/>
      <c r="AX173" s="33"/>
      <c r="AY173" s="76"/>
    </row>
    <row r="174" spans="3:51">
      <c r="C174" s="166" t="s">
        <v>49</v>
      </c>
      <c r="D174" s="4">
        <v>0.45</v>
      </c>
      <c r="E174" s="188" t="s">
        <v>228</v>
      </c>
      <c r="F174" s="343">
        <f>IF(OR(Tableau145[[#This Row],[Type]]="Feuillus",Tableau145[[#This Row],[Type]]="Peupliers"),1.56,1.3)</f>
        <v>1.3</v>
      </c>
      <c r="I174" s="55">
        <v>169</v>
      </c>
      <c r="J174" s="33">
        <f t="shared" si="79"/>
        <v>0</v>
      </c>
      <c r="K174" s="33">
        <f t="shared" si="80"/>
        <v>0</v>
      </c>
      <c r="L174" s="33">
        <f t="shared" si="81"/>
        <v>0</v>
      </c>
      <c r="M174" s="33">
        <f t="shared" si="82"/>
        <v>0</v>
      </c>
      <c r="N174" s="33">
        <f t="shared" si="68"/>
        <v>0</v>
      </c>
      <c r="O174" s="34">
        <f t="shared" si="69"/>
        <v>0</v>
      </c>
      <c r="P174" s="55">
        <v>169</v>
      </c>
      <c r="Q174" s="33">
        <f t="shared" si="77"/>
        <v>0</v>
      </c>
      <c r="R174" s="33">
        <f t="shared" si="83"/>
        <v>0</v>
      </c>
      <c r="S174" s="33">
        <f t="shared" si="84"/>
        <v>0</v>
      </c>
      <c r="T174" s="33">
        <f t="shared" si="70"/>
        <v>0</v>
      </c>
      <c r="U174" s="33">
        <f t="shared" si="78"/>
        <v>0</v>
      </c>
      <c r="V174" s="33">
        <f t="shared" si="71"/>
        <v>0</v>
      </c>
      <c r="W174" s="33">
        <v>0</v>
      </c>
      <c r="X174" s="33">
        <f t="shared" si="72"/>
        <v>0</v>
      </c>
      <c r="Y174" s="38">
        <f t="shared" si="73"/>
        <v>0</v>
      </c>
      <c r="AA174" s="71">
        <v>169</v>
      </c>
      <c r="AB174" s="33">
        <f t="shared" si="74"/>
        <v>0</v>
      </c>
      <c r="AC174" s="305">
        <f t="shared" si="89"/>
        <v>0</v>
      </c>
      <c r="AD174" s="100">
        <f t="shared" si="75"/>
        <v>0</v>
      </c>
      <c r="AE174" s="100">
        <f t="shared" si="76"/>
        <v>0</v>
      </c>
      <c r="AF174" s="194">
        <f t="shared" si="85"/>
        <v>0</v>
      </c>
      <c r="AG174" s="194">
        <f t="shared" si="86"/>
        <v>0</v>
      </c>
      <c r="AH174" s="194">
        <f t="shared" si="87"/>
        <v>0</v>
      </c>
      <c r="AI174" s="199">
        <f t="shared" si="88"/>
        <v>0</v>
      </c>
      <c r="AK174" s="71">
        <v>169</v>
      </c>
      <c r="AL174" s="33"/>
      <c r="AM174" s="33"/>
      <c r="AN174" s="33"/>
      <c r="AO174" s="33"/>
      <c r="AP174" s="33"/>
      <c r="AQ174" s="194"/>
      <c r="AR174" s="194"/>
      <c r="AS174" s="194"/>
      <c r="AT174" s="194"/>
      <c r="AU174" s="33"/>
      <c r="AV174" s="33"/>
      <c r="AW174" s="33"/>
      <c r="AX174" s="33"/>
      <c r="AY174" s="76"/>
    </row>
    <row r="175" spans="3:51">
      <c r="C175" s="166" t="s">
        <v>50</v>
      </c>
      <c r="D175" s="4">
        <v>0.39</v>
      </c>
      <c r="E175" s="188" t="s">
        <v>228</v>
      </c>
      <c r="F175" s="343">
        <f>IF(OR(Tableau145[[#This Row],[Type]]="Feuillus",Tableau145[[#This Row],[Type]]="Peupliers"),1.56,1.3)</f>
        <v>1.3</v>
      </c>
      <c r="I175" s="55">
        <v>170</v>
      </c>
      <c r="J175" s="33">
        <f t="shared" si="79"/>
        <v>0</v>
      </c>
      <c r="K175" s="33">
        <f t="shared" si="80"/>
        <v>0</v>
      </c>
      <c r="L175" s="33">
        <f t="shared" si="81"/>
        <v>0</v>
      </c>
      <c r="M175" s="33">
        <f t="shared" si="82"/>
        <v>0</v>
      </c>
      <c r="N175" s="33">
        <f t="shared" si="68"/>
        <v>0</v>
      </c>
      <c r="O175" s="34">
        <f t="shared" si="69"/>
        <v>0</v>
      </c>
      <c r="P175" s="55">
        <v>170</v>
      </c>
      <c r="Q175" s="33">
        <f t="shared" si="77"/>
        <v>0</v>
      </c>
      <c r="R175" s="33">
        <f t="shared" si="83"/>
        <v>0</v>
      </c>
      <c r="S175" s="33">
        <f t="shared" si="84"/>
        <v>0</v>
      </c>
      <c r="T175" s="33">
        <f t="shared" si="70"/>
        <v>0</v>
      </c>
      <c r="U175" s="33">
        <f t="shared" si="78"/>
        <v>0</v>
      </c>
      <c r="V175" s="33">
        <f t="shared" si="71"/>
        <v>0</v>
      </c>
      <c r="W175" s="33">
        <v>0</v>
      </c>
      <c r="X175" s="33">
        <f t="shared" si="72"/>
        <v>0</v>
      </c>
      <c r="Y175" s="38">
        <f t="shared" si="73"/>
        <v>0</v>
      </c>
      <c r="AA175" s="71">
        <v>170</v>
      </c>
      <c r="AB175" s="33">
        <f t="shared" si="74"/>
        <v>0</v>
      </c>
      <c r="AC175" s="305">
        <f t="shared" si="89"/>
        <v>0</v>
      </c>
      <c r="AD175" s="100">
        <f t="shared" si="75"/>
        <v>0</v>
      </c>
      <c r="AE175" s="100">
        <f t="shared" si="76"/>
        <v>0</v>
      </c>
      <c r="AF175" s="194">
        <f t="shared" si="85"/>
        <v>0</v>
      </c>
      <c r="AG175" s="194">
        <f t="shared" si="86"/>
        <v>0</v>
      </c>
      <c r="AH175" s="194">
        <f t="shared" si="87"/>
        <v>0</v>
      </c>
      <c r="AI175" s="199">
        <f t="shared" si="88"/>
        <v>0</v>
      </c>
      <c r="AK175" s="71">
        <v>170</v>
      </c>
      <c r="AL175" s="33"/>
      <c r="AM175" s="33"/>
      <c r="AN175" s="33"/>
      <c r="AO175" s="33"/>
      <c r="AP175" s="33"/>
      <c r="AQ175" s="194"/>
      <c r="AR175" s="194"/>
      <c r="AS175" s="194"/>
      <c r="AT175" s="194"/>
      <c r="AU175" s="33"/>
      <c r="AV175" s="33"/>
      <c r="AW175" s="33"/>
      <c r="AX175" s="33"/>
      <c r="AY175" s="76"/>
    </row>
    <row r="176" spans="3:51">
      <c r="C176" s="166" t="s">
        <v>51</v>
      </c>
      <c r="D176" s="4">
        <v>0.44</v>
      </c>
      <c r="E176" s="188" t="s">
        <v>228</v>
      </c>
      <c r="F176" s="343">
        <f>IF(OR(Tableau145[[#This Row],[Type]]="Feuillus",Tableau145[[#This Row],[Type]]="Peupliers"),1.56,1.3)</f>
        <v>1.3</v>
      </c>
      <c r="I176" s="55">
        <v>171</v>
      </c>
      <c r="J176" s="33">
        <f t="shared" si="79"/>
        <v>0</v>
      </c>
      <c r="K176" s="33">
        <f t="shared" si="80"/>
        <v>0</v>
      </c>
      <c r="L176" s="33">
        <f t="shared" si="81"/>
        <v>0</v>
      </c>
      <c r="M176" s="33">
        <f t="shared" si="82"/>
        <v>0</v>
      </c>
      <c r="N176" s="33">
        <f t="shared" si="68"/>
        <v>0</v>
      </c>
      <c r="O176" s="34">
        <f t="shared" si="69"/>
        <v>0</v>
      </c>
      <c r="P176" s="55">
        <v>171</v>
      </c>
      <c r="Q176" s="33">
        <f t="shared" si="77"/>
        <v>0</v>
      </c>
      <c r="R176" s="33">
        <f t="shared" si="83"/>
        <v>0</v>
      </c>
      <c r="S176" s="33">
        <f t="shared" si="84"/>
        <v>0</v>
      </c>
      <c r="T176" s="33">
        <f t="shared" si="70"/>
        <v>0</v>
      </c>
      <c r="U176" s="33">
        <f t="shared" si="78"/>
        <v>0</v>
      </c>
      <c r="V176" s="33">
        <f t="shared" si="71"/>
        <v>0</v>
      </c>
      <c r="W176" s="33">
        <v>0</v>
      </c>
      <c r="X176" s="33">
        <f t="shared" si="72"/>
        <v>0</v>
      </c>
      <c r="Y176" s="38">
        <f t="shared" si="73"/>
        <v>0</v>
      </c>
      <c r="AA176" s="71">
        <v>171</v>
      </c>
      <c r="AB176" s="33">
        <f t="shared" si="74"/>
        <v>0</v>
      </c>
      <c r="AC176" s="305">
        <f t="shared" si="89"/>
        <v>0</v>
      </c>
      <c r="AD176" s="100">
        <f t="shared" si="75"/>
        <v>0</v>
      </c>
      <c r="AE176" s="100">
        <f t="shared" si="76"/>
        <v>0</v>
      </c>
      <c r="AF176" s="194">
        <f t="shared" si="85"/>
        <v>0</v>
      </c>
      <c r="AG176" s="194">
        <f t="shared" si="86"/>
        <v>0</v>
      </c>
      <c r="AH176" s="194">
        <f t="shared" si="87"/>
        <v>0</v>
      </c>
      <c r="AI176" s="199">
        <f t="shared" si="88"/>
        <v>0</v>
      </c>
      <c r="AK176" s="71">
        <v>171</v>
      </c>
      <c r="AL176" s="33"/>
      <c r="AM176" s="33"/>
      <c r="AN176" s="33"/>
      <c r="AO176" s="33"/>
      <c r="AP176" s="33"/>
      <c r="AQ176" s="194"/>
      <c r="AR176" s="194"/>
      <c r="AS176" s="194"/>
      <c r="AT176" s="194"/>
      <c r="AU176" s="33"/>
      <c r="AV176" s="33"/>
      <c r="AW176" s="33"/>
      <c r="AX176" s="33"/>
      <c r="AY176" s="76"/>
    </row>
    <row r="177" spans="3:51">
      <c r="C177" s="166" t="s">
        <v>52</v>
      </c>
      <c r="D177" s="4">
        <v>0.46</v>
      </c>
      <c r="E177" s="188" t="s">
        <v>228</v>
      </c>
      <c r="F177" s="343">
        <f>IF(OR(Tableau145[[#This Row],[Type]]="Feuillus",Tableau145[[#This Row],[Type]]="Peupliers"),1.56,1.3)</f>
        <v>1.3</v>
      </c>
      <c r="I177" s="55">
        <v>172</v>
      </c>
      <c r="J177" s="33">
        <f t="shared" si="79"/>
        <v>0</v>
      </c>
      <c r="K177" s="33">
        <f t="shared" si="80"/>
        <v>0</v>
      </c>
      <c r="L177" s="33">
        <f t="shared" si="81"/>
        <v>0</v>
      </c>
      <c r="M177" s="33">
        <f t="shared" si="82"/>
        <v>0</v>
      </c>
      <c r="N177" s="33">
        <f t="shared" si="68"/>
        <v>0</v>
      </c>
      <c r="O177" s="34">
        <f t="shared" si="69"/>
        <v>0</v>
      </c>
      <c r="P177" s="55">
        <v>172</v>
      </c>
      <c r="Q177" s="33">
        <f t="shared" si="77"/>
        <v>0</v>
      </c>
      <c r="R177" s="33">
        <f t="shared" si="83"/>
        <v>0</v>
      </c>
      <c r="S177" s="33">
        <f t="shared" si="84"/>
        <v>0</v>
      </c>
      <c r="T177" s="33">
        <f t="shared" si="70"/>
        <v>0</v>
      </c>
      <c r="U177" s="33">
        <f t="shared" si="78"/>
        <v>0</v>
      </c>
      <c r="V177" s="33">
        <f t="shared" si="71"/>
        <v>0</v>
      </c>
      <c r="W177" s="33">
        <v>0</v>
      </c>
      <c r="X177" s="33">
        <f t="shared" si="72"/>
        <v>0</v>
      </c>
      <c r="Y177" s="38">
        <f t="shared" si="73"/>
        <v>0</v>
      </c>
      <c r="AA177" s="71">
        <v>172</v>
      </c>
      <c r="AB177" s="33">
        <f t="shared" si="74"/>
        <v>0</v>
      </c>
      <c r="AC177" s="305">
        <f t="shared" si="89"/>
        <v>0</v>
      </c>
      <c r="AD177" s="100">
        <f t="shared" si="75"/>
        <v>0</v>
      </c>
      <c r="AE177" s="100">
        <f t="shared" si="76"/>
        <v>0</v>
      </c>
      <c r="AF177" s="194">
        <f t="shared" si="85"/>
        <v>0</v>
      </c>
      <c r="AG177" s="194">
        <f t="shared" si="86"/>
        <v>0</v>
      </c>
      <c r="AH177" s="194">
        <f t="shared" si="87"/>
        <v>0</v>
      </c>
      <c r="AI177" s="199">
        <f t="shared" si="88"/>
        <v>0</v>
      </c>
      <c r="AK177" s="71">
        <v>172</v>
      </c>
      <c r="AL177" s="33"/>
      <c r="AM177" s="33"/>
      <c r="AN177" s="33"/>
      <c r="AO177" s="33"/>
      <c r="AP177" s="33"/>
      <c r="AQ177" s="194"/>
      <c r="AR177" s="194"/>
      <c r="AS177" s="194"/>
      <c r="AT177" s="194"/>
      <c r="AU177" s="33"/>
      <c r="AV177" s="33"/>
      <c r="AW177" s="33"/>
      <c r="AX177" s="33"/>
      <c r="AY177" s="76"/>
    </row>
    <row r="178" spans="3:51" ht="30">
      <c r="C178" s="166" t="s">
        <v>53</v>
      </c>
      <c r="D178" s="4">
        <v>0.46</v>
      </c>
      <c r="E178" s="188" t="s">
        <v>230</v>
      </c>
      <c r="F178" s="343">
        <f>IF(OR(Tableau145[[#This Row],[Type]]="Feuillus",Tableau145[[#This Row],[Type]]="Peupliers"),1.56,1.3)</f>
        <v>1.3</v>
      </c>
      <c r="I178" s="55">
        <v>173</v>
      </c>
      <c r="J178" s="33">
        <f t="shared" si="79"/>
        <v>0</v>
      </c>
      <c r="K178" s="33">
        <f t="shared" si="80"/>
        <v>0</v>
      </c>
      <c r="L178" s="33">
        <f t="shared" si="81"/>
        <v>0</v>
      </c>
      <c r="M178" s="33">
        <f t="shared" si="82"/>
        <v>0</v>
      </c>
      <c r="N178" s="33">
        <f t="shared" si="68"/>
        <v>0</v>
      </c>
      <c r="O178" s="34">
        <f t="shared" si="69"/>
        <v>0</v>
      </c>
      <c r="P178" s="55">
        <v>173</v>
      </c>
      <c r="Q178" s="33">
        <f t="shared" si="77"/>
        <v>0</v>
      </c>
      <c r="R178" s="33">
        <f t="shared" si="83"/>
        <v>0</v>
      </c>
      <c r="S178" s="33">
        <f t="shared" si="84"/>
        <v>0</v>
      </c>
      <c r="T178" s="33">
        <f t="shared" si="70"/>
        <v>0</v>
      </c>
      <c r="U178" s="33">
        <f t="shared" si="78"/>
        <v>0</v>
      </c>
      <c r="V178" s="33">
        <f t="shared" si="71"/>
        <v>0</v>
      </c>
      <c r="W178" s="33">
        <v>0</v>
      </c>
      <c r="X178" s="33">
        <f t="shared" si="72"/>
        <v>0</v>
      </c>
      <c r="Y178" s="38">
        <f t="shared" si="73"/>
        <v>0</v>
      </c>
      <c r="AA178" s="71">
        <v>173</v>
      </c>
      <c r="AB178" s="33">
        <f t="shared" si="74"/>
        <v>0</v>
      </c>
      <c r="AC178" s="305">
        <f t="shared" si="89"/>
        <v>0</v>
      </c>
      <c r="AD178" s="100">
        <f t="shared" si="75"/>
        <v>0</v>
      </c>
      <c r="AE178" s="100">
        <f t="shared" si="76"/>
        <v>0</v>
      </c>
      <c r="AF178" s="194">
        <f t="shared" si="85"/>
        <v>0</v>
      </c>
      <c r="AG178" s="194">
        <f t="shared" si="86"/>
        <v>0</v>
      </c>
      <c r="AH178" s="194">
        <f t="shared" si="87"/>
        <v>0</v>
      </c>
      <c r="AI178" s="199">
        <f t="shared" si="88"/>
        <v>0</v>
      </c>
      <c r="AK178" s="71">
        <v>173</v>
      </c>
      <c r="AL178" s="33"/>
      <c r="AM178" s="33"/>
      <c r="AN178" s="33"/>
      <c r="AO178" s="33"/>
      <c r="AP178" s="33"/>
      <c r="AQ178" s="194"/>
      <c r="AR178" s="194"/>
      <c r="AS178" s="194"/>
      <c r="AT178" s="194"/>
      <c r="AU178" s="33"/>
      <c r="AV178" s="33"/>
      <c r="AW178" s="33"/>
      <c r="AX178" s="33"/>
      <c r="AY178" s="76"/>
    </row>
    <row r="179" spans="3:51">
      <c r="C179" s="166" t="s">
        <v>54</v>
      </c>
      <c r="D179" s="4">
        <v>0.44</v>
      </c>
      <c r="E179" s="188" t="s">
        <v>228</v>
      </c>
      <c r="F179" s="343">
        <f>IF(OR(Tableau145[[#This Row],[Type]]="Feuillus",Tableau145[[#This Row],[Type]]="Peupliers"),1.56,1.3)</f>
        <v>1.3</v>
      </c>
      <c r="I179" s="55">
        <v>174</v>
      </c>
      <c r="J179" s="33">
        <f t="shared" si="79"/>
        <v>0</v>
      </c>
      <c r="K179" s="33">
        <f t="shared" si="80"/>
        <v>0</v>
      </c>
      <c r="L179" s="33">
        <f t="shared" si="81"/>
        <v>0</v>
      </c>
      <c r="M179" s="33">
        <f t="shared" si="82"/>
        <v>0</v>
      </c>
      <c r="N179" s="33">
        <f t="shared" si="68"/>
        <v>0</v>
      </c>
      <c r="O179" s="34">
        <f t="shared" si="69"/>
        <v>0</v>
      </c>
      <c r="P179" s="55">
        <v>174</v>
      </c>
      <c r="Q179" s="33">
        <f t="shared" si="77"/>
        <v>0</v>
      </c>
      <c r="R179" s="33">
        <f t="shared" si="83"/>
        <v>0</v>
      </c>
      <c r="S179" s="33">
        <f t="shared" si="84"/>
        <v>0</v>
      </c>
      <c r="T179" s="33">
        <f t="shared" si="70"/>
        <v>0</v>
      </c>
      <c r="U179" s="33">
        <f t="shared" si="78"/>
        <v>0</v>
      </c>
      <c r="V179" s="33">
        <f t="shared" si="71"/>
        <v>0</v>
      </c>
      <c r="W179" s="33">
        <v>0</v>
      </c>
      <c r="X179" s="33">
        <f t="shared" si="72"/>
        <v>0</v>
      </c>
      <c r="Y179" s="38">
        <f t="shared" si="73"/>
        <v>0</v>
      </c>
      <c r="AA179" s="71">
        <v>174</v>
      </c>
      <c r="AB179" s="33">
        <f t="shared" si="74"/>
        <v>0</v>
      </c>
      <c r="AC179" s="305">
        <f t="shared" si="89"/>
        <v>0</v>
      </c>
      <c r="AD179" s="100">
        <f t="shared" si="75"/>
        <v>0</v>
      </c>
      <c r="AE179" s="100">
        <f t="shared" si="76"/>
        <v>0</v>
      </c>
      <c r="AF179" s="194">
        <f t="shared" si="85"/>
        <v>0</v>
      </c>
      <c r="AG179" s="194">
        <f t="shared" si="86"/>
        <v>0</v>
      </c>
      <c r="AH179" s="194">
        <f t="shared" si="87"/>
        <v>0</v>
      </c>
      <c r="AI179" s="199">
        <f t="shared" si="88"/>
        <v>0</v>
      </c>
      <c r="AK179" s="71">
        <v>174</v>
      </c>
      <c r="AL179" s="33"/>
      <c r="AM179" s="33"/>
      <c r="AN179" s="33"/>
      <c r="AO179" s="33"/>
      <c r="AP179" s="33"/>
      <c r="AQ179" s="194"/>
      <c r="AR179" s="194"/>
      <c r="AS179" s="194"/>
      <c r="AT179" s="194"/>
      <c r="AU179" s="33"/>
      <c r="AV179" s="33"/>
      <c r="AW179" s="33"/>
      <c r="AX179" s="33"/>
      <c r="AY179" s="76"/>
    </row>
    <row r="180" spans="3:51">
      <c r="C180" s="166" t="s">
        <v>55</v>
      </c>
      <c r="D180" s="4">
        <v>0.46</v>
      </c>
      <c r="E180" s="188" t="s">
        <v>228</v>
      </c>
      <c r="F180" s="343">
        <f>IF(OR(Tableau145[[#This Row],[Type]]="Feuillus",Tableau145[[#This Row],[Type]]="Peupliers"),1.56,1.3)</f>
        <v>1.3</v>
      </c>
      <c r="I180" s="55">
        <v>175</v>
      </c>
      <c r="J180" s="33">
        <f t="shared" si="79"/>
        <v>0</v>
      </c>
      <c r="K180" s="33">
        <f t="shared" si="80"/>
        <v>0</v>
      </c>
      <c r="L180" s="33">
        <f t="shared" si="81"/>
        <v>0</v>
      </c>
      <c r="M180" s="33">
        <f t="shared" si="82"/>
        <v>0</v>
      </c>
      <c r="N180" s="33">
        <f t="shared" si="68"/>
        <v>0</v>
      </c>
      <c r="O180" s="34">
        <f t="shared" si="69"/>
        <v>0</v>
      </c>
      <c r="P180" s="55">
        <v>175</v>
      </c>
      <c r="Q180" s="33">
        <f t="shared" si="77"/>
        <v>0</v>
      </c>
      <c r="R180" s="33">
        <f t="shared" si="83"/>
        <v>0</v>
      </c>
      <c r="S180" s="33">
        <f t="shared" si="84"/>
        <v>0</v>
      </c>
      <c r="T180" s="33">
        <f t="shared" si="70"/>
        <v>0</v>
      </c>
      <c r="U180" s="33">
        <f t="shared" si="78"/>
        <v>0</v>
      </c>
      <c r="V180" s="33">
        <f t="shared" si="71"/>
        <v>0</v>
      </c>
      <c r="W180" s="33">
        <v>0</v>
      </c>
      <c r="X180" s="33">
        <f t="shared" si="72"/>
        <v>0</v>
      </c>
      <c r="Y180" s="38">
        <f t="shared" si="73"/>
        <v>0</v>
      </c>
      <c r="AA180" s="71">
        <v>175</v>
      </c>
      <c r="AB180" s="33">
        <f t="shared" si="74"/>
        <v>0</v>
      </c>
      <c r="AC180" s="305">
        <f t="shared" si="89"/>
        <v>0</v>
      </c>
      <c r="AD180" s="100">
        <f t="shared" si="75"/>
        <v>0</v>
      </c>
      <c r="AE180" s="100">
        <f t="shared" si="76"/>
        <v>0</v>
      </c>
      <c r="AF180" s="194">
        <f t="shared" si="85"/>
        <v>0</v>
      </c>
      <c r="AG180" s="194">
        <f t="shared" si="86"/>
        <v>0</v>
      </c>
      <c r="AH180" s="194">
        <f t="shared" si="87"/>
        <v>0</v>
      </c>
      <c r="AI180" s="199">
        <f t="shared" si="88"/>
        <v>0</v>
      </c>
      <c r="AK180" s="71">
        <v>175</v>
      </c>
      <c r="AL180" s="33"/>
      <c r="AM180" s="33"/>
      <c r="AN180" s="33"/>
      <c r="AO180" s="33"/>
      <c r="AP180" s="33"/>
      <c r="AQ180" s="194"/>
      <c r="AR180" s="194"/>
      <c r="AS180" s="194"/>
      <c r="AT180" s="194"/>
      <c r="AU180" s="33"/>
      <c r="AV180" s="33"/>
      <c r="AW180" s="33"/>
      <c r="AX180" s="33"/>
      <c r="AY180" s="76"/>
    </row>
    <row r="181" spans="3:51">
      <c r="C181" s="166" t="s">
        <v>56</v>
      </c>
      <c r="D181" s="4">
        <v>0.48</v>
      </c>
      <c r="E181" s="188" t="s">
        <v>228</v>
      </c>
      <c r="F181" s="343">
        <f>IF(OR(Tableau145[[#This Row],[Type]]="Feuillus",Tableau145[[#This Row],[Type]]="Peupliers"),1.56,1.3)</f>
        <v>1.3</v>
      </c>
      <c r="I181" s="55">
        <v>176</v>
      </c>
      <c r="J181" s="33">
        <f t="shared" si="79"/>
        <v>0</v>
      </c>
      <c r="K181" s="33">
        <f t="shared" si="80"/>
        <v>0</v>
      </c>
      <c r="L181" s="33">
        <f t="shared" si="81"/>
        <v>0</v>
      </c>
      <c r="M181" s="33">
        <f t="shared" si="82"/>
        <v>0</v>
      </c>
      <c r="N181" s="33">
        <f t="shared" si="68"/>
        <v>0</v>
      </c>
      <c r="O181" s="34">
        <f t="shared" si="69"/>
        <v>0</v>
      </c>
      <c r="P181" s="55">
        <v>176</v>
      </c>
      <c r="Q181" s="33">
        <f t="shared" si="77"/>
        <v>0</v>
      </c>
      <c r="R181" s="33">
        <f t="shared" si="83"/>
        <v>0</v>
      </c>
      <c r="S181" s="33">
        <f t="shared" si="84"/>
        <v>0</v>
      </c>
      <c r="T181" s="33">
        <f t="shared" si="70"/>
        <v>0</v>
      </c>
      <c r="U181" s="33">
        <f t="shared" si="78"/>
        <v>0</v>
      </c>
      <c r="V181" s="33">
        <f t="shared" si="71"/>
        <v>0</v>
      </c>
      <c r="W181" s="33">
        <v>0</v>
      </c>
      <c r="X181" s="33">
        <f t="shared" si="72"/>
        <v>0</v>
      </c>
      <c r="Y181" s="38">
        <f t="shared" si="73"/>
        <v>0</v>
      </c>
      <c r="AA181" s="71">
        <v>176</v>
      </c>
      <c r="AB181" s="33">
        <f t="shared" si="74"/>
        <v>0</v>
      </c>
      <c r="AC181" s="305">
        <f t="shared" si="89"/>
        <v>0</v>
      </c>
      <c r="AD181" s="100">
        <f t="shared" si="75"/>
        <v>0</v>
      </c>
      <c r="AE181" s="100">
        <f t="shared" si="76"/>
        <v>0</v>
      </c>
      <c r="AF181" s="194">
        <f t="shared" si="85"/>
        <v>0</v>
      </c>
      <c r="AG181" s="194">
        <f t="shared" si="86"/>
        <v>0</v>
      </c>
      <c r="AH181" s="194">
        <f t="shared" si="87"/>
        <v>0</v>
      </c>
      <c r="AI181" s="199">
        <f t="shared" si="88"/>
        <v>0</v>
      </c>
      <c r="AK181" s="71">
        <v>176</v>
      </c>
      <c r="AL181" s="33"/>
      <c r="AM181" s="33"/>
      <c r="AN181" s="33"/>
      <c r="AO181" s="33"/>
      <c r="AP181" s="33"/>
      <c r="AQ181" s="194"/>
      <c r="AR181" s="194"/>
      <c r="AS181" s="194"/>
      <c r="AT181" s="194"/>
      <c r="AU181" s="33"/>
      <c r="AV181" s="33"/>
      <c r="AW181" s="33"/>
      <c r="AX181" s="33"/>
      <c r="AY181" s="76"/>
    </row>
    <row r="182" spans="3:51">
      <c r="C182" s="166" t="s">
        <v>57</v>
      </c>
      <c r="D182" s="4">
        <v>0.44</v>
      </c>
      <c r="E182" s="188" t="s">
        <v>228</v>
      </c>
      <c r="F182" s="343">
        <f>IF(OR(Tableau145[[#This Row],[Type]]="Feuillus",Tableau145[[#This Row],[Type]]="Peupliers"),1.56,1.3)</f>
        <v>1.3</v>
      </c>
      <c r="I182" s="55">
        <v>177</v>
      </c>
      <c r="J182" s="33">
        <f t="shared" si="79"/>
        <v>0</v>
      </c>
      <c r="K182" s="33">
        <f t="shared" si="80"/>
        <v>0</v>
      </c>
      <c r="L182" s="33">
        <f t="shared" si="81"/>
        <v>0</v>
      </c>
      <c r="M182" s="33">
        <f t="shared" si="82"/>
        <v>0</v>
      </c>
      <c r="N182" s="33">
        <f t="shared" si="68"/>
        <v>0</v>
      </c>
      <c r="O182" s="34">
        <f t="shared" si="69"/>
        <v>0</v>
      </c>
      <c r="P182" s="55">
        <v>177</v>
      </c>
      <c r="Q182" s="33">
        <f t="shared" si="77"/>
        <v>0</v>
      </c>
      <c r="R182" s="33">
        <f t="shared" si="83"/>
        <v>0</v>
      </c>
      <c r="S182" s="33">
        <f t="shared" si="84"/>
        <v>0</v>
      </c>
      <c r="T182" s="33">
        <f t="shared" si="70"/>
        <v>0</v>
      </c>
      <c r="U182" s="33">
        <f t="shared" si="78"/>
        <v>0</v>
      </c>
      <c r="V182" s="33">
        <f t="shared" si="71"/>
        <v>0</v>
      </c>
      <c r="W182" s="33">
        <v>0</v>
      </c>
      <c r="X182" s="33">
        <f t="shared" si="72"/>
        <v>0</v>
      </c>
      <c r="Y182" s="38">
        <f t="shared" si="73"/>
        <v>0</v>
      </c>
      <c r="AA182" s="71">
        <v>177</v>
      </c>
      <c r="AB182" s="33">
        <f t="shared" si="74"/>
        <v>0</v>
      </c>
      <c r="AC182" s="305">
        <f t="shared" si="89"/>
        <v>0</v>
      </c>
      <c r="AD182" s="100">
        <f t="shared" si="75"/>
        <v>0</v>
      </c>
      <c r="AE182" s="100">
        <f t="shared" si="76"/>
        <v>0</v>
      </c>
      <c r="AF182" s="194">
        <f t="shared" si="85"/>
        <v>0</v>
      </c>
      <c r="AG182" s="194">
        <f t="shared" si="86"/>
        <v>0</v>
      </c>
      <c r="AH182" s="194">
        <f t="shared" si="87"/>
        <v>0</v>
      </c>
      <c r="AI182" s="199">
        <f t="shared" si="88"/>
        <v>0</v>
      </c>
      <c r="AK182" s="71">
        <v>177</v>
      </c>
      <c r="AL182" s="33"/>
      <c r="AM182" s="33"/>
      <c r="AN182" s="33"/>
      <c r="AO182" s="33"/>
      <c r="AP182" s="33"/>
      <c r="AQ182" s="194"/>
      <c r="AR182" s="194"/>
      <c r="AS182" s="194"/>
      <c r="AT182" s="194"/>
      <c r="AU182" s="33"/>
      <c r="AV182" s="33"/>
      <c r="AW182" s="33"/>
      <c r="AX182" s="33"/>
      <c r="AY182" s="76"/>
    </row>
    <row r="183" spans="3:51">
      <c r="C183" s="166" t="s">
        <v>58</v>
      </c>
      <c r="D183" s="4">
        <v>0.34</v>
      </c>
      <c r="E183" s="188" t="s">
        <v>228</v>
      </c>
      <c r="F183" s="343">
        <f>IF(OR(Tableau145[[#This Row],[Type]]="Feuillus",Tableau145[[#This Row],[Type]]="Peupliers"),1.56,1.3)</f>
        <v>1.3</v>
      </c>
      <c r="I183" s="55">
        <v>178</v>
      </c>
      <c r="J183" s="33">
        <f t="shared" si="79"/>
        <v>0</v>
      </c>
      <c r="K183" s="33">
        <f t="shared" si="80"/>
        <v>0</v>
      </c>
      <c r="L183" s="33">
        <f t="shared" si="81"/>
        <v>0</v>
      </c>
      <c r="M183" s="33">
        <f t="shared" si="82"/>
        <v>0</v>
      </c>
      <c r="N183" s="33">
        <f t="shared" si="68"/>
        <v>0</v>
      </c>
      <c r="O183" s="34">
        <f t="shared" si="69"/>
        <v>0</v>
      </c>
      <c r="P183" s="55">
        <v>178</v>
      </c>
      <c r="Q183" s="33">
        <f t="shared" si="77"/>
        <v>0</v>
      </c>
      <c r="R183" s="33">
        <f t="shared" si="83"/>
        <v>0</v>
      </c>
      <c r="S183" s="33">
        <f t="shared" si="84"/>
        <v>0</v>
      </c>
      <c r="T183" s="33">
        <f t="shared" si="70"/>
        <v>0</v>
      </c>
      <c r="U183" s="33">
        <f t="shared" si="78"/>
        <v>0</v>
      </c>
      <c r="V183" s="33">
        <f t="shared" si="71"/>
        <v>0</v>
      </c>
      <c r="W183" s="33">
        <v>0</v>
      </c>
      <c r="X183" s="33">
        <f t="shared" si="72"/>
        <v>0</v>
      </c>
      <c r="Y183" s="38">
        <f t="shared" si="73"/>
        <v>0</v>
      </c>
      <c r="AA183" s="71">
        <v>178</v>
      </c>
      <c r="AB183" s="33">
        <f t="shared" si="74"/>
        <v>0</v>
      </c>
      <c r="AC183" s="305">
        <f t="shared" si="89"/>
        <v>0</v>
      </c>
      <c r="AD183" s="100">
        <f t="shared" si="75"/>
        <v>0</v>
      </c>
      <c r="AE183" s="100">
        <f t="shared" si="76"/>
        <v>0</v>
      </c>
      <c r="AF183" s="194">
        <f t="shared" si="85"/>
        <v>0</v>
      </c>
      <c r="AG183" s="194">
        <f t="shared" si="86"/>
        <v>0</v>
      </c>
      <c r="AH183" s="194">
        <f t="shared" si="87"/>
        <v>0</v>
      </c>
      <c r="AI183" s="199">
        <f t="shared" si="88"/>
        <v>0</v>
      </c>
      <c r="AK183" s="71">
        <v>178</v>
      </c>
      <c r="AL183" s="33"/>
      <c r="AM183" s="33"/>
      <c r="AN183" s="33"/>
      <c r="AO183" s="33"/>
      <c r="AP183" s="33"/>
      <c r="AQ183" s="194"/>
      <c r="AR183" s="194"/>
      <c r="AS183" s="194"/>
      <c r="AT183" s="194"/>
      <c r="AU183" s="33"/>
      <c r="AV183" s="33"/>
      <c r="AW183" s="33"/>
      <c r="AX183" s="33"/>
      <c r="AY183" s="76"/>
    </row>
    <row r="184" spans="3:51">
      <c r="C184" s="166" t="s">
        <v>59</v>
      </c>
      <c r="D184" s="4">
        <v>0.5</v>
      </c>
      <c r="E184" s="188" t="s">
        <v>227</v>
      </c>
      <c r="F184" s="343">
        <f>IF(OR(Tableau145[[#This Row],[Type]]="Feuillus",Tableau145[[#This Row],[Type]]="Peupliers"),1.56,1.3)</f>
        <v>1.56</v>
      </c>
      <c r="I184" s="55">
        <v>179</v>
      </c>
      <c r="J184" s="33">
        <f t="shared" si="79"/>
        <v>0</v>
      </c>
      <c r="K184" s="33">
        <f t="shared" si="80"/>
        <v>0</v>
      </c>
      <c r="L184" s="33">
        <f t="shared" si="81"/>
        <v>0</v>
      </c>
      <c r="M184" s="33">
        <f t="shared" si="82"/>
        <v>0</v>
      </c>
      <c r="N184" s="33">
        <f t="shared" si="68"/>
        <v>0</v>
      </c>
      <c r="O184" s="34">
        <f t="shared" si="69"/>
        <v>0</v>
      </c>
      <c r="P184" s="55">
        <v>179</v>
      </c>
      <c r="Q184" s="33">
        <f t="shared" si="77"/>
        <v>0</v>
      </c>
      <c r="R184" s="33">
        <f t="shared" si="83"/>
        <v>0</v>
      </c>
      <c r="S184" s="33">
        <f t="shared" si="84"/>
        <v>0</v>
      </c>
      <c r="T184" s="33">
        <f t="shared" si="70"/>
        <v>0</v>
      </c>
      <c r="U184" s="33">
        <f t="shared" si="78"/>
        <v>0</v>
      </c>
      <c r="V184" s="33">
        <f t="shared" si="71"/>
        <v>0</v>
      </c>
      <c r="W184" s="33">
        <v>0</v>
      </c>
      <c r="X184" s="33">
        <f t="shared" si="72"/>
        <v>0</v>
      </c>
      <c r="Y184" s="38">
        <f t="shared" si="73"/>
        <v>0</v>
      </c>
      <c r="AA184" s="71">
        <v>179</v>
      </c>
      <c r="AB184" s="33">
        <f t="shared" si="74"/>
        <v>0</v>
      </c>
      <c r="AC184" s="305">
        <f t="shared" si="89"/>
        <v>0</v>
      </c>
      <c r="AD184" s="100">
        <f t="shared" si="75"/>
        <v>0</v>
      </c>
      <c r="AE184" s="100">
        <f t="shared" si="76"/>
        <v>0</v>
      </c>
      <c r="AF184" s="194">
        <f t="shared" si="85"/>
        <v>0</v>
      </c>
      <c r="AG184" s="194">
        <f t="shared" si="86"/>
        <v>0</v>
      </c>
      <c r="AH184" s="194">
        <f t="shared" si="87"/>
        <v>0</v>
      </c>
      <c r="AI184" s="199">
        <f t="shared" si="88"/>
        <v>0</v>
      </c>
      <c r="AK184" s="71">
        <v>179</v>
      </c>
      <c r="AL184" s="33"/>
      <c r="AM184" s="33"/>
      <c r="AN184" s="33"/>
      <c r="AO184" s="33"/>
      <c r="AP184" s="33"/>
      <c r="AQ184" s="194"/>
      <c r="AR184" s="194"/>
      <c r="AS184" s="194"/>
      <c r="AT184" s="194"/>
      <c r="AU184" s="33"/>
      <c r="AV184" s="33"/>
      <c r="AW184" s="33"/>
      <c r="AX184" s="33"/>
      <c r="AY184" s="76"/>
    </row>
    <row r="185" spans="3:51">
      <c r="C185" s="166" t="s">
        <v>60</v>
      </c>
      <c r="D185" s="4">
        <v>0.57999999999999996</v>
      </c>
      <c r="E185" s="188" t="s">
        <v>227</v>
      </c>
      <c r="F185" s="343">
        <f>IF(OR(Tableau145[[#This Row],[Type]]="Feuillus",Tableau145[[#This Row],[Type]]="Peupliers"),1.56,1.3)</f>
        <v>1.56</v>
      </c>
      <c r="I185" s="55">
        <v>180</v>
      </c>
      <c r="J185" s="33">
        <f t="shared" si="79"/>
        <v>0</v>
      </c>
      <c r="K185" s="33">
        <f t="shared" si="80"/>
        <v>0</v>
      </c>
      <c r="L185" s="33">
        <f t="shared" si="81"/>
        <v>0</v>
      </c>
      <c r="M185" s="33">
        <f t="shared" si="82"/>
        <v>0</v>
      </c>
      <c r="N185" s="33">
        <f t="shared" si="68"/>
        <v>0</v>
      </c>
      <c r="O185" s="34">
        <f t="shared" si="69"/>
        <v>0</v>
      </c>
      <c r="P185" s="55">
        <v>180</v>
      </c>
      <c r="Q185" s="33">
        <f t="shared" si="77"/>
        <v>0</v>
      </c>
      <c r="R185" s="33">
        <f t="shared" si="83"/>
        <v>0</v>
      </c>
      <c r="S185" s="33">
        <f t="shared" si="84"/>
        <v>0</v>
      </c>
      <c r="T185" s="33">
        <f t="shared" si="70"/>
        <v>0</v>
      </c>
      <c r="U185" s="33">
        <f t="shared" si="78"/>
        <v>0</v>
      </c>
      <c r="V185" s="33">
        <f t="shared" si="71"/>
        <v>0</v>
      </c>
      <c r="W185" s="33">
        <v>0</v>
      </c>
      <c r="X185" s="33">
        <f t="shared" si="72"/>
        <v>0</v>
      </c>
      <c r="Y185" s="38">
        <f t="shared" si="73"/>
        <v>0</v>
      </c>
      <c r="AA185" s="71">
        <v>180</v>
      </c>
      <c r="AB185" s="33">
        <f t="shared" si="74"/>
        <v>0</v>
      </c>
      <c r="AC185" s="305">
        <f t="shared" si="89"/>
        <v>0</v>
      </c>
      <c r="AD185" s="100">
        <f t="shared" si="75"/>
        <v>0</v>
      </c>
      <c r="AE185" s="100">
        <f t="shared" si="76"/>
        <v>0</v>
      </c>
      <c r="AF185" s="194">
        <f t="shared" si="85"/>
        <v>0</v>
      </c>
      <c r="AG185" s="194">
        <f t="shared" si="86"/>
        <v>0</v>
      </c>
      <c r="AH185" s="194">
        <f t="shared" si="87"/>
        <v>0</v>
      </c>
      <c r="AI185" s="199">
        <f t="shared" si="88"/>
        <v>0</v>
      </c>
      <c r="AK185" s="71">
        <v>180</v>
      </c>
      <c r="AL185" s="33"/>
      <c r="AM185" s="33"/>
      <c r="AN185" s="33"/>
      <c r="AO185" s="33"/>
      <c r="AP185" s="33"/>
      <c r="AQ185" s="194"/>
      <c r="AR185" s="194"/>
      <c r="AS185" s="194"/>
      <c r="AT185" s="194"/>
      <c r="AU185" s="33"/>
      <c r="AV185" s="33"/>
      <c r="AW185" s="33"/>
      <c r="AX185" s="33"/>
      <c r="AY185" s="76"/>
    </row>
    <row r="186" spans="3:51">
      <c r="C186" s="166" t="s">
        <v>61</v>
      </c>
      <c r="D186" s="4">
        <v>0.37</v>
      </c>
      <c r="E186" s="188" t="s">
        <v>228</v>
      </c>
      <c r="F186" s="343">
        <f>IF(OR(Tableau145[[#This Row],[Type]]="Feuillus",Tableau145[[#This Row],[Type]]="Peupliers"),1.56,1.3)</f>
        <v>1.3</v>
      </c>
      <c r="I186" s="55">
        <v>181</v>
      </c>
      <c r="J186" s="33">
        <f t="shared" si="79"/>
        <v>0</v>
      </c>
      <c r="K186" s="33">
        <f t="shared" si="80"/>
        <v>0</v>
      </c>
      <c r="L186" s="33">
        <f t="shared" si="81"/>
        <v>0</v>
      </c>
      <c r="M186" s="33">
        <f t="shared" si="82"/>
        <v>0</v>
      </c>
      <c r="N186" s="33">
        <f t="shared" si="68"/>
        <v>0</v>
      </c>
      <c r="O186" s="34">
        <f t="shared" si="69"/>
        <v>0</v>
      </c>
      <c r="P186" s="55">
        <v>181</v>
      </c>
      <c r="Q186" s="33">
        <f t="shared" si="77"/>
        <v>0</v>
      </c>
      <c r="R186" s="33">
        <f t="shared" si="83"/>
        <v>0</v>
      </c>
      <c r="S186" s="33">
        <f t="shared" si="84"/>
        <v>0</v>
      </c>
      <c r="T186" s="33">
        <f t="shared" si="70"/>
        <v>0</v>
      </c>
      <c r="U186" s="33">
        <f t="shared" si="78"/>
        <v>0</v>
      </c>
      <c r="V186" s="33">
        <f t="shared" si="71"/>
        <v>0</v>
      </c>
      <c r="W186" s="33">
        <v>0</v>
      </c>
      <c r="X186" s="33">
        <f t="shared" si="72"/>
        <v>0</v>
      </c>
      <c r="Y186" s="38">
        <f t="shared" si="73"/>
        <v>0</v>
      </c>
      <c r="AA186" s="71">
        <v>181</v>
      </c>
      <c r="AB186" s="33">
        <f t="shared" si="74"/>
        <v>0</v>
      </c>
      <c r="AC186" s="305">
        <f t="shared" si="89"/>
        <v>0</v>
      </c>
      <c r="AD186" s="100">
        <f t="shared" si="75"/>
        <v>0</v>
      </c>
      <c r="AE186" s="100">
        <f t="shared" si="76"/>
        <v>0</v>
      </c>
      <c r="AF186" s="194">
        <f t="shared" si="85"/>
        <v>0</v>
      </c>
      <c r="AG186" s="194">
        <f t="shared" si="86"/>
        <v>0</v>
      </c>
      <c r="AH186" s="194">
        <f t="shared" si="87"/>
        <v>0</v>
      </c>
      <c r="AI186" s="199">
        <f t="shared" si="88"/>
        <v>0</v>
      </c>
      <c r="AK186" s="71">
        <v>181</v>
      </c>
      <c r="AL186" s="33"/>
      <c r="AM186" s="33"/>
      <c r="AN186" s="33"/>
      <c r="AO186" s="33"/>
      <c r="AP186" s="33"/>
      <c r="AQ186" s="194"/>
      <c r="AR186" s="194"/>
      <c r="AS186" s="194"/>
      <c r="AT186" s="194"/>
      <c r="AU186" s="33"/>
      <c r="AV186" s="33"/>
      <c r="AW186" s="33"/>
      <c r="AX186" s="33"/>
      <c r="AY186" s="76"/>
    </row>
    <row r="187" spans="3:51">
      <c r="C187" s="166" t="s">
        <v>62</v>
      </c>
      <c r="D187" s="4">
        <v>0.37</v>
      </c>
      <c r="E187" s="188" t="s">
        <v>228</v>
      </c>
      <c r="F187" s="343">
        <f>IF(OR(Tableau145[[#This Row],[Type]]="Feuillus",Tableau145[[#This Row],[Type]]="Peupliers"),1.56,1.3)</f>
        <v>1.3</v>
      </c>
      <c r="I187" s="55">
        <v>182</v>
      </c>
      <c r="J187" s="33">
        <f t="shared" si="79"/>
        <v>0</v>
      </c>
      <c r="K187" s="33">
        <f t="shared" si="80"/>
        <v>0</v>
      </c>
      <c r="L187" s="33">
        <f t="shared" si="81"/>
        <v>0</v>
      </c>
      <c r="M187" s="33">
        <f t="shared" si="82"/>
        <v>0</v>
      </c>
      <c r="N187" s="33">
        <f t="shared" si="68"/>
        <v>0</v>
      </c>
      <c r="O187" s="34">
        <f t="shared" si="69"/>
        <v>0</v>
      </c>
      <c r="P187" s="55">
        <v>182</v>
      </c>
      <c r="Q187" s="33">
        <f t="shared" si="77"/>
        <v>0</v>
      </c>
      <c r="R187" s="33">
        <f t="shared" si="83"/>
        <v>0</v>
      </c>
      <c r="S187" s="33">
        <f t="shared" si="84"/>
        <v>0</v>
      </c>
      <c r="T187" s="33">
        <f t="shared" si="70"/>
        <v>0</v>
      </c>
      <c r="U187" s="33">
        <f t="shared" si="78"/>
        <v>0</v>
      </c>
      <c r="V187" s="33">
        <f t="shared" si="71"/>
        <v>0</v>
      </c>
      <c r="W187" s="33">
        <v>0</v>
      </c>
      <c r="X187" s="33">
        <f t="shared" si="72"/>
        <v>0</v>
      </c>
      <c r="Y187" s="38">
        <f t="shared" si="73"/>
        <v>0</v>
      </c>
      <c r="AA187" s="71">
        <v>182</v>
      </c>
      <c r="AB187" s="33">
        <f t="shared" si="74"/>
        <v>0</v>
      </c>
      <c r="AC187" s="305">
        <f t="shared" si="89"/>
        <v>0</v>
      </c>
      <c r="AD187" s="100">
        <f t="shared" si="75"/>
        <v>0</v>
      </c>
      <c r="AE187" s="100">
        <f t="shared" si="76"/>
        <v>0</v>
      </c>
      <c r="AF187" s="194">
        <f t="shared" si="85"/>
        <v>0</v>
      </c>
      <c r="AG187" s="194">
        <f t="shared" si="86"/>
        <v>0</v>
      </c>
      <c r="AH187" s="194">
        <f t="shared" si="87"/>
        <v>0</v>
      </c>
      <c r="AI187" s="199">
        <f t="shared" si="88"/>
        <v>0</v>
      </c>
      <c r="AK187" s="71">
        <v>182</v>
      </c>
      <c r="AL187" s="33"/>
      <c r="AM187" s="33"/>
      <c r="AN187" s="33"/>
      <c r="AO187" s="33"/>
      <c r="AP187" s="33"/>
      <c r="AQ187" s="194"/>
      <c r="AR187" s="194"/>
      <c r="AS187" s="194"/>
      <c r="AT187" s="194"/>
      <c r="AU187" s="33"/>
      <c r="AV187" s="33"/>
      <c r="AW187" s="33"/>
      <c r="AX187" s="33"/>
      <c r="AY187" s="76"/>
    </row>
    <row r="188" spans="3:51">
      <c r="C188" s="166" t="s">
        <v>63</v>
      </c>
      <c r="D188" s="4">
        <v>0.38</v>
      </c>
      <c r="E188" s="188" t="s">
        <v>228</v>
      </c>
      <c r="F188" s="343">
        <f>IF(OR(Tableau145[[#This Row],[Type]]="Feuillus",Tableau145[[#This Row],[Type]]="Peupliers"),1.56,1.3)</f>
        <v>1.3</v>
      </c>
      <c r="I188" s="55">
        <v>183</v>
      </c>
      <c r="J188" s="33">
        <f t="shared" si="79"/>
        <v>0</v>
      </c>
      <c r="K188" s="33">
        <f t="shared" si="80"/>
        <v>0</v>
      </c>
      <c r="L188" s="33">
        <f t="shared" si="81"/>
        <v>0</v>
      </c>
      <c r="M188" s="33">
        <f t="shared" si="82"/>
        <v>0</v>
      </c>
      <c r="N188" s="33">
        <f t="shared" si="68"/>
        <v>0</v>
      </c>
      <c r="O188" s="34">
        <f t="shared" si="69"/>
        <v>0</v>
      </c>
      <c r="P188" s="55">
        <v>183</v>
      </c>
      <c r="Q188" s="33">
        <f t="shared" si="77"/>
        <v>0</v>
      </c>
      <c r="R188" s="33">
        <f t="shared" si="83"/>
        <v>0</v>
      </c>
      <c r="S188" s="33">
        <f t="shared" si="84"/>
        <v>0</v>
      </c>
      <c r="T188" s="33">
        <f t="shared" si="70"/>
        <v>0</v>
      </c>
      <c r="U188" s="33">
        <f t="shared" si="78"/>
        <v>0</v>
      </c>
      <c r="V188" s="33">
        <f t="shared" si="71"/>
        <v>0</v>
      </c>
      <c r="W188" s="33">
        <v>0</v>
      </c>
      <c r="X188" s="33">
        <f t="shared" si="72"/>
        <v>0</v>
      </c>
      <c r="Y188" s="38">
        <f t="shared" si="73"/>
        <v>0</v>
      </c>
      <c r="AA188" s="71">
        <v>183</v>
      </c>
      <c r="AB188" s="33">
        <f t="shared" si="74"/>
        <v>0</v>
      </c>
      <c r="AC188" s="305">
        <f t="shared" si="89"/>
        <v>0</v>
      </c>
      <c r="AD188" s="100">
        <f t="shared" si="75"/>
        <v>0</v>
      </c>
      <c r="AE188" s="100">
        <f t="shared" si="76"/>
        <v>0</v>
      </c>
      <c r="AF188" s="194">
        <f t="shared" si="85"/>
        <v>0</v>
      </c>
      <c r="AG188" s="194">
        <f t="shared" si="86"/>
        <v>0</v>
      </c>
      <c r="AH188" s="194">
        <f t="shared" si="87"/>
        <v>0</v>
      </c>
      <c r="AI188" s="199">
        <f t="shared" si="88"/>
        <v>0</v>
      </c>
      <c r="AK188" s="71">
        <v>183</v>
      </c>
      <c r="AL188" s="33"/>
      <c r="AM188" s="33"/>
      <c r="AN188" s="33"/>
      <c r="AO188" s="33"/>
      <c r="AP188" s="33"/>
      <c r="AQ188" s="194"/>
      <c r="AR188" s="194"/>
      <c r="AS188" s="194"/>
      <c r="AT188" s="194"/>
      <c r="AU188" s="33"/>
      <c r="AV188" s="33"/>
      <c r="AW188" s="33"/>
      <c r="AX188" s="33"/>
      <c r="AY188" s="76"/>
    </row>
    <row r="189" spans="3:51">
      <c r="C189" s="166" t="s">
        <v>64</v>
      </c>
      <c r="D189" s="4">
        <v>0.36</v>
      </c>
      <c r="E189" s="188" t="s">
        <v>228</v>
      </c>
      <c r="F189" s="343">
        <f>IF(OR(Tableau145[[#This Row],[Type]]="Feuillus",Tableau145[[#This Row],[Type]]="Peupliers"),1.56,1.3)</f>
        <v>1.3</v>
      </c>
      <c r="I189" s="55">
        <v>184</v>
      </c>
      <c r="J189" s="33">
        <f t="shared" si="79"/>
        <v>0</v>
      </c>
      <c r="K189" s="33">
        <f t="shared" si="80"/>
        <v>0</v>
      </c>
      <c r="L189" s="33">
        <f t="shared" si="81"/>
        <v>0</v>
      </c>
      <c r="M189" s="33">
        <f t="shared" si="82"/>
        <v>0</v>
      </c>
      <c r="N189" s="33">
        <f t="shared" si="68"/>
        <v>0</v>
      </c>
      <c r="O189" s="34">
        <f t="shared" si="69"/>
        <v>0</v>
      </c>
      <c r="P189" s="55">
        <v>184</v>
      </c>
      <c r="Q189" s="33">
        <f t="shared" si="77"/>
        <v>0</v>
      </c>
      <c r="R189" s="33">
        <f t="shared" si="83"/>
        <v>0</v>
      </c>
      <c r="S189" s="33">
        <f t="shared" si="84"/>
        <v>0</v>
      </c>
      <c r="T189" s="33">
        <f t="shared" si="70"/>
        <v>0</v>
      </c>
      <c r="U189" s="33">
        <f t="shared" si="78"/>
        <v>0</v>
      </c>
      <c r="V189" s="33">
        <f t="shared" si="71"/>
        <v>0</v>
      </c>
      <c r="W189" s="33">
        <v>0</v>
      </c>
      <c r="X189" s="33">
        <f t="shared" si="72"/>
        <v>0</v>
      </c>
      <c r="Y189" s="38">
        <f t="shared" si="73"/>
        <v>0</v>
      </c>
      <c r="AA189" s="71">
        <v>184</v>
      </c>
      <c r="AB189" s="33">
        <f t="shared" si="74"/>
        <v>0</v>
      </c>
      <c r="AC189" s="305">
        <f t="shared" si="89"/>
        <v>0</v>
      </c>
      <c r="AD189" s="100">
        <f t="shared" si="75"/>
        <v>0</v>
      </c>
      <c r="AE189" s="100">
        <f t="shared" si="76"/>
        <v>0</v>
      </c>
      <c r="AF189" s="194">
        <f t="shared" si="85"/>
        <v>0</v>
      </c>
      <c r="AG189" s="194">
        <f t="shared" si="86"/>
        <v>0</v>
      </c>
      <c r="AH189" s="194">
        <f t="shared" si="87"/>
        <v>0</v>
      </c>
      <c r="AI189" s="199">
        <f t="shared" si="88"/>
        <v>0</v>
      </c>
      <c r="AK189" s="71">
        <v>184</v>
      </c>
      <c r="AL189" s="33"/>
      <c r="AM189" s="33"/>
      <c r="AN189" s="33"/>
      <c r="AO189" s="33"/>
      <c r="AP189" s="33"/>
      <c r="AQ189" s="194"/>
      <c r="AR189" s="194"/>
      <c r="AS189" s="194"/>
      <c r="AT189" s="194"/>
      <c r="AU189" s="33"/>
      <c r="AV189" s="33"/>
      <c r="AW189" s="33"/>
      <c r="AX189" s="33"/>
      <c r="AY189" s="76"/>
    </row>
    <row r="190" spans="3:51">
      <c r="C190" s="166" t="s">
        <v>65</v>
      </c>
      <c r="D190" s="4">
        <v>0.37</v>
      </c>
      <c r="E190" s="188" t="s">
        <v>227</v>
      </c>
      <c r="F190" s="343">
        <f>IF(OR(Tableau145[[#This Row],[Type]]="Feuillus",Tableau145[[#This Row],[Type]]="Peupliers"),1.56,1.3)</f>
        <v>1.56</v>
      </c>
      <c r="I190" s="55">
        <v>185</v>
      </c>
      <c r="J190" s="33">
        <f t="shared" si="79"/>
        <v>0</v>
      </c>
      <c r="K190" s="33">
        <f t="shared" si="80"/>
        <v>0</v>
      </c>
      <c r="L190" s="33">
        <f t="shared" si="81"/>
        <v>0</v>
      </c>
      <c r="M190" s="33">
        <f t="shared" si="82"/>
        <v>0</v>
      </c>
      <c r="N190" s="33">
        <f t="shared" si="68"/>
        <v>0</v>
      </c>
      <c r="O190" s="34">
        <f t="shared" si="69"/>
        <v>0</v>
      </c>
      <c r="P190" s="55">
        <v>185</v>
      </c>
      <c r="Q190" s="33">
        <f t="shared" si="77"/>
        <v>0</v>
      </c>
      <c r="R190" s="33">
        <f t="shared" si="83"/>
        <v>0</v>
      </c>
      <c r="S190" s="33">
        <f t="shared" si="84"/>
        <v>0</v>
      </c>
      <c r="T190" s="33">
        <f t="shared" si="70"/>
        <v>0</v>
      </c>
      <c r="U190" s="33">
        <f t="shared" si="78"/>
        <v>0</v>
      </c>
      <c r="V190" s="33">
        <f t="shared" si="71"/>
        <v>0</v>
      </c>
      <c r="W190" s="33">
        <v>0</v>
      </c>
      <c r="X190" s="33">
        <f t="shared" si="72"/>
        <v>0</v>
      </c>
      <c r="Y190" s="38">
        <f t="shared" si="73"/>
        <v>0</v>
      </c>
      <c r="AA190" s="71">
        <v>185</v>
      </c>
      <c r="AB190" s="33">
        <f t="shared" si="74"/>
        <v>0</v>
      </c>
      <c r="AC190" s="305">
        <f t="shared" si="89"/>
        <v>0</v>
      </c>
      <c r="AD190" s="100">
        <f t="shared" si="75"/>
        <v>0</v>
      </c>
      <c r="AE190" s="100">
        <f t="shared" si="76"/>
        <v>0</v>
      </c>
      <c r="AF190" s="194">
        <f t="shared" si="85"/>
        <v>0</v>
      </c>
      <c r="AG190" s="194">
        <f t="shared" si="86"/>
        <v>0</v>
      </c>
      <c r="AH190" s="194">
        <f t="shared" si="87"/>
        <v>0</v>
      </c>
      <c r="AI190" s="199">
        <f t="shared" si="88"/>
        <v>0</v>
      </c>
      <c r="AK190" s="71">
        <v>185</v>
      </c>
      <c r="AL190" s="33"/>
      <c r="AM190" s="33"/>
      <c r="AN190" s="33"/>
      <c r="AO190" s="33"/>
      <c r="AP190" s="33"/>
      <c r="AQ190" s="194"/>
      <c r="AR190" s="194"/>
      <c r="AS190" s="194"/>
      <c r="AT190" s="194"/>
      <c r="AU190" s="33"/>
      <c r="AV190" s="33"/>
      <c r="AW190" s="33"/>
      <c r="AX190" s="33"/>
      <c r="AY190" s="76"/>
    </row>
    <row r="191" spans="3:51">
      <c r="C191" s="166" t="s">
        <v>66</v>
      </c>
      <c r="D191" s="4">
        <v>0.53</v>
      </c>
      <c r="E191" s="188" t="s">
        <v>227</v>
      </c>
      <c r="F191" s="343">
        <f>IF(OR(Tableau145[[#This Row],[Type]]="Feuillus",Tableau145[[#This Row],[Type]]="Peupliers"),1.56,1.3)</f>
        <v>1.56</v>
      </c>
      <c r="I191" s="55">
        <v>186</v>
      </c>
      <c r="J191" s="33">
        <f t="shared" si="79"/>
        <v>0</v>
      </c>
      <c r="K191" s="33">
        <f t="shared" si="80"/>
        <v>0</v>
      </c>
      <c r="L191" s="33">
        <f t="shared" si="81"/>
        <v>0</v>
      </c>
      <c r="M191" s="33">
        <f t="shared" si="82"/>
        <v>0</v>
      </c>
      <c r="N191" s="33">
        <f t="shared" si="68"/>
        <v>0</v>
      </c>
      <c r="O191" s="34">
        <f t="shared" si="69"/>
        <v>0</v>
      </c>
      <c r="P191" s="55">
        <v>186</v>
      </c>
      <c r="Q191" s="33">
        <f t="shared" si="77"/>
        <v>0</v>
      </c>
      <c r="R191" s="33">
        <f t="shared" si="83"/>
        <v>0</v>
      </c>
      <c r="S191" s="33">
        <f t="shared" si="84"/>
        <v>0</v>
      </c>
      <c r="T191" s="33">
        <f t="shared" si="70"/>
        <v>0</v>
      </c>
      <c r="U191" s="33">
        <f t="shared" si="78"/>
        <v>0</v>
      </c>
      <c r="V191" s="33">
        <f t="shared" si="71"/>
        <v>0</v>
      </c>
      <c r="W191" s="33">
        <v>0</v>
      </c>
      <c r="X191" s="33">
        <f t="shared" si="72"/>
        <v>0</v>
      </c>
      <c r="Y191" s="38">
        <f t="shared" si="73"/>
        <v>0</v>
      </c>
      <c r="AA191" s="71">
        <v>186</v>
      </c>
      <c r="AB191" s="33">
        <f t="shared" si="74"/>
        <v>0</v>
      </c>
      <c r="AC191" s="305">
        <f t="shared" si="89"/>
        <v>0</v>
      </c>
      <c r="AD191" s="100">
        <f t="shared" si="75"/>
        <v>0</v>
      </c>
      <c r="AE191" s="100">
        <f t="shared" si="76"/>
        <v>0</v>
      </c>
      <c r="AF191" s="194">
        <f t="shared" si="85"/>
        <v>0</v>
      </c>
      <c r="AG191" s="194">
        <f t="shared" si="86"/>
        <v>0</v>
      </c>
      <c r="AH191" s="194">
        <f t="shared" si="87"/>
        <v>0</v>
      </c>
      <c r="AI191" s="199">
        <f t="shared" si="88"/>
        <v>0</v>
      </c>
      <c r="AK191" s="71">
        <v>186</v>
      </c>
      <c r="AL191" s="33"/>
      <c r="AM191" s="33"/>
      <c r="AN191" s="33"/>
      <c r="AO191" s="33"/>
      <c r="AP191" s="33"/>
      <c r="AQ191" s="194"/>
      <c r="AR191" s="194"/>
      <c r="AS191" s="194"/>
      <c r="AT191" s="194"/>
      <c r="AU191" s="33"/>
      <c r="AV191" s="33"/>
      <c r="AW191" s="33"/>
      <c r="AX191" s="33"/>
      <c r="AY191" s="76"/>
    </row>
    <row r="192" spans="3:51">
      <c r="C192" s="166" t="s">
        <v>67</v>
      </c>
      <c r="D192" s="4">
        <v>0.43</v>
      </c>
      <c r="E192" s="188" t="s">
        <v>227</v>
      </c>
      <c r="F192" s="343">
        <f>IF(OR(Tableau145[[#This Row],[Type]]="Feuillus",Tableau145[[#This Row],[Type]]="Peupliers"),1.56,1.3)</f>
        <v>1.56</v>
      </c>
      <c r="I192" s="55">
        <v>187</v>
      </c>
      <c r="J192" s="33">
        <f t="shared" si="79"/>
        <v>0</v>
      </c>
      <c r="K192" s="33">
        <f t="shared" si="80"/>
        <v>0</v>
      </c>
      <c r="L192" s="33">
        <f t="shared" si="81"/>
        <v>0</v>
      </c>
      <c r="M192" s="33">
        <f t="shared" si="82"/>
        <v>0</v>
      </c>
      <c r="N192" s="33">
        <f t="shared" si="68"/>
        <v>0</v>
      </c>
      <c r="O192" s="34">
        <f t="shared" si="69"/>
        <v>0</v>
      </c>
      <c r="P192" s="55">
        <v>187</v>
      </c>
      <c r="Q192" s="33">
        <f t="shared" si="77"/>
        <v>0</v>
      </c>
      <c r="R192" s="33">
        <f t="shared" si="83"/>
        <v>0</v>
      </c>
      <c r="S192" s="33">
        <f t="shared" si="84"/>
        <v>0</v>
      </c>
      <c r="T192" s="33">
        <f t="shared" si="70"/>
        <v>0</v>
      </c>
      <c r="U192" s="33">
        <f t="shared" si="78"/>
        <v>0</v>
      </c>
      <c r="V192" s="33">
        <f t="shared" si="71"/>
        <v>0</v>
      </c>
      <c r="W192" s="33">
        <v>0</v>
      </c>
      <c r="X192" s="33">
        <f t="shared" si="72"/>
        <v>0</v>
      </c>
      <c r="Y192" s="38">
        <f t="shared" si="73"/>
        <v>0</v>
      </c>
      <c r="AA192" s="71">
        <v>187</v>
      </c>
      <c r="AB192" s="33">
        <f t="shared" si="74"/>
        <v>0</v>
      </c>
      <c r="AC192" s="305">
        <f t="shared" si="89"/>
        <v>0</v>
      </c>
      <c r="AD192" s="100">
        <f t="shared" si="75"/>
        <v>0</v>
      </c>
      <c r="AE192" s="100">
        <f t="shared" si="76"/>
        <v>0</v>
      </c>
      <c r="AF192" s="194">
        <f t="shared" si="85"/>
        <v>0</v>
      </c>
      <c r="AG192" s="194">
        <f t="shared" si="86"/>
        <v>0</v>
      </c>
      <c r="AH192" s="194">
        <f t="shared" si="87"/>
        <v>0</v>
      </c>
      <c r="AI192" s="199">
        <f t="shared" si="88"/>
        <v>0</v>
      </c>
      <c r="AK192" s="71">
        <v>187</v>
      </c>
      <c r="AL192" s="33"/>
      <c r="AM192" s="33"/>
      <c r="AN192" s="33"/>
      <c r="AO192" s="33"/>
      <c r="AP192" s="33"/>
      <c r="AQ192" s="194"/>
      <c r="AR192" s="194"/>
      <c r="AS192" s="194"/>
      <c r="AT192" s="194"/>
      <c r="AU192" s="33"/>
      <c r="AV192" s="33"/>
      <c r="AW192" s="33"/>
      <c r="AX192" s="33"/>
      <c r="AY192" s="76"/>
    </row>
    <row r="193" spans="3:51">
      <c r="C193" s="166" t="s">
        <v>68</v>
      </c>
      <c r="D193" s="4">
        <v>0.38</v>
      </c>
      <c r="E193" s="188" t="s">
        <v>227</v>
      </c>
      <c r="F193" s="343">
        <f>IF(OR(Tableau145[[#This Row],[Type]]="Feuillus",Tableau145[[#This Row],[Type]]="Peupliers"),1.56,1.3)</f>
        <v>1.56</v>
      </c>
      <c r="I193" s="55">
        <v>188</v>
      </c>
      <c r="J193" s="33">
        <f t="shared" si="79"/>
        <v>0</v>
      </c>
      <c r="K193" s="33">
        <f t="shared" si="80"/>
        <v>0</v>
      </c>
      <c r="L193" s="33">
        <f t="shared" si="81"/>
        <v>0</v>
      </c>
      <c r="M193" s="33">
        <f t="shared" si="82"/>
        <v>0</v>
      </c>
      <c r="N193" s="33">
        <f t="shared" si="68"/>
        <v>0</v>
      </c>
      <c r="O193" s="34">
        <f t="shared" si="69"/>
        <v>0</v>
      </c>
      <c r="P193" s="55">
        <v>188</v>
      </c>
      <c r="Q193" s="33">
        <f t="shared" si="77"/>
        <v>0</v>
      </c>
      <c r="R193" s="33">
        <f t="shared" si="83"/>
        <v>0</v>
      </c>
      <c r="S193" s="33">
        <f t="shared" si="84"/>
        <v>0</v>
      </c>
      <c r="T193" s="33">
        <f t="shared" si="70"/>
        <v>0</v>
      </c>
      <c r="U193" s="33">
        <f t="shared" si="78"/>
        <v>0</v>
      </c>
      <c r="V193" s="33">
        <f t="shared" si="71"/>
        <v>0</v>
      </c>
      <c r="W193" s="33">
        <v>0</v>
      </c>
      <c r="X193" s="33">
        <f t="shared" si="72"/>
        <v>0</v>
      </c>
      <c r="Y193" s="38">
        <f t="shared" si="73"/>
        <v>0</v>
      </c>
      <c r="AA193" s="71">
        <v>188</v>
      </c>
      <c r="AB193" s="33">
        <f t="shared" si="74"/>
        <v>0</v>
      </c>
      <c r="AC193" s="305">
        <f t="shared" si="89"/>
        <v>0</v>
      </c>
      <c r="AD193" s="100">
        <f t="shared" si="75"/>
        <v>0</v>
      </c>
      <c r="AE193" s="100">
        <f t="shared" si="76"/>
        <v>0</v>
      </c>
      <c r="AF193" s="194">
        <f t="shared" si="85"/>
        <v>0</v>
      </c>
      <c r="AG193" s="194">
        <f t="shared" si="86"/>
        <v>0</v>
      </c>
      <c r="AH193" s="194">
        <f t="shared" si="87"/>
        <v>0</v>
      </c>
      <c r="AI193" s="199">
        <f t="shared" si="88"/>
        <v>0</v>
      </c>
      <c r="AK193" s="71">
        <v>188</v>
      </c>
      <c r="AL193" s="33"/>
      <c r="AM193" s="33"/>
      <c r="AN193" s="33"/>
      <c r="AO193" s="33"/>
      <c r="AP193" s="33"/>
      <c r="AQ193" s="194"/>
      <c r="AR193" s="194"/>
      <c r="AS193" s="194"/>
      <c r="AT193" s="194"/>
      <c r="AU193" s="33"/>
      <c r="AV193" s="33"/>
      <c r="AW193" s="33"/>
      <c r="AX193" s="33"/>
      <c r="AY193" s="76"/>
    </row>
    <row r="194" spans="3:51">
      <c r="C194" s="168" t="s">
        <v>69</v>
      </c>
      <c r="D194" s="3">
        <v>0.42</v>
      </c>
      <c r="E194" s="188" t="s">
        <v>228</v>
      </c>
      <c r="F194" s="343">
        <f>IF(OR(Tableau145[[#This Row],[Type]]="Feuillus",Tableau145[[#This Row],[Type]]="Peupliers"),1.56,1.3)</f>
        <v>1.3</v>
      </c>
      <c r="I194" s="55">
        <v>189</v>
      </c>
      <c r="J194" s="33">
        <f t="shared" si="79"/>
        <v>0</v>
      </c>
      <c r="K194" s="33">
        <f t="shared" si="80"/>
        <v>0</v>
      </c>
      <c r="L194" s="33">
        <f t="shared" si="81"/>
        <v>0</v>
      </c>
      <c r="M194" s="33">
        <f t="shared" si="82"/>
        <v>0</v>
      </c>
      <c r="N194" s="33">
        <f t="shared" si="68"/>
        <v>0</v>
      </c>
      <c r="O194" s="34">
        <f t="shared" si="69"/>
        <v>0</v>
      </c>
      <c r="P194" s="55">
        <v>189</v>
      </c>
      <c r="Q194" s="33">
        <f t="shared" si="77"/>
        <v>0</v>
      </c>
      <c r="R194" s="33">
        <f t="shared" si="83"/>
        <v>0</v>
      </c>
      <c r="S194" s="33">
        <f t="shared" si="84"/>
        <v>0</v>
      </c>
      <c r="T194" s="33">
        <f t="shared" si="70"/>
        <v>0</v>
      </c>
      <c r="U194" s="33">
        <f t="shared" si="78"/>
        <v>0</v>
      </c>
      <c r="V194" s="33">
        <f t="shared" si="71"/>
        <v>0</v>
      </c>
      <c r="W194" s="33">
        <v>0</v>
      </c>
      <c r="X194" s="33">
        <f t="shared" si="72"/>
        <v>0</v>
      </c>
      <c r="Y194" s="38">
        <f t="shared" si="73"/>
        <v>0</v>
      </c>
      <c r="AA194" s="71">
        <v>189</v>
      </c>
      <c r="AB194" s="33">
        <f t="shared" si="74"/>
        <v>0</v>
      </c>
      <c r="AC194" s="305">
        <f t="shared" si="89"/>
        <v>0</v>
      </c>
      <c r="AD194" s="100">
        <f t="shared" si="75"/>
        <v>0</v>
      </c>
      <c r="AE194" s="100">
        <f t="shared" si="76"/>
        <v>0</v>
      </c>
      <c r="AF194" s="194">
        <f t="shared" si="85"/>
        <v>0</v>
      </c>
      <c r="AG194" s="194">
        <f t="shared" si="86"/>
        <v>0</v>
      </c>
      <c r="AH194" s="194">
        <f t="shared" si="87"/>
        <v>0</v>
      </c>
      <c r="AI194" s="199">
        <f t="shared" si="88"/>
        <v>0</v>
      </c>
      <c r="AK194" s="71">
        <v>189</v>
      </c>
      <c r="AL194" s="33"/>
      <c r="AM194" s="33"/>
      <c r="AN194" s="33"/>
      <c r="AO194" s="33"/>
      <c r="AP194" s="33"/>
      <c r="AQ194" s="194"/>
      <c r="AR194" s="194"/>
      <c r="AS194" s="194"/>
      <c r="AT194" s="194"/>
      <c r="AU194" s="33"/>
      <c r="AV194" s="33"/>
      <c r="AW194" s="33"/>
      <c r="AX194" s="33"/>
      <c r="AY194" s="76"/>
    </row>
    <row r="195" spans="3:51">
      <c r="C195" s="168" t="s">
        <v>70</v>
      </c>
      <c r="D195" s="3">
        <v>0.56999999999999995</v>
      </c>
      <c r="E195" s="188" t="s">
        <v>227</v>
      </c>
      <c r="F195" s="343">
        <f>IF(OR(Tableau145[[#This Row],[Type]]="Feuillus",Tableau145[[#This Row],[Type]]="Peupliers"),1.56,1.3)</f>
        <v>1.56</v>
      </c>
      <c r="I195" s="55">
        <v>190</v>
      </c>
      <c r="J195" s="33">
        <f t="shared" si="79"/>
        <v>0</v>
      </c>
      <c r="K195" s="33">
        <f t="shared" si="80"/>
        <v>0</v>
      </c>
      <c r="L195" s="33">
        <f t="shared" si="81"/>
        <v>0</v>
      </c>
      <c r="M195" s="33">
        <f t="shared" si="82"/>
        <v>0</v>
      </c>
      <c r="N195" s="33">
        <f t="shared" si="68"/>
        <v>0</v>
      </c>
      <c r="O195" s="34">
        <f t="shared" si="69"/>
        <v>0</v>
      </c>
      <c r="P195" s="55">
        <v>190</v>
      </c>
      <c r="Q195" s="33">
        <f t="shared" si="77"/>
        <v>0</v>
      </c>
      <c r="R195" s="33">
        <f t="shared" si="83"/>
        <v>0</v>
      </c>
      <c r="S195" s="33">
        <f t="shared" si="84"/>
        <v>0</v>
      </c>
      <c r="T195" s="33">
        <f t="shared" si="70"/>
        <v>0</v>
      </c>
      <c r="U195" s="33">
        <f t="shared" si="78"/>
        <v>0</v>
      </c>
      <c r="V195" s="33">
        <f t="shared" si="71"/>
        <v>0</v>
      </c>
      <c r="W195" s="33">
        <v>0</v>
      </c>
      <c r="X195" s="33">
        <f t="shared" si="72"/>
        <v>0</v>
      </c>
      <c r="Y195" s="38">
        <f t="shared" si="73"/>
        <v>0</v>
      </c>
      <c r="AA195" s="71">
        <v>190</v>
      </c>
      <c r="AB195" s="33">
        <f t="shared" si="74"/>
        <v>0</v>
      </c>
      <c r="AC195" s="305">
        <f t="shared" si="89"/>
        <v>0</v>
      </c>
      <c r="AD195" s="100">
        <f t="shared" si="75"/>
        <v>0</v>
      </c>
      <c r="AE195" s="100">
        <f t="shared" si="76"/>
        <v>0</v>
      </c>
      <c r="AF195" s="194">
        <f t="shared" si="85"/>
        <v>0</v>
      </c>
      <c r="AG195" s="194">
        <f t="shared" si="86"/>
        <v>0</v>
      </c>
      <c r="AH195" s="194">
        <f t="shared" si="87"/>
        <v>0</v>
      </c>
      <c r="AI195" s="199">
        <f t="shared" si="88"/>
        <v>0</v>
      </c>
      <c r="AK195" s="71">
        <v>190</v>
      </c>
      <c r="AL195" s="33"/>
      <c r="AM195" s="33"/>
      <c r="AN195" s="33"/>
      <c r="AO195" s="33"/>
      <c r="AP195" s="33"/>
      <c r="AQ195" s="194"/>
      <c r="AR195" s="194"/>
      <c r="AS195" s="194"/>
      <c r="AT195" s="194"/>
      <c r="AU195" s="33"/>
      <c r="AV195" s="33"/>
      <c r="AW195" s="33"/>
      <c r="AX195" s="33"/>
      <c r="AY195" s="76"/>
    </row>
    <row r="196" spans="3:51">
      <c r="C196" s="168" t="s">
        <v>71</v>
      </c>
      <c r="D196" s="3">
        <v>0.54</v>
      </c>
      <c r="E196" s="188"/>
      <c r="F196" s="343">
        <f>IF(OR(Tableau145[[#This Row],[Type]]="Feuillus",Tableau145[[#This Row],[Type]]="Peupliers"),1.56,1.3)</f>
        <v>1.3</v>
      </c>
      <c r="I196" s="55">
        <v>191</v>
      </c>
      <c r="J196" s="33">
        <f t="shared" si="79"/>
        <v>0</v>
      </c>
      <c r="K196" s="33">
        <f t="shared" si="80"/>
        <v>0</v>
      </c>
      <c r="L196" s="33">
        <f t="shared" si="81"/>
        <v>0</v>
      </c>
      <c r="M196" s="33">
        <f t="shared" si="82"/>
        <v>0</v>
      </c>
      <c r="N196" s="33">
        <f t="shared" si="68"/>
        <v>0</v>
      </c>
      <c r="O196" s="34">
        <f t="shared" si="69"/>
        <v>0</v>
      </c>
      <c r="P196" s="55">
        <v>191</v>
      </c>
      <c r="Q196" s="33">
        <f t="shared" si="77"/>
        <v>0</v>
      </c>
      <c r="R196" s="33">
        <f t="shared" si="83"/>
        <v>0</v>
      </c>
      <c r="S196" s="33">
        <f t="shared" si="84"/>
        <v>0</v>
      </c>
      <c r="T196" s="33">
        <f t="shared" si="70"/>
        <v>0</v>
      </c>
      <c r="U196" s="33">
        <f t="shared" si="78"/>
        <v>0</v>
      </c>
      <c r="V196" s="33">
        <f t="shared" si="71"/>
        <v>0</v>
      </c>
      <c r="W196" s="33">
        <v>0</v>
      </c>
      <c r="X196" s="33">
        <f t="shared" si="72"/>
        <v>0</v>
      </c>
      <c r="Y196" s="38">
        <f t="shared" si="73"/>
        <v>0</v>
      </c>
      <c r="AA196" s="71">
        <v>191</v>
      </c>
      <c r="AB196" s="33">
        <f t="shared" si="74"/>
        <v>0</v>
      </c>
      <c r="AC196" s="305">
        <f t="shared" si="89"/>
        <v>0</v>
      </c>
      <c r="AD196" s="100">
        <f t="shared" si="75"/>
        <v>0</v>
      </c>
      <c r="AE196" s="100">
        <f t="shared" si="76"/>
        <v>0</v>
      </c>
      <c r="AF196" s="194">
        <f t="shared" si="85"/>
        <v>0</v>
      </c>
      <c r="AG196" s="194">
        <f t="shared" si="86"/>
        <v>0</v>
      </c>
      <c r="AH196" s="194">
        <f t="shared" si="87"/>
        <v>0</v>
      </c>
      <c r="AI196" s="199">
        <f t="shared" si="88"/>
        <v>0</v>
      </c>
      <c r="AK196" s="71">
        <v>191</v>
      </c>
      <c r="AL196" s="33"/>
      <c r="AM196" s="33"/>
      <c r="AN196" s="33"/>
      <c r="AO196" s="33"/>
      <c r="AP196" s="33"/>
      <c r="AQ196" s="194"/>
      <c r="AR196" s="194"/>
      <c r="AS196" s="194"/>
      <c r="AT196" s="194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9"/>
        <v>0</v>
      </c>
      <c r="K197" s="33">
        <f t="shared" si="80"/>
        <v>0</v>
      </c>
      <c r="L197" s="33">
        <f t="shared" si="81"/>
        <v>0</v>
      </c>
      <c r="M197" s="33">
        <f t="shared" si="82"/>
        <v>0</v>
      </c>
      <c r="N197" s="33">
        <f t="shared" ref="N197:N204" si="90">IF(P198&lt;=$F$18,0,)</f>
        <v>0</v>
      </c>
      <c r="O197" s="34">
        <f t="shared" ref="O197:O205" si="91">((J197+K197)*0.475+L197+M197+N197)*44/12</f>
        <v>0</v>
      </c>
      <c r="P197" s="55">
        <v>192</v>
      </c>
      <c r="Q197" s="33">
        <f t="shared" si="77"/>
        <v>0</v>
      </c>
      <c r="R197" s="33">
        <f t="shared" si="83"/>
        <v>0</v>
      </c>
      <c r="S197" s="33">
        <f t="shared" si="84"/>
        <v>0</v>
      </c>
      <c r="T197" s="33">
        <f t="shared" ref="T197:T205" si="92">IF(S197=0,0,EXP(-1.0587+0.8836*LN(S197)+0.284))</f>
        <v>0</v>
      </c>
      <c r="U197" s="33">
        <f t="shared" si="78"/>
        <v>0</v>
      </c>
      <c r="V197" s="33">
        <f t="shared" ref="V197:V205" si="93">IF(P197&lt;=$F$18,IF(P197&lt;=30,P197*($F$16-$F$6)/30,$F$16-$F$6),)</f>
        <v>0</v>
      </c>
      <c r="W197" s="33">
        <v>0</v>
      </c>
      <c r="X197" s="33">
        <f t="shared" ref="X197:X205" si="94">((S197+T197)*0.475+U197+V197+W197)*44/12</f>
        <v>0</v>
      </c>
      <c r="Y197" s="38">
        <f t="shared" ref="Y197:Y205" si="95">IF(P197&lt;=$F$18,X197-O197,)</f>
        <v>0</v>
      </c>
      <c r="AA197" s="71">
        <v>192</v>
      </c>
      <c r="AB197" s="33">
        <f t="shared" ref="AB197:AB205" si="96">IF(AA197&lt;=$F$18,IFERROR(VLOOKUP($AA197,$B$82:$G$94,2,FALSE),0),)</f>
        <v>0</v>
      </c>
      <c r="AC197" s="305">
        <f t="shared" si="89"/>
        <v>0</v>
      </c>
      <c r="AD197" s="100">
        <f t="shared" ref="AD197:AD205" si="97">IF(AA197&lt;=$F$18,IFERROR(VLOOKUP($AA197,$B$82:$G$94,4,FALSE),0),)</f>
        <v>0</v>
      </c>
      <c r="AE197" s="100">
        <f t="shared" ref="AE197:AE205" si="98">IF(AA197&lt;=$F$18,IFERROR(VLOOKUP($AA197,$B$82:$G$94,5,FALSE),0),)</f>
        <v>0</v>
      </c>
      <c r="AF197" s="194">
        <f t="shared" si="85"/>
        <v>0</v>
      </c>
      <c r="AG197" s="194">
        <f t="shared" si="86"/>
        <v>0</v>
      </c>
      <c r="AH197" s="194">
        <f t="shared" si="87"/>
        <v>0</v>
      </c>
      <c r="AI197" s="199">
        <f t="shared" si="88"/>
        <v>0</v>
      </c>
      <c r="AK197" s="71">
        <v>192</v>
      </c>
      <c r="AL197" s="33"/>
      <c r="AM197" s="33"/>
      <c r="AN197" s="33"/>
      <c r="AO197" s="33"/>
      <c r="AP197" s="33"/>
      <c r="AQ197" s="194"/>
      <c r="AR197" s="194"/>
      <c r="AS197" s="194"/>
      <c r="AT197" s="194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9"/>
        <v>0</v>
      </c>
      <c r="K198" s="33">
        <f t="shared" si="80"/>
        <v>0</v>
      </c>
      <c r="L198" s="33">
        <f t="shared" si="81"/>
        <v>0</v>
      </c>
      <c r="M198" s="33">
        <f t="shared" si="82"/>
        <v>0</v>
      </c>
      <c r="N198" s="33">
        <f t="shared" si="90"/>
        <v>0</v>
      </c>
      <c r="O198" s="34">
        <f t="shared" si="91"/>
        <v>0</v>
      </c>
      <c r="P198" s="55">
        <v>193</v>
      </c>
      <c r="Q198" s="33">
        <f t="shared" ref="Q198:Q205" si="99">IF(P198&lt;=$F$18,LOOKUP(P198-1,$B$25:$B$78,$G$25:$G$78),)</f>
        <v>0</v>
      </c>
      <c r="R198" s="33">
        <f t="shared" si="83"/>
        <v>0</v>
      </c>
      <c r="S198" s="33">
        <f t="shared" si="84"/>
        <v>0</v>
      </c>
      <c r="T198" s="33">
        <f t="shared" si="92"/>
        <v>0</v>
      </c>
      <c r="U198" s="33">
        <f t="shared" ref="U198:U205" si="100">IF(P198&lt;=$F$18,$F$5+($F$15-$F$5)*(1-EXP(-0.0175*P198)),)</f>
        <v>0</v>
      </c>
      <c r="V198" s="33">
        <f t="shared" si="93"/>
        <v>0</v>
      </c>
      <c r="W198" s="33">
        <v>0</v>
      </c>
      <c r="X198" s="33">
        <f t="shared" si="94"/>
        <v>0</v>
      </c>
      <c r="Y198" s="38">
        <f t="shared" si="95"/>
        <v>0</v>
      </c>
      <c r="AA198" s="71">
        <v>193</v>
      </c>
      <c r="AB198" s="33">
        <f t="shared" si="96"/>
        <v>0</v>
      </c>
      <c r="AC198" s="305">
        <f t="shared" si="89"/>
        <v>0</v>
      </c>
      <c r="AD198" s="100">
        <f t="shared" si="97"/>
        <v>0</v>
      </c>
      <c r="AE198" s="100">
        <f t="shared" si="98"/>
        <v>0</v>
      </c>
      <c r="AF198" s="194">
        <f t="shared" si="85"/>
        <v>0</v>
      </c>
      <c r="AG198" s="194">
        <f t="shared" si="86"/>
        <v>0</v>
      </c>
      <c r="AH198" s="194">
        <f t="shared" si="87"/>
        <v>0</v>
      </c>
      <c r="AI198" s="199">
        <f t="shared" si="88"/>
        <v>0</v>
      </c>
      <c r="AK198" s="71">
        <v>193</v>
      </c>
      <c r="AL198" s="33"/>
      <c r="AM198" s="33"/>
      <c r="AN198" s="33"/>
      <c r="AO198" s="33"/>
      <c r="AP198" s="33"/>
      <c r="AQ198" s="194"/>
      <c r="AR198" s="194"/>
      <c r="AS198" s="194"/>
      <c r="AT198" s="194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1">IF($I199&lt;=$F$10,$F$11*$F$13+J198,)</f>
        <v>0</v>
      </c>
      <c r="K199" s="33">
        <f t="shared" ref="K199:K205" si="102">IF(J199=0,0,EXP(-1.0587+0.8836*LN(J199)+0.284))</f>
        <v>0</v>
      </c>
      <c r="L199" s="33">
        <f t="shared" ref="L199:L205" si="103">IF(I199&lt;=$F$10,$F$5+($F$8-$F$5)*(1-EXP(-0.0175*I199)),)</f>
        <v>0</v>
      </c>
      <c r="M199" s="33">
        <f t="shared" ref="M199:M205" si="104">IF(I199&lt;=$F$10,IF(I199&lt;=30,I199*($F$9-$F$6)/30,$F$9-$F$6),)</f>
        <v>0</v>
      </c>
      <c r="N199" s="33">
        <f t="shared" si="90"/>
        <v>0</v>
      </c>
      <c r="O199" s="34">
        <f t="shared" si="91"/>
        <v>0</v>
      </c>
      <c r="P199" s="55">
        <v>194</v>
      </c>
      <c r="Q199" s="33">
        <f t="shared" si="99"/>
        <v>0</v>
      </c>
      <c r="R199" s="33">
        <f t="shared" ref="R199:R205" si="105">IF(P199&lt;=$F$18,Q199+R198,)</f>
        <v>0</v>
      </c>
      <c r="S199" s="33">
        <f t="shared" ref="S199:S205" si="106">$F$19*R199</f>
        <v>0</v>
      </c>
      <c r="T199" s="33">
        <f t="shared" si="92"/>
        <v>0</v>
      </c>
      <c r="U199" s="33">
        <f t="shared" si="100"/>
        <v>0</v>
      </c>
      <c r="V199" s="33">
        <f t="shared" si="93"/>
        <v>0</v>
      </c>
      <c r="W199" s="33">
        <v>0</v>
      </c>
      <c r="X199" s="33">
        <f t="shared" si="94"/>
        <v>0</v>
      </c>
      <c r="Y199" s="38">
        <f t="shared" si="95"/>
        <v>0</v>
      </c>
      <c r="AA199" s="71">
        <v>194</v>
      </c>
      <c r="AB199" s="33">
        <f t="shared" si="96"/>
        <v>0</v>
      </c>
      <c r="AC199" s="305">
        <f t="shared" si="89"/>
        <v>0</v>
      </c>
      <c r="AD199" s="100">
        <f t="shared" si="97"/>
        <v>0</v>
      </c>
      <c r="AE199" s="100">
        <f t="shared" si="98"/>
        <v>0</v>
      </c>
      <c r="AF199" s="194">
        <f t="shared" si="85"/>
        <v>0</v>
      </c>
      <c r="AG199" s="194">
        <f t="shared" si="86"/>
        <v>0</v>
      </c>
      <c r="AH199" s="194">
        <f t="shared" si="87"/>
        <v>0</v>
      </c>
      <c r="AI199" s="199">
        <f t="shared" si="88"/>
        <v>0</v>
      </c>
      <c r="AK199" s="71">
        <v>194</v>
      </c>
      <c r="AL199" s="33"/>
      <c r="AM199" s="33"/>
      <c r="AN199" s="33"/>
      <c r="AO199" s="33"/>
      <c r="AP199" s="33"/>
      <c r="AQ199" s="194"/>
      <c r="AR199" s="194"/>
      <c r="AS199" s="194"/>
      <c r="AT199" s="194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1"/>
        <v>0</v>
      </c>
      <c r="K200" s="33">
        <f t="shared" si="102"/>
        <v>0</v>
      </c>
      <c r="L200" s="33">
        <f t="shared" si="103"/>
        <v>0</v>
      </c>
      <c r="M200" s="33">
        <f t="shared" si="104"/>
        <v>0</v>
      </c>
      <c r="N200" s="33">
        <f t="shared" si="90"/>
        <v>0</v>
      </c>
      <c r="O200" s="34">
        <f t="shared" si="91"/>
        <v>0</v>
      </c>
      <c r="P200" s="55">
        <v>195</v>
      </c>
      <c r="Q200" s="33">
        <f t="shared" si="99"/>
        <v>0</v>
      </c>
      <c r="R200" s="33">
        <f t="shared" si="105"/>
        <v>0</v>
      </c>
      <c r="S200" s="33">
        <f t="shared" si="106"/>
        <v>0</v>
      </c>
      <c r="T200" s="33">
        <f t="shared" si="92"/>
        <v>0</v>
      </c>
      <c r="U200" s="33">
        <f t="shared" si="100"/>
        <v>0</v>
      </c>
      <c r="V200" s="33">
        <f t="shared" si="93"/>
        <v>0</v>
      </c>
      <c r="W200" s="33">
        <v>0</v>
      </c>
      <c r="X200" s="33">
        <f t="shared" si="94"/>
        <v>0</v>
      </c>
      <c r="Y200" s="38">
        <f t="shared" si="95"/>
        <v>0</v>
      </c>
      <c r="AA200" s="71">
        <v>195</v>
      </c>
      <c r="AB200" s="33">
        <f t="shared" si="96"/>
        <v>0</v>
      </c>
      <c r="AC200" s="305">
        <f t="shared" si="89"/>
        <v>0</v>
      </c>
      <c r="AD200" s="100">
        <f t="shared" si="97"/>
        <v>0</v>
      </c>
      <c r="AE200" s="100">
        <f t="shared" si="98"/>
        <v>0</v>
      </c>
      <c r="AF200" s="194">
        <f t="shared" si="85"/>
        <v>0</v>
      </c>
      <c r="AG200" s="194">
        <f t="shared" si="86"/>
        <v>0</v>
      </c>
      <c r="AH200" s="194">
        <f t="shared" si="87"/>
        <v>0</v>
      </c>
      <c r="AI200" s="199">
        <f t="shared" si="88"/>
        <v>0</v>
      </c>
      <c r="AK200" s="71">
        <v>195</v>
      </c>
      <c r="AL200" s="33"/>
      <c r="AM200" s="33"/>
      <c r="AN200" s="33"/>
      <c r="AO200" s="33"/>
      <c r="AP200" s="33"/>
      <c r="AQ200" s="194"/>
      <c r="AR200" s="194"/>
      <c r="AS200" s="194"/>
      <c r="AT200" s="194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1"/>
        <v>0</v>
      </c>
      <c r="K201" s="33">
        <f t="shared" si="102"/>
        <v>0</v>
      </c>
      <c r="L201" s="33">
        <f t="shared" si="103"/>
        <v>0</v>
      </c>
      <c r="M201" s="33">
        <f t="shared" si="104"/>
        <v>0</v>
      </c>
      <c r="N201" s="33">
        <f t="shared" si="90"/>
        <v>0</v>
      </c>
      <c r="O201" s="34">
        <f t="shared" si="91"/>
        <v>0</v>
      </c>
      <c r="P201" s="55">
        <v>196</v>
      </c>
      <c r="Q201" s="33">
        <f t="shared" si="99"/>
        <v>0</v>
      </c>
      <c r="R201" s="33">
        <f t="shared" si="105"/>
        <v>0</v>
      </c>
      <c r="S201" s="33">
        <f t="shared" si="106"/>
        <v>0</v>
      </c>
      <c r="T201" s="33">
        <f t="shared" si="92"/>
        <v>0</v>
      </c>
      <c r="U201" s="33">
        <f t="shared" si="100"/>
        <v>0</v>
      </c>
      <c r="V201" s="33">
        <f t="shared" si="93"/>
        <v>0</v>
      </c>
      <c r="W201" s="33">
        <v>0</v>
      </c>
      <c r="X201" s="33">
        <f t="shared" si="94"/>
        <v>0</v>
      </c>
      <c r="Y201" s="38">
        <f t="shared" si="95"/>
        <v>0</v>
      </c>
      <c r="AA201" s="71">
        <v>196</v>
      </c>
      <c r="AB201" s="33">
        <f t="shared" si="96"/>
        <v>0</v>
      </c>
      <c r="AC201" s="305">
        <f t="shared" si="89"/>
        <v>0</v>
      </c>
      <c r="AD201" s="100">
        <f t="shared" si="97"/>
        <v>0</v>
      </c>
      <c r="AE201" s="100">
        <f t="shared" si="98"/>
        <v>0</v>
      </c>
      <c r="AF201" s="194">
        <f t="shared" si="85"/>
        <v>0</v>
      </c>
      <c r="AG201" s="194">
        <f t="shared" si="86"/>
        <v>0</v>
      </c>
      <c r="AH201" s="194">
        <f t="shared" si="87"/>
        <v>0</v>
      </c>
      <c r="AI201" s="199">
        <f t="shared" si="88"/>
        <v>0</v>
      </c>
      <c r="AK201" s="71">
        <v>196</v>
      </c>
      <c r="AL201" s="33"/>
      <c r="AM201" s="33"/>
      <c r="AN201" s="33"/>
      <c r="AO201" s="33"/>
      <c r="AP201" s="33"/>
      <c r="AQ201" s="194"/>
      <c r="AR201" s="194"/>
      <c r="AS201" s="194"/>
      <c r="AT201" s="194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1"/>
        <v>0</v>
      </c>
      <c r="K202" s="33">
        <f t="shared" si="102"/>
        <v>0</v>
      </c>
      <c r="L202" s="33">
        <f t="shared" si="103"/>
        <v>0</v>
      </c>
      <c r="M202" s="33">
        <f t="shared" si="104"/>
        <v>0</v>
      </c>
      <c r="N202" s="33">
        <f t="shared" si="90"/>
        <v>0</v>
      </c>
      <c r="O202" s="34">
        <f t="shared" si="91"/>
        <v>0</v>
      </c>
      <c r="P202" s="55">
        <v>197</v>
      </c>
      <c r="Q202" s="33">
        <f t="shared" si="99"/>
        <v>0</v>
      </c>
      <c r="R202" s="33">
        <f t="shared" si="105"/>
        <v>0</v>
      </c>
      <c r="S202" s="33">
        <f t="shared" si="106"/>
        <v>0</v>
      </c>
      <c r="T202" s="33">
        <f t="shared" si="92"/>
        <v>0</v>
      </c>
      <c r="U202" s="33">
        <f t="shared" si="100"/>
        <v>0</v>
      </c>
      <c r="V202" s="33">
        <f t="shared" si="93"/>
        <v>0</v>
      </c>
      <c r="W202" s="33">
        <v>0</v>
      </c>
      <c r="X202" s="33">
        <f t="shared" si="94"/>
        <v>0</v>
      </c>
      <c r="Y202" s="38">
        <f t="shared" si="95"/>
        <v>0</v>
      </c>
      <c r="AA202" s="71">
        <v>197</v>
      </c>
      <c r="AB202" s="33">
        <f t="shared" si="96"/>
        <v>0</v>
      </c>
      <c r="AC202" s="305">
        <f t="shared" si="89"/>
        <v>0</v>
      </c>
      <c r="AD202" s="100">
        <f t="shared" si="97"/>
        <v>0</v>
      </c>
      <c r="AE202" s="100">
        <f t="shared" si="98"/>
        <v>0</v>
      </c>
      <c r="AF202" s="194">
        <f t="shared" si="85"/>
        <v>0</v>
      </c>
      <c r="AG202" s="194">
        <f t="shared" si="86"/>
        <v>0</v>
      </c>
      <c r="AH202" s="194">
        <f t="shared" si="87"/>
        <v>0</v>
      </c>
      <c r="AI202" s="199">
        <f t="shared" si="88"/>
        <v>0</v>
      </c>
      <c r="AK202" s="71">
        <v>197</v>
      </c>
      <c r="AL202" s="33"/>
      <c r="AM202" s="33"/>
      <c r="AN202" s="33"/>
      <c r="AO202" s="33"/>
      <c r="AP202" s="33"/>
      <c r="AQ202" s="194"/>
      <c r="AR202" s="194"/>
      <c r="AS202" s="194"/>
      <c r="AT202" s="194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1"/>
        <v>0</v>
      </c>
      <c r="K203" s="33">
        <f t="shared" si="102"/>
        <v>0</v>
      </c>
      <c r="L203" s="33">
        <f t="shared" si="103"/>
        <v>0</v>
      </c>
      <c r="M203" s="33">
        <f t="shared" si="104"/>
        <v>0</v>
      </c>
      <c r="N203" s="33">
        <f t="shared" si="90"/>
        <v>0</v>
      </c>
      <c r="O203" s="34">
        <f t="shared" si="91"/>
        <v>0</v>
      </c>
      <c r="P203" s="55">
        <v>198</v>
      </c>
      <c r="Q203" s="33">
        <f t="shared" si="99"/>
        <v>0</v>
      </c>
      <c r="R203" s="33">
        <f t="shared" si="105"/>
        <v>0</v>
      </c>
      <c r="S203" s="33">
        <f t="shared" si="106"/>
        <v>0</v>
      </c>
      <c r="T203" s="33">
        <f t="shared" si="92"/>
        <v>0</v>
      </c>
      <c r="U203" s="33">
        <f t="shared" si="100"/>
        <v>0</v>
      </c>
      <c r="V203" s="33">
        <f t="shared" si="93"/>
        <v>0</v>
      </c>
      <c r="W203" s="33">
        <v>0</v>
      </c>
      <c r="X203" s="33">
        <f t="shared" si="94"/>
        <v>0</v>
      </c>
      <c r="Y203" s="38">
        <f t="shared" si="95"/>
        <v>0</v>
      </c>
      <c r="AA203" s="71">
        <v>198</v>
      </c>
      <c r="AB203" s="33">
        <f t="shared" si="96"/>
        <v>0</v>
      </c>
      <c r="AC203" s="305">
        <f t="shared" si="89"/>
        <v>0</v>
      </c>
      <c r="AD203" s="100">
        <f t="shared" si="97"/>
        <v>0</v>
      </c>
      <c r="AE203" s="100">
        <f t="shared" si="98"/>
        <v>0</v>
      </c>
      <c r="AF203" s="194">
        <f t="shared" si="85"/>
        <v>0</v>
      </c>
      <c r="AG203" s="194">
        <f t="shared" si="86"/>
        <v>0</v>
      </c>
      <c r="AH203" s="194">
        <f t="shared" si="87"/>
        <v>0</v>
      </c>
      <c r="AI203" s="199">
        <f t="shared" si="88"/>
        <v>0</v>
      </c>
      <c r="AK203" s="71">
        <v>198</v>
      </c>
      <c r="AL203" s="33"/>
      <c r="AM203" s="33"/>
      <c r="AN203" s="33"/>
      <c r="AO203" s="33"/>
      <c r="AP203" s="33"/>
      <c r="AQ203" s="194"/>
      <c r="AR203" s="194"/>
      <c r="AS203" s="194"/>
      <c r="AT203" s="194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1"/>
        <v>0</v>
      </c>
      <c r="K204" s="33">
        <f t="shared" si="102"/>
        <v>0</v>
      </c>
      <c r="L204" s="33">
        <f t="shared" si="103"/>
        <v>0</v>
      </c>
      <c r="M204" s="33">
        <f t="shared" si="104"/>
        <v>0</v>
      </c>
      <c r="N204" s="33">
        <f t="shared" si="90"/>
        <v>0</v>
      </c>
      <c r="O204" s="34">
        <f t="shared" si="91"/>
        <v>0</v>
      </c>
      <c r="P204" s="55">
        <v>199</v>
      </c>
      <c r="Q204" s="33">
        <f t="shared" si="99"/>
        <v>0</v>
      </c>
      <c r="R204" s="33">
        <f t="shared" si="105"/>
        <v>0</v>
      </c>
      <c r="S204" s="33">
        <f t="shared" si="106"/>
        <v>0</v>
      </c>
      <c r="T204" s="33">
        <f t="shared" si="92"/>
        <v>0</v>
      </c>
      <c r="U204" s="33">
        <f t="shared" si="100"/>
        <v>0</v>
      </c>
      <c r="V204" s="33">
        <f t="shared" si="93"/>
        <v>0</v>
      </c>
      <c r="W204" s="33">
        <v>0</v>
      </c>
      <c r="X204" s="33">
        <f t="shared" si="94"/>
        <v>0</v>
      </c>
      <c r="Y204" s="38">
        <f t="shared" si="95"/>
        <v>0</v>
      </c>
      <c r="AA204" s="71">
        <v>199</v>
      </c>
      <c r="AB204" s="33">
        <f t="shared" si="96"/>
        <v>0</v>
      </c>
      <c r="AC204" s="305">
        <f t="shared" si="89"/>
        <v>0</v>
      </c>
      <c r="AD204" s="100">
        <f t="shared" si="97"/>
        <v>0</v>
      </c>
      <c r="AE204" s="100">
        <f t="shared" si="98"/>
        <v>0</v>
      </c>
      <c r="AF204" s="194">
        <f t="shared" si="85"/>
        <v>0</v>
      </c>
      <c r="AG204" s="194">
        <f t="shared" si="86"/>
        <v>0</v>
      </c>
      <c r="AH204" s="194">
        <f t="shared" si="87"/>
        <v>0</v>
      </c>
      <c r="AI204" s="199">
        <f t="shared" si="88"/>
        <v>0</v>
      </c>
      <c r="AK204" s="71">
        <v>199</v>
      </c>
      <c r="AL204" s="33"/>
      <c r="AM204" s="33"/>
      <c r="AN204" s="33"/>
      <c r="AO204" s="33"/>
      <c r="AP204" s="33"/>
      <c r="AQ204" s="194"/>
      <c r="AR204" s="194"/>
      <c r="AS204" s="194"/>
      <c r="AT204" s="194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1"/>
        <v>0</v>
      </c>
      <c r="K205" s="33">
        <f t="shared" si="102"/>
        <v>0</v>
      </c>
      <c r="L205" s="33">
        <f t="shared" si="103"/>
        <v>0</v>
      </c>
      <c r="M205" s="33">
        <f t="shared" si="104"/>
        <v>0</v>
      </c>
      <c r="N205" s="35">
        <f>IF(F208&lt;=$F$18,0,)</f>
        <v>0</v>
      </c>
      <c r="O205" s="34">
        <f t="shared" si="91"/>
        <v>0</v>
      </c>
      <c r="P205" s="56">
        <v>200</v>
      </c>
      <c r="Q205" s="35">
        <f t="shared" si="99"/>
        <v>0</v>
      </c>
      <c r="R205" s="35">
        <f t="shared" si="105"/>
        <v>0</v>
      </c>
      <c r="S205" s="35">
        <f t="shared" si="106"/>
        <v>0</v>
      </c>
      <c r="T205" s="35">
        <f t="shared" si="92"/>
        <v>0</v>
      </c>
      <c r="U205" s="35">
        <f t="shared" si="100"/>
        <v>0</v>
      </c>
      <c r="V205" s="35">
        <f t="shared" si="93"/>
        <v>0</v>
      </c>
      <c r="W205" s="35">
        <v>0</v>
      </c>
      <c r="X205" s="155">
        <f t="shared" si="94"/>
        <v>0</v>
      </c>
      <c r="Y205" s="39">
        <f t="shared" si="95"/>
        <v>0</v>
      </c>
      <c r="AA205" s="72">
        <v>200</v>
      </c>
      <c r="AB205" s="143">
        <f t="shared" si="96"/>
        <v>0</v>
      </c>
      <c r="AC205" s="305">
        <f t="shared" si="89"/>
        <v>0</v>
      </c>
      <c r="AD205" s="101">
        <f t="shared" si="97"/>
        <v>0</v>
      </c>
      <c r="AE205" s="101">
        <f t="shared" si="98"/>
        <v>0</v>
      </c>
      <c r="AF205" s="196">
        <f t="shared" si="85"/>
        <v>0</v>
      </c>
      <c r="AG205" s="196">
        <f t="shared" si="86"/>
        <v>0</v>
      </c>
      <c r="AH205" s="196">
        <f t="shared" si="87"/>
        <v>0</v>
      </c>
      <c r="AI205" s="203">
        <f t="shared" si="88"/>
        <v>0</v>
      </c>
      <c r="AK205" s="72">
        <v>200</v>
      </c>
      <c r="AL205" s="143"/>
      <c r="AM205" s="35"/>
      <c r="AN205" s="35"/>
      <c r="AO205" s="35"/>
      <c r="AP205" s="35"/>
      <c r="AQ205" s="196"/>
      <c r="AR205" s="196"/>
      <c r="AS205" s="196"/>
      <c r="AT205" s="196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F12" xr:uid="{00000000-0002-0000-0600-000000000000}">
      <formula1>$C$194:$C$195</formula1>
    </dataValidation>
    <dataValidation type="list" allowBlank="1" showInputMessage="1" showErrorMessage="1" sqref="F17" xr:uid="{00000000-0002-0000-0600-000001000000}">
      <formula1>$C$130:$C$195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D81:G81" xr:uid="{00000000-0002-0000-0600-000003000000}">
      <formula1>$B$104:$B$108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zoomScale="85" zoomScaleNormal="85" workbookViewId="0">
      <selection activeCell="F17" sqref="F17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3" customWidth="1"/>
    <col min="47" max="51" width="10.5" customWidth="1"/>
    <col min="54" max="54" width="19.33203125" customWidth="1"/>
  </cols>
  <sheetData>
    <row r="3" spans="2:51" ht="16">
      <c r="I3" s="401" t="s">
        <v>171</v>
      </c>
      <c r="J3" s="402"/>
      <c r="K3" s="402"/>
      <c r="L3" s="402"/>
      <c r="M3" s="402"/>
      <c r="N3" s="402"/>
      <c r="O3" s="403"/>
      <c r="P3" s="404" t="s">
        <v>143</v>
      </c>
      <c r="Q3" s="405"/>
      <c r="R3" s="405"/>
      <c r="S3" s="405"/>
      <c r="T3" s="405"/>
      <c r="U3" s="405"/>
      <c r="V3" s="405"/>
      <c r="W3" s="405"/>
      <c r="X3" s="406"/>
      <c r="Y3" s="90"/>
      <c r="Z3" s="90"/>
      <c r="AA3" s="392" t="s">
        <v>158</v>
      </c>
      <c r="AB3" s="393"/>
      <c r="AC3" s="393"/>
      <c r="AD3" s="393"/>
      <c r="AE3" s="393"/>
      <c r="AF3" s="393"/>
      <c r="AG3" s="393"/>
      <c r="AH3" s="393"/>
      <c r="AI3" s="394"/>
      <c r="AJ3" s="90"/>
      <c r="AK3" s="392" t="s">
        <v>170</v>
      </c>
      <c r="AL3" s="393"/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4"/>
    </row>
    <row r="4" spans="2:51" ht="45" customHeight="1">
      <c r="B4" s="396" t="s">
        <v>172</v>
      </c>
      <c r="C4" s="396"/>
      <c r="D4" s="396"/>
      <c r="E4" s="396"/>
      <c r="F4" s="396"/>
      <c r="I4" s="59" t="s">
        <v>76</v>
      </c>
      <c r="J4" s="342" t="s">
        <v>107</v>
      </c>
      <c r="K4" s="342" t="s">
        <v>108</v>
      </c>
      <c r="L4" s="342" t="s">
        <v>72</v>
      </c>
      <c r="M4" s="342" t="s">
        <v>109</v>
      </c>
      <c r="N4" s="342" t="s">
        <v>110</v>
      </c>
      <c r="O4" s="88" t="s">
        <v>112</v>
      </c>
      <c r="P4" s="59" t="s">
        <v>76</v>
      </c>
      <c r="Q4" s="61" t="s">
        <v>117</v>
      </c>
      <c r="R4" s="61" t="s">
        <v>118</v>
      </c>
      <c r="S4" s="62" t="s">
        <v>104</v>
      </c>
      <c r="T4" s="63" t="s">
        <v>103</v>
      </c>
      <c r="U4" s="342" t="s">
        <v>3</v>
      </c>
      <c r="V4" s="342" t="s">
        <v>105</v>
      </c>
      <c r="W4" s="342" t="s">
        <v>106</v>
      </c>
      <c r="X4" s="89" t="s">
        <v>111</v>
      </c>
      <c r="Y4" s="66" t="s">
        <v>119</v>
      </c>
      <c r="AA4" s="70" t="s">
        <v>76</v>
      </c>
      <c r="AB4" s="61" t="s">
        <v>145</v>
      </c>
      <c r="AC4" s="62" t="s">
        <v>146</v>
      </c>
      <c r="AD4" s="68" t="s">
        <v>147</v>
      </c>
      <c r="AE4" s="64" t="s">
        <v>148</v>
      </c>
      <c r="AF4" s="64" t="s">
        <v>149</v>
      </c>
      <c r="AG4" s="64" t="s">
        <v>150</v>
      </c>
      <c r="AH4" s="64" t="s">
        <v>151</v>
      </c>
      <c r="AI4" s="75" t="s">
        <v>152</v>
      </c>
      <c r="AK4" s="70" t="s">
        <v>76</v>
      </c>
      <c r="AL4" s="61" t="s">
        <v>145</v>
      </c>
      <c r="AM4" s="62" t="s">
        <v>146</v>
      </c>
      <c r="AN4" s="68" t="s">
        <v>147</v>
      </c>
      <c r="AO4" s="64" t="s">
        <v>148</v>
      </c>
      <c r="AP4" s="64" t="s">
        <v>160</v>
      </c>
      <c r="AQ4" s="193" t="s">
        <v>186</v>
      </c>
      <c r="AR4" s="193" t="s">
        <v>187</v>
      </c>
      <c r="AS4" s="193" t="s">
        <v>188</v>
      </c>
      <c r="AT4" s="193" t="s">
        <v>189</v>
      </c>
      <c r="AU4" s="64" t="s">
        <v>161</v>
      </c>
      <c r="AV4" s="64" t="s">
        <v>162</v>
      </c>
      <c r="AW4" s="64" t="s">
        <v>163</v>
      </c>
      <c r="AX4" s="64" t="s">
        <v>164</v>
      </c>
      <c r="AY4" s="75" t="s">
        <v>152</v>
      </c>
    </row>
    <row r="5" spans="2:51">
      <c r="B5" s="385" t="s">
        <v>132</v>
      </c>
      <c r="C5" s="91" t="s">
        <v>73</v>
      </c>
      <c r="D5" s="397" t="s">
        <v>1</v>
      </c>
      <c r="E5" s="397"/>
      <c r="F5" s="92">
        <f>IF(D5="","",VLOOKUP(D5,$B$97:$C$100,2,0))</f>
        <v>45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5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4">
        <v>0</v>
      </c>
      <c r="AR5" s="194">
        <v>0</v>
      </c>
      <c r="AS5" s="194">
        <v>0</v>
      </c>
      <c r="AT5" s="194">
        <v>0</v>
      </c>
      <c r="AU5" s="33"/>
      <c r="AV5" s="33"/>
      <c r="AW5" s="33"/>
      <c r="AX5" s="33"/>
      <c r="AY5" s="164">
        <v>0</v>
      </c>
    </row>
    <row r="6" spans="2:51">
      <c r="B6" s="386"/>
      <c r="C6" s="98" t="s">
        <v>74</v>
      </c>
      <c r="D6" s="388" t="s">
        <v>259</v>
      </c>
      <c r="E6" s="388"/>
      <c r="F6" s="99">
        <f>VLOOKUP(D5,$B$97:$D$100,3,FALSE)</f>
        <v>0</v>
      </c>
      <c r="I6" s="55">
        <v>1</v>
      </c>
      <c r="J6" s="33">
        <f>IF(D8&lt;&gt;"Cultures",IF($I6&lt;=$F$10,$F$11*$F$13+J5,),5)</f>
        <v>5</v>
      </c>
      <c r="K6" s="33">
        <f>IF(J6=0,0,EXP(-1.0587+0.8836*LN(J6)+0.284))</f>
        <v>1.910565629709926</v>
      </c>
      <c r="L6" s="33">
        <f>IF(I6&lt;=$F$10,$F$5+($F$8-$F$5)*(1-EXP(-0.0175*I6)),)</f>
        <v>45</v>
      </c>
      <c r="M6" s="33">
        <f>IF(I6&lt;=$F$10,IF(I6&lt;=30,I6*($F$9-$F$6)/30,$F$9-$F$6),)</f>
        <v>0</v>
      </c>
      <c r="N6" s="33">
        <f t="shared" si="0"/>
        <v>0</v>
      </c>
      <c r="O6" s="34">
        <f t="shared" si="1"/>
        <v>177.03590180507811</v>
      </c>
      <c r="P6" s="55">
        <v>1</v>
      </c>
      <c r="Q6" s="33">
        <f t="shared" ref="Q6:Q69" si="15">IF(P6&lt;=$F$18,LOOKUP(P6-1,$B$25:$B$78,$G$25:$G$78),)</f>
        <v>2.496</v>
      </c>
      <c r="R6" s="33">
        <f>IF(P6&lt;=$F$18,Q6+R5,)</f>
        <v>2.496</v>
      </c>
      <c r="S6" s="33">
        <f>$F$19*R6</f>
        <v>1.5225599999999999</v>
      </c>
      <c r="T6" s="33">
        <f t="shared" si="2"/>
        <v>0.66815130173631354</v>
      </c>
      <c r="U6" s="33">
        <f t="shared" ref="U6:U69" si="16">IF(P6&lt;=$F$18,$F$5+($F$15-$F$5)*(1-EXP(-0.0175*P6)),)</f>
        <v>45.433694108373167</v>
      </c>
      <c r="V6" s="33">
        <f t="shared" si="3"/>
        <v>0.33333333333333331</v>
      </c>
      <c r="W6" s="33">
        <v>0</v>
      </c>
      <c r="X6" s="33">
        <f t="shared" si="4"/>
        <v>171.62792280344794</v>
      </c>
      <c r="Y6" s="38">
        <f t="shared" si="5"/>
        <v>-5.4079790016301672</v>
      </c>
      <c r="AA6" s="71">
        <v>1</v>
      </c>
      <c r="AB6" s="33">
        <f t="shared" si="6"/>
        <v>0</v>
      </c>
      <c r="AC6" s="305">
        <f t="shared" si="7"/>
        <v>0</v>
      </c>
      <c r="AD6" s="100">
        <f t="shared" si="8"/>
        <v>0</v>
      </c>
      <c r="AE6" s="100">
        <f t="shared" si="9"/>
        <v>0</v>
      </c>
      <c r="AF6" s="194">
        <f>IF(OR(AA6&lt;=$F$18,AA6&lt;=30),EXP(-LN(2)/$D$104)*AF5+((1-EXP(-LN(2)/$D$104))/(LN(2)/$D$104))*$AB6*AC6*0.475*$F$19*44/12,)</f>
        <v>0</v>
      </c>
      <c r="AG6" s="194">
        <f>IF(OR(AA6&lt;=$F$18,AA6&lt;=30),EXP(-LN(2)/$D$106)*AG5+((1-EXP(-LN(2)/$D$106))/(LN(2)/$D$106))*$AB6*AD6*0.475*$F$19*44/12,)</f>
        <v>0</v>
      </c>
      <c r="AH6" s="194">
        <f>IF(OR(AA6&lt;=$F$18,AA6&lt;=30),EXP(-LN(2)/$D$105)*AH5+((1-EXP(-LN(2)/$D$105))/(LN(2)/$D$105))*$AB6*AE6*0.475*$F$19*44/12,)</f>
        <v>0</v>
      </c>
      <c r="AI6" s="199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4">
        <f t="shared" ref="AQ6:AT24" si="17">IF($AK6&lt;=$F$18,$AL6*AM6,)</f>
        <v>0</v>
      </c>
      <c r="AR6" s="194">
        <f t="shared" si="17"/>
        <v>0</v>
      </c>
      <c r="AS6" s="194">
        <f t="shared" si="17"/>
        <v>0</v>
      </c>
      <c r="AT6" s="194">
        <f t="shared" si="17"/>
        <v>0</v>
      </c>
      <c r="AU6" s="33"/>
      <c r="AV6" s="33"/>
      <c r="AW6" s="33"/>
      <c r="AX6" s="33"/>
      <c r="AY6" s="164">
        <f>IF(AK6&lt;=$F$18,AL6*$G$108+AY5,)</f>
        <v>0</v>
      </c>
    </row>
    <row r="7" spans="2:51">
      <c r="B7" s="385" t="s">
        <v>133</v>
      </c>
      <c r="C7" s="398"/>
      <c r="D7" s="399"/>
      <c r="E7" s="399"/>
      <c r="F7" s="400"/>
      <c r="I7" s="55">
        <v>2</v>
      </c>
      <c r="J7" s="33">
        <f t="shared" ref="J7:J70" si="18">IF($I7&lt;=$F$10,$F$11*$F$13+J6,)</f>
        <v>5</v>
      </c>
      <c r="K7" s="33">
        <f t="shared" ref="K7:K70" si="19">IF(J7=0,0,EXP(-1.0587+0.8836*LN(J7)+0.284))</f>
        <v>1.910565629709926</v>
      </c>
      <c r="L7" s="33">
        <f t="shared" ref="L7:L70" si="20">IF(I7&lt;=$F$10,$F$5+($F$8-$F$5)*(1-EXP(-0.0175*I7)),)</f>
        <v>45</v>
      </c>
      <c r="M7" s="33">
        <f t="shared" ref="M7:M70" si="21">IF(I7&lt;=$F$10,IF(I7&lt;=30,I7*($F$9-$F$6)/30,$F$9-$F$6),)</f>
        <v>0</v>
      </c>
      <c r="N7" s="33">
        <f t="shared" si="0"/>
        <v>0</v>
      </c>
      <c r="O7" s="34">
        <f t="shared" si="1"/>
        <v>177.03590180507811</v>
      </c>
      <c r="P7" s="55">
        <v>2</v>
      </c>
      <c r="Q7" s="33">
        <f t="shared" si="15"/>
        <v>2.496</v>
      </c>
      <c r="R7" s="33">
        <f t="shared" ref="R7:R70" si="22">IF(P7&lt;=$F$18,Q7+R6,)</f>
        <v>4.992</v>
      </c>
      <c r="S7" s="33">
        <f t="shared" ref="S7:S70" si="23">$F$19*R7</f>
        <v>3.0451199999999998</v>
      </c>
      <c r="T7" s="33">
        <f t="shared" si="2"/>
        <v>1.2327213649471258</v>
      </c>
      <c r="U7" s="33">
        <f t="shared" si="16"/>
        <v>45.859864593560836</v>
      </c>
      <c r="V7" s="33">
        <f t="shared" si="3"/>
        <v>0.66666666666666663</v>
      </c>
      <c r="W7" s="33">
        <v>0</v>
      </c>
      <c r="X7" s="33">
        <f t="shared" si="4"/>
        <v>178.04785499811706</v>
      </c>
      <c r="Y7" s="38">
        <f t="shared" si="5"/>
        <v>1.0119531930389485</v>
      </c>
      <c r="AA7" s="71">
        <v>2</v>
      </c>
      <c r="AB7" s="33">
        <f t="shared" si="6"/>
        <v>0</v>
      </c>
      <c r="AC7" s="305">
        <f t="shared" si="7"/>
        <v>0</v>
      </c>
      <c r="AD7" s="100">
        <f t="shared" si="8"/>
        <v>0</v>
      </c>
      <c r="AE7" s="100">
        <f t="shared" si="9"/>
        <v>0</v>
      </c>
      <c r="AF7" s="194">
        <f>IF(OR(AA7&lt;=$F$18,AA7&lt;=30),EXP(-LN(2)/$D$104)*AF6+((1-EXP(-LN(2)/$D$104))/(LN(2)/$D$104))*$AB7*AC7*0.475*$F$19*44/12,)</f>
        <v>0</v>
      </c>
      <c r="AG7" s="194">
        <f>IF(OR(AA7&lt;=$F$18,AA7&lt;=30),EXP(-LN(2)/$D$106)*AG6+((1-EXP(-LN(2)/$D$106))/(LN(2)/$D$106))*$AB7*AD7*0.475*$F$19*44/12,)</f>
        <v>0</v>
      </c>
      <c r="AH7" s="194">
        <f>IF(OR(AA7&lt;=$F$18,AA7&lt;=30),EXP(-LN(2)/$D$105)*AH6+((1-EXP(-LN(2)/$D$105))/(LN(2)/$D$105))*$AB7*AE7*0.475*$F$19*44/12,)</f>
        <v>0</v>
      </c>
      <c r="AI7" s="199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4">
        <f t="shared" si="17"/>
        <v>0</v>
      </c>
      <c r="AR7" s="194">
        <f t="shared" si="17"/>
        <v>0</v>
      </c>
      <c r="AS7" s="194">
        <f t="shared" si="17"/>
        <v>0</v>
      </c>
      <c r="AT7" s="194">
        <f t="shared" si="17"/>
        <v>0</v>
      </c>
      <c r="AU7" s="33"/>
      <c r="AV7" s="33"/>
      <c r="AW7" s="33"/>
      <c r="AX7" s="33"/>
      <c r="AY7" s="164">
        <f t="shared" ref="AY7:AY35" si="24">IF(AK7&lt;=$F$18,AL7*$G$108+AY6,)</f>
        <v>0</v>
      </c>
    </row>
    <row r="8" spans="2:51">
      <c r="B8" s="395"/>
      <c r="C8" s="93" t="s">
        <v>73</v>
      </c>
      <c r="D8" s="391" t="s">
        <v>1</v>
      </c>
      <c r="E8" s="391"/>
      <c r="F8" s="94">
        <f>IF(D8="","",VLOOKUP(D8,$B$97:$C$100,2,0))</f>
        <v>45</v>
      </c>
      <c r="I8" s="55">
        <v>3</v>
      </c>
      <c r="J8" s="33">
        <f t="shared" si="18"/>
        <v>5</v>
      </c>
      <c r="K8" s="33">
        <f t="shared" si="19"/>
        <v>1.910565629709926</v>
      </c>
      <c r="L8" s="33">
        <f t="shared" si="20"/>
        <v>45</v>
      </c>
      <c r="M8" s="33">
        <f t="shared" si="21"/>
        <v>0</v>
      </c>
      <c r="N8" s="33">
        <f t="shared" si="0"/>
        <v>0</v>
      </c>
      <c r="O8" s="34">
        <f t="shared" si="1"/>
        <v>177.03590180507811</v>
      </c>
      <c r="P8" s="55">
        <v>3</v>
      </c>
      <c r="Q8" s="33">
        <f t="shared" si="15"/>
        <v>2.496</v>
      </c>
      <c r="R8" s="33">
        <f t="shared" si="22"/>
        <v>7.4879999999999995</v>
      </c>
      <c r="S8" s="33">
        <f t="shared" si="23"/>
        <v>4.5676799999999993</v>
      </c>
      <c r="T8" s="33">
        <f t="shared" si="2"/>
        <v>1.763839887567118</v>
      </c>
      <c r="U8" s="33">
        <f t="shared" si="16"/>
        <v>46.278641973604969</v>
      </c>
      <c r="V8" s="33">
        <f t="shared" si="3"/>
        <v>1</v>
      </c>
      <c r="W8" s="33">
        <v>0</v>
      </c>
      <c r="X8" s="33">
        <f t="shared" si="4"/>
        <v>184.38241770739762</v>
      </c>
      <c r="Y8" s="38">
        <f t="shared" si="5"/>
        <v>7.3465159023195099</v>
      </c>
      <c r="AA8" s="71">
        <v>3</v>
      </c>
      <c r="AB8" s="33">
        <f t="shared" si="6"/>
        <v>0</v>
      </c>
      <c r="AC8" s="305">
        <f t="shared" si="7"/>
        <v>0</v>
      </c>
      <c r="AD8" s="100">
        <f t="shared" si="8"/>
        <v>0</v>
      </c>
      <c r="AE8" s="100">
        <f t="shared" si="9"/>
        <v>0</v>
      </c>
      <c r="AF8" s="194">
        <f>IF(OR(AA8&lt;=$F$18,AA8&lt;=30),EXP(-LN(2)/$D$104)*AF7+((1-EXP(-LN(2)/$D$104))/(LN(2)/$D$104))*$AB8*AC8*0.475*$F$19*44/12,)</f>
        <v>0</v>
      </c>
      <c r="AG8" s="194">
        <f>IF(OR(AA8&lt;=$F$18,AA8&lt;=30),EXP(-LN(2)/$D$106)*AG7+((1-EXP(-LN(2)/$D$106))/(LN(2)/$D$106))*$AB8*AD8*0.475*$F$19*44/12,)</f>
        <v>0</v>
      </c>
      <c r="AH8" s="194">
        <f>IF(OR(AA8&lt;=$F$18,AA8&lt;=30),EXP(-LN(2)/$D$105)*AH7+((1-EXP(-LN(2)/$D$105))/(LN(2)/$D$105))*$AB8*AE8*0.475*$F$19*44/12,)</f>
        <v>0</v>
      </c>
      <c r="AI8" s="199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4">
        <f t="shared" si="17"/>
        <v>0</v>
      </c>
      <c r="AR8" s="194">
        <f t="shared" si="17"/>
        <v>0</v>
      </c>
      <c r="AS8" s="194">
        <f t="shared" si="17"/>
        <v>0</v>
      </c>
      <c r="AT8" s="194">
        <f t="shared" si="17"/>
        <v>0</v>
      </c>
      <c r="AU8" s="33"/>
      <c r="AV8" s="33"/>
      <c r="AW8" s="33"/>
      <c r="AX8" s="33"/>
      <c r="AY8" s="164">
        <f t="shared" si="24"/>
        <v>0</v>
      </c>
    </row>
    <row r="9" spans="2:51">
      <c r="B9" s="395"/>
      <c r="C9" s="93" t="s">
        <v>74</v>
      </c>
      <c r="D9" s="387" t="str">
        <f>IF(D8=$B$100,"totale","néant")</f>
        <v>néant</v>
      </c>
      <c r="E9" s="387"/>
      <c r="F9" s="94">
        <f>IF(D8=B100,10,VLOOKUP(D8,$B$97:$D$100,3,FALSE))</f>
        <v>0</v>
      </c>
      <c r="I9" s="55">
        <v>4</v>
      </c>
      <c r="J9" s="33">
        <f t="shared" si="18"/>
        <v>5</v>
      </c>
      <c r="K9" s="33">
        <f t="shared" si="19"/>
        <v>1.910565629709926</v>
      </c>
      <c r="L9" s="33">
        <f t="shared" si="20"/>
        <v>45</v>
      </c>
      <c r="M9" s="33">
        <f t="shared" si="21"/>
        <v>0</v>
      </c>
      <c r="N9" s="33">
        <f t="shared" si="0"/>
        <v>0</v>
      </c>
      <c r="O9" s="34">
        <f t="shared" si="1"/>
        <v>177.03590180507811</v>
      </c>
      <c r="P9" s="55">
        <v>4</v>
      </c>
      <c r="Q9" s="33">
        <f t="shared" si="15"/>
        <v>2.496</v>
      </c>
      <c r="R9" s="33">
        <f t="shared" si="22"/>
        <v>9.984</v>
      </c>
      <c r="S9" s="33">
        <f t="shared" si="23"/>
        <v>6.0902399999999997</v>
      </c>
      <c r="T9" s="33">
        <f t="shared" si="2"/>
        <v>2.2743381022354381</v>
      </c>
      <c r="U9" s="33">
        <f t="shared" si="16"/>
        <v>46.690154502351291</v>
      </c>
      <c r="V9" s="33">
        <f t="shared" si="3"/>
        <v>1.3333333333333333</v>
      </c>
      <c r="W9" s="33">
        <v>0</v>
      </c>
      <c r="X9" s="33">
        <f t="shared" si="4"/>
        <v>190.65442892557033</v>
      </c>
      <c r="Y9" s="38">
        <f t="shared" si="5"/>
        <v>13.618527120492217</v>
      </c>
      <c r="AA9" s="71">
        <v>4</v>
      </c>
      <c r="AB9" s="33">
        <f t="shared" si="6"/>
        <v>0</v>
      </c>
      <c r="AC9" s="305">
        <f t="shared" si="7"/>
        <v>0</v>
      </c>
      <c r="AD9" s="100">
        <f t="shared" si="8"/>
        <v>0</v>
      </c>
      <c r="AE9" s="100">
        <f t="shared" si="9"/>
        <v>0</v>
      </c>
      <c r="AF9" s="194">
        <f>IF(OR(AA9&lt;=$F$18,AA9&lt;=30),EXP(-LN(2)/$D$104)*AF8+((1-EXP(-LN(2)/$D$104))/(LN(2)/$D$104))*$AB9*AC9*0.475*$F$19*44/12,)</f>
        <v>0</v>
      </c>
      <c r="AG9" s="194">
        <f>IF(OR(AA9&lt;=$F$18,AA9&lt;=30),EXP(-LN(2)/$D$106)*AG8+((1-EXP(-LN(2)/$D$106))/(LN(2)/$D$106))*$AB9*AD9*0.475*$F$19*44/12,)</f>
        <v>0</v>
      </c>
      <c r="AH9" s="194">
        <f>IF(OR(AA9&lt;=$F$18,AA9&lt;=30),EXP(-LN(2)/$D$105)*AH8+((1-EXP(-LN(2)/$D$105))/(LN(2)/$D$105))*$AB9*AE9*0.475*$F$19*44/12,)</f>
        <v>0</v>
      </c>
      <c r="AI9" s="199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4">
        <f t="shared" si="17"/>
        <v>0</v>
      </c>
      <c r="AR9" s="194">
        <f t="shared" si="17"/>
        <v>0</v>
      </c>
      <c r="AS9" s="194">
        <f t="shared" si="17"/>
        <v>0</v>
      </c>
      <c r="AT9" s="194">
        <f t="shared" si="17"/>
        <v>0</v>
      </c>
      <c r="AU9" s="33"/>
      <c r="AV9" s="33"/>
      <c r="AW9" s="33"/>
      <c r="AX9" s="33"/>
      <c r="AY9" s="164">
        <f t="shared" si="24"/>
        <v>0</v>
      </c>
    </row>
    <row r="10" spans="2:51">
      <c r="B10" s="395"/>
      <c r="C10" s="389" t="s">
        <v>123</v>
      </c>
      <c r="D10" s="384" t="s">
        <v>135</v>
      </c>
      <c r="E10" s="384"/>
      <c r="F10" s="95">
        <f>F18</f>
        <v>135</v>
      </c>
      <c r="I10" s="55">
        <v>5</v>
      </c>
      <c r="J10" s="33">
        <f t="shared" si="18"/>
        <v>5</v>
      </c>
      <c r="K10" s="33">
        <f t="shared" si="19"/>
        <v>1.910565629709926</v>
      </c>
      <c r="L10" s="33">
        <f t="shared" si="20"/>
        <v>45</v>
      </c>
      <c r="M10" s="33">
        <f t="shared" si="21"/>
        <v>0</v>
      </c>
      <c r="N10" s="33">
        <f t="shared" si="0"/>
        <v>0</v>
      </c>
      <c r="O10" s="34">
        <f t="shared" si="1"/>
        <v>177.03590180507811</v>
      </c>
      <c r="P10" s="55">
        <v>5</v>
      </c>
      <c r="Q10" s="33">
        <f t="shared" si="15"/>
        <v>2.496</v>
      </c>
      <c r="R10" s="33">
        <f t="shared" si="22"/>
        <v>12.48</v>
      </c>
      <c r="S10" s="33">
        <f t="shared" si="23"/>
        <v>7.6128</v>
      </c>
      <c r="T10" s="33">
        <f t="shared" si="2"/>
        <v>2.7700315442197678</v>
      </c>
      <c r="U10" s="33">
        <f t="shared" si="16"/>
        <v>47.094528208728065</v>
      </c>
      <c r="V10" s="33">
        <f t="shared" si="3"/>
        <v>1.6666666666666667</v>
      </c>
      <c r="W10" s="33">
        <v>0</v>
      </c>
      <c r="X10" s="33">
        <f t="shared" si="4"/>
        <v>196.87447948263011</v>
      </c>
      <c r="Y10" s="38">
        <f t="shared" si="5"/>
        <v>19.838577677551996</v>
      </c>
      <c r="AA10" s="71">
        <v>5</v>
      </c>
      <c r="AB10" s="33">
        <f t="shared" si="6"/>
        <v>0</v>
      </c>
      <c r="AC10" s="305">
        <f t="shared" si="7"/>
        <v>0</v>
      </c>
      <c r="AD10" s="100">
        <f t="shared" si="8"/>
        <v>0</v>
      </c>
      <c r="AE10" s="100">
        <f t="shared" si="9"/>
        <v>0</v>
      </c>
      <c r="AF10" s="194">
        <f t="shared" ref="AF10:AF24" si="25">IF(OR(AA10&lt;=$F$18,AA10&lt;=30),EXP(-LN(2)/$D$104)*AF9+((1-EXP(-LN(2)/$D$104))/(LN(2)/$D$104))*$AB10*AC10*0.475*$F$19*44/12,)</f>
        <v>0</v>
      </c>
      <c r="AG10" s="194">
        <f t="shared" ref="AG10:AG24" si="26">IF(OR(AA10&lt;=$F$18,AA10&lt;=30),EXP(-LN(2)/$D$106)*AG9+((1-EXP(-LN(2)/$D$106))/(LN(2)/$D$106))*$AB10*AD10*0.475*$F$19*44/12,)</f>
        <v>0</v>
      </c>
      <c r="AH10" s="194">
        <f t="shared" ref="AH10:AH24" si="27">IF(OR(AA10&lt;=$F$18,AA10&lt;=30),EXP(-LN(2)/$D$105)*AH9+((1-EXP(-LN(2)/$D$105))/(LN(2)/$D$105))*$AB10*AE10*0.475*$F$19*44/12,)</f>
        <v>0</v>
      </c>
      <c r="AI10" s="199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4">
        <f t="shared" si="17"/>
        <v>0</v>
      </c>
      <c r="AR10" s="194">
        <f t="shared" si="17"/>
        <v>0</v>
      </c>
      <c r="AS10" s="194">
        <f t="shared" si="17"/>
        <v>0</v>
      </c>
      <c r="AT10" s="194">
        <f t="shared" si="17"/>
        <v>0</v>
      </c>
      <c r="AU10" s="33"/>
      <c r="AV10" s="33"/>
      <c r="AW10" s="33"/>
      <c r="AX10" s="33"/>
      <c r="AY10" s="164">
        <f t="shared" si="24"/>
        <v>0</v>
      </c>
    </row>
    <row r="11" spans="2:51">
      <c r="B11" s="395"/>
      <c r="C11" s="389"/>
      <c r="D11" s="387" t="s">
        <v>138</v>
      </c>
      <c r="E11" s="387"/>
      <c r="F11" s="36">
        <f>IF(D8=$B$100,1,0)</f>
        <v>0</v>
      </c>
      <c r="I11" s="55">
        <v>6</v>
      </c>
      <c r="J11" s="33">
        <f t="shared" si="18"/>
        <v>5</v>
      </c>
      <c r="K11" s="33">
        <f t="shared" si="19"/>
        <v>1.910565629709926</v>
      </c>
      <c r="L11" s="33">
        <f t="shared" si="20"/>
        <v>45</v>
      </c>
      <c r="M11" s="33">
        <f t="shared" si="21"/>
        <v>0</v>
      </c>
      <c r="N11" s="33">
        <f t="shared" si="0"/>
        <v>0</v>
      </c>
      <c r="O11" s="34">
        <f t="shared" si="1"/>
        <v>177.03590180507811</v>
      </c>
      <c r="P11" s="55">
        <v>6</v>
      </c>
      <c r="Q11" s="33">
        <f t="shared" si="15"/>
        <v>2.496</v>
      </c>
      <c r="R11" s="33">
        <f t="shared" si="22"/>
        <v>14.976000000000001</v>
      </c>
      <c r="S11" s="33">
        <f t="shared" si="23"/>
        <v>9.1353600000000004</v>
      </c>
      <c r="T11" s="33">
        <f t="shared" si="2"/>
        <v>3.2542376376421704</v>
      </c>
      <c r="U11" s="33">
        <f t="shared" si="16"/>
        <v>47.491886935343359</v>
      </c>
      <c r="V11" s="33">
        <f t="shared" si="3"/>
        <v>2</v>
      </c>
      <c r="W11" s="33">
        <v>0</v>
      </c>
      <c r="X11" s="33">
        <f t="shared" si="4"/>
        <v>203.04880131515242</v>
      </c>
      <c r="Y11" s="38">
        <f t="shared" si="5"/>
        <v>26.012899510074305</v>
      </c>
      <c r="AA11" s="71">
        <v>6</v>
      </c>
      <c r="AB11" s="33">
        <f t="shared" si="6"/>
        <v>0</v>
      </c>
      <c r="AC11" s="305">
        <f t="shared" si="7"/>
        <v>0</v>
      </c>
      <c r="AD11" s="100">
        <f t="shared" si="8"/>
        <v>0</v>
      </c>
      <c r="AE11" s="100">
        <f t="shared" si="9"/>
        <v>0</v>
      </c>
      <c r="AF11" s="194">
        <f t="shared" si="25"/>
        <v>0</v>
      </c>
      <c r="AG11" s="194">
        <f t="shared" si="26"/>
        <v>0</v>
      </c>
      <c r="AH11" s="194">
        <f t="shared" si="27"/>
        <v>0</v>
      </c>
      <c r="AI11" s="199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4">
        <f t="shared" si="17"/>
        <v>0</v>
      </c>
      <c r="AR11" s="194">
        <f t="shared" si="17"/>
        <v>0</v>
      </c>
      <c r="AS11" s="194">
        <f t="shared" si="17"/>
        <v>0</v>
      </c>
      <c r="AT11" s="194">
        <f t="shared" si="17"/>
        <v>0</v>
      </c>
      <c r="AU11" s="33"/>
      <c r="AV11" s="33"/>
      <c r="AW11" s="33"/>
      <c r="AX11" s="33"/>
      <c r="AY11" s="164">
        <f t="shared" si="24"/>
        <v>0</v>
      </c>
    </row>
    <row r="12" spans="2:51" ht="16">
      <c r="B12" s="395"/>
      <c r="C12" s="389"/>
      <c r="D12" s="384" t="s">
        <v>130</v>
      </c>
      <c r="E12" s="384"/>
      <c r="F12" s="96" t="s">
        <v>70</v>
      </c>
      <c r="I12" s="55">
        <v>7</v>
      </c>
      <c r="J12" s="33">
        <f t="shared" si="18"/>
        <v>5</v>
      </c>
      <c r="K12" s="33">
        <f t="shared" si="19"/>
        <v>1.910565629709926</v>
      </c>
      <c r="L12" s="33">
        <f t="shared" si="20"/>
        <v>45</v>
      </c>
      <c r="M12" s="33">
        <f t="shared" si="21"/>
        <v>0</v>
      </c>
      <c r="N12" s="33">
        <f t="shared" si="0"/>
        <v>0</v>
      </c>
      <c r="O12" s="34">
        <f t="shared" si="1"/>
        <v>177.03590180507811</v>
      </c>
      <c r="P12" s="55">
        <v>7</v>
      </c>
      <c r="Q12" s="33">
        <f t="shared" si="15"/>
        <v>2.496</v>
      </c>
      <c r="R12" s="33">
        <f t="shared" si="22"/>
        <v>17.472000000000001</v>
      </c>
      <c r="S12" s="33">
        <f t="shared" si="23"/>
        <v>10.657920000000001</v>
      </c>
      <c r="T12" s="33">
        <f t="shared" si="2"/>
        <v>3.7290949975640704</v>
      </c>
      <c r="U12" s="33">
        <f t="shared" si="16"/>
        <v>47.882352376412911</v>
      </c>
      <c r="V12" s="33">
        <f t="shared" si="3"/>
        <v>2.3333333333333335</v>
      </c>
      <c r="W12" s="33">
        <v>0</v>
      </c>
      <c r="X12" s="33">
        <f t="shared" si="4"/>
        <v>209.181565389827</v>
      </c>
      <c r="Y12" s="38">
        <f t="shared" si="5"/>
        <v>32.145663584748888</v>
      </c>
      <c r="AA12" s="71">
        <v>7</v>
      </c>
      <c r="AB12" s="33">
        <f t="shared" si="6"/>
        <v>0</v>
      </c>
      <c r="AC12" s="305">
        <f t="shared" si="7"/>
        <v>0</v>
      </c>
      <c r="AD12" s="100">
        <f t="shared" si="8"/>
        <v>0</v>
      </c>
      <c r="AE12" s="100">
        <f t="shared" si="9"/>
        <v>0</v>
      </c>
      <c r="AF12" s="194">
        <f t="shared" si="25"/>
        <v>0</v>
      </c>
      <c r="AG12" s="194">
        <f t="shared" si="26"/>
        <v>0</v>
      </c>
      <c r="AH12" s="194">
        <f t="shared" si="27"/>
        <v>0</v>
      </c>
      <c r="AI12" s="199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4">
        <f t="shared" si="17"/>
        <v>0</v>
      </c>
      <c r="AR12" s="194">
        <f t="shared" si="17"/>
        <v>0</v>
      </c>
      <c r="AS12" s="194">
        <f t="shared" si="17"/>
        <v>0</v>
      </c>
      <c r="AT12" s="194">
        <f t="shared" si="17"/>
        <v>0</v>
      </c>
      <c r="AU12" s="33"/>
      <c r="AV12" s="33"/>
      <c r="AW12" s="33"/>
      <c r="AX12" s="33"/>
      <c r="AY12" s="164">
        <f t="shared" si="24"/>
        <v>0</v>
      </c>
    </row>
    <row r="13" spans="2:51">
      <c r="B13" s="386"/>
      <c r="C13" s="390"/>
      <c r="D13" s="388" t="s">
        <v>154</v>
      </c>
      <c r="E13" s="388"/>
      <c r="F13" s="37">
        <f>IF(ISBLANK(F$12),,VLOOKUP(F$12,C131:D195,2,FALSE))</f>
        <v>0.56999999999999995</v>
      </c>
      <c r="I13" s="55">
        <v>8</v>
      </c>
      <c r="J13" s="33">
        <f t="shared" si="18"/>
        <v>5</v>
      </c>
      <c r="K13" s="33">
        <f t="shared" si="19"/>
        <v>1.910565629709926</v>
      </c>
      <c r="L13" s="33">
        <f t="shared" si="20"/>
        <v>45</v>
      </c>
      <c r="M13" s="33">
        <f t="shared" si="21"/>
        <v>0</v>
      </c>
      <c r="N13" s="33">
        <f t="shared" si="0"/>
        <v>0</v>
      </c>
      <c r="O13" s="34">
        <f t="shared" si="1"/>
        <v>177.03590180507811</v>
      </c>
      <c r="P13" s="55">
        <v>8</v>
      </c>
      <c r="Q13" s="33">
        <f t="shared" si="15"/>
        <v>2.496</v>
      </c>
      <c r="R13" s="33">
        <f t="shared" si="22"/>
        <v>19.968</v>
      </c>
      <c r="S13" s="33">
        <f t="shared" si="23"/>
        <v>12.180479999999999</v>
      </c>
      <c r="T13" s="33">
        <f t="shared" si="2"/>
        <v>4.1960932538082183</v>
      </c>
      <c r="U13" s="33">
        <f t="shared" si="16"/>
        <v>48.266044115029857</v>
      </c>
      <c r="V13" s="33">
        <f t="shared" si="3"/>
        <v>2.6666666666666665</v>
      </c>
      <c r="W13" s="33">
        <v>0</v>
      </c>
      <c r="X13" s="33">
        <f t="shared" si="4"/>
        <v>215.27580461660321</v>
      </c>
      <c r="Y13" s="38">
        <f t="shared" si="5"/>
        <v>38.239902811525099</v>
      </c>
      <c r="AA13" s="71">
        <v>8</v>
      </c>
      <c r="AB13" s="33">
        <f t="shared" si="6"/>
        <v>0</v>
      </c>
      <c r="AC13" s="305">
        <f t="shared" si="7"/>
        <v>0</v>
      </c>
      <c r="AD13" s="100">
        <f t="shared" si="8"/>
        <v>0</v>
      </c>
      <c r="AE13" s="100">
        <f t="shared" si="9"/>
        <v>0</v>
      </c>
      <c r="AF13" s="194">
        <f t="shared" si="25"/>
        <v>0</v>
      </c>
      <c r="AG13" s="194">
        <f t="shared" si="26"/>
        <v>0</v>
      </c>
      <c r="AH13" s="194">
        <f t="shared" si="27"/>
        <v>0</v>
      </c>
      <c r="AI13" s="199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4">
        <f t="shared" si="17"/>
        <v>0</v>
      </c>
      <c r="AR13" s="194">
        <f t="shared" si="17"/>
        <v>0</v>
      </c>
      <c r="AS13" s="194">
        <f t="shared" si="17"/>
        <v>0</v>
      </c>
      <c r="AT13" s="194">
        <f t="shared" si="17"/>
        <v>0</v>
      </c>
      <c r="AU13" s="33"/>
      <c r="AV13" s="33"/>
      <c r="AW13" s="33"/>
      <c r="AX13" s="33"/>
      <c r="AY13" s="164">
        <f t="shared" si="24"/>
        <v>0</v>
      </c>
    </row>
    <row r="14" spans="2:51">
      <c r="B14" s="385" t="s">
        <v>131</v>
      </c>
      <c r="C14" s="381"/>
      <c r="D14" s="382"/>
      <c r="E14" s="382"/>
      <c r="F14" s="383"/>
      <c r="I14" s="55">
        <v>9</v>
      </c>
      <c r="J14" s="33">
        <f t="shared" si="18"/>
        <v>5</v>
      </c>
      <c r="K14" s="33">
        <f t="shared" si="19"/>
        <v>1.910565629709926</v>
      </c>
      <c r="L14" s="33">
        <f t="shared" si="20"/>
        <v>45</v>
      </c>
      <c r="M14" s="33">
        <f t="shared" si="21"/>
        <v>0</v>
      </c>
      <c r="N14" s="33">
        <f t="shared" si="0"/>
        <v>0</v>
      </c>
      <c r="O14" s="34">
        <f t="shared" si="1"/>
        <v>177.03590180507811</v>
      </c>
      <c r="P14" s="55">
        <v>9</v>
      </c>
      <c r="Q14" s="33">
        <f t="shared" si="15"/>
        <v>2.496</v>
      </c>
      <c r="R14" s="33">
        <f t="shared" si="22"/>
        <v>22.463999999999999</v>
      </c>
      <c r="S14" s="33">
        <f t="shared" si="23"/>
        <v>13.70304</v>
      </c>
      <c r="T14" s="33">
        <f t="shared" si="2"/>
        <v>4.6563273032439501</v>
      </c>
      <c r="U14" s="33">
        <f t="shared" si="16"/>
        <v>48.643079659788015</v>
      </c>
      <c r="V14" s="33">
        <f t="shared" si="3"/>
        <v>3</v>
      </c>
      <c r="W14" s="33">
        <v>0</v>
      </c>
      <c r="X14" s="33">
        <f t="shared" si="4"/>
        <v>221.33385680570595</v>
      </c>
      <c r="Y14" s="38">
        <f t="shared" si="5"/>
        <v>44.297955000627837</v>
      </c>
      <c r="AA14" s="71">
        <v>9</v>
      </c>
      <c r="AB14" s="33">
        <f t="shared" si="6"/>
        <v>0</v>
      </c>
      <c r="AC14" s="305">
        <f t="shared" si="7"/>
        <v>0</v>
      </c>
      <c r="AD14" s="100">
        <f t="shared" si="8"/>
        <v>0</v>
      </c>
      <c r="AE14" s="100">
        <f t="shared" si="9"/>
        <v>0</v>
      </c>
      <c r="AF14" s="194">
        <f t="shared" si="25"/>
        <v>0</v>
      </c>
      <c r="AG14" s="194">
        <f t="shared" si="26"/>
        <v>0</v>
      </c>
      <c r="AH14" s="194">
        <f t="shared" si="27"/>
        <v>0</v>
      </c>
      <c r="AI14" s="199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4">
        <f t="shared" si="17"/>
        <v>0</v>
      </c>
      <c r="AR14" s="194">
        <f t="shared" si="17"/>
        <v>0</v>
      </c>
      <c r="AS14" s="194">
        <f t="shared" si="17"/>
        <v>0</v>
      </c>
      <c r="AT14" s="194">
        <f t="shared" si="17"/>
        <v>0</v>
      </c>
      <c r="AU14" s="33"/>
      <c r="AV14" s="33"/>
      <c r="AW14" s="33"/>
      <c r="AX14" s="33"/>
      <c r="AY14" s="164">
        <f t="shared" si="24"/>
        <v>0</v>
      </c>
    </row>
    <row r="15" spans="2:51">
      <c r="B15" s="395"/>
      <c r="C15" s="93" t="s">
        <v>73</v>
      </c>
      <c r="D15" s="391" t="s">
        <v>134</v>
      </c>
      <c r="E15" s="391"/>
      <c r="F15" s="94">
        <f>IF(D15="","",VLOOKUP(D15,$B$97:$C$100,2,0))</f>
        <v>70</v>
      </c>
      <c r="I15" s="55">
        <v>10</v>
      </c>
      <c r="J15" s="33">
        <f t="shared" si="18"/>
        <v>5</v>
      </c>
      <c r="K15" s="33">
        <f t="shared" si="19"/>
        <v>1.910565629709926</v>
      </c>
      <c r="L15" s="33">
        <f t="shared" si="20"/>
        <v>45</v>
      </c>
      <c r="M15" s="33">
        <f t="shared" si="21"/>
        <v>0</v>
      </c>
      <c r="N15" s="33">
        <f t="shared" si="0"/>
        <v>0</v>
      </c>
      <c r="O15" s="34">
        <f t="shared" si="1"/>
        <v>177.03590180507811</v>
      </c>
      <c r="P15" s="55">
        <v>10</v>
      </c>
      <c r="Q15" s="33">
        <f t="shared" si="15"/>
        <v>2.496</v>
      </c>
      <c r="R15" s="33">
        <f t="shared" si="22"/>
        <v>24.959999999999997</v>
      </c>
      <c r="S15" s="33">
        <f t="shared" si="23"/>
        <v>15.225599999999998</v>
      </c>
      <c r="T15" s="33">
        <f t="shared" si="2"/>
        <v>5.1106344584879544</v>
      </c>
      <c r="U15" s="33">
        <f t="shared" si="16"/>
        <v>49.013574480769819</v>
      </c>
      <c r="V15" s="33">
        <f t="shared" si="3"/>
        <v>3.3333333333333335</v>
      </c>
      <c r="W15" s="33">
        <v>0</v>
      </c>
      <c r="X15" s="33">
        <f t="shared" si="4"/>
        <v>227.35760366691139</v>
      </c>
      <c r="Y15" s="38">
        <f t="shared" si="5"/>
        <v>50.321701861833276</v>
      </c>
      <c r="AA15" s="71">
        <v>10</v>
      </c>
      <c r="AB15" s="33">
        <f t="shared" si="6"/>
        <v>0</v>
      </c>
      <c r="AC15" s="305">
        <f t="shared" si="7"/>
        <v>0</v>
      </c>
      <c r="AD15" s="100">
        <f t="shared" si="8"/>
        <v>0</v>
      </c>
      <c r="AE15" s="100">
        <f t="shared" si="9"/>
        <v>0</v>
      </c>
      <c r="AF15" s="194">
        <f t="shared" si="25"/>
        <v>0</v>
      </c>
      <c r="AG15" s="194">
        <f t="shared" si="26"/>
        <v>0</v>
      </c>
      <c r="AH15" s="194">
        <f t="shared" si="27"/>
        <v>0</v>
      </c>
      <c r="AI15" s="199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4">
        <f t="shared" si="17"/>
        <v>0</v>
      </c>
      <c r="AR15" s="194">
        <f t="shared" si="17"/>
        <v>0</v>
      </c>
      <c r="AS15" s="194">
        <f t="shared" si="17"/>
        <v>0</v>
      </c>
      <c r="AT15" s="194">
        <f t="shared" si="17"/>
        <v>0</v>
      </c>
      <c r="AU15" s="33"/>
      <c r="AV15" s="33"/>
      <c r="AW15" s="33"/>
      <c r="AX15" s="33"/>
      <c r="AY15" s="164">
        <f t="shared" si="24"/>
        <v>0</v>
      </c>
    </row>
    <row r="16" spans="2:51">
      <c r="B16" s="395"/>
      <c r="C16" s="93" t="s">
        <v>74</v>
      </c>
      <c r="D16" s="387" t="s">
        <v>137</v>
      </c>
      <c r="E16" s="387"/>
      <c r="F16" s="94">
        <v>10</v>
      </c>
      <c r="I16" s="55">
        <v>11</v>
      </c>
      <c r="J16" s="33">
        <f t="shared" si="18"/>
        <v>5</v>
      </c>
      <c r="K16" s="33">
        <f t="shared" si="19"/>
        <v>1.910565629709926</v>
      </c>
      <c r="L16" s="33">
        <f t="shared" si="20"/>
        <v>45</v>
      </c>
      <c r="M16" s="33">
        <f t="shared" si="21"/>
        <v>0</v>
      </c>
      <c r="N16" s="33">
        <f t="shared" si="0"/>
        <v>0</v>
      </c>
      <c r="O16" s="34">
        <f t="shared" si="1"/>
        <v>177.03590180507811</v>
      </c>
      <c r="P16" s="55">
        <v>11</v>
      </c>
      <c r="Q16" s="33">
        <f t="shared" si="15"/>
        <v>2.496</v>
      </c>
      <c r="R16" s="33">
        <f t="shared" si="22"/>
        <v>27.455999999999996</v>
      </c>
      <c r="S16" s="33">
        <f t="shared" si="23"/>
        <v>16.748159999999999</v>
      </c>
      <c r="T16" s="33">
        <f t="shared" si="2"/>
        <v>5.5596748790249322</v>
      </c>
      <c r="U16" s="33">
        <f t="shared" si="16"/>
        <v>49.377642044909919</v>
      </c>
      <c r="V16" s="33">
        <f t="shared" si="3"/>
        <v>3.6666666666666665</v>
      </c>
      <c r="W16" s="33">
        <v>0</v>
      </c>
      <c r="X16" s="33">
        <f t="shared" si="4"/>
        <v>233.34861102341588</v>
      </c>
      <c r="Y16" s="38">
        <f t="shared" si="5"/>
        <v>56.312709218337773</v>
      </c>
      <c r="AA16" s="71">
        <v>11</v>
      </c>
      <c r="AB16" s="33">
        <f t="shared" si="6"/>
        <v>0</v>
      </c>
      <c r="AC16" s="305">
        <f t="shared" si="7"/>
        <v>0</v>
      </c>
      <c r="AD16" s="100">
        <f t="shared" si="8"/>
        <v>0</v>
      </c>
      <c r="AE16" s="100">
        <f t="shared" si="9"/>
        <v>0</v>
      </c>
      <c r="AF16" s="194">
        <f t="shared" si="25"/>
        <v>0</v>
      </c>
      <c r="AG16" s="194">
        <f t="shared" si="26"/>
        <v>0</v>
      </c>
      <c r="AH16" s="194">
        <f t="shared" si="27"/>
        <v>0</v>
      </c>
      <c r="AI16" s="199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4">
        <f t="shared" si="17"/>
        <v>0</v>
      </c>
      <c r="AR16" s="194">
        <f t="shared" si="17"/>
        <v>0</v>
      </c>
      <c r="AS16" s="194">
        <f t="shared" si="17"/>
        <v>0</v>
      </c>
      <c r="AT16" s="194">
        <f t="shared" si="17"/>
        <v>0</v>
      </c>
      <c r="AU16" s="33"/>
      <c r="AV16" s="33"/>
      <c r="AW16" s="33"/>
      <c r="AX16" s="33"/>
      <c r="AY16" s="164">
        <f t="shared" si="24"/>
        <v>0</v>
      </c>
    </row>
    <row r="17" spans="2:51" ht="16">
      <c r="B17" s="395"/>
      <c r="C17" s="389" t="s">
        <v>123</v>
      </c>
      <c r="D17" s="384" t="s">
        <v>130</v>
      </c>
      <c r="E17" s="384"/>
      <c r="F17" s="96" t="s">
        <v>12</v>
      </c>
      <c r="I17" s="55">
        <v>12</v>
      </c>
      <c r="J17" s="33">
        <f t="shared" si="18"/>
        <v>5</v>
      </c>
      <c r="K17" s="33">
        <f t="shared" si="19"/>
        <v>1.910565629709926</v>
      </c>
      <c r="L17" s="33">
        <f t="shared" si="20"/>
        <v>45</v>
      </c>
      <c r="M17" s="33">
        <f t="shared" si="21"/>
        <v>0</v>
      </c>
      <c r="N17" s="33">
        <f t="shared" si="0"/>
        <v>0</v>
      </c>
      <c r="O17" s="34">
        <f t="shared" si="1"/>
        <v>177.03590180507811</v>
      </c>
      <c r="P17" s="55">
        <v>12</v>
      </c>
      <c r="Q17" s="33">
        <f t="shared" si="15"/>
        <v>2.496</v>
      </c>
      <c r="R17" s="33">
        <f t="shared" si="22"/>
        <v>29.951999999999995</v>
      </c>
      <c r="S17" s="33">
        <f t="shared" si="23"/>
        <v>18.270719999999997</v>
      </c>
      <c r="T17" s="33">
        <f t="shared" si="2"/>
        <v>6.003981810873932</v>
      </c>
      <c r="U17" s="33">
        <f t="shared" si="16"/>
        <v>49.735393850745325</v>
      </c>
      <c r="V17" s="33">
        <f t="shared" si="3"/>
        <v>4</v>
      </c>
      <c r="W17" s="33">
        <v>0</v>
      </c>
      <c r="X17" s="33">
        <f t="shared" si="4"/>
        <v>239.30821644000494</v>
      </c>
      <c r="Y17" s="38">
        <f t="shared" si="5"/>
        <v>62.272314634926829</v>
      </c>
      <c r="AA17" s="71">
        <v>12</v>
      </c>
      <c r="AB17" s="33">
        <f t="shared" si="6"/>
        <v>0</v>
      </c>
      <c r="AC17" s="305">
        <f t="shared" si="7"/>
        <v>0</v>
      </c>
      <c r="AD17" s="100">
        <f t="shared" si="8"/>
        <v>0</v>
      </c>
      <c r="AE17" s="100">
        <f t="shared" si="9"/>
        <v>0</v>
      </c>
      <c r="AF17" s="194">
        <f t="shared" si="25"/>
        <v>0</v>
      </c>
      <c r="AG17" s="194">
        <f t="shared" si="26"/>
        <v>0</v>
      </c>
      <c r="AH17" s="194">
        <f t="shared" si="27"/>
        <v>0</v>
      </c>
      <c r="AI17" s="199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4">
        <f t="shared" si="17"/>
        <v>0</v>
      </c>
      <c r="AR17" s="194">
        <f t="shared" si="17"/>
        <v>0</v>
      </c>
      <c r="AS17" s="194">
        <f t="shared" si="17"/>
        <v>0</v>
      </c>
      <c r="AT17" s="194">
        <f t="shared" si="17"/>
        <v>0</v>
      </c>
      <c r="AU17" s="33"/>
      <c r="AV17" s="33"/>
      <c r="AW17" s="33"/>
      <c r="AX17" s="33"/>
      <c r="AY17" s="164">
        <f t="shared" si="24"/>
        <v>0</v>
      </c>
    </row>
    <row r="18" spans="2:51">
      <c r="B18" s="395"/>
      <c r="C18" s="389"/>
      <c r="D18" s="384" t="s">
        <v>135</v>
      </c>
      <c r="E18" s="384"/>
      <c r="F18" s="97">
        <v>135</v>
      </c>
      <c r="I18" s="55">
        <v>13</v>
      </c>
      <c r="J18" s="33">
        <f t="shared" si="18"/>
        <v>5</v>
      </c>
      <c r="K18" s="33">
        <f t="shared" si="19"/>
        <v>1.910565629709926</v>
      </c>
      <c r="L18" s="33">
        <f t="shared" si="20"/>
        <v>45</v>
      </c>
      <c r="M18" s="33">
        <f t="shared" si="21"/>
        <v>0</v>
      </c>
      <c r="N18" s="33">
        <f t="shared" si="0"/>
        <v>0</v>
      </c>
      <c r="O18" s="34">
        <f t="shared" si="1"/>
        <v>177.03590180507811</v>
      </c>
      <c r="P18" s="55">
        <v>13</v>
      </c>
      <c r="Q18" s="33">
        <f t="shared" si="15"/>
        <v>2.496</v>
      </c>
      <c r="R18" s="33">
        <f t="shared" si="22"/>
        <v>32.447999999999993</v>
      </c>
      <c r="S18" s="33">
        <f t="shared" si="23"/>
        <v>19.793279999999996</v>
      </c>
      <c r="T18" s="33">
        <f t="shared" si="2"/>
        <v>6.4439945577278426</v>
      </c>
      <c r="U18" s="33">
        <f t="shared" si="16"/>
        <v>50.086939462562704</v>
      </c>
      <c r="V18" s="33">
        <f t="shared" si="3"/>
        <v>4.333333333333333</v>
      </c>
      <c r="W18" s="33">
        <v>0</v>
      </c>
      <c r="X18" s="33">
        <f t="shared" si="4"/>
        <v>245.23758677299477</v>
      </c>
      <c r="Y18" s="38">
        <f t="shared" si="5"/>
        <v>68.201684967916663</v>
      </c>
      <c r="AA18" s="71">
        <v>13</v>
      </c>
      <c r="AB18" s="33">
        <f t="shared" si="6"/>
        <v>0</v>
      </c>
      <c r="AC18" s="305">
        <f t="shared" si="7"/>
        <v>0</v>
      </c>
      <c r="AD18" s="100">
        <f t="shared" si="8"/>
        <v>0</v>
      </c>
      <c r="AE18" s="100">
        <f t="shared" si="9"/>
        <v>0</v>
      </c>
      <c r="AF18" s="194">
        <f t="shared" si="25"/>
        <v>0</v>
      </c>
      <c r="AG18" s="194">
        <f t="shared" si="26"/>
        <v>0</v>
      </c>
      <c r="AH18" s="194">
        <f t="shared" si="27"/>
        <v>0</v>
      </c>
      <c r="AI18" s="199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4">
        <f t="shared" si="17"/>
        <v>0</v>
      </c>
      <c r="AR18" s="194">
        <f t="shared" si="17"/>
        <v>0</v>
      </c>
      <c r="AS18" s="194">
        <f t="shared" si="17"/>
        <v>0</v>
      </c>
      <c r="AT18" s="194">
        <f t="shared" si="17"/>
        <v>0</v>
      </c>
      <c r="AU18" s="33"/>
      <c r="AV18" s="33"/>
      <c r="AW18" s="33"/>
      <c r="AX18" s="33"/>
      <c r="AY18" s="164">
        <f t="shared" si="24"/>
        <v>0</v>
      </c>
    </row>
    <row r="19" spans="2:51">
      <c r="B19" s="395"/>
      <c r="C19" s="389"/>
      <c r="D19" s="387" t="s">
        <v>154</v>
      </c>
      <c r="E19" s="387"/>
      <c r="F19" s="36">
        <f>IF(ISBLANK(F$17),,VLOOKUP(F$17,C131:D195,2,FALSE))</f>
        <v>0.61</v>
      </c>
      <c r="I19" s="55">
        <v>14</v>
      </c>
      <c r="J19" s="33">
        <f t="shared" si="18"/>
        <v>5</v>
      </c>
      <c r="K19" s="33">
        <f t="shared" si="19"/>
        <v>1.910565629709926</v>
      </c>
      <c r="L19" s="33">
        <f t="shared" si="20"/>
        <v>45</v>
      </c>
      <c r="M19" s="33">
        <f t="shared" si="21"/>
        <v>0</v>
      </c>
      <c r="N19" s="33">
        <f t="shared" si="0"/>
        <v>0</v>
      </c>
      <c r="O19" s="34">
        <f t="shared" si="1"/>
        <v>177.03590180507811</v>
      </c>
      <c r="P19" s="55">
        <v>14</v>
      </c>
      <c r="Q19" s="33">
        <f t="shared" si="15"/>
        <v>2.496</v>
      </c>
      <c r="R19" s="33">
        <f t="shared" si="22"/>
        <v>34.943999999999996</v>
      </c>
      <c r="S19" s="33">
        <f t="shared" si="23"/>
        <v>21.315839999999998</v>
      </c>
      <c r="T19" s="33">
        <f t="shared" si="2"/>
        <v>6.8800809988227236</v>
      </c>
      <c r="U19" s="33">
        <f t="shared" si="16"/>
        <v>50.432386543953299</v>
      </c>
      <c r="V19" s="33">
        <f t="shared" si="3"/>
        <v>4.666666666666667</v>
      </c>
      <c r="W19" s="33">
        <v>0</v>
      </c>
      <c r="X19" s="33">
        <f t="shared" si="4"/>
        <v>251.13775751188948</v>
      </c>
      <c r="Y19" s="38">
        <f t="shared" si="5"/>
        <v>74.101855706811364</v>
      </c>
      <c r="AA19" s="71">
        <v>14</v>
      </c>
      <c r="AB19" s="33">
        <f t="shared" si="6"/>
        <v>0</v>
      </c>
      <c r="AC19" s="305">
        <f t="shared" si="7"/>
        <v>0</v>
      </c>
      <c r="AD19" s="100">
        <f t="shared" si="8"/>
        <v>0</v>
      </c>
      <c r="AE19" s="100">
        <f t="shared" si="9"/>
        <v>0</v>
      </c>
      <c r="AF19" s="194">
        <f t="shared" si="25"/>
        <v>0</v>
      </c>
      <c r="AG19" s="194">
        <f t="shared" si="26"/>
        <v>0</v>
      </c>
      <c r="AH19" s="194">
        <f t="shared" si="27"/>
        <v>0</v>
      </c>
      <c r="AI19" s="199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4">
        <f t="shared" si="17"/>
        <v>0</v>
      </c>
      <c r="AR19" s="194">
        <f t="shared" si="17"/>
        <v>0</v>
      </c>
      <c r="AS19" s="194">
        <f t="shared" si="17"/>
        <v>0</v>
      </c>
      <c r="AT19" s="194">
        <f t="shared" si="17"/>
        <v>0</v>
      </c>
      <c r="AU19" s="33"/>
      <c r="AV19" s="33"/>
      <c r="AW19" s="33"/>
      <c r="AX19" s="33"/>
      <c r="AY19" s="164">
        <f t="shared" si="24"/>
        <v>0</v>
      </c>
    </row>
    <row r="20" spans="2:51">
      <c r="B20" s="395"/>
      <c r="C20" s="389"/>
      <c r="D20" s="387" t="s">
        <v>139</v>
      </c>
      <c r="E20" s="387"/>
      <c r="F20" s="36">
        <f>IF(ISBLANK(F$17),,VLOOKUP(F17,Tableau14593[#All],4,FALSE))</f>
        <v>1.56</v>
      </c>
      <c r="I20" s="55">
        <v>15</v>
      </c>
      <c r="J20" s="33">
        <f t="shared" si="18"/>
        <v>5</v>
      </c>
      <c r="K20" s="33">
        <f t="shared" si="19"/>
        <v>1.910565629709926</v>
      </c>
      <c r="L20" s="33">
        <f t="shared" si="20"/>
        <v>45</v>
      </c>
      <c r="M20" s="33">
        <f t="shared" si="21"/>
        <v>0</v>
      </c>
      <c r="N20" s="33">
        <f t="shared" si="0"/>
        <v>0</v>
      </c>
      <c r="O20" s="34">
        <f t="shared" si="1"/>
        <v>177.03590180507811</v>
      </c>
      <c r="P20" s="55">
        <v>15</v>
      </c>
      <c r="Q20" s="33">
        <f t="shared" si="15"/>
        <v>2.496</v>
      </c>
      <c r="R20" s="33">
        <f t="shared" si="22"/>
        <v>37.44</v>
      </c>
      <c r="S20" s="33">
        <f t="shared" si="23"/>
        <v>22.838399999999996</v>
      </c>
      <c r="T20" s="33">
        <f t="shared" si="2"/>
        <v>7.3125534812505473</v>
      </c>
      <c r="U20" s="33">
        <f t="shared" si="16"/>
        <v>50.771840890785739</v>
      </c>
      <c r="V20" s="33">
        <f t="shared" si="3"/>
        <v>5</v>
      </c>
      <c r="W20" s="33">
        <v>0</v>
      </c>
      <c r="X20" s="33">
        <f t="shared" si="4"/>
        <v>257.0096605793924</v>
      </c>
      <c r="Y20" s="38">
        <f t="shared" si="5"/>
        <v>79.973758774314291</v>
      </c>
      <c r="AA20" s="71">
        <v>15</v>
      </c>
      <c r="AB20" s="33">
        <f t="shared" si="6"/>
        <v>0</v>
      </c>
      <c r="AC20" s="305">
        <f t="shared" si="7"/>
        <v>0</v>
      </c>
      <c r="AD20" s="100">
        <f t="shared" si="8"/>
        <v>0</v>
      </c>
      <c r="AE20" s="100">
        <f t="shared" si="9"/>
        <v>0</v>
      </c>
      <c r="AF20" s="194">
        <f t="shared" si="25"/>
        <v>0</v>
      </c>
      <c r="AG20" s="194">
        <f t="shared" si="26"/>
        <v>0</v>
      </c>
      <c r="AH20" s="194">
        <f t="shared" si="27"/>
        <v>0</v>
      </c>
      <c r="AI20" s="199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4">
        <f t="shared" si="17"/>
        <v>0</v>
      </c>
      <c r="AR20" s="194">
        <f t="shared" si="17"/>
        <v>0</v>
      </c>
      <c r="AS20" s="194">
        <f t="shared" si="17"/>
        <v>0</v>
      </c>
      <c r="AT20" s="194">
        <f t="shared" si="17"/>
        <v>0</v>
      </c>
      <c r="AU20" s="33"/>
      <c r="AV20" s="33"/>
      <c r="AW20" s="33"/>
      <c r="AX20" s="33"/>
      <c r="AY20" s="164">
        <f t="shared" si="24"/>
        <v>0</v>
      </c>
    </row>
    <row r="21" spans="2:51">
      <c r="B21" s="386"/>
      <c r="C21" s="390"/>
      <c r="D21" s="388" t="s">
        <v>142</v>
      </c>
      <c r="E21" s="388"/>
      <c r="F21" s="102">
        <f>1.3*15%</f>
        <v>0.19500000000000001</v>
      </c>
      <c r="I21" s="55">
        <v>16</v>
      </c>
      <c r="J21" s="33">
        <f t="shared" si="18"/>
        <v>5</v>
      </c>
      <c r="K21" s="33">
        <f t="shared" si="19"/>
        <v>1.910565629709926</v>
      </c>
      <c r="L21" s="33">
        <f t="shared" si="20"/>
        <v>45</v>
      </c>
      <c r="M21" s="33">
        <f t="shared" si="21"/>
        <v>0</v>
      </c>
      <c r="N21" s="33">
        <f t="shared" si="0"/>
        <v>0</v>
      </c>
      <c r="O21" s="34">
        <f t="shared" si="1"/>
        <v>177.03590180507811</v>
      </c>
      <c r="P21" s="55">
        <v>16</v>
      </c>
      <c r="Q21" s="33">
        <f t="shared" si="15"/>
        <v>2.496</v>
      </c>
      <c r="R21" s="33">
        <f t="shared" si="22"/>
        <v>39.936</v>
      </c>
      <c r="S21" s="33">
        <f t="shared" si="23"/>
        <v>24.360959999999999</v>
      </c>
      <c r="T21" s="33">
        <f t="shared" si="2"/>
        <v>7.7416803497020927</v>
      </c>
      <c r="U21" s="33">
        <f t="shared" si="16"/>
        <v>51.105406463606862</v>
      </c>
      <c r="V21" s="33">
        <f t="shared" si="3"/>
        <v>5.333333333333333</v>
      </c>
      <c r="W21" s="33">
        <v>0</v>
      </c>
      <c r="X21" s="33">
        <f t="shared" si="4"/>
        <v>262.85414453117852</v>
      </c>
      <c r="Y21" s="38">
        <f t="shared" si="5"/>
        <v>85.818242726100408</v>
      </c>
      <c r="AA21" s="71">
        <v>16</v>
      </c>
      <c r="AB21" s="33">
        <f t="shared" si="6"/>
        <v>0</v>
      </c>
      <c r="AC21" s="305">
        <f t="shared" si="7"/>
        <v>0</v>
      </c>
      <c r="AD21" s="100">
        <f t="shared" si="8"/>
        <v>0</v>
      </c>
      <c r="AE21" s="100">
        <f t="shared" si="9"/>
        <v>0</v>
      </c>
      <c r="AF21" s="194">
        <f t="shared" si="25"/>
        <v>0</v>
      </c>
      <c r="AG21" s="194">
        <f t="shared" si="26"/>
        <v>0</v>
      </c>
      <c r="AH21" s="194">
        <f t="shared" si="27"/>
        <v>0</v>
      </c>
      <c r="AI21" s="199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4">
        <f t="shared" si="17"/>
        <v>0</v>
      </c>
      <c r="AR21" s="194">
        <f t="shared" si="17"/>
        <v>0</v>
      </c>
      <c r="AS21" s="194">
        <f t="shared" si="17"/>
        <v>0</v>
      </c>
      <c r="AT21" s="194">
        <f t="shared" si="17"/>
        <v>0</v>
      </c>
      <c r="AU21" s="33"/>
      <c r="AV21" s="33"/>
      <c r="AW21" s="33"/>
      <c r="AX21" s="33"/>
      <c r="AY21" s="164">
        <f t="shared" si="24"/>
        <v>0</v>
      </c>
    </row>
    <row r="22" spans="2:51">
      <c r="E22" s="6"/>
      <c r="I22" s="55">
        <v>17</v>
      </c>
      <c r="J22" s="33">
        <f t="shared" si="18"/>
        <v>5</v>
      </c>
      <c r="K22" s="33">
        <f t="shared" si="19"/>
        <v>1.910565629709926</v>
      </c>
      <c r="L22" s="33">
        <f t="shared" si="20"/>
        <v>45</v>
      </c>
      <c r="M22" s="33">
        <f t="shared" si="21"/>
        <v>0</v>
      </c>
      <c r="N22" s="33">
        <f t="shared" si="0"/>
        <v>0</v>
      </c>
      <c r="O22" s="34">
        <f t="shared" si="1"/>
        <v>177.03590180507811</v>
      </c>
      <c r="P22" s="55">
        <v>17</v>
      </c>
      <c r="Q22" s="33">
        <f t="shared" si="15"/>
        <v>2.496</v>
      </c>
      <c r="R22" s="33">
        <f t="shared" si="22"/>
        <v>42.432000000000002</v>
      </c>
      <c r="S22" s="33">
        <f t="shared" si="23"/>
        <v>25.883520000000001</v>
      </c>
      <c r="T22" s="33">
        <f t="shared" si="2"/>
        <v>8.1676945099204428</v>
      </c>
      <c r="U22" s="33">
        <f t="shared" si="16"/>
        <v>51.433185419480445</v>
      </c>
      <c r="V22" s="33">
        <f t="shared" si="3"/>
        <v>5.666666666666667</v>
      </c>
      <c r="W22" s="33">
        <v>0</v>
      </c>
      <c r="X22" s="33">
        <f t="shared" si="4"/>
        <v>268.67198958731757</v>
      </c>
      <c r="Y22" s="38">
        <f t="shared" si="5"/>
        <v>91.636087782239457</v>
      </c>
      <c r="AA22" s="71">
        <v>17</v>
      </c>
      <c r="AB22" s="33">
        <f t="shared" si="6"/>
        <v>0</v>
      </c>
      <c r="AC22" s="305">
        <f t="shared" si="7"/>
        <v>0</v>
      </c>
      <c r="AD22" s="100">
        <f t="shared" si="8"/>
        <v>0</v>
      </c>
      <c r="AE22" s="100">
        <f t="shared" si="9"/>
        <v>0</v>
      </c>
      <c r="AF22" s="194">
        <f t="shared" si="25"/>
        <v>0</v>
      </c>
      <c r="AG22" s="194">
        <f t="shared" si="26"/>
        <v>0</v>
      </c>
      <c r="AH22" s="194">
        <f t="shared" si="27"/>
        <v>0</v>
      </c>
      <c r="AI22" s="199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4">
        <f t="shared" si="17"/>
        <v>0</v>
      </c>
      <c r="AR22" s="194">
        <f t="shared" si="17"/>
        <v>0</v>
      </c>
      <c r="AS22" s="194">
        <f t="shared" si="17"/>
        <v>0</v>
      </c>
      <c r="AT22" s="194">
        <f t="shared" si="17"/>
        <v>0</v>
      </c>
      <c r="AU22" s="33"/>
      <c r="AV22" s="33"/>
      <c r="AW22" s="33"/>
      <c r="AX22" s="33"/>
      <c r="AY22" s="164">
        <f t="shared" si="24"/>
        <v>0</v>
      </c>
    </row>
    <row r="23" spans="2:51">
      <c r="B23" s="407" t="s">
        <v>141</v>
      </c>
      <c r="C23" s="408"/>
      <c r="D23" s="408"/>
      <c r="E23" s="408"/>
      <c r="F23" s="408"/>
      <c r="G23" s="409"/>
      <c r="I23" s="55">
        <v>18</v>
      </c>
      <c r="J23" s="33">
        <f t="shared" si="18"/>
        <v>5</v>
      </c>
      <c r="K23" s="33">
        <f t="shared" si="19"/>
        <v>1.910565629709926</v>
      </c>
      <c r="L23" s="33">
        <f t="shared" si="20"/>
        <v>45</v>
      </c>
      <c r="M23" s="33">
        <f t="shared" si="21"/>
        <v>0</v>
      </c>
      <c r="N23" s="33">
        <f t="shared" si="0"/>
        <v>0</v>
      </c>
      <c r="O23" s="34">
        <f t="shared" si="1"/>
        <v>177.03590180507811</v>
      </c>
      <c r="P23" s="55">
        <v>18</v>
      </c>
      <c r="Q23" s="33">
        <f t="shared" si="15"/>
        <v>2.496</v>
      </c>
      <c r="R23" s="33">
        <f t="shared" si="22"/>
        <v>44.928000000000004</v>
      </c>
      <c r="S23" s="33">
        <f t="shared" si="23"/>
        <v>27.406080000000003</v>
      </c>
      <c r="T23" s="33">
        <f t="shared" si="2"/>
        <v>8.5907999190888766</v>
      </c>
      <c r="U23" s="33">
        <f t="shared" si="16"/>
        <v>51.755278143273578</v>
      </c>
      <c r="V23" s="33">
        <f t="shared" si="3"/>
        <v>6</v>
      </c>
      <c r="W23" s="33">
        <v>0</v>
      </c>
      <c r="X23" s="33">
        <f t="shared" si="4"/>
        <v>274.46391905108294</v>
      </c>
      <c r="Y23" s="38">
        <f t="shared" si="5"/>
        <v>97.428017246004828</v>
      </c>
      <c r="AA23" s="71">
        <v>18</v>
      </c>
      <c r="AB23" s="33">
        <f t="shared" si="6"/>
        <v>0</v>
      </c>
      <c r="AC23" s="305">
        <f t="shared" si="7"/>
        <v>0</v>
      </c>
      <c r="AD23" s="100">
        <f t="shared" si="8"/>
        <v>0</v>
      </c>
      <c r="AE23" s="100">
        <f t="shared" si="9"/>
        <v>0</v>
      </c>
      <c r="AF23" s="194">
        <f t="shared" si="25"/>
        <v>0</v>
      </c>
      <c r="AG23" s="194">
        <f t="shared" si="26"/>
        <v>0</v>
      </c>
      <c r="AH23" s="194">
        <f t="shared" si="27"/>
        <v>0</v>
      </c>
      <c r="AI23" s="199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4">
        <f t="shared" si="17"/>
        <v>0</v>
      </c>
      <c r="AR23" s="194">
        <f t="shared" si="17"/>
        <v>0</v>
      </c>
      <c r="AS23" s="194">
        <f t="shared" si="17"/>
        <v>0</v>
      </c>
      <c r="AT23" s="194">
        <f t="shared" si="17"/>
        <v>0</v>
      </c>
      <c r="AU23" s="33"/>
      <c r="AV23" s="33"/>
      <c r="AW23" s="33"/>
      <c r="AX23" s="33"/>
      <c r="AY23" s="164">
        <f t="shared" si="24"/>
        <v>0</v>
      </c>
    </row>
    <row r="24" spans="2:51">
      <c r="B24" s="47" t="s">
        <v>113</v>
      </c>
      <c r="C24" s="48" t="s">
        <v>114</v>
      </c>
      <c r="D24" s="48" t="s">
        <v>83</v>
      </c>
      <c r="E24" s="48" t="s">
        <v>116</v>
      </c>
      <c r="F24" s="48" t="s">
        <v>115</v>
      </c>
      <c r="G24" s="49" t="s">
        <v>140</v>
      </c>
      <c r="I24" s="55">
        <v>19</v>
      </c>
      <c r="J24" s="33">
        <f t="shared" si="18"/>
        <v>5</v>
      </c>
      <c r="K24" s="33">
        <f t="shared" si="19"/>
        <v>1.910565629709926</v>
      </c>
      <c r="L24" s="33">
        <f t="shared" si="20"/>
        <v>45</v>
      </c>
      <c r="M24" s="33">
        <f t="shared" si="21"/>
        <v>0</v>
      </c>
      <c r="N24" s="33">
        <f t="shared" si="0"/>
        <v>0</v>
      </c>
      <c r="O24" s="34">
        <f t="shared" si="1"/>
        <v>177.03590180507811</v>
      </c>
      <c r="P24" s="55">
        <v>19</v>
      </c>
      <c r="Q24" s="33">
        <f t="shared" si="15"/>
        <v>2.496</v>
      </c>
      <c r="R24" s="33">
        <f t="shared" si="22"/>
        <v>47.424000000000007</v>
      </c>
      <c r="S24" s="33">
        <f t="shared" si="23"/>
        <v>28.928640000000005</v>
      </c>
      <c r="T24" s="33">
        <f t="shared" si="2"/>
        <v>9.0111765925606715</v>
      </c>
      <c r="U24" s="33">
        <f t="shared" si="16"/>
        <v>52.07178327840036</v>
      </c>
      <c r="V24" s="33">
        <f t="shared" si="3"/>
        <v>6.333333333333333</v>
      </c>
      <c r="W24" s="33">
        <v>0</v>
      </c>
      <c r="X24" s="33">
        <f t="shared" si="4"/>
        <v>280.2306081417334</v>
      </c>
      <c r="Y24" s="38">
        <f t="shared" si="5"/>
        <v>103.19470633665529</v>
      </c>
      <c r="AA24" s="71">
        <v>19</v>
      </c>
      <c r="AB24" s="33">
        <f t="shared" si="6"/>
        <v>0</v>
      </c>
      <c r="AC24" s="305">
        <f t="shared" si="7"/>
        <v>0</v>
      </c>
      <c r="AD24" s="100">
        <f t="shared" si="8"/>
        <v>0</v>
      </c>
      <c r="AE24" s="100">
        <f t="shared" si="9"/>
        <v>0</v>
      </c>
      <c r="AF24" s="194">
        <f t="shared" si="25"/>
        <v>0</v>
      </c>
      <c r="AG24" s="194">
        <f t="shared" si="26"/>
        <v>0</v>
      </c>
      <c r="AH24" s="194">
        <f t="shared" si="27"/>
        <v>0</v>
      </c>
      <c r="AI24" s="199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4">
        <f t="shared" si="17"/>
        <v>0</v>
      </c>
      <c r="AR24" s="194">
        <f t="shared" si="17"/>
        <v>0</v>
      </c>
      <c r="AS24" s="194">
        <f t="shared" si="17"/>
        <v>0</v>
      </c>
      <c r="AT24" s="194">
        <f t="shared" si="17"/>
        <v>0</v>
      </c>
      <c r="AU24" s="33"/>
      <c r="AV24" s="33"/>
      <c r="AW24" s="33"/>
      <c r="AX24" s="33"/>
      <c r="AY24" s="164">
        <f t="shared" si="24"/>
        <v>0</v>
      </c>
    </row>
    <row r="25" spans="2:51">
      <c r="B25" s="45">
        <v>0</v>
      </c>
      <c r="C25" s="334">
        <v>20</v>
      </c>
      <c r="D25" s="136">
        <f>D26+0</f>
        <v>32</v>
      </c>
      <c r="E25" s="140">
        <f t="shared" ref="E25:E78" si="29">$F$20</f>
        <v>1.56</v>
      </c>
      <c r="F25" s="46">
        <f t="shared" ref="F25:F40" si="30">D25*E25</f>
        <v>49.92</v>
      </c>
      <c r="G25" s="50">
        <f>F25/(C25-B25)</f>
        <v>2.496</v>
      </c>
      <c r="I25" s="55">
        <v>20</v>
      </c>
      <c r="J25" s="33">
        <f t="shared" si="18"/>
        <v>5</v>
      </c>
      <c r="K25" s="33">
        <f t="shared" si="19"/>
        <v>1.910565629709926</v>
      </c>
      <c r="L25" s="33">
        <f t="shared" si="20"/>
        <v>45</v>
      </c>
      <c r="M25" s="33">
        <f t="shared" si="21"/>
        <v>0</v>
      </c>
      <c r="N25" s="33">
        <f t="shared" si="0"/>
        <v>0</v>
      </c>
      <c r="O25" s="34">
        <f t="shared" si="1"/>
        <v>177.03590180507811</v>
      </c>
      <c r="P25" s="55">
        <v>20</v>
      </c>
      <c r="Q25" s="33">
        <f t="shared" si="15"/>
        <v>2.496</v>
      </c>
      <c r="R25" s="33">
        <f t="shared" si="22"/>
        <v>49.920000000000009</v>
      </c>
      <c r="S25" s="33">
        <f t="shared" si="23"/>
        <v>30.451200000000004</v>
      </c>
      <c r="T25" s="33">
        <f t="shared" si="2"/>
        <v>9.4289845264708934</v>
      </c>
      <c r="U25" s="33">
        <f t="shared" si="16"/>
        <v>52.382797757032165</v>
      </c>
      <c r="V25" s="33">
        <f t="shared" si="3"/>
        <v>6.666666666666667</v>
      </c>
      <c r="W25" s="33">
        <v>0</v>
      </c>
      <c r="X25" s="33">
        <f t="shared" si="4"/>
        <v>285.97269093716591</v>
      </c>
      <c r="Y25" s="38">
        <f t="shared" si="5"/>
        <v>108.9367891320878</v>
      </c>
      <c r="AA25" s="71">
        <v>20</v>
      </c>
      <c r="AB25" s="33">
        <f t="shared" si="6"/>
        <v>0</v>
      </c>
      <c r="AC25" s="305">
        <f t="shared" si="7"/>
        <v>0</v>
      </c>
      <c r="AD25" s="100">
        <f t="shared" si="8"/>
        <v>0</v>
      </c>
      <c r="AE25" s="100">
        <f t="shared" si="9"/>
        <v>0</v>
      </c>
      <c r="AF25" s="194">
        <f>IF(OR(AA25&lt;=$F$18,AA25&lt;=30),EXP(-LN(2)/$D$104)*AF24+((1-EXP(-LN(2)/$D$104))/(LN(2)/$D$104))*$AB25*AC25*0.475*$F$19*44/12,)</f>
        <v>0</v>
      </c>
      <c r="AG25" s="194">
        <f>IF(OR(AA25&lt;=$F$18,AA25&lt;=30),EXP(-LN(2)/$D$106)*AG24+((1-EXP(-LN(2)/$D$106))/(LN(2)/$D$106))*$AB25*AD25*0.475*$F$19*44/12,)</f>
        <v>0</v>
      </c>
      <c r="AH25" s="194">
        <f>IF(OR(AA25&lt;=$F$18,AA25&lt;=30),EXP(-LN(2)/$D$105)*AH24+((1-EXP(-LN(2)/$D$105))/(LN(2)/$D$105))*$AB25*AE25*0.475*$F$19*44/12,)</f>
        <v>0</v>
      </c>
      <c r="AI25" s="199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4">
        <f>IF($AK25&lt;=$F$18,$AL25*AM25,)</f>
        <v>0</v>
      </c>
      <c r="AR25" s="194">
        <f>IF($AK25&lt;=$F$18,$AL25*AN25,)</f>
        <v>0</v>
      </c>
      <c r="AS25" s="194">
        <f>IF($AK25&lt;=$F$18,$AL25*AO25,)</f>
        <v>0</v>
      </c>
      <c r="AT25" s="194">
        <f>IF($AK25&lt;=$F$18,$AL25*AP25,)</f>
        <v>0</v>
      </c>
      <c r="AU25" s="33"/>
      <c r="AV25" s="33"/>
      <c r="AW25" s="33"/>
      <c r="AX25" s="33"/>
      <c r="AY25" s="164">
        <f t="shared" si="24"/>
        <v>0</v>
      </c>
    </row>
    <row r="26" spans="2:51">
      <c r="B26" s="40">
        <f t="shared" ref="B26:B78" si="31">C25</f>
        <v>20</v>
      </c>
      <c r="C26" s="41">
        <f>B26+1</f>
        <v>21</v>
      </c>
      <c r="D26" s="137">
        <v>32</v>
      </c>
      <c r="E26" s="141">
        <f t="shared" si="29"/>
        <v>1.56</v>
      </c>
      <c r="F26" s="42">
        <f t="shared" si="30"/>
        <v>49.92</v>
      </c>
      <c r="G26" s="142">
        <f>(F26-F25)/(C26-B26)</f>
        <v>0</v>
      </c>
      <c r="I26" s="55">
        <v>21</v>
      </c>
      <c r="J26" s="33">
        <f t="shared" si="18"/>
        <v>5</v>
      </c>
      <c r="K26" s="33">
        <f t="shared" si="19"/>
        <v>1.910565629709926</v>
      </c>
      <c r="L26" s="33">
        <f t="shared" si="20"/>
        <v>45</v>
      </c>
      <c r="M26" s="33">
        <f t="shared" si="21"/>
        <v>0</v>
      </c>
      <c r="N26" s="33">
        <f t="shared" si="0"/>
        <v>0</v>
      </c>
      <c r="O26" s="34">
        <f t="shared" si="1"/>
        <v>177.03590180507811</v>
      </c>
      <c r="P26" s="55">
        <v>21</v>
      </c>
      <c r="Q26" s="33">
        <f t="shared" si="15"/>
        <v>0</v>
      </c>
      <c r="R26" s="33">
        <f t="shared" si="22"/>
        <v>49.920000000000009</v>
      </c>
      <c r="S26" s="33">
        <f t="shared" si="23"/>
        <v>30.451200000000004</v>
      </c>
      <c r="T26" s="33">
        <f t="shared" si="2"/>
        <v>9.4289845264708934</v>
      </c>
      <c r="U26" s="33">
        <f t="shared" si="16"/>
        <v>52.688416829783918</v>
      </c>
      <c r="V26" s="33">
        <f t="shared" si="3"/>
        <v>7</v>
      </c>
      <c r="W26" s="33">
        <v>0</v>
      </c>
      <c r="X26" s="33">
        <f t="shared" si="4"/>
        <v>288.31551642614454</v>
      </c>
      <c r="Y26" s="38">
        <f t="shared" si="5"/>
        <v>111.27961462106643</v>
      </c>
      <c r="AA26" s="71">
        <v>21</v>
      </c>
      <c r="AB26" s="33">
        <f t="shared" si="6"/>
        <v>0</v>
      </c>
      <c r="AC26" s="305">
        <f t="shared" si="7"/>
        <v>0</v>
      </c>
      <c r="AD26" s="100">
        <f t="shared" si="8"/>
        <v>0</v>
      </c>
      <c r="AE26" s="100">
        <f t="shared" si="9"/>
        <v>0</v>
      </c>
      <c r="AF26" s="194">
        <f>IF(OR(AA26&lt;=$F$18,AA26&lt;=30),EXP(-LN(2)/$D$104)*AF25+((1-EXP(-LN(2)/$D$104))/(LN(2)/$D$104))*$AB26*AC26*0.475*$F$19*44/12,)</f>
        <v>0</v>
      </c>
      <c r="AG26" s="194">
        <f>IF(OR(AA26&lt;=$F$18,AA26&lt;=30),EXP(-LN(2)/$D$106)*AG25+((1-EXP(-LN(2)/$D$106))/(LN(2)/$D$106))*$AB26*AD26*0.475*$F$19*44/12,)</f>
        <v>0</v>
      </c>
      <c r="AH26" s="194">
        <f>IF(OR(AA26&lt;=$F$18,AA26&lt;=30),EXP(-LN(2)/$D$105)*AH25+((1-EXP(-LN(2)/$D$105))/(LN(2)/$D$105))*$AB26*AE26*0.475*$F$19*44/12,)</f>
        <v>0</v>
      </c>
      <c r="AI26" s="199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4">
        <f t="shared" ref="AQ26:AT35" si="32">IF($AK26&lt;=$F$18,$AL26*AM26,)</f>
        <v>0</v>
      </c>
      <c r="AR26" s="194">
        <f t="shared" si="32"/>
        <v>0</v>
      </c>
      <c r="AS26" s="194">
        <f t="shared" si="32"/>
        <v>0</v>
      </c>
      <c r="AT26" s="194">
        <f t="shared" si="32"/>
        <v>0</v>
      </c>
      <c r="AU26" s="33"/>
      <c r="AV26" s="33"/>
      <c r="AW26" s="33"/>
      <c r="AX26" s="33"/>
      <c r="AY26" s="164">
        <f t="shared" si="24"/>
        <v>0</v>
      </c>
    </row>
    <row r="27" spans="2:51">
      <c r="B27" s="40">
        <f t="shared" si="31"/>
        <v>21</v>
      </c>
      <c r="C27" s="152">
        <f>C25+5</f>
        <v>25</v>
      </c>
      <c r="D27" s="137">
        <f>D28+7</f>
        <v>76</v>
      </c>
      <c r="E27" s="141">
        <f t="shared" si="29"/>
        <v>1.56</v>
      </c>
      <c r="F27" s="42">
        <f t="shared" si="30"/>
        <v>118.56</v>
      </c>
      <c r="G27" s="51">
        <f t="shared" ref="G27:G40" si="33">(F27-F26)/(C27-B27)</f>
        <v>17.16</v>
      </c>
      <c r="I27" s="55">
        <v>22</v>
      </c>
      <c r="J27" s="33">
        <f t="shared" si="18"/>
        <v>5</v>
      </c>
      <c r="K27" s="33">
        <f t="shared" si="19"/>
        <v>1.910565629709926</v>
      </c>
      <c r="L27" s="33">
        <f t="shared" si="20"/>
        <v>45</v>
      </c>
      <c r="M27" s="33">
        <f t="shared" si="21"/>
        <v>0</v>
      </c>
      <c r="N27" s="33">
        <f t="shared" si="0"/>
        <v>0</v>
      </c>
      <c r="O27" s="34">
        <f t="shared" si="1"/>
        <v>177.03590180507811</v>
      </c>
      <c r="P27" s="55">
        <v>22</v>
      </c>
      <c r="Q27" s="33">
        <f t="shared" si="15"/>
        <v>17.16</v>
      </c>
      <c r="R27" s="33">
        <f t="shared" si="22"/>
        <v>67.080000000000013</v>
      </c>
      <c r="S27" s="33">
        <f t="shared" si="23"/>
        <v>40.918800000000005</v>
      </c>
      <c r="T27" s="33">
        <f t="shared" si="2"/>
        <v>12.241852136006502</v>
      </c>
      <c r="U27" s="33">
        <f t="shared" si="16"/>
        <v>52.988734094885309</v>
      </c>
      <c r="V27" s="33">
        <f t="shared" si="3"/>
        <v>7.333333333333333</v>
      </c>
      <c r="W27" s="33">
        <v>0</v>
      </c>
      <c r="X27" s="33">
        <f t="shared" si="4"/>
        <v>313.76904970701298</v>
      </c>
      <c r="Y27" s="38">
        <f t="shared" si="5"/>
        <v>136.73314790193487</v>
      </c>
      <c r="AA27" s="71">
        <v>22</v>
      </c>
      <c r="AB27" s="33">
        <f t="shared" si="6"/>
        <v>0</v>
      </c>
      <c r="AC27" s="305">
        <f t="shared" si="7"/>
        <v>0</v>
      </c>
      <c r="AD27" s="100">
        <f t="shared" si="8"/>
        <v>0</v>
      </c>
      <c r="AE27" s="100">
        <f t="shared" si="9"/>
        <v>0</v>
      </c>
      <c r="AF27" s="194">
        <f t="shared" ref="AF27:AF90" si="34">IF(OR(AA27&lt;=$F$18,AA27&lt;=30),EXP(-LN(2)/$D$104)*AF26+((1-EXP(-LN(2)/$D$104))/(LN(2)/$D$104))*$AB27*AC27*0.475*$F$19*44/12,)</f>
        <v>0</v>
      </c>
      <c r="AG27" s="194">
        <f t="shared" ref="AG27:AG90" si="35">IF(OR(AA27&lt;=$F$18,AA27&lt;=30),EXP(-LN(2)/$D$106)*AG26+((1-EXP(-LN(2)/$D$106))/(LN(2)/$D$106))*$AB27*AD27*0.475*$F$19*44/12,)</f>
        <v>0</v>
      </c>
      <c r="AH27" s="194">
        <f t="shared" ref="AH27:AH90" si="36">IF(OR(AA27&lt;=$F$18,AA27&lt;=30),EXP(-LN(2)/$D$105)*AH26+((1-EXP(-LN(2)/$D$105))/(LN(2)/$D$105))*$AB27*AE27*0.475*$F$19*44/12,)</f>
        <v>0</v>
      </c>
      <c r="AI27" s="199">
        <f t="shared" ref="AI27:AI90" si="37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4">
        <f t="shared" si="32"/>
        <v>0</v>
      </c>
      <c r="AR27" s="194">
        <f t="shared" si="32"/>
        <v>0</v>
      </c>
      <c r="AS27" s="194">
        <f t="shared" si="32"/>
        <v>0</v>
      </c>
      <c r="AT27" s="194">
        <f t="shared" si="32"/>
        <v>0</v>
      </c>
      <c r="AU27" s="33"/>
      <c r="AV27" s="33"/>
      <c r="AW27" s="33"/>
      <c r="AX27" s="33"/>
      <c r="AY27" s="164">
        <f t="shared" si="24"/>
        <v>0</v>
      </c>
    </row>
    <row r="28" spans="2:51">
      <c r="B28" s="40">
        <f t="shared" si="31"/>
        <v>25</v>
      </c>
      <c r="C28" s="152">
        <f>C26+5</f>
        <v>26</v>
      </c>
      <c r="D28" s="137">
        <v>69</v>
      </c>
      <c r="E28" s="141">
        <f t="shared" si="29"/>
        <v>1.56</v>
      </c>
      <c r="F28" s="42">
        <f t="shared" si="30"/>
        <v>107.64</v>
      </c>
      <c r="G28" s="51">
        <f t="shared" si="33"/>
        <v>-10.920000000000002</v>
      </c>
      <c r="I28" s="55">
        <v>23</v>
      </c>
      <c r="J28" s="33">
        <f t="shared" si="18"/>
        <v>5</v>
      </c>
      <c r="K28" s="33">
        <f t="shared" si="19"/>
        <v>1.910565629709926</v>
      </c>
      <c r="L28" s="33">
        <f t="shared" si="20"/>
        <v>45</v>
      </c>
      <c r="M28" s="33">
        <f t="shared" si="21"/>
        <v>0</v>
      </c>
      <c r="N28" s="33">
        <f t="shared" si="0"/>
        <v>0</v>
      </c>
      <c r="O28" s="34">
        <f t="shared" si="1"/>
        <v>177.03590180507811</v>
      </c>
      <c r="P28" s="55">
        <v>23</v>
      </c>
      <c r="Q28" s="33">
        <f t="shared" si="15"/>
        <v>17.16</v>
      </c>
      <c r="R28" s="33">
        <f t="shared" si="22"/>
        <v>84.240000000000009</v>
      </c>
      <c r="S28" s="33">
        <f t="shared" si="23"/>
        <v>51.386400000000002</v>
      </c>
      <c r="T28" s="33">
        <f t="shared" si="2"/>
        <v>14.971231585009825</v>
      </c>
      <c r="U28" s="33">
        <f t="shared" si="16"/>
        <v>53.283841526846018</v>
      </c>
      <c r="V28" s="33">
        <f t="shared" si="3"/>
        <v>7.666666666666667</v>
      </c>
      <c r="W28" s="33">
        <v>0</v>
      </c>
      <c r="X28" s="33">
        <f t="shared" si="4"/>
        <v>339.05807172010526</v>
      </c>
      <c r="Y28" s="38">
        <f t="shared" si="5"/>
        <v>162.02216991502715</v>
      </c>
      <c r="AA28" s="71">
        <v>23</v>
      </c>
      <c r="AB28" s="33">
        <f t="shared" si="6"/>
        <v>0</v>
      </c>
      <c r="AC28" s="305">
        <f t="shared" si="7"/>
        <v>0</v>
      </c>
      <c r="AD28" s="100">
        <f t="shared" si="8"/>
        <v>0</v>
      </c>
      <c r="AE28" s="100">
        <f t="shared" si="9"/>
        <v>0</v>
      </c>
      <c r="AF28" s="194">
        <f t="shared" si="34"/>
        <v>0</v>
      </c>
      <c r="AG28" s="194">
        <f t="shared" si="35"/>
        <v>0</v>
      </c>
      <c r="AH28" s="194">
        <f t="shared" si="36"/>
        <v>0</v>
      </c>
      <c r="AI28" s="199">
        <f t="shared" si="37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4">
        <f t="shared" si="32"/>
        <v>0</v>
      </c>
      <c r="AR28" s="194">
        <f t="shared" si="32"/>
        <v>0</v>
      </c>
      <c r="AS28" s="194">
        <f t="shared" si="32"/>
        <v>0</v>
      </c>
      <c r="AT28" s="194">
        <f t="shared" si="32"/>
        <v>0</v>
      </c>
      <c r="AU28" s="33"/>
      <c r="AV28" s="33"/>
      <c r="AW28" s="33"/>
      <c r="AX28" s="33"/>
      <c r="AY28" s="164">
        <f t="shared" si="24"/>
        <v>0</v>
      </c>
    </row>
    <row r="29" spans="2:51">
      <c r="B29" s="40">
        <f t="shared" si="31"/>
        <v>26</v>
      </c>
      <c r="C29" s="152">
        <f t="shared" ref="C29:C78" si="38">C27+5</f>
        <v>30</v>
      </c>
      <c r="D29" s="137">
        <f>D30+28</f>
        <v>116</v>
      </c>
      <c r="E29" s="141">
        <f t="shared" si="29"/>
        <v>1.56</v>
      </c>
      <c r="F29" s="42">
        <f t="shared" si="30"/>
        <v>180.96</v>
      </c>
      <c r="G29" s="51">
        <f t="shared" si="33"/>
        <v>18.330000000000002</v>
      </c>
      <c r="I29" s="55">
        <v>24</v>
      </c>
      <c r="J29" s="33">
        <f t="shared" si="18"/>
        <v>5</v>
      </c>
      <c r="K29" s="33">
        <f t="shared" si="19"/>
        <v>1.910565629709926</v>
      </c>
      <c r="L29" s="33">
        <f t="shared" si="20"/>
        <v>45</v>
      </c>
      <c r="M29" s="33">
        <f t="shared" si="21"/>
        <v>0</v>
      </c>
      <c r="N29" s="33">
        <f t="shared" si="0"/>
        <v>0</v>
      </c>
      <c r="O29" s="34">
        <f t="shared" si="1"/>
        <v>177.03590180507811</v>
      </c>
      <c r="P29" s="55">
        <v>24</v>
      </c>
      <c r="Q29" s="33">
        <f t="shared" si="15"/>
        <v>17.16</v>
      </c>
      <c r="R29" s="33">
        <f t="shared" si="22"/>
        <v>101.4</v>
      </c>
      <c r="S29" s="33">
        <f t="shared" si="23"/>
        <v>61.853999999999999</v>
      </c>
      <c r="T29" s="33">
        <f t="shared" si="2"/>
        <v>17.63618493021675</v>
      </c>
      <c r="U29" s="33">
        <f t="shared" si="16"/>
        <v>53.573829504623582</v>
      </c>
      <c r="V29" s="33">
        <f t="shared" si="3"/>
        <v>8</v>
      </c>
      <c r="W29" s="33">
        <v>0</v>
      </c>
      <c r="X29" s="33">
        <f t="shared" si="4"/>
        <v>364.21611360374732</v>
      </c>
      <c r="Y29" s="38">
        <f t="shared" si="5"/>
        <v>187.18021179866921</v>
      </c>
      <c r="AA29" s="71">
        <v>24</v>
      </c>
      <c r="AB29" s="33">
        <f t="shared" si="6"/>
        <v>0</v>
      </c>
      <c r="AC29" s="305">
        <f t="shared" si="7"/>
        <v>0</v>
      </c>
      <c r="AD29" s="100">
        <f t="shared" si="8"/>
        <v>0</v>
      </c>
      <c r="AE29" s="100">
        <f t="shared" si="9"/>
        <v>0</v>
      </c>
      <c r="AF29" s="194">
        <f t="shared" si="34"/>
        <v>0</v>
      </c>
      <c r="AG29" s="194">
        <f t="shared" si="35"/>
        <v>0</v>
      </c>
      <c r="AH29" s="194">
        <f t="shared" si="36"/>
        <v>0</v>
      </c>
      <c r="AI29" s="199">
        <f t="shared" si="37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4">
        <f t="shared" si="32"/>
        <v>0</v>
      </c>
      <c r="AR29" s="194">
        <f t="shared" si="32"/>
        <v>0</v>
      </c>
      <c r="AS29" s="194">
        <f t="shared" si="32"/>
        <v>0</v>
      </c>
      <c r="AT29" s="194">
        <f t="shared" si="32"/>
        <v>0</v>
      </c>
      <c r="AU29" s="33"/>
      <c r="AV29" s="33"/>
      <c r="AW29" s="33"/>
      <c r="AX29" s="33"/>
      <c r="AY29" s="164">
        <f t="shared" si="24"/>
        <v>0</v>
      </c>
    </row>
    <row r="30" spans="2:51">
      <c r="B30" s="40">
        <f t="shared" si="31"/>
        <v>30</v>
      </c>
      <c r="C30" s="152">
        <f t="shared" si="38"/>
        <v>31</v>
      </c>
      <c r="D30" s="137">
        <v>88</v>
      </c>
      <c r="E30" s="141">
        <f t="shared" si="29"/>
        <v>1.56</v>
      </c>
      <c r="F30" s="42">
        <f t="shared" si="30"/>
        <v>137.28</v>
      </c>
      <c r="G30" s="51">
        <f t="shared" si="33"/>
        <v>-43.680000000000007</v>
      </c>
      <c r="I30" s="55">
        <v>25</v>
      </c>
      <c r="J30" s="33">
        <f t="shared" si="18"/>
        <v>5</v>
      </c>
      <c r="K30" s="33">
        <f t="shared" si="19"/>
        <v>1.910565629709926</v>
      </c>
      <c r="L30" s="33">
        <f t="shared" si="20"/>
        <v>45</v>
      </c>
      <c r="M30" s="33">
        <f t="shared" si="21"/>
        <v>0</v>
      </c>
      <c r="N30" s="33">
        <f t="shared" si="0"/>
        <v>0</v>
      </c>
      <c r="O30" s="34">
        <f t="shared" si="1"/>
        <v>177.03590180507811</v>
      </c>
      <c r="P30" s="55">
        <v>25</v>
      </c>
      <c r="Q30" s="33">
        <f t="shared" si="15"/>
        <v>17.16</v>
      </c>
      <c r="R30" s="33">
        <f t="shared" si="22"/>
        <v>118.56</v>
      </c>
      <c r="S30" s="33">
        <f t="shared" si="23"/>
        <v>72.321600000000004</v>
      </c>
      <c r="T30" s="33">
        <f t="shared" si="2"/>
        <v>20.248893319861061</v>
      </c>
      <c r="U30" s="33">
        <f t="shared" si="16"/>
        <v>53.858786839302695</v>
      </c>
      <c r="V30" s="33">
        <f t="shared" si="3"/>
        <v>8.3333333333333339</v>
      </c>
      <c r="W30" s="33">
        <v>0</v>
      </c>
      <c r="X30" s="33">
        <f t="shared" si="4"/>
        <v>389.26471649842341</v>
      </c>
      <c r="Y30" s="38">
        <f t="shared" si="5"/>
        <v>212.2288146933453</v>
      </c>
      <c r="AA30" s="71">
        <v>25</v>
      </c>
      <c r="AB30" s="33">
        <f t="shared" si="6"/>
        <v>0</v>
      </c>
      <c r="AC30" s="305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4">
        <f t="shared" si="34"/>
        <v>0</v>
      </c>
      <c r="AG30" s="194">
        <f t="shared" si="35"/>
        <v>0</v>
      </c>
      <c r="AH30" s="194">
        <f t="shared" si="36"/>
        <v>0</v>
      </c>
      <c r="AI30" s="199">
        <f t="shared" si="37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4">
        <f t="shared" si="32"/>
        <v>0</v>
      </c>
      <c r="AR30" s="194">
        <f t="shared" si="32"/>
        <v>0</v>
      </c>
      <c r="AS30" s="194">
        <f t="shared" si="32"/>
        <v>0</v>
      </c>
      <c r="AT30" s="194">
        <f t="shared" si="32"/>
        <v>0</v>
      </c>
      <c r="AU30" s="33"/>
      <c r="AV30" s="33"/>
      <c r="AW30" s="33"/>
      <c r="AX30" s="33"/>
      <c r="AY30" s="164">
        <f t="shared" si="24"/>
        <v>0</v>
      </c>
    </row>
    <row r="31" spans="2:51">
      <c r="B31" s="40">
        <f t="shared" si="31"/>
        <v>31</v>
      </c>
      <c r="C31" s="152">
        <f t="shared" si="38"/>
        <v>35</v>
      </c>
      <c r="D31" s="137">
        <f>D32+28</f>
        <v>139</v>
      </c>
      <c r="E31" s="141">
        <f t="shared" si="29"/>
        <v>1.56</v>
      </c>
      <c r="F31" s="42">
        <f t="shared" si="30"/>
        <v>216.84</v>
      </c>
      <c r="G31" s="51">
        <f t="shared" si="33"/>
        <v>19.89</v>
      </c>
      <c r="I31" s="55">
        <v>26</v>
      </c>
      <c r="J31" s="33">
        <f t="shared" si="18"/>
        <v>5</v>
      </c>
      <c r="K31" s="33">
        <f t="shared" si="19"/>
        <v>1.910565629709926</v>
      </c>
      <c r="L31" s="33">
        <f t="shared" si="20"/>
        <v>45</v>
      </c>
      <c r="M31" s="33">
        <f t="shared" si="21"/>
        <v>0</v>
      </c>
      <c r="N31" s="33">
        <f t="shared" si="0"/>
        <v>0</v>
      </c>
      <c r="O31" s="34">
        <f t="shared" si="1"/>
        <v>177.03590180507811</v>
      </c>
      <c r="P31" s="55">
        <v>26</v>
      </c>
      <c r="Q31" s="33">
        <f t="shared" si="15"/>
        <v>-10.920000000000002</v>
      </c>
      <c r="R31" s="33">
        <f t="shared" si="22"/>
        <v>107.64</v>
      </c>
      <c r="S31" s="33">
        <f t="shared" si="23"/>
        <v>65.660399999999996</v>
      </c>
      <c r="T31" s="33">
        <f t="shared" si="2"/>
        <v>18.591800852927584</v>
      </c>
      <c r="U31" s="33">
        <f t="shared" si="16"/>
        <v>54.138800801294295</v>
      </c>
      <c r="V31" s="33">
        <f t="shared" si="3"/>
        <v>8.6666666666666661</v>
      </c>
      <c r="W31" s="33">
        <v>0</v>
      </c>
      <c r="X31" s="33">
        <f t="shared" si="4"/>
        <v>377.02596386803907</v>
      </c>
      <c r="Y31" s="38">
        <f t="shared" si="5"/>
        <v>199.99006206296096</v>
      </c>
      <c r="AA31" s="71">
        <v>26</v>
      </c>
      <c r="AB31" s="33">
        <f t="shared" si="6"/>
        <v>7</v>
      </c>
      <c r="AC31" s="305">
        <f t="shared" ref="AC31:AC94" si="39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4">
        <f t="shared" si="34"/>
        <v>0</v>
      </c>
      <c r="AG31" s="194">
        <f t="shared" si="35"/>
        <v>0</v>
      </c>
      <c r="AH31" s="194">
        <f t="shared" si="36"/>
        <v>0</v>
      </c>
      <c r="AI31" s="199">
        <f t="shared" si="37"/>
        <v>0</v>
      </c>
      <c r="AK31" s="71">
        <v>26</v>
      </c>
      <c r="AL31" s="33">
        <f t="shared" si="10"/>
        <v>7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4">
        <f t="shared" si="32"/>
        <v>0</v>
      </c>
      <c r="AR31" s="194">
        <f t="shared" si="32"/>
        <v>0</v>
      </c>
      <c r="AS31" s="194">
        <f t="shared" si="32"/>
        <v>0</v>
      </c>
      <c r="AT31" s="194">
        <f t="shared" si="32"/>
        <v>7</v>
      </c>
      <c r="AU31" s="33"/>
      <c r="AV31" s="33"/>
      <c r="AW31" s="33"/>
      <c r="AX31" s="33"/>
      <c r="AY31" s="164">
        <f t="shared" si="24"/>
        <v>1.75</v>
      </c>
    </row>
    <row r="32" spans="2:51">
      <c r="B32" s="40">
        <f t="shared" si="31"/>
        <v>35</v>
      </c>
      <c r="C32" s="152">
        <f t="shared" si="38"/>
        <v>36</v>
      </c>
      <c r="D32" s="137">
        <v>111</v>
      </c>
      <c r="E32" s="141">
        <f t="shared" si="29"/>
        <v>1.56</v>
      </c>
      <c r="F32" s="42">
        <f t="shared" si="30"/>
        <v>173.16</v>
      </c>
      <c r="G32" s="51">
        <f t="shared" si="33"/>
        <v>-43.680000000000007</v>
      </c>
      <c r="I32" s="55">
        <v>27</v>
      </c>
      <c r="J32" s="33">
        <f t="shared" si="18"/>
        <v>5</v>
      </c>
      <c r="K32" s="33">
        <f t="shared" si="19"/>
        <v>1.910565629709926</v>
      </c>
      <c r="L32" s="33">
        <f t="shared" si="20"/>
        <v>45</v>
      </c>
      <c r="M32" s="33">
        <f t="shared" si="21"/>
        <v>0</v>
      </c>
      <c r="N32" s="33">
        <f t="shared" si="0"/>
        <v>0</v>
      </c>
      <c r="O32" s="34">
        <f t="shared" si="1"/>
        <v>177.03590180507811</v>
      </c>
      <c r="P32" s="55">
        <v>27</v>
      </c>
      <c r="Q32" s="33">
        <f t="shared" si="15"/>
        <v>18.330000000000002</v>
      </c>
      <c r="R32" s="33">
        <f t="shared" si="22"/>
        <v>125.97</v>
      </c>
      <c r="S32" s="33">
        <f t="shared" si="23"/>
        <v>76.841700000000003</v>
      </c>
      <c r="T32" s="33">
        <f t="shared" si="2"/>
        <v>21.363162431132679</v>
      </c>
      <c r="U32" s="33">
        <f t="shared" si="16"/>
        <v>54.413957147062774</v>
      </c>
      <c r="V32" s="33">
        <f t="shared" si="3"/>
        <v>9</v>
      </c>
      <c r="W32" s="33">
        <v>0</v>
      </c>
      <c r="X32" s="33">
        <f t="shared" si="4"/>
        <v>403.55797827345287</v>
      </c>
      <c r="Y32" s="38">
        <f t="shared" si="5"/>
        <v>226.52207646837476</v>
      </c>
      <c r="AA32" s="71">
        <v>27</v>
      </c>
      <c r="AB32" s="33">
        <f t="shared" si="6"/>
        <v>0</v>
      </c>
      <c r="AC32" s="305">
        <f t="shared" si="39"/>
        <v>0</v>
      </c>
      <c r="AD32" s="100">
        <f t="shared" si="8"/>
        <v>0</v>
      </c>
      <c r="AE32" s="100">
        <f t="shared" si="9"/>
        <v>0</v>
      </c>
      <c r="AF32" s="194">
        <f t="shared" si="34"/>
        <v>0</v>
      </c>
      <c r="AG32" s="194">
        <f t="shared" si="35"/>
        <v>0</v>
      </c>
      <c r="AH32" s="194">
        <f t="shared" si="36"/>
        <v>0</v>
      </c>
      <c r="AI32" s="199">
        <f t="shared" si="37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4">
        <f t="shared" si="32"/>
        <v>0</v>
      </c>
      <c r="AR32" s="194">
        <f t="shared" si="32"/>
        <v>0</v>
      </c>
      <c r="AS32" s="194">
        <f t="shared" si="32"/>
        <v>0</v>
      </c>
      <c r="AT32" s="194">
        <f t="shared" si="32"/>
        <v>0</v>
      </c>
      <c r="AU32" s="33"/>
      <c r="AV32" s="33"/>
      <c r="AW32" s="33"/>
      <c r="AX32" s="33"/>
      <c r="AY32" s="164">
        <f t="shared" si="24"/>
        <v>1.75</v>
      </c>
    </row>
    <row r="33" spans="2:51">
      <c r="B33" s="40">
        <f t="shared" si="31"/>
        <v>36</v>
      </c>
      <c r="C33" s="152">
        <f t="shared" si="38"/>
        <v>40</v>
      </c>
      <c r="D33" s="137">
        <f>D34+28</f>
        <v>163</v>
      </c>
      <c r="E33" s="141">
        <f t="shared" si="29"/>
        <v>1.56</v>
      </c>
      <c r="F33" s="42">
        <f t="shared" si="30"/>
        <v>254.28</v>
      </c>
      <c r="G33" s="51">
        <f t="shared" si="33"/>
        <v>20.28</v>
      </c>
      <c r="I33" s="55">
        <v>28</v>
      </c>
      <c r="J33" s="33">
        <f t="shared" si="18"/>
        <v>5</v>
      </c>
      <c r="K33" s="33">
        <f t="shared" si="19"/>
        <v>1.910565629709926</v>
      </c>
      <c r="L33" s="33">
        <f t="shared" si="20"/>
        <v>45</v>
      </c>
      <c r="M33" s="33">
        <f t="shared" si="21"/>
        <v>0</v>
      </c>
      <c r="N33" s="33">
        <f t="shared" si="0"/>
        <v>0</v>
      </c>
      <c r="O33" s="34">
        <f t="shared" si="1"/>
        <v>177.03590180507811</v>
      </c>
      <c r="P33" s="55">
        <v>28</v>
      </c>
      <c r="Q33" s="33">
        <f t="shared" si="15"/>
        <v>18.330000000000002</v>
      </c>
      <c r="R33" s="33">
        <f t="shared" si="22"/>
        <v>144.30000000000001</v>
      </c>
      <c r="S33" s="33">
        <f t="shared" si="23"/>
        <v>88.02300000000001</v>
      </c>
      <c r="T33" s="33">
        <f t="shared" si="2"/>
        <v>24.087805582395426</v>
      </c>
      <c r="U33" s="33">
        <f t="shared" si="16"/>
        <v>54.684340145389598</v>
      </c>
      <c r="V33" s="33">
        <f t="shared" si="3"/>
        <v>9.3333333333333339</v>
      </c>
      <c r="W33" s="33">
        <v>0</v>
      </c>
      <c r="X33" s="33">
        <f t="shared" si="4"/>
        <v>429.99112247798945</v>
      </c>
      <c r="Y33" s="38">
        <f t="shared" si="5"/>
        <v>252.95522067291134</v>
      </c>
      <c r="AA33" s="71">
        <v>28</v>
      </c>
      <c r="AB33" s="33">
        <f t="shared" si="6"/>
        <v>0</v>
      </c>
      <c r="AC33" s="305">
        <f t="shared" si="39"/>
        <v>0</v>
      </c>
      <c r="AD33" s="100">
        <f t="shared" si="8"/>
        <v>0</v>
      </c>
      <c r="AE33" s="100">
        <f t="shared" si="9"/>
        <v>0</v>
      </c>
      <c r="AF33" s="194">
        <f t="shared" si="34"/>
        <v>0</v>
      </c>
      <c r="AG33" s="194">
        <f t="shared" si="35"/>
        <v>0</v>
      </c>
      <c r="AH33" s="194">
        <f t="shared" si="36"/>
        <v>0</v>
      </c>
      <c r="AI33" s="199">
        <f t="shared" si="37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4">
        <f t="shared" si="32"/>
        <v>0</v>
      </c>
      <c r="AR33" s="194">
        <f t="shared" si="32"/>
        <v>0</v>
      </c>
      <c r="AS33" s="194">
        <f t="shared" si="32"/>
        <v>0</v>
      </c>
      <c r="AT33" s="194">
        <f t="shared" si="32"/>
        <v>0</v>
      </c>
      <c r="AU33" s="33"/>
      <c r="AV33" s="33"/>
      <c r="AW33" s="33"/>
      <c r="AX33" s="33"/>
      <c r="AY33" s="164">
        <f t="shared" si="24"/>
        <v>1.75</v>
      </c>
    </row>
    <row r="34" spans="2:51" ht="16" thickBot="1">
      <c r="B34" s="40">
        <f t="shared" si="31"/>
        <v>40</v>
      </c>
      <c r="C34" s="152">
        <f t="shared" si="38"/>
        <v>41</v>
      </c>
      <c r="D34" s="137">
        <v>135</v>
      </c>
      <c r="E34" s="141">
        <f t="shared" si="29"/>
        <v>1.56</v>
      </c>
      <c r="F34" s="42">
        <f t="shared" si="30"/>
        <v>210.6</v>
      </c>
      <c r="G34" s="51">
        <f t="shared" si="33"/>
        <v>-43.680000000000007</v>
      </c>
      <c r="I34" s="55">
        <v>29</v>
      </c>
      <c r="J34" s="33">
        <f t="shared" si="18"/>
        <v>5</v>
      </c>
      <c r="K34" s="33">
        <f t="shared" si="19"/>
        <v>1.910565629709926</v>
      </c>
      <c r="L34" s="33">
        <f t="shared" si="20"/>
        <v>45</v>
      </c>
      <c r="M34" s="33">
        <f t="shared" si="21"/>
        <v>0</v>
      </c>
      <c r="N34" s="33">
        <f t="shared" si="0"/>
        <v>0</v>
      </c>
      <c r="O34" s="34">
        <f t="shared" si="1"/>
        <v>177.03590180507811</v>
      </c>
      <c r="P34" s="55">
        <v>29</v>
      </c>
      <c r="Q34" s="35">
        <f t="shared" si="15"/>
        <v>18.330000000000002</v>
      </c>
      <c r="R34" s="33">
        <f t="shared" si="22"/>
        <v>162.63000000000002</v>
      </c>
      <c r="S34" s="33">
        <f t="shared" si="23"/>
        <v>99.204300000000018</v>
      </c>
      <c r="T34" s="33">
        <f t="shared" si="2"/>
        <v>26.772344947891842</v>
      </c>
      <c r="U34" s="33">
        <f t="shared" si="16"/>
        <v>54.950032603181285</v>
      </c>
      <c r="V34" s="33">
        <f t="shared" si="3"/>
        <v>9.6666666666666661</v>
      </c>
      <c r="W34" s="33">
        <v>0</v>
      </c>
      <c r="X34" s="33">
        <f t="shared" si="4"/>
        <v>456.33722060702081</v>
      </c>
      <c r="Y34" s="38">
        <f t="shared" si="5"/>
        <v>279.30131880194267</v>
      </c>
      <c r="AA34" s="71">
        <v>29</v>
      </c>
      <c r="AB34" s="143">
        <f t="shared" si="6"/>
        <v>0</v>
      </c>
      <c r="AC34" s="305">
        <f t="shared" si="39"/>
        <v>0</v>
      </c>
      <c r="AD34" s="101">
        <f t="shared" si="8"/>
        <v>0</v>
      </c>
      <c r="AE34" s="101">
        <f t="shared" si="9"/>
        <v>0</v>
      </c>
      <c r="AF34" s="196">
        <f t="shared" si="34"/>
        <v>0</v>
      </c>
      <c r="AG34" s="196">
        <f t="shared" si="35"/>
        <v>0</v>
      </c>
      <c r="AH34" s="194">
        <f t="shared" si="36"/>
        <v>0</v>
      </c>
      <c r="AI34" s="199">
        <f t="shared" si="37"/>
        <v>0</v>
      </c>
      <c r="AK34" s="71">
        <v>29</v>
      </c>
      <c r="AL34" s="143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4">
        <f t="shared" si="32"/>
        <v>0</v>
      </c>
      <c r="AR34" s="194">
        <f t="shared" si="32"/>
        <v>0</v>
      </c>
      <c r="AS34" s="194">
        <f t="shared" si="32"/>
        <v>0</v>
      </c>
      <c r="AT34" s="194">
        <f t="shared" si="32"/>
        <v>0</v>
      </c>
      <c r="AU34" s="33"/>
      <c r="AV34" s="33"/>
      <c r="AW34" s="33"/>
      <c r="AX34" s="33"/>
      <c r="AY34" s="164">
        <f t="shared" si="24"/>
        <v>1.75</v>
      </c>
    </row>
    <row r="35" spans="2:51" ht="16" thickBot="1">
      <c r="B35" s="40">
        <f t="shared" si="31"/>
        <v>41</v>
      </c>
      <c r="C35" s="152">
        <f t="shared" si="38"/>
        <v>45</v>
      </c>
      <c r="D35" s="137">
        <f>D36+28</f>
        <v>190</v>
      </c>
      <c r="E35" s="141">
        <f t="shared" si="29"/>
        <v>1.56</v>
      </c>
      <c r="F35" s="42">
        <f t="shared" si="30"/>
        <v>296.40000000000003</v>
      </c>
      <c r="G35" s="51">
        <f t="shared" si="33"/>
        <v>21.45000000000001</v>
      </c>
      <c r="I35" s="87">
        <v>30</v>
      </c>
      <c r="J35" s="159">
        <f>IF($I35&lt;=$F$10,IF(AND(D8=B100,F12=C194),($F$11*$F$13+J34*50%),$F$11*$F$13+J34),)</f>
        <v>5</v>
      </c>
      <c r="K35" s="53">
        <f t="shared" si="19"/>
        <v>1.910565629709926</v>
      </c>
      <c r="L35" s="53">
        <f t="shared" si="20"/>
        <v>45</v>
      </c>
      <c r="M35" s="53">
        <f t="shared" si="21"/>
        <v>0</v>
      </c>
      <c r="N35" s="54">
        <f t="shared" si="0"/>
        <v>0</v>
      </c>
      <c r="O35" s="69">
        <f t="shared" si="1"/>
        <v>177.03590180507811</v>
      </c>
      <c r="P35" s="87">
        <v>30</v>
      </c>
      <c r="Q35" s="53">
        <f t="shared" si="15"/>
        <v>18.330000000000002</v>
      </c>
      <c r="R35" s="54">
        <f t="shared" si="22"/>
        <v>180.96000000000004</v>
      </c>
      <c r="S35" s="53">
        <f t="shared" si="23"/>
        <v>110.38560000000003</v>
      </c>
      <c r="T35" s="54">
        <f t="shared" si="2"/>
        <v>29.421816429201407</v>
      </c>
      <c r="U35" s="54">
        <f t="shared" si="16"/>
        <v>55.211115890829625</v>
      </c>
      <c r="V35" s="53">
        <f t="shared" si="3"/>
        <v>10</v>
      </c>
      <c r="W35" s="54">
        <v>0</v>
      </c>
      <c r="X35" s="69">
        <f t="shared" si="4"/>
        <v>482.60534188056772</v>
      </c>
      <c r="Y35" s="65">
        <f t="shared" si="5"/>
        <v>305.56944007548964</v>
      </c>
      <c r="AA35" s="73">
        <v>30</v>
      </c>
      <c r="AB35" s="143">
        <f t="shared" si="6"/>
        <v>0</v>
      </c>
      <c r="AC35" s="305">
        <f t="shared" si="39"/>
        <v>0</v>
      </c>
      <c r="AD35" s="101">
        <f t="shared" si="8"/>
        <v>0</v>
      </c>
      <c r="AE35" s="101">
        <f t="shared" si="9"/>
        <v>0</v>
      </c>
      <c r="AF35" s="200">
        <f t="shared" si="34"/>
        <v>0</v>
      </c>
      <c r="AG35" s="195">
        <f t="shared" si="35"/>
        <v>0</v>
      </c>
      <c r="AH35" s="201">
        <f t="shared" si="36"/>
        <v>0</v>
      </c>
      <c r="AI35" s="202">
        <f t="shared" si="37"/>
        <v>0</v>
      </c>
      <c r="AK35" s="73">
        <v>30</v>
      </c>
      <c r="AL35" s="143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5">
        <f t="shared" si="32"/>
        <v>0</v>
      </c>
      <c r="AR35" s="195">
        <f t="shared" si="32"/>
        <v>0</v>
      </c>
      <c r="AS35" s="195">
        <f t="shared" si="32"/>
        <v>0</v>
      </c>
      <c r="AT35" s="195">
        <f t="shared" si="32"/>
        <v>0</v>
      </c>
      <c r="AU35" s="53"/>
      <c r="AV35" s="53"/>
      <c r="AW35" s="53"/>
      <c r="AX35" s="53"/>
      <c r="AY35" s="165">
        <f t="shared" si="24"/>
        <v>1.75</v>
      </c>
    </row>
    <row r="36" spans="2:51">
      <c r="B36" s="40">
        <f t="shared" si="31"/>
        <v>45</v>
      </c>
      <c r="C36" s="152">
        <f t="shared" si="38"/>
        <v>46</v>
      </c>
      <c r="D36" s="137">
        <v>162</v>
      </c>
      <c r="E36" s="141">
        <f t="shared" si="29"/>
        <v>1.56</v>
      </c>
      <c r="F36" s="42">
        <f t="shared" si="30"/>
        <v>252.72</v>
      </c>
      <c r="G36" s="51">
        <f t="shared" si="33"/>
        <v>-43.680000000000035</v>
      </c>
      <c r="I36" s="55">
        <v>31</v>
      </c>
      <c r="J36" s="33">
        <f t="shared" si="18"/>
        <v>5</v>
      </c>
      <c r="K36" s="33">
        <f t="shared" si="19"/>
        <v>1.910565629709926</v>
      </c>
      <c r="L36" s="33">
        <f t="shared" si="20"/>
        <v>45</v>
      </c>
      <c r="M36" s="33">
        <f t="shared" si="21"/>
        <v>0</v>
      </c>
      <c r="N36" s="33">
        <f t="shared" si="0"/>
        <v>0</v>
      </c>
      <c r="O36" s="34">
        <f t="shared" si="1"/>
        <v>177.03590180507811</v>
      </c>
      <c r="P36" s="55">
        <v>31</v>
      </c>
      <c r="Q36" s="33">
        <f t="shared" si="15"/>
        <v>-43.680000000000007</v>
      </c>
      <c r="R36" s="33">
        <f t="shared" si="22"/>
        <v>137.28000000000003</v>
      </c>
      <c r="S36" s="33">
        <f t="shared" si="23"/>
        <v>83.740800000000021</v>
      </c>
      <c r="T36" s="33">
        <f t="shared" si="2"/>
        <v>23.049382303805039</v>
      </c>
      <c r="U36" s="33">
        <f t="shared" si="16"/>
        <v>55.467669967132053</v>
      </c>
      <c r="V36" s="33">
        <f t="shared" si="3"/>
        <v>10</v>
      </c>
      <c r="W36" s="33">
        <v>0</v>
      </c>
      <c r="X36" s="33">
        <f t="shared" si="4"/>
        <v>426.04102405861136</v>
      </c>
      <c r="Y36" s="38">
        <f t="shared" si="5"/>
        <v>249.00512225353324</v>
      </c>
      <c r="AA36" s="71">
        <v>31</v>
      </c>
      <c r="AB36" s="33">
        <f t="shared" si="6"/>
        <v>28</v>
      </c>
      <c r="AC36" s="305">
        <f t="shared" si="39"/>
        <v>0.05</v>
      </c>
      <c r="AD36" s="100">
        <f t="shared" si="8"/>
        <v>0</v>
      </c>
      <c r="AE36" s="100">
        <f t="shared" si="9"/>
        <v>0</v>
      </c>
      <c r="AF36" s="194">
        <f t="shared" si="34"/>
        <v>1.4727518584289774</v>
      </c>
      <c r="AG36" s="194">
        <f t="shared" si="35"/>
        <v>0</v>
      </c>
      <c r="AH36" s="194">
        <f t="shared" si="36"/>
        <v>0</v>
      </c>
      <c r="AI36" s="199">
        <f t="shared" si="37"/>
        <v>1.4727518584289774</v>
      </c>
      <c r="AK36" s="71">
        <v>31</v>
      </c>
      <c r="AL36" s="33"/>
      <c r="AM36" s="33"/>
      <c r="AN36" s="33"/>
      <c r="AO36" s="33"/>
      <c r="AP36" s="33"/>
      <c r="AQ36" s="194"/>
      <c r="AR36" s="194"/>
      <c r="AS36" s="194"/>
      <c r="AT36" s="194"/>
      <c r="AU36" s="33"/>
      <c r="AV36" s="33"/>
      <c r="AW36" s="33"/>
      <c r="AX36" s="33"/>
      <c r="AY36" s="76"/>
    </row>
    <row r="37" spans="2:51">
      <c r="B37" s="40">
        <f t="shared" si="31"/>
        <v>46</v>
      </c>
      <c r="C37" s="152">
        <f t="shared" si="38"/>
        <v>50</v>
      </c>
      <c r="D37" s="137">
        <f>D38+28</f>
        <v>217</v>
      </c>
      <c r="E37" s="141">
        <f t="shared" si="29"/>
        <v>1.56</v>
      </c>
      <c r="F37" s="42">
        <f t="shared" si="30"/>
        <v>338.52000000000004</v>
      </c>
      <c r="G37" s="51">
        <f t="shared" si="33"/>
        <v>21.45000000000001</v>
      </c>
      <c r="I37" s="55">
        <v>32</v>
      </c>
      <c r="J37" s="33">
        <f t="shared" si="18"/>
        <v>5</v>
      </c>
      <c r="K37" s="33">
        <f t="shared" si="19"/>
        <v>1.910565629709926</v>
      </c>
      <c r="L37" s="33">
        <f t="shared" si="20"/>
        <v>45</v>
      </c>
      <c r="M37" s="33">
        <f t="shared" si="21"/>
        <v>0</v>
      </c>
      <c r="N37" s="33">
        <f t="shared" si="0"/>
        <v>0</v>
      </c>
      <c r="O37" s="34">
        <f t="shared" si="1"/>
        <v>177.03590180507811</v>
      </c>
      <c r="P37" s="55">
        <v>32</v>
      </c>
      <c r="Q37" s="33">
        <f t="shared" si="15"/>
        <v>19.89</v>
      </c>
      <c r="R37" s="33">
        <f t="shared" si="22"/>
        <v>157.17000000000002</v>
      </c>
      <c r="S37" s="33">
        <f t="shared" si="23"/>
        <v>95.873700000000014</v>
      </c>
      <c r="T37" s="33">
        <f t="shared" si="2"/>
        <v>25.97656564813332</v>
      </c>
      <c r="U37" s="33">
        <f t="shared" si="16"/>
        <v>55.719773403779627</v>
      </c>
      <c r="V37" s="33">
        <f t="shared" si="3"/>
        <v>10</v>
      </c>
      <c r="W37" s="33">
        <v>0</v>
      </c>
      <c r="X37" s="33">
        <f t="shared" si="4"/>
        <v>453.19504848435753</v>
      </c>
      <c r="Y37" s="38">
        <f t="shared" si="5"/>
        <v>276.15914667927939</v>
      </c>
      <c r="AA37" s="71">
        <v>32</v>
      </c>
      <c r="AB37" s="33">
        <f t="shared" si="6"/>
        <v>0</v>
      </c>
      <c r="AC37" s="305">
        <f t="shared" si="39"/>
        <v>0</v>
      </c>
      <c r="AD37" s="100">
        <f t="shared" si="8"/>
        <v>0</v>
      </c>
      <c r="AE37" s="100">
        <f t="shared" si="9"/>
        <v>0</v>
      </c>
      <c r="AF37" s="194">
        <f t="shared" si="34"/>
        <v>1.4438720927751201</v>
      </c>
      <c r="AG37" s="194">
        <f t="shared" si="35"/>
        <v>0</v>
      </c>
      <c r="AH37" s="194">
        <f t="shared" si="36"/>
        <v>0</v>
      </c>
      <c r="AI37" s="199">
        <f t="shared" si="37"/>
        <v>1.4438720927751201</v>
      </c>
      <c r="AK37" s="71">
        <v>32</v>
      </c>
      <c r="AL37" s="33"/>
      <c r="AM37" s="33"/>
      <c r="AN37" s="33"/>
      <c r="AO37" s="33"/>
      <c r="AP37" s="33"/>
      <c r="AQ37" s="194"/>
      <c r="AR37" s="194"/>
      <c r="AS37" s="194"/>
      <c r="AT37" s="194"/>
      <c r="AU37" s="33"/>
      <c r="AV37" s="33"/>
      <c r="AW37" s="33"/>
      <c r="AX37" s="33"/>
      <c r="AY37" s="76"/>
    </row>
    <row r="38" spans="2:51">
      <c r="B38" s="40">
        <f t="shared" si="31"/>
        <v>50</v>
      </c>
      <c r="C38" s="152">
        <f t="shared" si="38"/>
        <v>51</v>
      </c>
      <c r="D38" s="137">
        <v>189</v>
      </c>
      <c r="E38" s="141">
        <f t="shared" si="29"/>
        <v>1.56</v>
      </c>
      <c r="F38" s="42">
        <f t="shared" si="30"/>
        <v>294.84000000000003</v>
      </c>
      <c r="G38" s="51">
        <f t="shared" si="33"/>
        <v>-43.680000000000007</v>
      </c>
      <c r="I38" s="55">
        <v>33</v>
      </c>
      <c r="J38" s="33">
        <f t="shared" si="18"/>
        <v>5</v>
      </c>
      <c r="K38" s="33">
        <f t="shared" si="19"/>
        <v>1.910565629709926</v>
      </c>
      <c r="L38" s="33">
        <f t="shared" si="20"/>
        <v>45</v>
      </c>
      <c r="M38" s="33">
        <f t="shared" si="21"/>
        <v>0</v>
      </c>
      <c r="N38" s="33">
        <f t="shared" si="0"/>
        <v>0</v>
      </c>
      <c r="O38" s="34">
        <f t="shared" si="1"/>
        <v>177.03590180507811</v>
      </c>
      <c r="P38" s="55">
        <v>33</v>
      </c>
      <c r="Q38" s="33">
        <f t="shared" si="15"/>
        <v>19.89</v>
      </c>
      <c r="R38" s="33">
        <f t="shared" si="22"/>
        <v>177.06</v>
      </c>
      <c r="S38" s="33">
        <f t="shared" si="23"/>
        <v>108.00660000000001</v>
      </c>
      <c r="T38" s="33">
        <f t="shared" si="2"/>
        <v>28.860825265494842</v>
      </c>
      <c r="U38" s="33">
        <f t="shared" si="16"/>
        <v>55.96750340942021</v>
      </c>
      <c r="V38" s="33">
        <f t="shared" si="3"/>
        <v>10</v>
      </c>
      <c r="W38" s="33">
        <v>0</v>
      </c>
      <c r="X38" s="33">
        <f t="shared" si="4"/>
        <v>480.25827817194431</v>
      </c>
      <c r="Y38" s="38">
        <f t="shared" si="5"/>
        <v>303.22237636686623</v>
      </c>
      <c r="AA38" s="71">
        <v>33</v>
      </c>
      <c r="AB38" s="33">
        <f t="shared" si="6"/>
        <v>0</v>
      </c>
      <c r="AC38" s="305">
        <f t="shared" si="39"/>
        <v>0</v>
      </c>
      <c r="AD38" s="100">
        <f t="shared" si="8"/>
        <v>0</v>
      </c>
      <c r="AE38" s="100">
        <f t="shared" si="9"/>
        <v>0</v>
      </c>
      <c r="AF38" s="194">
        <f t="shared" si="34"/>
        <v>1.415558641710817</v>
      </c>
      <c r="AG38" s="194">
        <f t="shared" si="35"/>
        <v>0</v>
      </c>
      <c r="AH38" s="194">
        <f t="shared" si="36"/>
        <v>0</v>
      </c>
      <c r="AI38" s="199">
        <f t="shared" si="37"/>
        <v>1.415558641710817</v>
      </c>
      <c r="AK38" s="71">
        <v>33</v>
      </c>
      <c r="AL38" s="33"/>
      <c r="AM38" s="33"/>
      <c r="AN38" s="33"/>
      <c r="AO38" s="33"/>
      <c r="AP38" s="33"/>
      <c r="AQ38" s="194"/>
      <c r="AR38" s="194"/>
      <c r="AS38" s="194"/>
      <c r="AT38" s="194"/>
      <c r="AU38" s="33"/>
      <c r="AV38" s="33"/>
      <c r="AW38" s="33"/>
      <c r="AX38" s="33"/>
      <c r="AY38" s="76"/>
    </row>
    <row r="39" spans="2:51">
      <c r="B39" s="40">
        <f t="shared" si="31"/>
        <v>51</v>
      </c>
      <c r="C39" s="152">
        <f t="shared" si="38"/>
        <v>55</v>
      </c>
      <c r="D39" s="137">
        <f>D40+28</f>
        <v>244</v>
      </c>
      <c r="E39" s="141">
        <f t="shared" si="29"/>
        <v>1.56</v>
      </c>
      <c r="F39" s="42">
        <f t="shared" si="30"/>
        <v>380.64</v>
      </c>
      <c r="G39" s="51">
        <f t="shared" si="33"/>
        <v>21.449999999999989</v>
      </c>
      <c r="I39" s="55">
        <v>34</v>
      </c>
      <c r="J39" s="33">
        <f t="shared" si="18"/>
        <v>5</v>
      </c>
      <c r="K39" s="33">
        <f t="shared" si="19"/>
        <v>1.910565629709926</v>
      </c>
      <c r="L39" s="33">
        <f t="shared" si="20"/>
        <v>45</v>
      </c>
      <c r="M39" s="33">
        <f t="shared" si="21"/>
        <v>0</v>
      </c>
      <c r="N39" s="33">
        <f t="shared" si="0"/>
        <v>0</v>
      </c>
      <c r="O39" s="34">
        <f t="shared" si="1"/>
        <v>177.03590180507811</v>
      </c>
      <c r="P39" s="55">
        <v>34</v>
      </c>
      <c r="Q39" s="33">
        <f t="shared" si="15"/>
        <v>19.89</v>
      </c>
      <c r="R39" s="33">
        <f t="shared" si="22"/>
        <v>196.95</v>
      </c>
      <c r="S39" s="33">
        <f t="shared" si="23"/>
        <v>120.13949999999998</v>
      </c>
      <c r="T39" s="33">
        <f t="shared" si="2"/>
        <v>31.707533177914577</v>
      </c>
      <c r="U39" s="33">
        <f t="shared" si="16"/>
        <v>56.210935853304257</v>
      </c>
      <c r="V39" s="33">
        <f t="shared" si="3"/>
        <v>10</v>
      </c>
      <c r="W39" s="33">
        <v>0</v>
      </c>
      <c r="X39" s="33">
        <f t="shared" si="4"/>
        <v>507.24034758031684</v>
      </c>
      <c r="Y39" s="38">
        <f t="shared" si="5"/>
        <v>330.2044457752387</v>
      </c>
      <c r="AA39" s="71">
        <v>34</v>
      </c>
      <c r="AB39" s="33">
        <f t="shared" si="6"/>
        <v>0</v>
      </c>
      <c r="AC39" s="305">
        <f t="shared" si="39"/>
        <v>0</v>
      </c>
      <c r="AD39" s="100">
        <f t="shared" si="8"/>
        <v>0</v>
      </c>
      <c r="AE39" s="100">
        <f t="shared" si="9"/>
        <v>0</v>
      </c>
      <c r="AF39" s="194">
        <f t="shared" si="34"/>
        <v>1.3878004001523851</v>
      </c>
      <c r="AG39" s="194">
        <f t="shared" si="35"/>
        <v>0</v>
      </c>
      <c r="AH39" s="194">
        <f t="shared" si="36"/>
        <v>0</v>
      </c>
      <c r="AI39" s="199">
        <f t="shared" si="37"/>
        <v>1.3878004001523851</v>
      </c>
      <c r="AK39" s="71">
        <v>34</v>
      </c>
      <c r="AL39" s="33"/>
      <c r="AM39" s="33"/>
      <c r="AN39" s="33"/>
      <c r="AO39" s="33"/>
      <c r="AP39" s="33"/>
      <c r="AQ39" s="194"/>
      <c r="AR39" s="194"/>
      <c r="AS39" s="194"/>
      <c r="AT39" s="194"/>
      <c r="AU39" s="33"/>
      <c r="AV39" s="33"/>
      <c r="AW39" s="33"/>
      <c r="AX39" s="33"/>
      <c r="AY39" s="76"/>
    </row>
    <row r="40" spans="2:51">
      <c r="B40" s="40">
        <f t="shared" si="31"/>
        <v>55</v>
      </c>
      <c r="C40" s="152">
        <f t="shared" si="38"/>
        <v>56</v>
      </c>
      <c r="D40" s="137">
        <v>216</v>
      </c>
      <c r="E40" s="141">
        <f t="shared" si="29"/>
        <v>1.56</v>
      </c>
      <c r="F40" s="42">
        <f t="shared" si="30"/>
        <v>336.96000000000004</v>
      </c>
      <c r="G40" s="51">
        <f t="shared" si="33"/>
        <v>-43.67999999999995</v>
      </c>
      <c r="I40" s="55">
        <v>35</v>
      </c>
      <c r="J40" s="33">
        <f t="shared" si="18"/>
        <v>5</v>
      </c>
      <c r="K40" s="33">
        <f t="shared" si="19"/>
        <v>1.910565629709926</v>
      </c>
      <c r="L40" s="33">
        <f t="shared" si="20"/>
        <v>45</v>
      </c>
      <c r="M40" s="33">
        <f t="shared" si="21"/>
        <v>0</v>
      </c>
      <c r="N40" s="33">
        <f t="shared" si="0"/>
        <v>0</v>
      </c>
      <c r="O40" s="34">
        <f t="shared" si="1"/>
        <v>177.03590180507811</v>
      </c>
      <c r="P40" s="55">
        <v>35</v>
      </c>
      <c r="Q40" s="33">
        <f t="shared" si="15"/>
        <v>19.89</v>
      </c>
      <c r="R40" s="33">
        <f t="shared" si="22"/>
        <v>216.83999999999997</v>
      </c>
      <c r="S40" s="33">
        <f t="shared" si="23"/>
        <v>132.27239999999998</v>
      </c>
      <c r="T40" s="33">
        <f t="shared" si="2"/>
        <v>34.520913508292487</v>
      </c>
      <c r="U40" s="33">
        <f t="shared" si="16"/>
        <v>56.450145288520318</v>
      </c>
      <c r="V40" s="33">
        <f t="shared" si="3"/>
        <v>10</v>
      </c>
      <c r="W40" s="33">
        <v>0</v>
      </c>
      <c r="X40" s="33">
        <f t="shared" si="4"/>
        <v>534.14888708485046</v>
      </c>
      <c r="Y40" s="38">
        <f t="shared" si="5"/>
        <v>357.11298527977237</v>
      </c>
      <c r="AA40" s="71">
        <v>35</v>
      </c>
      <c r="AB40" s="33">
        <f t="shared" si="6"/>
        <v>0</v>
      </c>
      <c r="AC40" s="305">
        <f t="shared" si="39"/>
        <v>0</v>
      </c>
      <c r="AD40" s="100">
        <f t="shared" si="8"/>
        <v>0</v>
      </c>
      <c r="AE40" s="100">
        <f t="shared" si="9"/>
        <v>0</v>
      </c>
      <c r="AF40" s="194">
        <f t="shared" si="34"/>
        <v>1.3605864807800585</v>
      </c>
      <c r="AG40" s="194">
        <f t="shared" si="35"/>
        <v>0</v>
      </c>
      <c r="AH40" s="194">
        <f t="shared" si="36"/>
        <v>0</v>
      </c>
      <c r="AI40" s="199">
        <f t="shared" si="37"/>
        <v>1.3605864807800585</v>
      </c>
      <c r="AK40" s="71">
        <v>35</v>
      </c>
      <c r="AL40" s="33"/>
      <c r="AM40" s="33"/>
      <c r="AN40" s="33"/>
      <c r="AO40" s="33"/>
      <c r="AP40" s="33"/>
      <c r="AQ40" s="194"/>
      <c r="AR40" s="194"/>
      <c r="AS40" s="194"/>
      <c r="AT40" s="194"/>
      <c r="AU40" s="33"/>
      <c r="AV40" s="33"/>
      <c r="AW40" s="33"/>
      <c r="AX40" s="33"/>
      <c r="AY40" s="76"/>
    </row>
    <row r="41" spans="2:51">
      <c r="B41" s="40">
        <f t="shared" si="31"/>
        <v>56</v>
      </c>
      <c r="C41" s="152">
        <f t="shared" si="38"/>
        <v>60</v>
      </c>
      <c r="D41" s="137">
        <f>D42+28</f>
        <v>270</v>
      </c>
      <c r="E41" s="141">
        <f t="shared" si="29"/>
        <v>1.56</v>
      </c>
      <c r="F41" s="42">
        <f t="shared" ref="F41:F52" si="40">D41*E41</f>
        <v>421.2</v>
      </c>
      <c r="G41" s="51">
        <f t="shared" ref="G41:G52" si="41">(F41-F40)/(C41-B41)</f>
        <v>21.059999999999988</v>
      </c>
      <c r="I41" s="55">
        <v>36</v>
      </c>
      <c r="J41" s="33">
        <f t="shared" si="18"/>
        <v>5</v>
      </c>
      <c r="K41" s="33">
        <f t="shared" si="19"/>
        <v>1.910565629709926</v>
      </c>
      <c r="L41" s="33">
        <f t="shared" si="20"/>
        <v>45</v>
      </c>
      <c r="M41" s="33">
        <f t="shared" si="21"/>
        <v>0</v>
      </c>
      <c r="N41" s="33">
        <f t="shared" si="0"/>
        <v>0</v>
      </c>
      <c r="O41" s="34">
        <f t="shared" si="1"/>
        <v>177.03590180507811</v>
      </c>
      <c r="P41" s="55">
        <v>36</v>
      </c>
      <c r="Q41" s="33">
        <f t="shared" si="15"/>
        <v>-43.680000000000007</v>
      </c>
      <c r="R41" s="33">
        <f t="shared" si="22"/>
        <v>173.15999999999997</v>
      </c>
      <c r="S41" s="33">
        <f t="shared" si="23"/>
        <v>105.62759999999997</v>
      </c>
      <c r="T41" s="33">
        <f t="shared" si="2"/>
        <v>28.298393820824771</v>
      </c>
      <c r="U41" s="33">
        <f t="shared" si="16"/>
        <v>56.68520497482757</v>
      </c>
      <c r="V41" s="33">
        <f t="shared" si="3"/>
        <v>10</v>
      </c>
      <c r="W41" s="33">
        <v>0</v>
      </c>
      <c r="X41" s="33">
        <f t="shared" si="4"/>
        <v>477.76685747897091</v>
      </c>
      <c r="Y41" s="38">
        <f t="shared" si="5"/>
        <v>300.73095567389282</v>
      </c>
      <c r="AA41" s="71">
        <v>36</v>
      </c>
      <c r="AB41" s="33">
        <f t="shared" si="6"/>
        <v>28</v>
      </c>
      <c r="AC41" s="305">
        <f t="shared" si="39"/>
        <v>0.1</v>
      </c>
      <c r="AD41" s="100">
        <f t="shared" si="8"/>
        <v>0</v>
      </c>
      <c r="AE41" s="100">
        <f t="shared" si="9"/>
        <v>0</v>
      </c>
      <c r="AF41" s="194">
        <f t="shared" si="34"/>
        <v>4.2794099266257266</v>
      </c>
      <c r="AG41" s="194">
        <f t="shared" si="35"/>
        <v>0</v>
      </c>
      <c r="AH41" s="194">
        <f t="shared" si="36"/>
        <v>0</v>
      </c>
      <c r="AI41" s="199">
        <f t="shared" si="37"/>
        <v>4.2794099266257266</v>
      </c>
      <c r="AK41" s="71">
        <v>36</v>
      </c>
      <c r="AL41" s="33"/>
      <c r="AM41" s="33"/>
      <c r="AN41" s="33"/>
      <c r="AO41" s="33"/>
      <c r="AP41" s="33"/>
      <c r="AQ41" s="194"/>
      <c r="AR41" s="194"/>
      <c r="AS41" s="194"/>
      <c r="AT41" s="194"/>
      <c r="AU41" s="33"/>
      <c r="AV41" s="33"/>
      <c r="AW41" s="33"/>
      <c r="AX41" s="33"/>
      <c r="AY41" s="76"/>
    </row>
    <row r="42" spans="2:51">
      <c r="B42" s="40">
        <f t="shared" si="31"/>
        <v>60</v>
      </c>
      <c r="C42" s="152">
        <f t="shared" si="38"/>
        <v>61</v>
      </c>
      <c r="D42" s="137">
        <v>242</v>
      </c>
      <c r="E42" s="141">
        <f t="shared" si="29"/>
        <v>1.56</v>
      </c>
      <c r="F42" s="42">
        <f t="shared" si="40"/>
        <v>377.52000000000004</v>
      </c>
      <c r="G42" s="51">
        <f t="shared" si="41"/>
        <v>-43.67999999999995</v>
      </c>
      <c r="I42" s="55">
        <v>37</v>
      </c>
      <c r="J42" s="33">
        <f t="shared" si="18"/>
        <v>5</v>
      </c>
      <c r="K42" s="33">
        <f t="shared" si="19"/>
        <v>1.910565629709926</v>
      </c>
      <c r="L42" s="33">
        <f t="shared" si="20"/>
        <v>45</v>
      </c>
      <c r="M42" s="33">
        <f t="shared" si="21"/>
        <v>0</v>
      </c>
      <c r="N42" s="33">
        <f t="shared" si="0"/>
        <v>0</v>
      </c>
      <c r="O42" s="34">
        <f t="shared" si="1"/>
        <v>177.03590180507811</v>
      </c>
      <c r="P42" s="55">
        <v>37</v>
      </c>
      <c r="Q42" s="33">
        <f t="shared" si="15"/>
        <v>20.28</v>
      </c>
      <c r="R42" s="33">
        <f t="shared" si="22"/>
        <v>193.43999999999997</v>
      </c>
      <c r="S42" s="33">
        <f t="shared" si="23"/>
        <v>117.99839999999998</v>
      </c>
      <c r="T42" s="33">
        <f t="shared" si="2"/>
        <v>31.207702928571173</v>
      </c>
      <c r="U42" s="33">
        <f t="shared" si="16"/>
        <v>56.916186901092118</v>
      </c>
      <c r="V42" s="33">
        <f t="shared" si="3"/>
        <v>10</v>
      </c>
      <c r="W42" s="33">
        <v>0</v>
      </c>
      <c r="X42" s="33">
        <f t="shared" si="4"/>
        <v>505.22664790459913</v>
      </c>
      <c r="Y42" s="38">
        <f t="shared" si="5"/>
        <v>328.19074609952099</v>
      </c>
      <c r="AA42" s="71">
        <v>37</v>
      </c>
      <c r="AB42" s="33">
        <f t="shared" si="6"/>
        <v>0</v>
      </c>
      <c r="AC42" s="305">
        <f t="shared" si="39"/>
        <v>0</v>
      </c>
      <c r="AD42" s="100">
        <f t="shared" si="8"/>
        <v>0</v>
      </c>
      <c r="AE42" s="100">
        <f t="shared" si="9"/>
        <v>0</v>
      </c>
      <c r="AF42" s="194">
        <f t="shared" si="34"/>
        <v>4.1954933081469177</v>
      </c>
      <c r="AG42" s="194">
        <f t="shared" si="35"/>
        <v>0</v>
      </c>
      <c r="AH42" s="194">
        <f t="shared" si="36"/>
        <v>0</v>
      </c>
      <c r="AI42" s="199">
        <f t="shared" si="37"/>
        <v>4.1954933081469177</v>
      </c>
      <c r="AK42" s="71">
        <v>37</v>
      </c>
      <c r="AL42" s="33"/>
      <c r="AM42" s="33"/>
      <c r="AN42" s="33"/>
      <c r="AO42" s="33"/>
      <c r="AP42" s="33"/>
      <c r="AQ42" s="194"/>
      <c r="AR42" s="194"/>
      <c r="AS42" s="194"/>
      <c r="AT42" s="194"/>
      <c r="AU42" s="33"/>
      <c r="AV42" s="33"/>
      <c r="AW42" s="33"/>
      <c r="AX42" s="33"/>
      <c r="AY42" s="76"/>
    </row>
    <row r="43" spans="2:51">
      <c r="B43" s="40">
        <f t="shared" si="31"/>
        <v>61</v>
      </c>
      <c r="C43" s="152">
        <f t="shared" si="38"/>
        <v>65</v>
      </c>
      <c r="D43" s="137">
        <f>D44+28</f>
        <v>294</v>
      </c>
      <c r="E43" s="141">
        <f t="shared" si="29"/>
        <v>1.56</v>
      </c>
      <c r="F43" s="42">
        <f t="shared" si="40"/>
        <v>458.64000000000004</v>
      </c>
      <c r="G43" s="51">
        <f t="shared" si="41"/>
        <v>20.28</v>
      </c>
      <c r="I43" s="55">
        <v>38</v>
      </c>
      <c r="J43" s="33">
        <f t="shared" si="18"/>
        <v>5</v>
      </c>
      <c r="K43" s="33">
        <f t="shared" si="19"/>
        <v>1.910565629709926</v>
      </c>
      <c r="L43" s="33">
        <f t="shared" si="20"/>
        <v>45</v>
      </c>
      <c r="M43" s="33">
        <f t="shared" si="21"/>
        <v>0</v>
      </c>
      <c r="N43" s="33">
        <f t="shared" si="0"/>
        <v>0</v>
      </c>
      <c r="O43" s="34">
        <f t="shared" si="1"/>
        <v>177.03590180507811</v>
      </c>
      <c r="P43" s="55">
        <v>38</v>
      </c>
      <c r="Q43" s="33">
        <f t="shared" si="15"/>
        <v>20.28</v>
      </c>
      <c r="R43" s="33">
        <f t="shared" si="22"/>
        <v>213.71999999999997</v>
      </c>
      <c r="S43" s="33">
        <f t="shared" si="23"/>
        <v>130.36919999999998</v>
      </c>
      <c r="T43" s="33">
        <f t="shared" si="2"/>
        <v>34.081656526320458</v>
      </c>
      <c r="U43" s="33">
        <f t="shared" si="16"/>
        <v>57.143161807334202</v>
      </c>
      <c r="V43" s="33">
        <f t="shared" si="3"/>
        <v>10</v>
      </c>
      <c r="W43" s="33">
        <v>0</v>
      </c>
      <c r="X43" s="33">
        <f t="shared" si="4"/>
        <v>532.61016841023354</v>
      </c>
      <c r="Y43" s="38">
        <f t="shared" si="5"/>
        <v>355.57426660515546</v>
      </c>
      <c r="AA43" s="71">
        <v>38</v>
      </c>
      <c r="AB43" s="33">
        <f t="shared" si="6"/>
        <v>0</v>
      </c>
      <c r="AC43" s="305">
        <f t="shared" si="39"/>
        <v>0</v>
      </c>
      <c r="AD43" s="100">
        <f t="shared" si="8"/>
        <v>0</v>
      </c>
      <c r="AE43" s="100">
        <f t="shared" si="9"/>
        <v>0</v>
      </c>
      <c r="AF43" s="194">
        <f t="shared" si="34"/>
        <v>4.1132222433723946</v>
      </c>
      <c r="AG43" s="194">
        <f t="shared" si="35"/>
        <v>0</v>
      </c>
      <c r="AH43" s="194">
        <f t="shared" si="36"/>
        <v>0</v>
      </c>
      <c r="AI43" s="199">
        <f t="shared" si="37"/>
        <v>4.1132222433723946</v>
      </c>
      <c r="AK43" s="71">
        <v>38</v>
      </c>
      <c r="AL43" s="33"/>
      <c r="AM43" s="33"/>
      <c r="AN43" s="33"/>
      <c r="AO43" s="33"/>
      <c r="AP43" s="33"/>
      <c r="AQ43" s="194"/>
      <c r="AR43" s="194"/>
      <c r="AS43" s="194"/>
      <c r="AT43" s="194"/>
      <c r="AU43" s="33"/>
      <c r="AV43" s="33"/>
      <c r="AW43" s="33"/>
      <c r="AX43" s="33"/>
      <c r="AY43" s="76"/>
    </row>
    <row r="44" spans="2:51">
      <c r="B44" s="40">
        <f t="shared" si="31"/>
        <v>65</v>
      </c>
      <c r="C44" s="152">
        <f t="shared" si="38"/>
        <v>66</v>
      </c>
      <c r="D44" s="137">
        <v>266</v>
      </c>
      <c r="E44" s="141">
        <f t="shared" si="29"/>
        <v>1.56</v>
      </c>
      <c r="F44" s="42">
        <f t="shared" si="40"/>
        <v>414.96000000000004</v>
      </c>
      <c r="G44" s="51">
        <f t="shared" si="41"/>
        <v>-43.680000000000007</v>
      </c>
      <c r="I44" s="55">
        <v>39</v>
      </c>
      <c r="J44" s="33">
        <f t="shared" si="18"/>
        <v>5</v>
      </c>
      <c r="K44" s="33">
        <f t="shared" si="19"/>
        <v>1.910565629709926</v>
      </c>
      <c r="L44" s="33">
        <f t="shared" si="20"/>
        <v>45</v>
      </c>
      <c r="M44" s="33">
        <f t="shared" si="21"/>
        <v>0</v>
      </c>
      <c r="N44" s="33">
        <f t="shared" si="0"/>
        <v>0</v>
      </c>
      <c r="O44" s="34">
        <f t="shared" si="1"/>
        <v>177.03590180507811</v>
      </c>
      <c r="P44" s="55">
        <v>39</v>
      </c>
      <c r="Q44" s="33">
        <f t="shared" si="15"/>
        <v>20.28</v>
      </c>
      <c r="R44" s="33">
        <f t="shared" si="22"/>
        <v>233.99999999999997</v>
      </c>
      <c r="S44" s="33">
        <f t="shared" si="23"/>
        <v>142.73999999999998</v>
      </c>
      <c r="T44" s="33">
        <f t="shared" si="2"/>
        <v>36.923991191656064</v>
      </c>
      <c r="U44" s="33">
        <f t="shared" si="16"/>
        <v>57.366199206392857</v>
      </c>
      <c r="V44" s="33">
        <f t="shared" si="3"/>
        <v>10</v>
      </c>
      <c r="W44" s="33">
        <v>0</v>
      </c>
      <c r="X44" s="33">
        <f t="shared" si="4"/>
        <v>559.92418174890804</v>
      </c>
      <c r="Y44" s="38">
        <f t="shared" si="5"/>
        <v>382.88827994382996</v>
      </c>
      <c r="AA44" s="71">
        <v>39</v>
      </c>
      <c r="AB44" s="33">
        <f t="shared" si="6"/>
        <v>0</v>
      </c>
      <c r="AC44" s="305">
        <f t="shared" si="39"/>
        <v>0</v>
      </c>
      <c r="AD44" s="100">
        <f t="shared" si="8"/>
        <v>0</v>
      </c>
      <c r="AE44" s="100">
        <f t="shared" si="9"/>
        <v>0</v>
      </c>
      <c r="AF44" s="194">
        <f t="shared" si="34"/>
        <v>4.032564463997705</v>
      </c>
      <c r="AG44" s="194">
        <f t="shared" si="35"/>
        <v>0</v>
      </c>
      <c r="AH44" s="194">
        <f t="shared" si="36"/>
        <v>0</v>
      </c>
      <c r="AI44" s="199">
        <f t="shared" si="37"/>
        <v>4.032564463997705</v>
      </c>
      <c r="AK44" s="71">
        <v>39</v>
      </c>
      <c r="AL44" s="33"/>
      <c r="AM44" s="33"/>
      <c r="AN44" s="33"/>
      <c r="AO44" s="33"/>
      <c r="AP44" s="33"/>
      <c r="AQ44" s="194"/>
      <c r="AR44" s="194"/>
      <c r="AS44" s="194"/>
      <c r="AT44" s="194"/>
      <c r="AU44" s="33"/>
      <c r="AV44" s="33"/>
      <c r="AW44" s="33"/>
      <c r="AX44" s="33"/>
      <c r="AY44" s="76"/>
    </row>
    <row r="45" spans="2:51">
      <c r="B45" s="40">
        <f t="shared" si="31"/>
        <v>66</v>
      </c>
      <c r="C45" s="152">
        <f t="shared" si="38"/>
        <v>70</v>
      </c>
      <c r="D45" s="137">
        <f>D46+28</f>
        <v>316</v>
      </c>
      <c r="E45" s="141">
        <f t="shared" si="29"/>
        <v>1.56</v>
      </c>
      <c r="F45" s="42">
        <f t="shared" si="40"/>
        <v>492.96000000000004</v>
      </c>
      <c r="G45" s="51">
        <f t="shared" si="41"/>
        <v>19.5</v>
      </c>
      <c r="I45" s="55">
        <v>40</v>
      </c>
      <c r="J45" s="33">
        <f t="shared" si="18"/>
        <v>5</v>
      </c>
      <c r="K45" s="33">
        <f t="shared" si="19"/>
        <v>1.910565629709926</v>
      </c>
      <c r="L45" s="33">
        <f t="shared" si="20"/>
        <v>45</v>
      </c>
      <c r="M45" s="33">
        <f t="shared" si="21"/>
        <v>0</v>
      </c>
      <c r="N45" s="33">
        <f t="shared" si="0"/>
        <v>0</v>
      </c>
      <c r="O45" s="34">
        <f t="shared" si="1"/>
        <v>177.03590180507811</v>
      </c>
      <c r="P45" s="55">
        <v>40</v>
      </c>
      <c r="Q45" s="33">
        <f t="shared" si="15"/>
        <v>20.28</v>
      </c>
      <c r="R45" s="33">
        <f t="shared" si="22"/>
        <v>254.27999999999997</v>
      </c>
      <c r="S45" s="33">
        <f t="shared" si="23"/>
        <v>155.11079999999998</v>
      </c>
      <c r="T45" s="33">
        <f t="shared" si="2"/>
        <v>39.737758807485029</v>
      </c>
      <c r="U45" s="33">
        <f t="shared" si="16"/>
        <v>57.585367405214768</v>
      </c>
      <c r="V45" s="33">
        <f t="shared" si="3"/>
        <v>10</v>
      </c>
      <c r="W45" s="33">
        <v>0</v>
      </c>
      <c r="X45" s="33">
        <f t="shared" si="4"/>
        <v>587.17425374215725</v>
      </c>
      <c r="Y45" s="38">
        <f t="shared" si="5"/>
        <v>410.13835193707916</v>
      </c>
      <c r="AA45" s="71">
        <v>40</v>
      </c>
      <c r="AB45" s="33">
        <f t="shared" si="6"/>
        <v>0</v>
      </c>
      <c r="AC45" s="305">
        <f t="shared" si="39"/>
        <v>0</v>
      </c>
      <c r="AD45" s="100">
        <f t="shared" si="8"/>
        <v>0</v>
      </c>
      <c r="AE45" s="100">
        <f t="shared" si="9"/>
        <v>0</v>
      </c>
      <c r="AF45" s="194">
        <f t="shared" si="34"/>
        <v>3.9534883344801655</v>
      </c>
      <c r="AG45" s="194">
        <f t="shared" si="35"/>
        <v>0</v>
      </c>
      <c r="AH45" s="194">
        <f t="shared" si="36"/>
        <v>0</v>
      </c>
      <c r="AI45" s="199">
        <f t="shared" si="37"/>
        <v>3.9534883344801655</v>
      </c>
      <c r="AK45" s="71">
        <v>40</v>
      </c>
      <c r="AL45" s="33"/>
      <c r="AM45" s="33"/>
      <c r="AN45" s="33"/>
      <c r="AO45" s="33"/>
      <c r="AP45" s="33"/>
      <c r="AQ45" s="194"/>
      <c r="AR45" s="194"/>
      <c r="AS45" s="194"/>
      <c r="AT45" s="194"/>
      <c r="AU45" s="33"/>
      <c r="AV45" s="33"/>
      <c r="AW45" s="33"/>
      <c r="AX45" s="33"/>
      <c r="AY45" s="76"/>
    </row>
    <row r="46" spans="2:51">
      <c r="B46" s="40">
        <f t="shared" si="31"/>
        <v>70</v>
      </c>
      <c r="C46" s="152">
        <f t="shared" si="38"/>
        <v>71</v>
      </c>
      <c r="D46" s="137">
        <v>288</v>
      </c>
      <c r="E46" s="141">
        <f t="shared" si="29"/>
        <v>1.56</v>
      </c>
      <c r="F46" s="42">
        <f t="shared" si="40"/>
        <v>449.28000000000003</v>
      </c>
      <c r="G46" s="51">
        <f t="shared" si="41"/>
        <v>-43.680000000000007</v>
      </c>
      <c r="I46" s="55">
        <v>41</v>
      </c>
      <c r="J46" s="33">
        <f t="shared" si="18"/>
        <v>5</v>
      </c>
      <c r="K46" s="33">
        <f t="shared" si="19"/>
        <v>1.910565629709926</v>
      </c>
      <c r="L46" s="33">
        <f t="shared" si="20"/>
        <v>45</v>
      </c>
      <c r="M46" s="33">
        <f t="shared" si="21"/>
        <v>0</v>
      </c>
      <c r="N46" s="33">
        <f t="shared" si="0"/>
        <v>0</v>
      </c>
      <c r="O46" s="34">
        <f t="shared" si="1"/>
        <v>177.03590180507811</v>
      </c>
      <c r="P46" s="55">
        <v>41</v>
      </c>
      <c r="Q46" s="33">
        <f t="shared" si="15"/>
        <v>-43.680000000000007</v>
      </c>
      <c r="R46" s="33">
        <f t="shared" si="22"/>
        <v>210.59999999999997</v>
      </c>
      <c r="S46" s="33">
        <f t="shared" si="23"/>
        <v>128.46599999999998</v>
      </c>
      <c r="T46" s="33">
        <f t="shared" si="2"/>
        <v>33.64165246545825</v>
      </c>
      <c r="U46" s="33">
        <f t="shared" si="16"/>
        <v>57.800733525773801</v>
      </c>
      <c r="V46" s="33">
        <f t="shared" si="3"/>
        <v>10</v>
      </c>
      <c r="W46" s="33">
        <v>0</v>
      </c>
      <c r="X46" s="33">
        <f t="shared" si="4"/>
        <v>530.94018430517701</v>
      </c>
      <c r="Y46" s="38">
        <f t="shared" si="5"/>
        <v>353.90428250009893</v>
      </c>
      <c r="AA46" s="71">
        <v>41</v>
      </c>
      <c r="AB46" s="33">
        <f t="shared" si="6"/>
        <v>28</v>
      </c>
      <c r="AC46" s="305">
        <f t="shared" si="39"/>
        <v>0.15</v>
      </c>
      <c r="AD46" s="100">
        <f t="shared" si="8"/>
        <v>0</v>
      </c>
      <c r="AE46" s="100">
        <f t="shared" si="9"/>
        <v>0</v>
      </c>
      <c r="AF46" s="194">
        <f t="shared" si="34"/>
        <v>8.2942184149177205</v>
      </c>
      <c r="AG46" s="194">
        <f t="shared" si="35"/>
        <v>0</v>
      </c>
      <c r="AH46" s="194">
        <f t="shared" si="36"/>
        <v>0</v>
      </c>
      <c r="AI46" s="199">
        <f t="shared" si="37"/>
        <v>8.2942184149177205</v>
      </c>
      <c r="AK46" s="71">
        <v>41</v>
      </c>
      <c r="AL46" s="33"/>
      <c r="AM46" s="33"/>
      <c r="AN46" s="33"/>
      <c r="AO46" s="33"/>
      <c r="AP46" s="33"/>
      <c r="AQ46" s="194"/>
      <c r="AR46" s="194"/>
      <c r="AS46" s="194"/>
      <c r="AT46" s="194"/>
      <c r="AU46" s="33"/>
      <c r="AV46" s="33"/>
      <c r="AW46" s="33"/>
      <c r="AX46" s="33"/>
      <c r="AY46" s="76"/>
    </row>
    <row r="47" spans="2:51">
      <c r="B47" s="40">
        <f t="shared" si="31"/>
        <v>71</v>
      </c>
      <c r="C47" s="152">
        <f t="shared" si="38"/>
        <v>75</v>
      </c>
      <c r="D47" s="137">
        <f>D48+28</f>
        <v>335</v>
      </c>
      <c r="E47" s="141">
        <f t="shared" si="29"/>
        <v>1.56</v>
      </c>
      <c r="F47" s="42">
        <f t="shared" si="40"/>
        <v>522.6</v>
      </c>
      <c r="G47" s="51">
        <f t="shared" si="41"/>
        <v>18.329999999999998</v>
      </c>
      <c r="I47" s="55">
        <v>42</v>
      </c>
      <c r="J47" s="33">
        <f t="shared" si="18"/>
        <v>5</v>
      </c>
      <c r="K47" s="33">
        <f t="shared" si="19"/>
        <v>1.910565629709926</v>
      </c>
      <c r="L47" s="33">
        <f t="shared" si="20"/>
        <v>45</v>
      </c>
      <c r="M47" s="33">
        <f t="shared" si="21"/>
        <v>0</v>
      </c>
      <c r="N47" s="33">
        <f t="shared" si="0"/>
        <v>0</v>
      </c>
      <c r="O47" s="34">
        <f t="shared" si="1"/>
        <v>177.03590180507811</v>
      </c>
      <c r="P47" s="55">
        <v>42</v>
      </c>
      <c r="Q47" s="33">
        <f t="shared" si="15"/>
        <v>21.45000000000001</v>
      </c>
      <c r="R47" s="33">
        <f t="shared" si="22"/>
        <v>232.04999999999998</v>
      </c>
      <c r="S47" s="33">
        <f t="shared" si="23"/>
        <v>141.5505</v>
      </c>
      <c r="T47" s="33">
        <f t="shared" si="2"/>
        <v>36.651975262206079</v>
      </c>
      <c r="U47" s="33">
        <f t="shared" si="16"/>
        <v>58.012363525627649</v>
      </c>
      <c r="V47" s="33">
        <f t="shared" si="3"/>
        <v>10</v>
      </c>
      <c r="W47" s="33">
        <v>0</v>
      </c>
      <c r="X47" s="33">
        <f t="shared" si="4"/>
        <v>559.74797734231026</v>
      </c>
      <c r="Y47" s="38">
        <f t="shared" si="5"/>
        <v>382.71207553723218</v>
      </c>
      <c r="AA47" s="71">
        <v>42</v>
      </c>
      <c r="AB47" s="33">
        <f t="shared" si="6"/>
        <v>0</v>
      </c>
      <c r="AC47" s="305">
        <f t="shared" si="39"/>
        <v>0</v>
      </c>
      <c r="AD47" s="100">
        <f t="shared" si="8"/>
        <v>0</v>
      </c>
      <c r="AE47" s="100">
        <f t="shared" si="9"/>
        <v>0</v>
      </c>
      <c r="AF47" s="194">
        <f t="shared" si="34"/>
        <v>8.1315738507748847</v>
      </c>
      <c r="AG47" s="194">
        <f t="shared" si="35"/>
        <v>0</v>
      </c>
      <c r="AH47" s="194">
        <f t="shared" si="36"/>
        <v>0</v>
      </c>
      <c r="AI47" s="199">
        <f t="shared" si="37"/>
        <v>8.1315738507748847</v>
      </c>
      <c r="AK47" s="71">
        <v>42</v>
      </c>
      <c r="AL47" s="33"/>
      <c r="AM47" s="33"/>
      <c r="AN47" s="33"/>
      <c r="AO47" s="33"/>
      <c r="AP47" s="33"/>
      <c r="AQ47" s="194"/>
      <c r="AR47" s="194"/>
      <c r="AS47" s="194"/>
      <c r="AT47" s="194"/>
      <c r="AU47" s="33"/>
      <c r="AV47" s="33"/>
      <c r="AW47" s="33"/>
      <c r="AX47" s="33"/>
      <c r="AY47" s="76"/>
    </row>
    <row r="48" spans="2:51">
      <c r="B48" s="40">
        <f t="shared" si="31"/>
        <v>75</v>
      </c>
      <c r="C48" s="152">
        <f t="shared" si="38"/>
        <v>76</v>
      </c>
      <c r="D48" s="137">
        <v>307</v>
      </c>
      <c r="E48" s="141">
        <f t="shared" si="29"/>
        <v>1.56</v>
      </c>
      <c r="F48" s="42">
        <f t="shared" si="40"/>
        <v>478.92</v>
      </c>
      <c r="G48" s="51">
        <f t="shared" si="41"/>
        <v>-43.680000000000007</v>
      </c>
      <c r="I48" s="55">
        <v>43</v>
      </c>
      <c r="J48" s="33">
        <f t="shared" si="18"/>
        <v>5</v>
      </c>
      <c r="K48" s="33">
        <f t="shared" si="19"/>
        <v>1.910565629709926</v>
      </c>
      <c r="L48" s="33">
        <f t="shared" si="20"/>
        <v>45</v>
      </c>
      <c r="M48" s="33">
        <f t="shared" si="21"/>
        <v>0</v>
      </c>
      <c r="N48" s="33">
        <f t="shared" si="0"/>
        <v>0</v>
      </c>
      <c r="O48" s="34">
        <f t="shared" si="1"/>
        <v>177.03590180507811</v>
      </c>
      <c r="P48" s="55">
        <v>43</v>
      </c>
      <c r="Q48" s="33">
        <f t="shared" si="15"/>
        <v>21.45000000000001</v>
      </c>
      <c r="R48" s="33">
        <f t="shared" si="22"/>
        <v>253.5</v>
      </c>
      <c r="S48" s="33">
        <f t="shared" si="23"/>
        <v>154.63499999999999</v>
      </c>
      <c r="T48" s="33">
        <f t="shared" si="2"/>
        <v>39.63003316527179</v>
      </c>
      <c r="U48" s="33">
        <f t="shared" si="16"/>
        <v>58.220322218117829</v>
      </c>
      <c r="V48" s="33">
        <f t="shared" si="3"/>
        <v>10</v>
      </c>
      <c r="W48" s="33">
        <v>0</v>
      </c>
      <c r="X48" s="33">
        <f t="shared" si="4"/>
        <v>588.48611422928036</v>
      </c>
      <c r="Y48" s="38">
        <f t="shared" si="5"/>
        <v>411.45021242420228</v>
      </c>
      <c r="AA48" s="71">
        <v>43</v>
      </c>
      <c r="AB48" s="33">
        <f t="shared" si="6"/>
        <v>0</v>
      </c>
      <c r="AC48" s="305">
        <f t="shared" si="39"/>
        <v>0</v>
      </c>
      <c r="AD48" s="100">
        <f t="shared" si="8"/>
        <v>0</v>
      </c>
      <c r="AE48" s="100">
        <f t="shared" si="9"/>
        <v>0</v>
      </c>
      <c r="AF48" s="194">
        <f t="shared" si="34"/>
        <v>7.9721186473315013</v>
      </c>
      <c r="AG48" s="194">
        <f t="shared" si="35"/>
        <v>0</v>
      </c>
      <c r="AH48" s="194">
        <f t="shared" si="36"/>
        <v>0</v>
      </c>
      <c r="AI48" s="199">
        <f t="shared" si="37"/>
        <v>7.9721186473315013</v>
      </c>
      <c r="AK48" s="71">
        <v>43</v>
      </c>
      <c r="AL48" s="33"/>
      <c r="AM48" s="33"/>
      <c r="AN48" s="33"/>
      <c r="AO48" s="33"/>
      <c r="AP48" s="33"/>
      <c r="AQ48" s="194"/>
      <c r="AR48" s="194"/>
      <c r="AS48" s="194"/>
      <c r="AT48" s="194"/>
      <c r="AU48" s="33"/>
      <c r="AV48" s="33"/>
      <c r="AW48" s="33"/>
      <c r="AX48" s="33"/>
      <c r="AY48" s="76"/>
    </row>
    <row r="49" spans="2:51">
      <c r="B49" s="40">
        <f t="shared" si="31"/>
        <v>76</v>
      </c>
      <c r="C49" s="152">
        <f t="shared" si="38"/>
        <v>80</v>
      </c>
      <c r="D49" s="137">
        <f>D50+28</f>
        <v>351</v>
      </c>
      <c r="E49" s="141">
        <f t="shared" si="29"/>
        <v>1.56</v>
      </c>
      <c r="F49" s="42">
        <f t="shared" si="40"/>
        <v>547.56000000000006</v>
      </c>
      <c r="G49" s="51">
        <f t="shared" si="41"/>
        <v>17.160000000000011</v>
      </c>
      <c r="I49" s="55">
        <v>44</v>
      </c>
      <c r="J49" s="33">
        <f t="shared" si="18"/>
        <v>5</v>
      </c>
      <c r="K49" s="33">
        <f t="shared" si="19"/>
        <v>1.910565629709926</v>
      </c>
      <c r="L49" s="33">
        <f t="shared" si="20"/>
        <v>45</v>
      </c>
      <c r="M49" s="33">
        <f t="shared" si="21"/>
        <v>0</v>
      </c>
      <c r="N49" s="33">
        <f t="shared" si="0"/>
        <v>0</v>
      </c>
      <c r="O49" s="34">
        <f t="shared" si="1"/>
        <v>177.03590180507811</v>
      </c>
      <c r="P49" s="55">
        <v>44</v>
      </c>
      <c r="Q49" s="33">
        <f t="shared" si="15"/>
        <v>21.45000000000001</v>
      </c>
      <c r="R49" s="33">
        <f t="shared" si="22"/>
        <v>274.95</v>
      </c>
      <c r="S49" s="33">
        <f t="shared" si="23"/>
        <v>167.71949999999998</v>
      </c>
      <c r="T49" s="33">
        <f t="shared" si="2"/>
        <v>42.578866677066557</v>
      </c>
      <c r="U49" s="33">
        <f t="shared" si="16"/>
        <v>58.424673292219296</v>
      </c>
      <c r="V49" s="33">
        <f t="shared" si="3"/>
        <v>10</v>
      </c>
      <c r="W49" s="33">
        <v>0</v>
      </c>
      <c r="X49" s="33">
        <f t="shared" si="4"/>
        <v>617.1601240340284</v>
      </c>
      <c r="Y49" s="38">
        <f t="shared" si="5"/>
        <v>440.12422222895032</v>
      </c>
      <c r="AA49" s="71">
        <v>44</v>
      </c>
      <c r="AB49" s="33">
        <f t="shared" si="6"/>
        <v>0</v>
      </c>
      <c r="AC49" s="305">
        <f t="shared" si="39"/>
        <v>0</v>
      </c>
      <c r="AD49" s="100">
        <f t="shared" si="8"/>
        <v>0</v>
      </c>
      <c r="AE49" s="100">
        <f t="shared" si="9"/>
        <v>0</v>
      </c>
      <c r="AF49" s="194">
        <f t="shared" si="34"/>
        <v>7.8157902631695721</v>
      </c>
      <c r="AG49" s="194">
        <f t="shared" si="35"/>
        <v>0</v>
      </c>
      <c r="AH49" s="194">
        <f t="shared" si="36"/>
        <v>0</v>
      </c>
      <c r="AI49" s="199">
        <f t="shared" si="37"/>
        <v>7.8157902631695721</v>
      </c>
      <c r="AK49" s="71">
        <v>44</v>
      </c>
      <c r="AL49" s="33"/>
      <c r="AM49" s="33"/>
      <c r="AN49" s="33"/>
      <c r="AO49" s="33"/>
      <c r="AP49" s="33"/>
      <c r="AQ49" s="194"/>
      <c r="AR49" s="194"/>
      <c r="AS49" s="194"/>
      <c r="AT49" s="194"/>
      <c r="AU49" s="33"/>
      <c r="AV49" s="33"/>
      <c r="AW49" s="33"/>
      <c r="AX49" s="33"/>
      <c r="AY49" s="76"/>
    </row>
    <row r="50" spans="2:51">
      <c r="B50" s="40">
        <f t="shared" si="31"/>
        <v>80</v>
      </c>
      <c r="C50" s="152">
        <f t="shared" si="38"/>
        <v>81</v>
      </c>
      <c r="D50" s="137">
        <v>323</v>
      </c>
      <c r="E50" s="141">
        <f t="shared" si="29"/>
        <v>1.56</v>
      </c>
      <c r="F50" s="42">
        <f t="shared" si="40"/>
        <v>503.88</v>
      </c>
      <c r="G50" s="51">
        <f t="shared" si="41"/>
        <v>-43.680000000000064</v>
      </c>
      <c r="I50" s="55">
        <v>45</v>
      </c>
      <c r="J50" s="33">
        <f t="shared" si="18"/>
        <v>5</v>
      </c>
      <c r="K50" s="33">
        <f t="shared" si="19"/>
        <v>1.910565629709926</v>
      </c>
      <c r="L50" s="33">
        <f t="shared" si="20"/>
        <v>45</v>
      </c>
      <c r="M50" s="33">
        <f t="shared" si="21"/>
        <v>0</v>
      </c>
      <c r="N50" s="33">
        <f t="shared" si="0"/>
        <v>0</v>
      </c>
      <c r="O50" s="34">
        <f t="shared" si="1"/>
        <v>177.03590180507811</v>
      </c>
      <c r="P50" s="55">
        <v>45</v>
      </c>
      <c r="Q50" s="33">
        <f t="shared" si="15"/>
        <v>21.45000000000001</v>
      </c>
      <c r="R50" s="33">
        <f t="shared" si="22"/>
        <v>296.39999999999998</v>
      </c>
      <c r="S50" s="33">
        <f t="shared" si="23"/>
        <v>180.80399999999997</v>
      </c>
      <c r="T50" s="33">
        <f t="shared" si="2"/>
        <v>45.501014930459895</v>
      </c>
      <c r="U50" s="33">
        <f t="shared" si="16"/>
        <v>58.625479332045664</v>
      </c>
      <c r="V50" s="33">
        <f t="shared" si="3"/>
        <v>10</v>
      </c>
      <c r="W50" s="33">
        <v>0</v>
      </c>
      <c r="X50" s="33">
        <f t="shared" si="4"/>
        <v>645.77465855471837</v>
      </c>
      <c r="Y50" s="38">
        <f t="shared" si="5"/>
        <v>468.73875674964029</v>
      </c>
      <c r="AA50" s="71">
        <v>45</v>
      </c>
      <c r="AB50" s="33">
        <f t="shared" si="6"/>
        <v>0</v>
      </c>
      <c r="AC50" s="305">
        <f t="shared" si="39"/>
        <v>0</v>
      </c>
      <c r="AD50" s="100">
        <f t="shared" si="8"/>
        <v>0</v>
      </c>
      <c r="AE50" s="100">
        <f t="shared" si="9"/>
        <v>0</v>
      </c>
      <c r="AF50" s="194">
        <f t="shared" si="34"/>
        <v>7.6625273832701595</v>
      </c>
      <c r="AG50" s="194">
        <f t="shared" si="35"/>
        <v>0</v>
      </c>
      <c r="AH50" s="194">
        <f t="shared" si="36"/>
        <v>0</v>
      </c>
      <c r="AI50" s="199">
        <f t="shared" si="37"/>
        <v>7.6625273832701595</v>
      </c>
      <c r="AK50" s="71">
        <v>45</v>
      </c>
      <c r="AL50" s="33"/>
      <c r="AM50" s="33"/>
      <c r="AN50" s="33"/>
      <c r="AO50" s="33"/>
      <c r="AP50" s="33"/>
      <c r="AQ50" s="194"/>
      <c r="AR50" s="194"/>
      <c r="AS50" s="194"/>
      <c r="AT50" s="194"/>
      <c r="AU50" s="33"/>
      <c r="AV50" s="33"/>
      <c r="AW50" s="33"/>
      <c r="AX50" s="33"/>
      <c r="AY50" s="76"/>
    </row>
    <row r="51" spans="2:51">
      <c r="B51" s="40">
        <f t="shared" si="31"/>
        <v>81</v>
      </c>
      <c r="C51" s="152">
        <f t="shared" si="38"/>
        <v>85</v>
      </c>
      <c r="D51" s="137">
        <f>D52+27</f>
        <v>365</v>
      </c>
      <c r="E51" s="141">
        <f t="shared" si="29"/>
        <v>1.56</v>
      </c>
      <c r="F51" s="42">
        <f t="shared" si="40"/>
        <v>569.4</v>
      </c>
      <c r="G51" s="51">
        <f t="shared" si="41"/>
        <v>16.379999999999995</v>
      </c>
      <c r="I51" s="55">
        <v>46</v>
      </c>
      <c r="J51" s="33">
        <f t="shared" si="18"/>
        <v>5</v>
      </c>
      <c r="K51" s="33">
        <f t="shared" si="19"/>
        <v>1.910565629709926</v>
      </c>
      <c r="L51" s="33">
        <f t="shared" si="20"/>
        <v>45</v>
      </c>
      <c r="M51" s="33">
        <f t="shared" si="21"/>
        <v>0</v>
      </c>
      <c r="N51" s="33">
        <f t="shared" si="0"/>
        <v>0</v>
      </c>
      <c r="O51" s="34">
        <f t="shared" si="1"/>
        <v>177.03590180507811</v>
      </c>
      <c r="P51" s="55">
        <v>46</v>
      </c>
      <c r="Q51" s="33">
        <f t="shared" si="15"/>
        <v>-43.680000000000035</v>
      </c>
      <c r="R51" s="33">
        <f t="shared" si="22"/>
        <v>252.71999999999994</v>
      </c>
      <c r="S51" s="33">
        <f t="shared" si="23"/>
        <v>154.15919999999997</v>
      </c>
      <c r="T51" s="33">
        <f t="shared" si="2"/>
        <v>39.522268933730984</v>
      </c>
      <c r="U51" s="33">
        <f t="shared" si="16"/>
        <v>58.82280183601609</v>
      </c>
      <c r="V51" s="33">
        <f t="shared" si="3"/>
        <v>10</v>
      </c>
      <c r="W51" s="33">
        <v>0</v>
      </c>
      <c r="X51" s="33">
        <f t="shared" si="4"/>
        <v>589.67883179164039</v>
      </c>
      <c r="Y51" s="38">
        <f t="shared" si="5"/>
        <v>412.64292998656231</v>
      </c>
      <c r="AA51" s="71">
        <v>46</v>
      </c>
      <c r="AB51" s="33">
        <f t="shared" si="6"/>
        <v>28</v>
      </c>
      <c r="AC51" s="305">
        <f t="shared" si="39"/>
        <v>0.2</v>
      </c>
      <c r="AD51" s="100">
        <f t="shared" si="8"/>
        <v>0</v>
      </c>
      <c r="AE51" s="100">
        <f t="shared" si="9"/>
        <v>0</v>
      </c>
      <c r="AF51" s="194">
        <f t="shared" si="34"/>
        <v>13.403277328680357</v>
      </c>
      <c r="AG51" s="194">
        <f t="shared" si="35"/>
        <v>0</v>
      </c>
      <c r="AH51" s="194">
        <f t="shared" si="36"/>
        <v>0</v>
      </c>
      <c r="AI51" s="199">
        <f t="shared" si="37"/>
        <v>13.403277328680357</v>
      </c>
      <c r="AK51" s="71">
        <v>46</v>
      </c>
      <c r="AL51" s="33"/>
      <c r="AM51" s="33"/>
      <c r="AN51" s="33"/>
      <c r="AO51" s="33"/>
      <c r="AP51" s="33"/>
      <c r="AQ51" s="194"/>
      <c r="AR51" s="194"/>
      <c r="AS51" s="194"/>
      <c r="AT51" s="194"/>
      <c r="AU51" s="33"/>
      <c r="AV51" s="33"/>
      <c r="AW51" s="33"/>
      <c r="AX51" s="33"/>
      <c r="AY51" s="76"/>
    </row>
    <row r="52" spans="2:51">
      <c r="B52" s="40">
        <f t="shared" si="31"/>
        <v>85</v>
      </c>
      <c r="C52" s="152">
        <f t="shared" si="38"/>
        <v>86</v>
      </c>
      <c r="D52" s="137">
        <v>338</v>
      </c>
      <c r="E52" s="141">
        <f t="shared" si="29"/>
        <v>1.56</v>
      </c>
      <c r="F52" s="42">
        <f t="shared" si="40"/>
        <v>527.28</v>
      </c>
      <c r="G52" s="51">
        <f t="shared" si="41"/>
        <v>-42.120000000000005</v>
      </c>
      <c r="I52" s="55">
        <v>47</v>
      </c>
      <c r="J52" s="33">
        <f t="shared" si="18"/>
        <v>5</v>
      </c>
      <c r="K52" s="33">
        <f t="shared" si="19"/>
        <v>1.910565629709926</v>
      </c>
      <c r="L52" s="33">
        <f t="shared" si="20"/>
        <v>45</v>
      </c>
      <c r="M52" s="33">
        <f t="shared" si="21"/>
        <v>0</v>
      </c>
      <c r="N52" s="33">
        <f t="shared" si="0"/>
        <v>0</v>
      </c>
      <c r="O52" s="34">
        <f t="shared" si="1"/>
        <v>177.03590180507811</v>
      </c>
      <c r="P52" s="55">
        <v>47</v>
      </c>
      <c r="Q52" s="33">
        <f t="shared" si="15"/>
        <v>21.45000000000001</v>
      </c>
      <c r="R52" s="33">
        <f t="shared" si="22"/>
        <v>274.16999999999996</v>
      </c>
      <c r="S52" s="33">
        <f t="shared" si="23"/>
        <v>167.24369999999996</v>
      </c>
      <c r="T52" s="33">
        <f t="shared" si="2"/>
        <v>42.472118010657631</v>
      </c>
      <c r="U52" s="33">
        <f t="shared" si="16"/>
        <v>59.016701235689659</v>
      </c>
      <c r="V52" s="33">
        <f t="shared" si="3"/>
        <v>10</v>
      </c>
      <c r="W52" s="33">
        <v>0</v>
      </c>
      <c r="X52" s="33">
        <f t="shared" si="4"/>
        <v>618.31628756609064</v>
      </c>
      <c r="Y52" s="38">
        <f t="shared" si="5"/>
        <v>441.28038576101255</v>
      </c>
      <c r="AA52" s="71">
        <v>47</v>
      </c>
      <c r="AB52" s="33">
        <f t="shared" si="6"/>
        <v>0</v>
      </c>
      <c r="AC52" s="305">
        <f t="shared" si="39"/>
        <v>0</v>
      </c>
      <c r="AD52" s="100">
        <f t="shared" si="8"/>
        <v>0</v>
      </c>
      <c r="AE52" s="100">
        <f t="shared" si="9"/>
        <v>0</v>
      </c>
      <c r="AF52" s="194">
        <f t="shared" si="34"/>
        <v>13.140447235456872</v>
      </c>
      <c r="AG52" s="194">
        <f t="shared" si="35"/>
        <v>0</v>
      </c>
      <c r="AH52" s="194">
        <f t="shared" si="36"/>
        <v>0</v>
      </c>
      <c r="AI52" s="199">
        <f t="shared" si="37"/>
        <v>13.140447235456872</v>
      </c>
      <c r="AK52" s="71">
        <v>47</v>
      </c>
      <c r="AL52" s="33"/>
      <c r="AM52" s="33"/>
      <c r="AN52" s="33"/>
      <c r="AO52" s="33"/>
      <c r="AP52" s="33"/>
      <c r="AQ52" s="194"/>
      <c r="AR52" s="194"/>
      <c r="AS52" s="194"/>
      <c r="AT52" s="194"/>
      <c r="AU52" s="33"/>
      <c r="AV52" s="33"/>
      <c r="AW52" s="33"/>
      <c r="AX52" s="33"/>
      <c r="AY52" s="76"/>
    </row>
    <row r="53" spans="2:51">
      <c r="B53" s="40">
        <f t="shared" si="31"/>
        <v>86</v>
      </c>
      <c r="C53" s="152">
        <f t="shared" si="38"/>
        <v>90</v>
      </c>
      <c r="D53" s="137">
        <f>D54+26</f>
        <v>377</v>
      </c>
      <c r="E53" s="141">
        <f t="shared" si="29"/>
        <v>1.56</v>
      </c>
      <c r="F53" s="42">
        <f>D53*E53</f>
        <v>588.12</v>
      </c>
      <c r="G53" s="51">
        <f>(F53-F52)/(C53-B53)</f>
        <v>15.210000000000008</v>
      </c>
      <c r="I53" s="55">
        <v>48</v>
      </c>
      <c r="J53" s="33">
        <f t="shared" si="18"/>
        <v>5</v>
      </c>
      <c r="K53" s="33">
        <f t="shared" si="19"/>
        <v>1.910565629709926</v>
      </c>
      <c r="L53" s="33">
        <f t="shared" si="20"/>
        <v>45</v>
      </c>
      <c r="M53" s="33">
        <f t="shared" si="21"/>
        <v>0</v>
      </c>
      <c r="N53" s="33">
        <f t="shared" si="0"/>
        <v>0</v>
      </c>
      <c r="O53" s="34">
        <f t="shared" si="1"/>
        <v>177.03590180507811</v>
      </c>
      <c r="P53" s="55">
        <v>48</v>
      </c>
      <c r="Q53" s="33">
        <f t="shared" si="15"/>
        <v>21.45000000000001</v>
      </c>
      <c r="R53" s="33">
        <f t="shared" si="22"/>
        <v>295.61999999999995</v>
      </c>
      <c r="S53" s="33">
        <f t="shared" si="23"/>
        <v>180.32819999999995</v>
      </c>
      <c r="T53" s="33">
        <f t="shared" si="2"/>
        <v>45.395196876518106</v>
      </c>
      <c r="U53" s="33">
        <f t="shared" si="16"/>
        <v>59.207236914273011</v>
      </c>
      <c r="V53" s="33">
        <f t="shared" si="3"/>
        <v>10</v>
      </c>
      <c r="W53" s="33">
        <v>0</v>
      </c>
      <c r="X53" s="33">
        <f t="shared" si="4"/>
        <v>646.89478491226998</v>
      </c>
      <c r="Y53" s="38">
        <f t="shared" si="5"/>
        <v>469.8588831071919</v>
      </c>
      <c r="AA53" s="71">
        <v>48</v>
      </c>
      <c r="AB53" s="33">
        <f t="shared" si="6"/>
        <v>0</v>
      </c>
      <c r="AC53" s="305">
        <f t="shared" si="39"/>
        <v>0</v>
      </c>
      <c r="AD53" s="100">
        <f t="shared" si="8"/>
        <v>0</v>
      </c>
      <c r="AE53" s="100">
        <f t="shared" si="9"/>
        <v>0</v>
      </c>
      <c r="AF53" s="194">
        <f t="shared" si="34"/>
        <v>12.882771080050972</v>
      </c>
      <c r="AG53" s="194">
        <f t="shared" si="35"/>
        <v>0</v>
      </c>
      <c r="AH53" s="194">
        <f t="shared" si="36"/>
        <v>0</v>
      </c>
      <c r="AI53" s="199">
        <f t="shared" si="37"/>
        <v>12.882771080050972</v>
      </c>
      <c r="AK53" s="71">
        <v>48</v>
      </c>
      <c r="AL53" s="33"/>
      <c r="AM53" s="33"/>
      <c r="AN53" s="33"/>
      <c r="AO53" s="33"/>
      <c r="AP53" s="33"/>
      <c r="AQ53" s="194"/>
      <c r="AR53" s="194"/>
      <c r="AS53" s="194"/>
      <c r="AT53" s="194"/>
      <c r="AU53" s="33"/>
      <c r="AV53" s="33"/>
      <c r="AW53" s="33"/>
      <c r="AX53" s="33"/>
      <c r="AY53" s="76"/>
    </row>
    <row r="54" spans="2:51">
      <c r="B54" s="40">
        <f t="shared" si="31"/>
        <v>90</v>
      </c>
      <c r="C54" s="152">
        <f t="shared" si="38"/>
        <v>91</v>
      </c>
      <c r="D54" s="137">
        <v>351</v>
      </c>
      <c r="E54" s="141">
        <f t="shared" si="29"/>
        <v>1.56</v>
      </c>
      <c r="F54" s="42">
        <f>D54*E54</f>
        <v>547.56000000000006</v>
      </c>
      <c r="G54" s="51">
        <f>(F54-F53)/(C54-B54)</f>
        <v>-40.559999999999945</v>
      </c>
      <c r="I54" s="55">
        <v>49</v>
      </c>
      <c r="J54" s="33">
        <f t="shared" si="18"/>
        <v>5</v>
      </c>
      <c r="K54" s="33">
        <f t="shared" si="19"/>
        <v>1.910565629709926</v>
      </c>
      <c r="L54" s="33">
        <f t="shared" si="20"/>
        <v>45</v>
      </c>
      <c r="M54" s="33">
        <f t="shared" si="21"/>
        <v>0</v>
      </c>
      <c r="N54" s="33">
        <f t="shared" si="0"/>
        <v>0</v>
      </c>
      <c r="O54" s="34">
        <f t="shared" si="1"/>
        <v>177.03590180507811</v>
      </c>
      <c r="P54" s="55">
        <v>49</v>
      </c>
      <c r="Q54" s="33">
        <f t="shared" si="15"/>
        <v>21.45000000000001</v>
      </c>
      <c r="R54" s="33">
        <f t="shared" si="22"/>
        <v>317.06999999999994</v>
      </c>
      <c r="S54" s="33">
        <f t="shared" si="23"/>
        <v>193.41269999999994</v>
      </c>
      <c r="T54" s="33">
        <f t="shared" si="2"/>
        <v>48.293668862812176</v>
      </c>
      <c r="U54" s="33">
        <f t="shared" si="16"/>
        <v>59.394467224806895</v>
      </c>
      <c r="V54" s="33">
        <f t="shared" si="3"/>
        <v>10</v>
      </c>
      <c r="W54" s="33">
        <v>0</v>
      </c>
      <c r="X54" s="33">
        <f t="shared" si="4"/>
        <v>675.41830559368975</v>
      </c>
      <c r="Y54" s="38">
        <f t="shared" si="5"/>
        <v>498.38240378861167</v>
      </c>
      <c r="AA54" s="71">
        <v>49</v>
      </c>
      <c r="AB54" s="33">
        <f t="shared" si="6"/>
        <v>0</v>
      </c>
      <c r="AC54" s="305">
        <f t="shared" si="39"/>
        <v>0</v>
      </c>
      <c r="AD54" s="100">
        <f t="shared" si="8"/>
        <v>0</v>
      </c>
      <c r="AE54" s="100">
        <f t="shared" si="9"/>
        <v>0</v>
      </c>
      <c r="AF54" s="194">
        <f t="shared" si="34"/>
        <v>12.630147796885646</v>
      </c>
      <c r="AG54" s="194">
        <f t="shared" si="35"/>
        <v>0</v>
      </c>
      <c r="AH54" s="194">
        <f t="shared" si="36"/>
        <v>0</v>
      </c>
      <c r="AI54" s="199">
        <f t="shared" si="37"/>
        <v>12.630147796885646</v>
      </c>
      <c r="AK54" s="71">
        <v>49</v>
      </c>
      <c r="AL54" s="33"/>
      <c r="AM54" s="33"/>
      <c r="AN54" s="33"/>
      <c r="AO54" s="33"/>
      <c r="AP54" s="33"/>
      <c r="AQ54" s="194"/>
      <c r="AR54" s="194"/>
      <c r="AS54" s="194"/>
      <c r="AT54" s="194"/>
      <c r="AU54" s="33"/>
      <c r="AV54" s="33"/>
      <c r="AW54" s="33"/>
      <c r="AX54" s="33"/>
      <c r="AY54" s="76"/>
    </row>
    <row r="55" spans="2:51">
      <c r="B55" s="40">
        <f t="shared" si="31"/>
        <v>91</v>
      </c>
      <c r="C55" s="152">
        <f t="shared" si="38"/>
        <v>95</v>
      </c>
      <c r="D55" s="137">
        <f>D56+25</f>
        <v>389</v>
      </c>
      <c r="E55" s="141">
        <f t="shared" si="29"/>
        <v>1.56</v>
      </c>
      <c r="F55" s="42">
        <f>D55*E55</f>
        <v>606.84</v>
      </c>
      <c r="G55" s="51">
        <f>(F55-F54)/(C55-B55)</f>
        <v>14.819999999999993</v>
      </c>
      <c r="I55" s="55">
        <v>50</v>
      </c>
      <c r="J55" s="33">
        <f t="shared" si="18"/>
        <v>5</v>
      </c>
      <c r="K55" s="33">
        <f t="shared" si="19"/>
        <v>1.910565629709926</v>
      </c>
      <c r="L55" s="33">
        <f t="shared" si="20"/>
        <v>45</v>
      </c>
      <c r="M55" s="33">
        <f t="shared" si="21"/>
        <v>0</v>
      </c>
      <c r="N55" s="33">
        <f t="shared" si="0"/>
        <v>0</v>
      </c>
      <c r="O55" s="34">
        <f t="shared" si="1"/>
        <v>177.03590180507811</v>
      </c>
      <c r="P55" s="55">
        <v>50</v>
      </c>
      <c r="Q55" s="33">
        <f t="shared" si="15"/>
        <v>21.45000000000001</v>
      </c>
      <c r="R55" s="33">
        <f t="shared" si="22"/>
        <v>338.51999999999992</v>
      </c>
      <c r="S55" s="33">
        <f t="shared" si="23"/>
        <v>206.49719999999996</v>
      </c>
      <c r="T55" s="33">
        <f t="shared" si="2"/>
        <v>51.169388035144998</v>
      </c>
      <c r="U55" s="33">
        <f t="shared" si="16"/>
        <v>59.578449508037295</v>
      </c>
      <c r="V55" s="33">
        <f t="shared" si="3"/>
        <v>10</v>
      </c>
      <c r="W55" s="33">
        <v>0</v>
      </c>
      <c r="X55" s="33">
        <f t="shared" si="4"/>
        <v>703.89028902401424</v>
      </c>
      <c r="Y55" s="38">
        <f t="shared" si="5"/>
        <v>526.85438721893615</v>
      </c>
      <c r="AA55" s="71">
        <v>50</v>
      </c>
      <c r="AB55" s="33">
        <f t="shared" si="6"/>
        <v>0</v>
      </c>
      <c r="AC55" s="305">
        <f t="shared" si="39"/>
        <v>0</v>
      </c>
      <c r="AD55" s="100">
        <f t="shared" si="8"/>
        <v>0</v>
      </c>
      <c r="AE55" s="100">
        <f t="shared" si="9"/>
        <v>0</v>
      </c>
      <c r="AF55" s="194">
        <f t="shared" si="34"/>
        <v>12.382478302218205</v>
      </c>
      <c r="AG55" s="194">
        <f t="shared" si="35"/>
        <v>0</v>
      </c>
      <c r="AH55" s="194">
        <f t="shared" si="36"/>
        <v>0</v>
      </c>
      <c r="AI55" s="199">
        <f t="shared" si="37"/>
        <v>12.382478302218205</v>
      </c>
      <c r="AK55" s="71">
        <v>50</v>
      </c>
      <c r="AL55" s="33"/>
      <c r="AM55" s="33"/>
      <c r="AN55" s="33"/>
      <c r="AO55" s="33"/>
      <c r="AP55" s="33"/>
      <c r="AQ55" s="194"/>
      <c r="AR55" s="194"/>
      <c r="AS55" s="194"/>
      <c r="AT55" s="194"/>
      <c r="AU55" s="33"/>
      <c r="AV55" s="33"/>
      <c r="AW55" s="33"/>
      <c r="AX55" s="33"/>
      <c r="AY55" s="76"/>
    </row>
    <row r="56" spans="2:51">
      <c r="B56" s="40">
        <f t="shared" si="31"/>
        <v>95</v>
      </c>
      <c r="C56" s="152">
        <f t="shared" si="38"/>
        <v>96</v>
      </c>
      <c r="D56" s="137">
        <v>364</v>
      </c>
      <c r="E56" s="141">
        <f t="shared" si="29"/>
        <v>1.56</v>
      </c>
      <c r="F56" s="42">
        <f>D56*E56</f>
        <v>567.84</v>
      </c>
      <c r="G56" s="51">
        <f>(F56-F55)/(C56-B56)</f>
        <v>-39</v>
      </c>
      <c r="I56" s="55">
        <v>51</v>
      </c>
      <c r="J56" s="33">
        <f t="shared" si="18"/>
        <v>5</v>
      </c>
      <c r="K56" s="33">
        <f t="shared" si="19"/>
        <v>1.910565629709926</v>
      </c>
      <c r="L56" s="33">
        <f t="shared" si="20"/>
        <v>45</v>
      </c>
      <c r="M56" s="33">
        <f t="shared" si="21"/>
        <v>0</v>
      </c>
      <c r="N56" s="33">
        <f t="shared" si="0"/>
        <v>0</v>
      </c>
      <c r="O56" s="34">
        <f t="shared" si="1"/>
        <v>177.03590180507811</v>
      </c>
      <c r="P56" s="55">
        <v>51</v>
      </c>
      <c r="Q56" s="33">
        <f t="shared" si="15"/>
        <v>-43.680000000000007</v>
      </c>
      <c r="R56" s="33">
        <f t="shared" si="22"/>
        <v>294.83999999999992</v>
      </c>
      <c r="S56" s="33">
        <f t="shared" si="23"/>
        <v>179.85239999999996</v>
      </c>
      <c r="T56" s="33">
        <f t="shared" si="2"/>
        <v>45.289346318280089</v>
      </c>
      <c r="U56" s="33">
        <f t="shared" si="16"/>
        <v>59.759240109976403</v>
      </c>
      <c r="V56" s="33">
        <f t="shared" si="3"/>
        <v>10</v>
      </c>
      <c r="W56" s="33">
        <v>0</v>
      </c>
      <c r="X56" s="33">
        <f t="shared" si="4"/>
        <v>647.90575524091787</v>
      </c>
      <c r="Y56" s="38">
        <f t="shared" si="5"/>
        <v>470.86985343583979</v>
      </c>
      <c r="AA56" s="71">
        <v>51</v>
      </c>
      <c r="AB56" s="33">
        <f t="shared" si="6"/>
        <v>28</v>
      </c>
      <c r="AC56" s="305">
        <f t="shared" si="39"/>
        <v>0.25</v>
      </c>
      <c r="AD56" s="100">
        <f t="shared" si="8"/>
        <v>0</v>
      </c>
      <c r="AE56" s="100">
        <f t="shared" si="9"/>
        <v>0</v>
      </c>
      <c r="AF56" s="194">
        <f t="shared" si="34"/>
        <v>19.503424747422603</v>
      </c>
      <c r="AG56" s="194">
        <f t="shared" si="35"/>
        <v>0</v>
      </c>
      <c r="AH56" s="194">
        <f t="shared" si="36"/>
        <v>0</v>
      </c>
      <c r="AI56" s="199">
        <f t="shared" si="37"/>
        <v>19.503424747422603</v>
      </c>
      <c r="AK56" s="71">
        <v>51</v>
      </c>
      <c r="AL56" s="33"/>
      <c r="AM56" s="33"/>
      <c r="AN56" s="33"/>
      <c r="AO56" s="33"/>
      <c r="AP56" s="33"/>
      <c r="AQ56" s="194"/>
      <c r="AR56" s="194"/>
      <c r="AS56" s="194"/>
      <c r="AT56" s="194"/>
      <c r="AU56" s="33"/>
      <c r="AV56" s="33"/>
      <c r="AW56" s="33"/>
      <c r="AX56" s="33"/>
      <c r="AY56" s="76"/>
    </row>
    <row r="57" spans="2:51">
      <c r="B57" s="40">
        <f t="shared" si="31"/>
        <v>96</v>
      </c>
      <c r="C57" s="152">
        <f t="shared" si="38"/>
        <v>100</v>
      </c>
      <c r="D57" s="137">
        <f>D58+24</f>
        <v>400</v>
      </c>
      <c r="E57" s="141">
        <f t="shared" si="29"/>
        <v>1.56</v>
      </c>
      <c r="F57" s="42">
        <f t="shared" ref="F57:F68" si="42">D57*E57</f>
        <v>624</v>
      </c>
      <c r="G57" s="51">
        <f t="shared" ref="G57:G68" si="43">(F57-F56)/(C57-B57)</f>
        <v>14.039999999999992</v>
      </c>
      <c r="I57" s="55">
        <v>52</v>
      </c>
      <c r="J57" s="33">
        <f t="shared" si="18"/>
        <v>5</v>
      </c>
      <c r="K57" s="33">
        <f t="shared" si="19"/>
        <v>1.910565629709926</v>
      </c>
      <c r="L57" s="33">
        <f t="shared" si="20"/>
        <v>45</v>
      </c>
      <c r="M57" s="33">
        <f t="shared" si="21"/>
        <v>0</v>
      </c>
      <c r="N57" s="33">
        <f t="shared" si="0"/>
        <v>0</v>
      </c>
      <c r="O57" s="34">
        <f t="shared" si="1"/>
        <v>177.03590180507811</v>
      </c>
      <c r="P57" s="55">
        <v>52</v>
      </c>
      <c r="Q57" s="33">
        <f t="shared" si="15"/>
        <v>21.449999999999989</v>
      </c>
      <c r="R57" s="33">
        <f t="shared" si="22"/>
        <v>316.28999999999991</v>
      </c>
      <c r="S57" s="33">
        <f t="shared" si="23"/>
        <v>192.93689999999995</v>
      </c>
      <c r="T57" s="33">
        <f t="shared" si="2"/>
        <v>48.188678946588105</v>
      </c>
      <c r="U57" s="33">
        <f t="shared" si="16"/>
        <v>59.936894399159101</v>
      </c>
      <c r="V57" s="33">
        <f t="shared" si="3"/>
        <v>10</v>
      </c>
      <c r="W57" s="33">
        <v>0</v>
      </c>
      <c r="X57" s="33">
        <f t="shared" si="4"/>
        <v>676.39566279555754</v>
      </c>
      <c r="Y57" s="38">
        <f t="shared" si="5"/>
        <v>499.35976099047946</v>
      </c>
      <c r="AA57" s="71">
        <v>52</v>
      </c>
      <c r="AB57" s="33">
        <f t="shared" si="6"/>
        <v>0</v>
      </c>
      <c r="AC57" s="305">
        <f t="shared" si="39"/>
        <v>0</v>
      </c>
      <c r="AD57" s="100">
        <f t="shared" si="8"/>
        <v>0</v>
      </c>
      <c r="AE57" s="100">
        <f t="shared" si="9"/>
        <v>0</v>
      </c>
      <c r="AF57" s="194">
        <f t="shared" si="34"/>
        <v>19.120974484040119</v>
      </c>
      <c r="AG57" s="194">
        <f t="shared" si="35"/>
        <v>0</v>
      </c>
      <c r="AH57" s="194">
        <f t="shared" si="36"/>
        <v>0</v>
      </c>
      <c r="AI57" s="199">
        <f t="shared" si="37"/>
        <v>19.120974484040119</v>
      </c>
      <c r="AK57" s="71">
        <v>52</v>
      </c>
      <c r="AL57" s="33"/>
      <c r="AM57" s="33"/>
      <c r="AN57" s="33"/>
      <c r="AO57" s="33"/>
      <c r="AP57" s="33"/>
      <c r="AQ57" s="194"/>
      <c r="AR57" s="194"/>
      <c r="AS57" s="194"/>
      <c r="AT57" s="194"/>
      <c r="AU57" s="33"/>
      <c r="AV57" s="33"/>
      <c r="AW57" s="33"/>
      <c r="AX57" s="33"/>
      <c r="AY57" s="76"/>
    </row>
    <row r="58" spans="2:51">
      <c r="B58" s="40">
        <f t="shared" si="31"/>
        <v>100</v>
      </c>
      <c r="C58" s="152">
        <f t="shared" si="38"/>
        <v>101</v>
      </c>
      <c r="D58" s="137">
        <v>376</v>
      </c>
      <c r="E58" s="141">
        <f t="shared" si="29"/>
        <v>1.56</v>
      </c>
      <c r="F58" s="42">
        <f t="shared" si="42"/>
        <v>586.56000000000006</v>
      </c>
      <c r="G58" s="51">
        <f t="shared" si="43"/>
        <v>-37.439999999999941</v>
      </c>
      <c r="I58" s="55">
        <v>53</v>
      </c>
      <c r="J58" s="33">
        <f t="shared" si="18"/>
        <v>5</v>
      </c>
      <c r="K58" s="33">
        <f t="shared" si="19"/>
        <v>1.910565629709926</v>
      </c>
      <c r="L58" s="33">
        <f t="shared" si="20"/>
        <v>45</v>
      </c>
      <c r="M58" s="33">
        <f t="shared" si="21"/>
        <v>0</v>
      </c>
      <c r="N58" s="33">
        <f t="shared" si="0"/>
        <v>0</v>
      </c>
      <c r="O58" s="34">
        <f t="shared" si="1"/>
        <v>177.03590180507811</v>
      </c>
      <c r="P58" s="55">
        <v>53</v>
      </c>
      <c r="Q58" s="33">
        <f t="shared" si="15"/>
        <v>21.449999999999989</v>
      </c>
      <c r="R58" s="33">
        <f t="shared" si="22"/>
        <v>337.7399999999999</v>
      </c>
      <c r="S58" s="33">
        <f t="shared" si="23"/>
        <v>206.02139999999994</v>
      </c>
      <c r="T58" s="33">
        <f t="shared" si="2"/>
        <v>51.065196008335704</v>
      </c>
      <c r="U58" s="33">
        <f t="shared" si="16"/>
        <v>60.111466783599973</v>
      </c>
      <c r="V58" s="33">
        <f t="shared" si="3"/>
        <v>10</v>
      </c>
      <c r="W58" s="33">
        <v>0</v>
      </c>
      <c r="X58" s="33">
        <f t="shared" si="4"/>
        <v>704.83453292105105</v>
      </c>
      <c r="Y58" s="38">
        <f t="shared" si="5"/>
        <v>527.79863111597297</v>
      </c>
      <c r="AA58" s="71">
        <v>53</v>
      </c>
      <c r="AB58" s="33">
        <f t="shared" si="6"/>
        <v>0</v>
      </c>
      <c r="AC58" s="305">
        <f t="shared" si="39"/>
        <v>0</v>
      </c>
      <c r="AD58" s="100">
        <f t="shared" si="8"/>
        <v>0</v>
      </c>
      <c r="AE58" s="100">
        <f t="shared" si="9"/>
        <v>0</v>
      </c>
      <c r="AF58" s="194">
        <f t="shared" si="34"/>
        <v>18.746023837050938</v>
      </c>
      <c r="AG58" s="194">
        <f t="shared" si="35"/>
        <v>0</v>
      </c>
      <c r="AH58" s="194">
        <f t="shared" si="36"/>
        <v>0</v>
      </c>
      <c r="AI58" s="199">
        <f t="shared" si="37"/>
        <v>18.746023837050938</v>
      </c>
      <c r="AK58" s="71">
        <v>53</v>
      </c>
      <c r="AL58" s="33"/>
      <c r="AM58" s="33"/>
      <c r="AN58" s="33"/>
      <c r="AO58" s="33"/>
      <c r="AP58" s="33"/>
      <c r="AQ58" s="194"/>
      <c r="AR58" s="194"/>
      <c r="AS58" s="194"/>
      <c r="AT58" s="194"/>
      <c r="AU58" s="33"/>
      <c r="AV58" s="33"/>
      <c r="AW58" s="33"/>
      <c r="AX58" s="33"/>
      <c r="AY58" s="76"/>
    </row>
    <row r="59" spans="2:51">
      <c r="B59" s="40">
        <f t="shared" si="31"/>
        <v>101</v>
      </c>
      <c r="C59" s="152">
        <f t="shared" si="38"/>
        <v>105</v>
      </c>
      <c r="D59" s="137">
        <f>D60+23</f>
        <v>409</v>
      </c>
      <c r="E59" s="141">
        <f t="shared" si="29"/>
        <v>1.56</v>
      </c>
      <c r="F59" s="42">
        <f t="shared" si="42"/>
        <v>638.04000000000008</v>
      </c>
      <c r="G59" s="51">
        <f t="shared" si="43"/>
        <v>12.870000000000005</v>
      </c>
      <c r="I59" s="55">
        <v>54</v>
      </c>
      <c r="J59" s="33">
        <f t="shared" si="18"/>
        <v>5</v>
      </c>
      <c r="K59" s="33">
        <f t="shared" si="19"/>
        <v>1.910565629709926</v>
      </c>
      <c r="L59" s="33">
        <f t="shared" si="20"/>
        <v>45</v>
      </c>
      <c r="M59" s="33">
        <f t="shared" si="21"/>
        <v>0</v>
      </c>
      <c r="N59" s="33">
        <f t="shared" si="0"/>
        <v>0</v>
      </c>
      <c r="O59" s="34">
        <f t="shared" si="1"/>
        <v>177.03590180507811</v>
      </c>
      <c r="P59" s="55">
        <v>54</v>
      </c>
      <c r="Q59" s="33">
        <f t="shared" si="15"/>
        <v>21.449999999999989</v>
      </c>
      <c r="R59" s="33">
        <f t="shared" si="22"/>
        <v>359.18999999999988</v>
      </c>
      <c r="S59" s="33">
        <f t="shared" si="23"/>
        <v>219.10589999999993</v>
      </c>
      <c r="T59" s="33">
        <f t="shared" si="2"/>
        <v>53.920511469033769</v>
      </c>
      <c r="U59" s="33">
        <f t="shared" si="16"/>
        <v>60.283010727456173</v>
      </c>
      <c r="V59" s="33">
        <f t="shared" si="3"/>
        <v>10</v>
      </c>
      <c r="W59" s="33">
        <v>0</v>
      </c>
      <c r="X59" s="33">
        <f t="shared" si="4"/>
        <v>733.22537264257289</v>
      </c>
      <c r="Y59" s="38">
        <f t="shared" si="5"/>
        <v>556.18947083749481</v>
      </c>
      <c r="AA59" s="71">
        <v>54</v>
      </c>
      <c r="AB59" s="33">
        <f t="shared" si="6"/>
        <v>0</v>
      </c>
      <c r="AC59" s="305">
        <f t="shared" si="39"/>
        <v>0</v>
      </c>
      <c r="AD59" s="100">
        <f t="shared" si="8"/>
        <v>0</v>
      </c>
      <c r="AE59" s="100">
        <f t="shared" si="9"/>
        <v>0</v>
      </c>
      <c r="AF59" s="194">
        <f t="shared" si="34"/>
        <v>18.378425743551901</v>
      </c>
      <c r="AG59" s="194">
        <f t="shared" si="35"/>
        <v>0</v>
      </c>
      <c r="AH59" s="194">
        <f t="shared" si="36"/>
        <v>0</v>
      </c>
      <c r="AI59" s="199">
        <f t="shared" si="37"/>
        <v>18.378425743551901</v>
      </c>
      <c r="AK59" s="71">
        <v>54</v>
      </c>
      <c r="AL59" s="33"/>
      <c r="AM59" s="33"/>
      <c r="AN59" s="33"/>
      <c r="AO59" s="33"/>
      <c r="AP59" s="33"/>
      <c r="AQ59" s="194"/>
      <c r="AR59" s="194"/>
      <c r="AS59" s="194"/>
      <c r="AT59" s="194"/>
      <c r="AU59" s="33"/>
      <c r="AV59" s="33"/>
      <c r="AW59" s="33"/>
      <c r="AX59" s="33"/>
      <c r="AY59" s="76"/>
    </row>
    <row r="60" spans="2:51">
      <c r="B60" s="40">
        <f t="shared" si="31"/>
        <v>105</v>
      </c>
      <c r="C60" s="152">
        <f t="shared" si="38"/>
        <v>106</v>
      </c>
      <c r="D60" s="137">
        <v>386</v>
      </c>
      <c r="E60" s="141">
        <f t="shared" si="29"/>
        <v>1.56</v>
      </c>
      <c r="F60" s="42">
        <f t="shared" si="42"/>
        <v>602.16</v>
      </c>
      <c r="G60" s="51">
        <f t="shared" si="43"/>
        <v>-35.880000000000109</v>
      </c>
      <c r="I60" s="55">
        <v>55</v>
      </c>
      <c r="J60" s="33">
        <f t="shared" si="18"/>
        <v>5</v>
      </c>
      <c r="K60" s="33">
        <f t="shared" si="19"/>
        <v>1.910565629709926</v>
      </c>
      <c r="L60" s="33">
        <f t="shared" si="20"/>
        <v>45</v>
      </c>
      <c r="M60" s="33">
        <f t="shared" si="21"/>
        <v>0</v>
      </c>
      <c r="N60" s="33">
        <f t="shared" si="0"/>
        <v>0</v>
      </c>
      <c r="O60" s="34">
        <f t="shared" si="1"/>
        <v>177.03590180507811</v>
      </c>
      <c r="P60" s="55">
        <v>55</v>
      </c>
      <c r="Q60" s="33">
        <f t="shared" si="15"/>
        <v>21.449999999999989</v>
      </c>
      <c r="R60" s="33">
        <f t="shared" si="22"/>
        <v>380.63999999999987</v>
      </c>
      <c r="S60" s="33">
        <f t="shared" si="23"/>
        <v>232.19039999999993</v>
      </c>
      <c r="T60" s="33">
        <f t="shared" si="2"/>
        <v>56.756035639094556</v>
      </c>
      <c r="U60" s="33">
        <f t="shared" si="16"/>
        <v>60.45157876740128</v>
      </c>
      <c r="V60" s="33">
        <f t="shared" si="3"/>
        <v>10</v>
      </c>
      <c r="W60" s="33">
        <v>0</v>
      </c>
      <c r="X60" s="33">
        <f t="shared" si="4"/>
        <v>761.57083088522768</v>
      </c>
      <c r="Y60" s="38">
        <f t="shared" si="5"/>
        <v>584.5349290801496</v>
      </c>
      <c r="AA60" s="71">
        <v>55</v>
      </c>
      <c r="AB60" s="33">
        <f t="shared" si="6"/>
        <v>0</v>
      </c>
      <c r="AC60" s="305">
        <f t="shared" si="39"/>
        <v>0</v>
      </c>
      <c r="AD60" s="100">
        <f t="shared" si="8"/>
        <v>0</v>
      </c>
      <c r="AE60" s="100">
        <f t="shared" si="9"/>
        <v>0</v>
      </c>
      <c r="AF60" s="194">
        <f t="shared" si="34"/>
        <v>18.018036024453682</v>
      </c>
      <c r="AG60" s="194">
        <f t="shared" si="35"/>
        <v>0</v>
      </c>
      <c r="AH60" s="194">
        <f t="shared" si="36"/>
        <v>0</v>
      </c>
      <c r="AI60" s="199">
        <f t="shared" si="37"/>
        <v>18.018036024453682</v>
      </c>
      <c r="AK60" s="71">
        <v>55</v>
      </c>
      <c r="AL60" s="33"/>
      <c r="AM60" s="33"/>
      <c r="AN60" s="33"/>
      <c r="AO60" s="33"/>
      <c r="AP60" s="33"/>
      <c r="AQ60" s="194"/>
      <c r="AR60" s="194"/>
      <c r="AS60" s="194"/>
      <c r="AT60" s="194"/>
      <c r="AU60" s="33"/>
      <c r="AV60" s="33"/>
      <c r="AW60" s="33"/>
      <c r="AX60" s="33"/>
      <c r="AY60" s="76"/>
    </row>
    <row r="61" spans="2:51">
      <c r="B61" s="40">
        <f t="shared" si="31"/>
        <v>106</v>
      </c>
      <c r="C61" s="152">
        <f t="shared" si="38"/>
        <v>110</v>
      </c>
      <c r="D61" s="137">
        <f>D62+22</f>
        <v>418</v>
      </c>
      <c r="E61" s="141">
        <f t="shared" si="29"/>
        <v>1.56</v>
      </c>
      <c r="F61" s="42">
        <f t="shared" si="42"/>
        <v>652.08000000000004</v>
      </c>
      <c r="G61" s="51">
        <f t="shared" si="43"/>
        <v>12.480000000000018</v>
      </c>
      <c r="I61" s="55">
        <v>56</v>
      </c>
      <c r="J61" s="33">
        <f t="shared" si="18"/>
        <v>5</v>
      </c>
      <c r="K61" s="33">
        <f t="shared" si="19"/>
        <v>1.910565629709926</v>
      </c>
      <c r="L61" s="33">
        <f t="shared" si="20"/>
        <v>45</v>
      </c>
      <c r="M61" s="33">
        <f t="shared" si="21"/>
        <v>0</v>
      </c>
      <c r="N61" s="33">
        <f t="shared" si="0"/>
        <v>0</v>
      </c>
      <c r="O61" s="34">
        <f t="shared" si="1"/>
        <v>177.03590180507811</v>
      </c>
      <c r="P61" s="55">
        <v>56</v>
      </c>
      <c r="Q61" s="33">
        <f t="shared" si="15"/>
        <v>-43.67999999999995</v>
      </c>
      <c r="R61" s="33">
        <f t="shared" si="22"/>
        <v>336.95999999999992</v>
      </c>
      <c r="S61" s="33">
        <f t="shared" si="23"/>
        <v>205.54559999999995</v>
      </c>
      <c r="T61" s="33">
        <f t="shared" si="2"/>
        <v>50.960975968608096</v>
      </c>
      <c r="U61" s="33">
        <f t="shared" si="16"/>
        <v>60.617222528715011</v>
      </c>
      <c r="V61" s="33">
        <f t="shared" si="3"/>
        <v>10</v>
      </c>
      <c r="W61" s="33">
        <v>0</v>
      </c>
      <c r="X61" s="33">
        <f t="shared" si="4"/>
        <v>705.67876908394737</v>
      </c>
      <c r="Y61" s="38">
        <f t="shared" si="5"/>
        <v>528.64286727886929</v>
      </c>
      <c r="AA61" s="71">
        <v>56</v>
      </c>
      <c r="AB61" s="33">
        <f t="shared" si="6"/>
        <v>28</v>
      </c>
      <c r="AC61" s="305">
        <f t="shared" si="39"/>
        <v>0.3</v>
      </c>
      <c r="AD61" s="100">
        <f t="shared" si="8"/>
        <v>0</v>
      </c>
      <c r="AE61" s="100">
        <f t="shared" si="9"/>
        <v>0</v>
      </c>
      <c r="AF61" s="194">
        <f t="shared" si="34"/>
        <v>26.501224478504824</v>
      </c>
      <c r="AG61" s="194">
        <f t="shared" si="35"/>
        <v>0</v>
      </c>
      <c r="AH61" s="194">
        <f t="shared" si="36"/>
        <v>0</v>
      </c>
      <c r="AI61" s="199">
        <f t="shared" si="37"/>
        <v>26.501224478504824</v>
      </c>
      <c r="AK61" s="71">
        <v>56</v>
      </c>
      <c r="AL61" s="33"/>
      <c r="AM61" s="33"/>
      <c r="AN61" s="33"/>
      <c r="AO61" s="33"/>
      <c r="AP61" s="33"/>
      <c r="AQ61" s="194"/>
      <c r="AR61" s="194"/>
      <c r="AS61" s="194"/>
      <c r="AT61" s="194"/>
      <c r="AU61" s="33"/>
      <c r="AV61" s="33"/>
      <c r="AW61" s="33"/>
      <c r="AX61" s="33"/>
      <c r="AY61" s="76"/>
    </row>
    <row r="62" spans="2:51">
      <c r="B62" s="40">
        <f t="shared" si="31"/>
        <v>110</v>
      </c>
      <c r="C62" s="152">
        <f t="shared" si="38"/>
        <v>111</v>
      </c>
      <c r="D62" s="137">
        <v>396</v>
      </c>
      <c r="E62" s="141">
        <f t="shared" si="29"/>
        <v>1.56</v>
      </c>
      <c r="F62" s="42">
        <f t="shared" si="42"/>
        <v>617.76</v>
      </c>
      <c r="G62" s="51">
        <f t="shared" si="43"/>
        <v>-34.32000000000005</v>
      </c>
      <c r="I62" s="55">
        <v>57</v>
      </c>
      <c r="J62" s="33">
        <f t="shared" si="18"/>
        <v>5</v>
      </c>
      <c r="K62" s="33">
        <f t="shared" si="19"/>
        <v>1.910565629709926</v>
      </c>
      <c r="L62" s="33">
        <f t="shared" si="20"/>
        <v>45</v>
      </c>
      <c r="M62" s="33">
        <f t="shared" si="21"/>
        <v>0</v>
      </c>
      <c r="N62" s="33">
        <f t="shared" si="0"/>
        <v>0</v>
      </c>
      <c r="O62" s="34">
        <f t="shared" si="1"/>
        <v>177.03590180507811</v>
      </c>
      <c r="P62" s="55">
        <v>57</v>
      </c>
      <c r="Q62" s="33">
        <f t="shared" si="15"/>
        <v>21.059999999999988</v>
      </c>
      <c r="R62" s="33">
        <f t="shared" si="22"/>
        <v>358.01999999999992</v>
      </c>
      <c r="S62" s="33">
        <f t="shared" si="23"/>
        <v>218.39219999999995</v>
      </c>
      <c r="T62" s="33">
        <f t="shared" si="2"/>
        <v>53.765289296012469</v>
      </c>
      <c r="U62" s="33">
        <f t="shared" si="16"/>
        <v>60.77999274109392</v>
      </c>
      <c r="V62" s="33">
        <f t="shared" si="3"/>
        <v>10</v>
      </c>
      <c r="W62" s="33">
        <v>0</v>
      </c>
      <c r="X62" s="33">
        <f t="shared" si="4"/>
        <v>733.53426724123256</v>
      </c>
      <c r="Y62" s="38">
        <f t="shared" si="5"/>
        <v>556.49836543615447</v>
      </c>
      <c r="AA62" s="71">
        <v>57</v>
      </c>
      <c r="AB62" s="33">
        <f t="shared" si="6"/>
        <v>0</v>
      </c>
      <c r="AC62" s="305">
        <f t="shared" si="39"/>
        <v>0</v>
      </c>
      <c r="AD62" s="100">
        <f t="shared" si="8"/>
        <v>0</v>
      </c>
      <c r="AE62" s="100">
        <f t="shared" si="9"/>
        <v>0</v>
      </c>
      <c r="AF62" s="194">
        <f t="shared" si="34"/>
        <v>25.9815516306322</v>
      </c>
      <c r="AG62" s="194">
        <f t="shared" si="35"/>
        <v>0</v>
      </c>
      <c r="AH62" s="194">
        <f t="shared" si="36"/>
        <v>0</v>
      </c>
      <c r="AI62" s="199">
        <f t="shared" si="37"/>
        <v>25.9815516306322</v>
      </c>
      <c r="AK62" s="71">
        <v>57</v>
      </c>
      <c r="AL62" s="33"/>
      <c r="AM62" s="33"/>
      <c r="AN62" s="33"/>
      <c r="AO62" s="33"/>
      <c r="AP62" s="33"/>
      <c r="AQ62" s="194"/>
      <c r="AR62" s="194"/>
      <c r="AS62" s="194"/>
      <c r="AT62" s="194"/>
      <c r="AU62" s="33"/>
      <c r="AV62" s="33"/>
      <c r="AW62" s="33"/>
      <c r="AX62" s="33"/>
      <c r="AY62" s="76"/>
    </row>
    <row r="63" spans="2:51">
      <c r="B63" s="40">
        <f t="shared" si="31"/>
        <v>111</v>
      </c>
      <c r="C63" s="152">
        <f t="shared" si="38"/>
        <v>115</v>
      </c>
      <c r="D63" s="137">
        <f>D64+22</f>
        <v>426</v>
      </c>
      <c r="E63" s="141">
        <f t="shared" si="29"/>
        <v>1.56</v>
      </c>
      <c r="F63" s="42">
        <f t="shared" si="42"/>
        <v>664.56000000000006</v>
      </c>
      <c r="G63" s="51">
        <f t="shared" si="43"/>
        <v>11.700000000000017</v>
      </c>
      <c r="I63" s="55">
        <v>58</v>
      </c>
      <c r="J63" s="33">
        <f t="shared" si="18"/>
        <v>5</v>
      </c>
      <c r="K63" s="33">
        <f t="shared" si="19"/>
        <v>1.910565629709926</v>
      </c>
      <c r="L63" s="33">
        <f t="shared" si="20"/>
        <v>45</v>
      </c>
      <c r="M63" s="33">
        <f t="shared" si="21"/>
        <v>0</v>
      </c>
      <c r="N63" s="33">
        <f t="shared" si="0"/>
        <v>0</v>
      </c>
      <c r="O63" s="34">
        <f t="shared" si="1"/>
        <v>177.03590180507811</v>
      </c>
      <c r="P63" s="55">
        <v>58</v>
      </c>
      <c r="Q63" s="33">
        <f t="shared" si="15"/>
        <v>21.059999999999988</v>
      </c>
      <c r="R63" s="33">
        <f t="shared" si="22"/>
        <v>379.07999999999993</v>
      </c>
      <c r="S63" s="33">
        <f t="shared" si="23"/>
        <v>231.23879999999994</v>
      </c>
      <c r="T63" s="33">
        <f t="shared" si="2"/>
        <v>56.55045525673966</v>
      </c>
      <c r="U63" s="33">
        <f t="shared" si="16"/>
        <v>60.939939254187742</v>
      </c>
      <c r="V63" s="33">
        <f t="shared" si="3"/>
        <v>10</v>
      </c>
      <c r="W63" s="33">
        <v>0</v>
      </c>
      <c r="X63" s="33">
        <f t="shared" si="4"/>
        <v>761.34606350417653</v>
      </c>
      <c r="Y63" s="38">
        <f t="shared" si="5"/>
        <v>584.31016169909844</v>
      </c>
      <c r="AA63" s="71">
        <v>58</v>
      </c>
      <c r="AB63" s="33">
        <f t="shared" si="6"/>
        <v>0</v>
      </c>
      <c r="AC63" s="305">
        <f t="shared" si="39"/>
        <v>0</v>
      </c>
      <c r="AD63" s="100">
        <f t="shared" si="8"/>
        <v>0</v>
      </c>
      <c r="AE63" s="100">
        <f t="shared" si="9"/>
        <v>0</v>
      </c>
      <c r="AF63" s="194">
        <f t="shared" si="34"/>
        <v>25.472069250337217</v>
      </c>
      <c r="AG63" s="194">
        <f t="shared" si="35"/>
        <v>0</v>
      </c>
      <c r="AH63" s="194">
        <f t="shared" si="36"/>
        <v>0</v>
      </c>
      <c r="AI63" s="199">
        <f t="shared" si="37"/>
        <v>25.472069250337217</v>
      </c>
      <c r="AK63" s="71">
        <v>58</v>
      </c>
      <c r="AL63" s="33"/>
      <c r="AM63" s="33"/>
      <c r="AN63" s="33"/>
      <c r="AO63" s="33"/>
      <c r="AP63" s="33"/>
      <c r="AQ63" s="194"/>
      <c r="AR63" s="194"/>
      <c r="AS63" s="194"/>
      <c r="AT63" s="194"/>
      <c r="AU63" s="33"/>
      <c r="AV63" s="33"/>
      <c r="AW63" s="33"/>
      <c r="AX63" s="33"/>
      <c r="AY63" s="76"/>
    </row>
    <row r="64" spans="2:51">
      <c r="B64" s="40">
        <f t="shared" si="31"/>
        <v>115</v>
      </c>
      <c r="C64" s="152">
        <f t="shared" si="38"/>
        <v>116</v>
      </c>
      <c r="D64" s="137">
        <v>404</v>
      </c>
      <c r="E64" s="141">
        <f t="shared" si="29"/>
        <v>1.56</v>
      </c>
      <c r="F64" s="42">
        <f t="shared" si="42"/>
        <v>630.24</v>
      </c>
      <c r="G64" s="51">
        <f t="shared" si="43"/>
        <v>-34.32000000000005</v>
      </c>
      <c r="I64" s="55">
        <v>59</v>
      </c>
      <c r="J64" s="33">
        <f t="shared" si="18"/>
        <v>5</v>
      </c>
      <c r="K64" s="33">
        <f t="shared" si="19"/>
        <v>1.910565629709926</v>
      </c>
      <c r="L64" s="33">
        <f t="shared" si="20"/>
        <v>45</v>
      </c>
      <c r="M64" s="33">
        <f t="shared" si="21"/>
        <v>0</v>
      </c>
      <c r="N64" s="33">
        <f t="shared" si="0"/>
        <v>0</v>
      </c>
      <c r="O64" s="34">
        <f t="shared" si="1"/>
        <v>177.03590180507811</v>
      </c>
      <c r="P64" s="55">
        <v>59</v>
      </c>
      <c r="Q64" s="33">
        <f t="shared" si="15"/>
        <v>21.059999999999988</v>
      </c>
      <c r="R64" s="33">
        <f t="shared" si="22"/>
        <v>400.13999999999993</v>
      </c>
      <c r="S64" s="33">
        <f t="shared" si="23"/>
        <v>244.08539999999996</v>
      </c>
      <c r="T64" s="33">
        <f t="shared" si="2"/>
        <v>59.31765883359413</v>
      </c>
      <c r="U64" s="33">
        <f t="shared" si="16"/>
        <v>61.097111052866211</v>
      </c>
      <c r="V64" s="33">
        <f t="shared" si="3"/>
        <v>10</v>
      </c>
      <c r="W64" s="33">
        <v>0</v>
      </c>
      <c r="X64" s="33">
        <f t="shared" si="4"/>
        <v>789.11640132901914</v>
      </c>
      <c r="Y64" s="38">
        <f t="shared" si="5"/>
        <v>612.08049952394106</v>
      </c>
      <c r="AA64" s="71">
        <v>59</v>
      </c>
      <c r="AB64" s="33">
        <f t="shared" si="6"/>
        <v>0</v>
      </c>
      <c r="AC64" s="305">
        <f t="shared" si="39"/>
        <v>0</v>
      </c>
      <c r="AD64" s="100">
        <f t="shared" si="8"/>
        <v>0</v>
      </c>
      <c r="AE64" s="100">
        <f t="shared" si="9"/>
        <v>0</v>
      </c>
      <c r="AF64" s="194">
        <f t="shared" si="34"/>
        <v>24.972577508766253</v>
      </c>
      <c r="AG64" s="194">
        <f t="shared" si="35"/>
        <v>0</v>
      </c>
      <c r="AH64" s="194">
        <f t="shared" si="36"/>
        <v>0</v>
      </c>
      <c r="AI64" s="199">
        <f t="shared" si="37"/>
        <v>24.972577508766253</v>
      </c>
      <c r="AK64" s="71">
        <v>59</v>
      </c>
      <c r="AL64" s="33"/>
      <c r="AM64" s="33"/>
      <c r="AN64" s="33"/>
      <c r="AO64" s="33"/>
      <c r="AP64" s="33"/>
      <c r="AQ64" s="194"/>
      <c r="AR64" s="194"/>
      <c r="AS64" s="194"/>
      <c r="AT64" s="194"/>
      <c r="AU64" s="33"/>
      <c r="AV64" s="33"/>
      <c r="AW64" s="33"/>
      <c r="AX64" s="33"/>
      <c r="AY64" s="76"/>
    </row>
    <row r="65" spans="2:51">
      <c r="B65" s="40">
        <f t="shared" si="31"/>
        <v>116</v>
      </c>
      <c r="C65" s="152">
        <f t="shared" si="38"/>
        <v>120</v>
      </c>
      <c r="D65" s="137">
        <f>D66+21</f>
        <v>432</v>
      </c>
      <c r="E65" s="141">
        <f t="shared" si="29"/>
        <v>1.56</v>
      </c>
      <c r="F65" s="42">
        <f t="shared" si="42"/>
        <v>673.92000000000007</v>
      </c>
      <c r="G65" s="51">
        <f t="shared" si="43"/>
        <v>10.920000000000016</v>
      </c>
      <c r="I65" s="55">
        <v>60</v>
      </c>
      <c r="J65" s="33">
        <f t="shared" si="18"/>
        <v>5</v>
      </c>
      <c r="K65" s="33">
        <f t="shared" si="19"/>
        <v>1.910565629709926</v>
      </c>
      <c r="L65" s="33">
        <f t="shared" si="20"/>
        <v>45</v>
      </c>
      <c r="M65" s="33">
        <f t="shared" si="21"/>
        <v>0</v>
      </c>
      <c r="N65" s="33">
        <f t="shared" si="0"/>
        <v>0</v>
      </c>
      <c r="O65" s="34">
        <f t="shared" si="1"/>
        <v>177.03590180507811</v>
      </c>
      <c r="P65" s="55">
        <v>60</v>
      </c>
      <c r="Q65" s="33">
        <f t="shared" si="15"/>
        <v>21.059999999999988</v>
      </c>
      <c r="R65" s="33">
        <f t="shared" si="22"/>
        <v>421.19999999999993</v>
      </c>
      <c r="S65" s="33">
        <f t="shared" si="23"/>
        <v>256.93199999999996</v>
      </c>
      <c r="T65" s="33">
        <f t="shared" si="2"/>
        <v>62.067953229346557</v>
      </c>
      <c r="U65" s="33">
        <f t="shared" si="16"/>
        <v>61.251556272221123</v>
      </c>
      <c r="V65" s="33">
        <f t="shared" si="3"/>
        <v>10</v>
      </c>
      <c r="W65" s="33">
        <v>0</v>
      </c>
      <c r="X65" s="33">
        <f t="shared" si="4"/>
        <v>816.84729153925582</v>
      </c>
      <c r="Y65" s="38">
        <f t="shared" si="5"/>
        <v>639.81138973417774</v>
      </c>
      <c r="AA65" s="71">
        <v>60</v>
      </c>
      <c r="AB65" s="33">
        <f t="shared" si="6"/>
        <v>0</v>
      </c>
      <c r="AC65" s="305">
        <f t="shared" si="39"/>
        <v>0</v>
      </c>
      <c r="AD65" s="100">
        <f t="shared" si="8"/>
        <v>0</v>
      </c>
      <c r="AE65" s="100">
        <f t="shared" si="9"/>
        <v>0</v>
      </c>
      <c r="AF65" s="194">
        <f t="shared" si="34"/>
        <v>24.482880495587615</v>
      </c>
      <c r="AG65" s="194">
        <f t="shared" si="35"/>
        <v>0</v>
      </c>
      <c r="AH65" s="194">
        <f t="shared" si="36"/>
        <v>0</v>
      </c>
      <c r="AI65" s="199">
        <f t="shared" si="37"/>
        <v>24.482880495587615</v>
      </c>
      <c r="AK65" s="71">
        <v>60</v>
      </c>
      <c r="AL65" s="33"/>
      <c r="AM65" s="33"/>
      <c r="AN65" s="33"/>
      <c r="AO65" s="33"/>
      <c r="AP65" s="33"/>
      <c r="AQ65" s="194"/>
      <c r="AR65" s="194"/>
      <c r="AS65" s="194"/>
      <c r="AT65" s="194"/>
      <c r="AU65" s="33"/>
      <c r="AV65" s="33"/>
      <c r="AW65" s="33"/>
      <c r="AX65" s="33"/>
      <c r="AY65" s="76"/>
    </row>
    <row r="66" spans="2:51">
      <c r="B66" s="40">
        <f t="shared" si="31"/>
        <v>120</v>
      </c>
      <c r="C66" s="152">
        <f t="shared" si="38"/>
        <v>121</v>
      </c>
      <c r="D66" s="137">
        <v>411</v>
      </c>
      <c r="E66" s="141">
        <f t="shared" si="29"/>
        <v>1.56</v>
      </c>
      <c r="F66" s="42">
        <f t="shared" si="42"/>
        <v>641.16</v>
      </c>
      <c r="G66" s="51">
        <f t="shared" si="43"/>
        <v>-32.760000000000105</v>
      </c>
      <c r="I66" s="55">
        <v>61</v>
      </c>
      <c r="J66" s="33">
        <f t="shared" si="18"/>
        <v>5</v>
      </c>
      <c r="K66" s="33">
        <f t="shared" si="19"/>
        <v>1.910565629709926</v>
      </c>
      <c r="L66" s="33">
        <f t="shared" si="20"/>
        <v>45</v>
      </c>
      <c r="M66" s="33">
        <f t="shared" si="21"/>
        <v>0</v>
      </c>
      <c r="N66" s="33">
        <f t="shared" si="0"/>
        <v>0</v>
      </c>
      <c r="O66" s="34">
        <f t="shared" si="1"/>
        <v>177.03590180507811</v>
      </c>
      <c r="P66" s="55">
        <v>61</v>
      </c>
      <c r="Q66" s="33">
        <f t="shared" si="15"/>
        <v>-43.67999999999995</v>
      </c>
      <c r="R66" s="33">
        <f t="shared" si="22"/>
        <v>377.52</v>
      </c>
      <c r="S66" s="33">
        <f t="shared" si="23"/>
        <v>230.28719999999998</v>
      </c>
      <c r="T66" s="33">
        <f t="shared" si="2"/>
        <v>56.344776374959956</v>
      </c>
      <c r="U66" s="33">
        <f t="shared" si="16"/>
        <v>61.403322212307998</v>
      </c>
      <c r="V66" s="33">
        <f t="shared" si="3"/>
        <v>10</v>
      </c>
      <c r="W66" s="33">
        <v>0</v>
      </c>
      <c r="X66" s="33">
        <f t="shared" si="4"/>
        <v>761.02954029818454</v>
      </c>
      <c r="Y66" s="38">
        <f t="shared" si="5"/>
        <v>583.99363849310646</v>
      </c>
      <c r="AA66" s="71">
        <v>61</v>
      </c>
      <c r="AB66" s="33">
        <f t="shared" si="6"/>
        <v>28</v>
      </c>
      <c r="AC66" s="305">
        <f t="shared" si="39"/>
        <v>0.35</v>
      </c>
      <c r="AD66" s="100">
        <f t="shared" si="8"/>
        <v>0</v>
      </c>
      <c r="AE66" s="100">
        <f t="shared" si="9"/>
        <v>0</v>
      </c>
      <c r="AF66" s="194">
        <f t="shared" si="34"/>
        <v>34.312049151154561</v>
      </c>
      <c r="AG66" s="194">
        <f t="shared" si="35"/>
        <v>0</v>
      </c>
      <c r="AH66" s="194">
        <f t="shared" si="36"/>
        <v>0</v>
      </c>
      <c r="AI66" s="199">
        <f t="shared" si="37"/>
        <v>34.312049151154561</v>
      </c>
      <c r="AK66" s="71">
        <v>61</v>
      </c>
      <c r="AL66" s="33"/>
      <c r="AM66" s="33"/>
      <c r="AN66" s="33"/>
      <c r="AO66" s="33"/>
      <c r="AP66" s="33"/>
      <c r="AQ66" s="194"/>
      <c r="AR66" s="194"/>
      <c r="AS66" s="194"/>
      <c r="AT66" s="194"/>
      <c r="AU66" s="33"/>
      <c r="AV66" s="33"/>
      <c r="AW66" s="33"/>
      <c r="AX66" s="33"/>
      <c r="AY66" s="76"/>
    </row>
    <row r="67" spans="2:51">
      <c r="B67" s="40">
        <f t="shared" si="31"/>
        <v>121</v>
      </c>
      <c r="C67" s="152">
        <f t="shared" si="38"/>
        <v>125</v>
      </c>
      <c r="D67" s="137">
        <f>D68+21</f>
        <v>437</v>
      </c>
      <c r="E67" s="141">
        <f t="shared" si="29"/>
        <v>1.56</v>
      </c>
      <c r="F67" s="42">
        <f t="shared" si="42"/>
        <v>681.72</v>
      </c>
      <c r="G67" s="51">
        <f t="shared" si="43"/>
        <v>10.140000000000015</v>
      </c>
      <c r="I67" s="55">
        <v>62</v>
      </c>
      <c r="J67" s="33">
        <f t="shared" si="18"/>
        <v>5</v>
      </c>
      <c r="K67" s="33">
        <f t="shared" si="19"/>
        <v>1.910565629709926</v>
      </c>
      <c r="L67" s="33">
        <f t="shared" si="20"/>
        <v>45</v>
      </c>
      <c r="M67" s="33">
        <f t="shared" si="21"/>
        <v>0</v>
      </c>
      <c r="N67" s="33">
        <f t="shared" si="0"/>
        <v>0</v>
      </c>
      <c r="O67" s="34">
        <f t="shared" si="1"/>
        <v>177.03590180507811</v>
      </c>
      <c r="P67" s="55">
        <v>62</v>
      </c>
      <c r="Q67" s="33">
        <f t="shared" si="15"/>
        <v>20.28</v>
      </c>
      <c r="R67" s="33">
        <f t="shared" si="22"/>
        <v>397.79999999999995</v>
      </c>
      <c r="S67" s="33">
        <f t="shared" si="23"/>
        <v>242.65799999999996</v>
      </c>
      <c r="T67" s="33">
        <f t="shared" si="2"/>
        <v>59.011045025839607</v>
      </c>
      <c r="U67" s="33">
        <f t="shared" si="16"/>
        <v>61.55245535263218</v>
      </c>
      <c r="V67" s="33">
        <f t="shared" si="3"/>
        <v>10</v>
      </c>
      <c r="W67" s="33">
        <v>0</v>
      </c>
      <c r="X67" s="33">
        <f t="shared" si="4"/>
        <v>787.76592304632186</v>
      </c>
      <c r="Y67" s="38">
        <f t="shared" si="5"/>
        <v>610.73002124124378</v>
      </c>
      <c r="AA67" s="71">
        <v>62</v>
      </c>
      <c r="AB67" s="33">
        <f t="shared" si="6"/>
        <v>0</v>
      </c>
      <c r="AC67" s="305">
        <f t="shared" si="39"/>
        <v>0</v>
      </c>
      <c r="AD67" s="100">
        <f t="shared" si="8"/>
        <v>0</v>
      </c>
      <c r="AE67" s="100">
        <f t="shared" si="9"/>
        <v>0</v>
      </c>
      <c r="AF67" s="194">
        <f t="shared" si="34"/>
        <v>33.639210795583907</v>
      </c>
      <c r="AG67" s="194">
        <f t="shared" si="35"/>
        <v>0</v>
      </c>
      <c r="AH67" s="194">
        <f t="shared" si="36"/>
        <v>0</v>
      </c>
      <c r="AI67" s="199">
        <f t="shared" si="37"/>
        <v>33.639210795583907</v>
      </c>
      <c r="AK67" s="71">
        <v>62</v>
      </c>
      <c r="AL67" s="33"/>
      <c r="AM67" s="33"/>
      <c r="AN67" s="33"/>
      <c r="AO67" s="33"/>
      <c r="AP67" s="33"/>
      <c r="AQ67" s="194"/>
      <c r="AR67" s="194"/>
      <c r="AS67" s="194"/>
      <c r="AT67" s="194"/>
      <c r="AU67" s="33"/>
      <c r="AV67" s="33"/>
      <c r="AW67" s="33"/>
      <c r="AX67" s="33"/>
      <c r="AY67" s="76"/>
    </row>
    <row r="68" spans="2:51">
      <c r="B68" s="40">
        <f t="shared" si="31"/>
        <v>125</v>
      </c>
      <c r="C68" s="152">
        <f t="shared" si="38"/>
        <v>126</v>
      </c>
      <c r="D68" s="137">
        <v>416</v>
      </c>
      <c r="E68" s="141">
        <f t="shared" si="29"/>
        <v>1.56</v>
      </c>
      <c r="F68" s="42">
        <f t="shared" si="42"/>
        <v>648.96</v>
      </c>
      <c r="G68" s="51">
        <f t="shared" si="43"/>
        <v>-32.759999999999991</v>
      </c>
      <c r="I68" s="55">
        <v>63</v>
      </c>
      <c r="J68" s="33">
        <f t="shared" si="18"/>
        <v>5</v>
      </c>
      <c r="K68" s="33">
        <f t="shared" si="19"/>
        <v>1.910565629709926</v>
      </c>
      <c r="L68" s="33">
        <f t="shared" si="20"/>
        <v>45</v>
      </c>
      <c r="M68" s="33">
        <f t="shared" si="21"/>
        <v>0</v>
      </c>
      <c r="N68" s="33">
        <f t="shared" si="0"/>
        <v>0</v>
      </c>
      <c r="O68" s="34">
        <f t="shared" si="1"/>
        <v>177.03590180507811</v>
      </c>
      <c r="P68" s="55">
        <v>63</v>
      </c>
      <c r="Q68" s="33">
        <f t="shared" si="15"/>
        <v>20.28</v>
      </c>
      <c r="R68" s="33">
        <f t="shared" si="22"/>
        <v>418.07999999999993</v>
      </c>
      <c r="S68" s="33">
        <f t="shared" si="23"/>
        <v>255.02879999999996</v>
      </c>
      <c r="T68" s="33">
        <f t="shared" si="2"/>
        <v>61.661531359449384</v>
      </c>
      <c r="U68" s="33">
        <f t="shared" si="16"/>
        <v>61.699001366383484</v>
      </c>
      <c r="V68" s="33">
        <f t="shared" si="3"/>
        <v>10</v>
      </c>
      <c r="W68" s="33">
        <v>0</v>
      </c>
      <c r="X68" s="33">
        <f t="shared" si="4"/>
        <v>814.46533212778047</v>
      </c>
      <c r="Y68" s="38">
        <f t="shared" si="5"/>
        <v>637.42943032270239</v>
      </c>
      <c r="AA68" s="71">
        <v>63</v>
      </c>
      <c r="AB68" s="33">
        <f t="shared" si="6"/>
        <v>0</v>
      </c>
      <c r="AC68" s="305">
        <f t="shared" si="39"/>
        <v>0</v>
      </c>
      <c r="AD68" s="100">
        <f t="shared" si="8"/>
        <v>0</v>
      </c>
      <c r="AE68" s="100">
        <f t="shared" si="9"/>
        <v>0</v>
      </c>
      <c r="AF68" s="194">
        <f t="shared" si="34"/>
        <v>32.979566389775115</v>
      </c>
      <c r="AG68" s="194">
        <f t="shared" si="35"/>
        <v>0</v>
      </c>
      <c r="AH68" s="194">
        <f t="shared" si="36"/>
        <v>0</v>
      </c>
      <c r="AI68" s="199">
        <f t="shared" si="37"/>
        <v>32.979566389775115</v>
      </c>
      <c r="AK68" s="71">
        <v>63</v>
      </c>
      <c r="AL68" s="33"/>
      <c r="AM68" s="33"/>
      <c r="AN68" s="33"/>
      <c r="AO68" s="33"/>
      <c r="AP68" s="33"/>
      <c r="AQ68" s="194"/>
      <c r="AR68" s="194"/>
      <c r="AS68" s="194"/>
      <c r="AT68" s="194"/>
      <c r="AU68" s="33"/>
      <c r="AV68" s="33"/>
      <c r="AW68" s="33"/>
      <c r="AX68" s="33"/>
      <c r="AY68" s="76"/>
    </row>
    <row r="69" spans="2:51">
      <c r="B69" s="40">
        <f t="shared" si="31"/>
        <v>126</v>
      </c>
      <c r="C69" s="152">
        <f t="shared" si="38"/>
        <v>130</v>
      </c>
      <c r="D69" s="137">
        <f>D70+20</f>
        <v>440</v>
      </c>
      <c r="E69" s="141">
        <f t="shared" si="29"/>
        <v>1.56</v>
      </c>
      <c r="F69" s="42">
        <f t="shared" ref="F69:F78" si="44">D69*E69</f>
        <v>686.4</v>
      </c>
      <c r="G69" s="51">
        <f t="shared" ref="G69:G78" si="45">(F69-F68)/(C69-B69)</f>
        <v>9.3599999999999852</v>
      </c>
      <c r="I69" s="55">
        <v>64</v>
      </c>
      <c r="J69" s="33">
        <f t="shared" si="18"/>
        <v>5</v>
      </c>
      <c r="K69" s="33">
        <f t="shared" si="19"/>
        <v>1.910565629709926</v>
      </c>
      <c r="L69" s="33">
        <f t="shared" si="20"/>
        <v>45</v>
      </c>
      <c r="M69" s="33">
        <f t="shared" si="21"/>
        <v>0</v>
      </c>
      <c r="N69" s="33">
        <f t="shared" ref="N69:N132" si="46">IF(P70&lt;=$F$18,0,)</f>
        <v>0</v>
      </c>
      <c r="O69" s="34">
        <f t="shared" ref="O69:O132" si="47">((J69+K69)*0.475+L69+M69+N69)*44/12</f>
        <v>177.03590180507811</v>
      </c>
      <c r="P69" s="55">
        <v>64</v>
      </c>
      <c r="Q69" s="33">
        <f t="shared" si="15"/>
        <v>20.28</v>
      </c>
      <c r="R69" s="33">
        <f t="shared" si="22"/>
        <v>438.3599999999999</v>
      </c>
      <c r="S69" s="33">
        <f t="shared" si="23"/>
        <v>267.39959999999991</v>
      </c>
      <c r="T69" s="33">
        <f t="shared" ref="T69:T132" si="48">IF(S69=0,0,EXP(-1.0587+0.8836*LN(S69)+0.284))</f>
        <v>64.297088323424532</v>
      </c>
      <c r="U69" s="33">
        <f t="shared" si="16"/>
        <v>61.843005134424018</v>
      </c>
      <c r="V69" s="33">
        <f t="shared" ref="V69:V132" si="49">IF(P69&lt;=$F$18,IF(P69&lt;=30,P69*($F$16-$F$6)/30,$F$16-$F$6),)</f>
        <v>10</v>
      </c>
      <c r="W69" s="33">
        <v>0</v>
      </c>
      <c r="X69" s="33">
        <f t="shared" ref="X69:X132" si="50">((S69+T69)*0.475+U69+V69+W69)*44/12</f>
        <v>841.12941765618564</v>
      </c>
      <c r="Y69" s="38">
        <f t="shared" ref="Y69:Y132" si="51">IF(P69&lt;=$F$18,X69-O69,)</f>
        <v>664.09351585110755</v>
      </c>
      <c r="AA69" s="71">
        <v>64</v>
      </c>
      <c r="AB69" s="33">
        <f t="shared" ref="AB69:AB132" si="52">IF(AA69&lt;=$F$18,IFERROR(VLOOKUP($AA69,$B$82:$G$94,2,FALSE),0),)</f>
        <v>0</v>
      </c>
      <c r="AC69" s="305">
        <f t="shared" si="39"/>
        <v>0</v>
      </c>
      <c r="AD69" s="100">
        <f t="shared" ref="AD69:AD132" si="53">IF(AA69&lt;=$F$18,IFERROR(VLOOKUP($AA69,$B$82:$G$94,4,FALSE),0),)</f>
        <v>0</v>
      </c>
      <c r="AE69" s="100">
        <f t="shared" ref="AE69:AE132" si="54">IF(AA69&lt;=$F$18,IFERROR(VLOOKUP($AA69,$B$82:$G$94,5,FALSE),0),)</f>
        <v>0</v>
      </c>
      <c r="AF69" s="194">
        <f t="shared" si="34"/>
        <v>32.332857208420876</v>
      </c>
      <c r="AG69" s="194">
        <f t="shared" si="35"/>
        <v>0</v>
      </c>
      <c r="AH69" s="194">
        <f t="shared" si="36"/>
        <v>0</v>
      </c>
      <c r="AI69" s="199">
        <f t="shared" si="37"/>
        <v>32.332857208420876</v>
      </c>
      <c r="AK69" s="71">
        <v>64</v>
      </c>
      <c r="AL69" s="33"/>
      <c r="AM69" s="33"/>
      <c r="AN69" s="33"/>
      <c r="AO69" s="33"/>
      <c r="AP69" s="33"/>
      <c r="AQ69" s="194"/>
      <c r="AR69" s="194"/>
      <c r="AS69" s="194"/>
      <c r="AT69" s="194"/>
      <c r="AU69" s="33"/>
      <c r="AV69" s="33"/>
      <c r="AW69" s="33"/>
      <c r="AX69" s="33"/>
      <c r="AY69" s="76"/>
    </row>
    <row r="70" spans="2:51">
      <c r="B70" s="40">
        <f t="shared" si="31"/>
        <v>130</v>
      </c>
      <c r="C70" s="152">
        <f t="shared" si="38"/>
        <v>131</v>
      </c>
      <c r="D70" s="137">
        <v>420</v>
      </c>
      <c r="E70" s="141">
        <f t="shared" si="29"/>
        <v>1.56</v>
      </c>
      <c r="F70" s="42">
        <f t="shared" si="44"/>
        <v>655.20000000000005</v>
      </c>
      <c r="G70" s="51">
        <f t="shared" si="45"/>
        <v>-31.199999999999932</v>
      </c>
      <c r="I70" s="55">
        <v>65</v>
      </c>
      <c r="J70" s="33">
        <f t="shared" si="18"/>
        <v>5</v>
      </c>
      <c r="K70" s="33">
        <f t="shared" si="19"/>
        <v>1.910565629709926</v>
      </c>
      <c r="L70" s="33">
        <f t="shared" si="20"/>
        <v>45</v>
      </c>
      <c r="M70" s="33">
        <f t="shared" si="21"/>
        <v>0</v>
      </c>
      <c r="N70" s="33">
        <f t="shared" si="46"/>
        <v>0</v>
      </c>
      <c r="O70" s="34">
        <f t="shared" si="47"/>
        <v>177.03590180507811</v>
      </c>
      <c r="P70" s="55">
        <v>65</v>
      </c>
      <c r="Q70" s="33">
        <f t="shared" ref="Q70:Q133" si="55">IF(P70&lt;=$F$18,LOOKUP(P70-1,$B$25:$B$78,$G$25:$G$78),)</f>
        <v>20.28</v>
      </c>
      <c r="R70" s="33">
        <f t="shared" si="22"/>
        <v>458.63999999999987</v>
      </c>
      <c r="S70" s="33">
        <f t="shared" si="23"/>
        <v>279.77039999999994</v>
      </c>
      <c r="T70" s="33">
        <f t="shared" si="48"/>
        <v>66.918485484562225</v>
      </c>
      <c r="U70" s="33">
        <f t="shared" ref="U70:U133" si="56">IF(P70&lt;=$F$18,$F$5+($F$15-$F$5)*(1-EXP(-0.0175*P70)),)</f>
        <v>61.984510759033235</v>
      </c>
      <c r="V70" s="33">
        <f t="shared" si="49"/>
        <v>10</v>
      </c>
      <c r="W70" s="33">
        <v>0</v>
      </c>
      <c r="X70" s="33">
        <f t="shared" si="50"/>
        <v>867.75968166873429</v>
      </c>
      <c r="Y70" s="38">
        <f t="shared" si="51"/>
        <v>690.7237798636562</v>
      </c>
      <c r="AA70" s="71">
        <v>65</v>
      </c>
      <c r="AB70" s="33">
        <f t="shared" si="52"/>
        <v>0</v>
      </c>
      <c r="AC70" s="305">
        <f t="shared" si="39"/>
        <v>0</v>
      </c>
      <c r="AD70" s="100">
        <f t="shared" si="53"/>
        <v>0</v>
      </c>
      <c r="AE70" s="100">
        <f t="shared" si="54"/>
        <v>0</v>
      </c>
      <c r="AF70" s="194">
        <f t="shared" si="34"/>
        <v>31.698829599659344</v>
      </c>
      <c r="AG70" s="194">
        <f t="shared" si="35"/>
        <v>0</v>
      </c>
      <c r="AH70" s="194">
        <f t="shared" si="36"/>
        <v>0</v>
      </c>
      <c r="AI70" s="199">
        <f t="shared" si="37"/>
        <v>31.698829599659344</v>
      </c>
      <c r="AK70" s="71">
        <v>65</v>
      </c>
      <c r="AL70" s="33"/>
      <c r="AM70" s="33"/>
      <c r="AN70" s="33"/>
      <c r="AO70" s="33"/>
      <c r="AP70" s="33"/>
      <c r="AQ70" s="194"/>
      <c r="AR70" s="194"/>
      <c r="AS70" s="194"/>
      <c r="AT70" s="194"/>
      <c r="AU70" s="33"/>
      <c r="AV70" s="33"/>
      <c r="AW70" s="33"/>
      <c r="AX70" s="33"/>
      <c r="AY70" s="76"/>
    </row>
    <row r="71" spans="2:51">
      <c r="B71" s="40">
        <f t="shared" si="31"/>
        <v>131</v>
      </c>
      <c r="C71" s="152">
        <f t="shared" si="38"/>
        <v>135</v>
      </c>
      <c r="D71" s="137">
        <f>D72+20</f>
        <v>444</v>
      </c>
      <c r="E71" s="141">
        <f t="shared" si="29"/>
        <v>1.56</v>
      </c>
      <c r="F71" s="42">
        <f t="shared" si="44"/>
        <v>692.64</v>
      </c>
      <c r="G71" s="51">
        <f t="shared" si="45"/>
        <v>9.3599999999999852</v>
      </c>
      <c r="I71" s="55">
        <v>66</v>
      </c>
      <c r="J71" s="33">
        <f t="shared" ref="J71:J134" si="57">IF($I71&lt;=$F$10,$F$11*$F$13+J70,)</f>
        <v>5</v>
      </c>
      <c r="K71" s="33">
        <f t="shared" ref="K71:K134" si="58">IF(J71=0,0,EXP(-1.0587+0.8836*LN(J71)+0.284))</f>
        <v>1.910565629709926</v>
      </c>
      <c r="L71" s="33">
        <f t="shared" ref="L71:L134" si="59">IF(I71&lt;=$F$10,$F$5+($F$8-$F$5)*(1-EXP(-0.0175*I71)),)</f>
        <v>45</v>
      </c>
      <c r="M71" s="33">
        <f t="shared" ref="M71:M134" si="60">IF(I71&lt;=$F$10,IF(I71&lt;=30,I71*($F$9-$F$6)/30,$F$9-$F$6),)</f>
        <v>0</v>
      </c>
      <c r="N71" s="33">
        <f t="shared" si="46"/>
        <v>0</v>
      </c>
      <c r="O71" s="34">
        <f t="shared" si="47"/>
        <v>177.03590180507811</v>
      </c>
      <c r="P71" s="55">
        <v>66</v>
      </c>
      <c r="Q71" s="33">
        <f t="shared" si="55"/>
        <v>-43.680000000000007</v>
      </c>
      <c r="R71" s="33">
        <f t="shared" ref="R71:R134" si="61">IF(P71&lt;=$F$18,Q71+R70,)</f>
        <v>414.95999999999987</v>
      </c>
      <c r="S71" s="33">
        <f t="shared" ref="S71:S134" si="62">$F$19*R71</f>
        <v>253.12559999999991</v>
      </c>
      <c r="T71" s="33">
        <f t="shared" si="48"/>
        <v>61.254756291614335</v>
      </c>
      <c r="U71" s="33">
        <f t="shared" si="56"/>
        <v>62.123561577414662</v>
      </c>
      <c r="V71" s="33">
        <f t="shared" si="49"/>
        <v>10</v>
      </c>
      <c r="W71" s="33">
        <v>0</v>
      </c>
      <c r="X71" s="33">
        <f t="shared" si="50"/>
        <v>811.99884632508167</v>
      </c>
      <c r="Y71" s="38">
        <f t="shared" si="51"/>
        <v>634.96294452000359</v>
      </c>
      <c r="AA71" s="71">
        <v>66</v>
      </c>
      <c r="AB71" s="33">
        <f t="shared" si="52"/>
        <v>28</v>
      </c>
      <c r="AC71" s="305">
        <f t="shared" si="39"/>
        <v>0.4</v>
      </c>
      <c r="AD71" s="100">
        <f t="shared" si="53"/>
        <v>0</v>
      </c>
      <c r="AE71" s="100">
        <f t="shared" si="54"/>
        <v>0</v>
      </c>
      <c r="AF71" s="194">
        <f t="shared" si="34"/>
        <v>42.859249753018787</v>
      </c>
      <c r="AG71" s="194">
        <f t="shared" si="35"/>
        <v>0</v>
      </c>
      <c r="AH71" s="194">
        <f t="shared" si="36"/>
        <v>0</v>
      </c>
      <c r="AI71" s="199">
        <f t="shared" si="37"/>
        <v>42.859249753018787</v>
      </c>
      <c r="AK71" s="71">
        <v>66</v>
      </c>
      <c r="AL71" s="33"/>
      <c r="AM71" s="33"/>
      <c r="AN71" s="33"/>
      <c r="AO71" s="33"/>
      <c r="AP71" s="33"/>
      <c r="AQ71" s="194"/>
      <c r="AR71" s="194"/>
      <c r="AS71" s="194"/>
      <c r="AT71" s="194"/>
      <c r="AU71" s="33"/>
      <c r="AV71" s="33"/>
      <c r="AW71" s="33"/>
      <c r="AX71" s="33"/>
      <c r="AY71" s="76"/>
    </row>
    <row r="72" spans="2:51">
      <c r="B72" s="40">
        <f t="shared" si="31"/>
        <v>135</v>
      </c>
      <c r="C72" s="152">
        <f t="shared" si="38"/>
        <v>136</v>
      </c>
      <c r="D72" s="137">
        <v>424</v>
      </c>
      <c r="E72" s="141">
        <f t="shared" si="29"/>
        <v>1.56</v>
      </c>
      <c r="F72" s="42">
        <f t="shared" si="44"/>
        <v>661.44</v>
      </c>
      <c r="G72" s="51">
        <f t="shared" si="45"/>
        <v>-31.199999999999932</v>
      </c>
      <c r="I72" s="55">
        <v>67</v>
      </c>
      <c r="J72" s="33">
        <f t="shared" si="57"/>
        <v>5</v>
      </c>
      <c r="K72" s="33">
        <f t="shared" si="58"/>
        <v>1.910565629709926</v>
      </c>
      <c r="L72" s="33">
        <f t="shared" si="59"/>
        <v>45</v>
      </c>
      <c r="M72" s="33">
        <f t="shared" si="60"/>
        <v>0</v>
      </c>
      <c r="N72" s="33">
        <f t="shared" si="46"/>
        <v>0</v>
      </c>
      <c r="O72" s="34">
        <f t="shared" si="47"/>
        <v>177.03590180507811</v>
      </c>
      <c r="P72" s="55">
        <v>67</v>
      </c>
      <c r="Q72" s="33">
        <f t="shared" si="55"/>
        <v>19.5</v>
      </c>
      <c r="R72" s="33">
        <f t="shared" si="61"/>
        <v>434.45999999999987</v>
      </c>
      <c r="S72" s="33">
        <f t="shared" si="62"/>
        <v>265.02059999999989</v>
      </c>
      <c r="T72" s="33">
        <f t="shared" si="48"/>
        <v>63.79137282113016</v>
      </c>
      <c r="U72" s="33">
        <f t="shared" si="56"/>
        <v>62.26020017496824</v>
      </c>
      <c r="V72" s="33">
        <f t="shared" si="49"/>
        <v>10</v>
      </c>
      <c r="W72" s="33">
        <v>0</v>
      </c>
      <c r="X72" s="33">
        <f t="shared" si="50"/>
        <v>837.63491997168512</v>
      </c>
      <c r="Y72" s="38">
        <f t="shared" si="51"/>
        <v>660.59901816660704</v>
      </c>
      <c r="AA72" s="71">
        <v>67</v>
      </c>
      <c r="AB72" s="33">
        <f t="shared" si="52"/>
        <v>0</v>
      </c>
      <c r="AC72" s="305">
        <f t="shared" si="39"/>
        <v>0</v>
      </c>
      <c r="AD72" s="100">
        <f t="shared" si="53"/>
        <v>0</v>
      </c>
      <c r="AE72" s="100">
        <f t="shared" si="54"/>
        <v>0</v>
      </c>
      <c r="AF72" s="194">
        <f t="shared" si="34"/>
        <v>42.018806006923171</v>
      </c>
      <c r="AG72" s="194">
        <f t="shared" si="35"/>
        <v>0</v>
      </c>
      <c r="AH72" s="194">
        <f t="shared" si="36"/>
        <v>0</v>
      </c>
      <c r="AI72" s="199">
        <f t="shared" si="37"/>
        <v>42.018806006923171</v>
      </c>
      <c r="AK72" s="71">
        <v>67</v>
      </c>
      <c r="AL72" s="33"/>
      <c r="AM72" s="33"/>
      <c r="AN72" s="33"/>
      <c r="AO72" s="33"/>
      <c r="AP72" s="33"/>
      <c r="AQ72" s="194"/>
      <c r="AR72" s="194"/>
      <c r="AS72" s="194"/>
      <c r="AT72" s="194"/>
      <c r="AU72" s="33"/>
      <c r="AV72" s="33"/>
      <c r="AW72" s="33"/>
      <c r="AX72" s="33"/>
      <c r="AY72" s="76"/>
    </row>
    <row r="73" spans="2:51">
      <c r="B73" s="40">
        <f t="shared" si="31"/>
        <v>136</v>
      </c>
      <c r="C73" s="152">
        <f t="shared" si="38"/>
        <v>140</v>
      </c>
      <c r="D73" s="137">
        <f>D74+19</f>
        <v>446</v>
      </c>
      <c r="E73" s="141">
        <f t="shared" si="29"/>
        <v>1.56</v>
      </c>
      <c r="F73" s="42">
        <f t="shared" si="44"/>
        <v>695.76</v>
      </c>
      <c r="G73" s="51">
        <f t="shared" si="45"/>
        <v>8.5799999999999841</v>
      </c>
      <c r="I73" s="55">
        <v>68</v>
      </c>
      <c r="J73" s="33">
        <f t="shared" si="57"/>
        <v>5</v>
      </c>
      <c r="K73" s="33">
        <f t="shared" si="58"/>
        <v>1.910565629709926</v>
      </c>
      <c r="L73" s="33">
        <f t="shared" si="59"/>
        <v>45</v>
      </c>
      <c r="M73" s="33">
        <f t="shared" si="60"/>
        <v>0</v>
      </c>
      <c r="N73" s="33">
        <f t="shared" si="46"/>
        <v>0</v>
      </c>
      <c r="O73" s="34">
        <f t="shared" si="47"/>
        <v>177.03590180507811</v>
      </c>
      <c r="P73" s="55">
        <v>68</v>
      </c>
      <c r="Q73" s="33">
        <f t="shared" si="55"/>
        <v>19.5</v>
      </c>
      <c r="R73" s="33">
        <f t="shared" si="61"/>
        <v>453.95999999999987</v>
      </c>
      <c r="S73" s="33">
        <f t="shared" si="62"/>
        <v>276.91559999999993</v>
      </c>
      <c r="T73" s="33">
        <f t="shared" si="48"/>
        <v>66.314766879144742</v>
      </c>
      <c r="U73" s="33">
        <f t="shared" si="56"/>
        <v>62.3944683983324</v>
      </c>
      <c r="V73" s="33">
        <f t="shared" si="49"/>
        <v>10</v>
      </c>
      <c r="W73" s="33">
        <v>0</v>
      </c>
      <c r="X73" s="33">
        <f t="shared" si="50"/>
        <v>863.23927310839565</v>
      </c>
      <c r="Y73" s="38">
        <f t="shared" si="51"/>
        <v>686.20337130331757</v>
      </c>
      <c r="AA73" s="71">
        <v>68</v>
      </c>
      <c r="AB73" s="33">
        <f t="shared" si="52"/>
        <v>0</v>
      </c>
      <c r="AC73" s="305">
        <f t="shared" si="39"/>
        <v>0</v>
      </c>
      <c r="AD73" s="100">
        <f t="shared" si="53"/>
        <v>0</v>
      </c>
      <c r="AE73" s="100">
        <f t="shared" si="54"/>
        <v>0</v>
      </c>
      <c r="AF73" s="194">
        <f t="shared" si="34"/>
        <v>41.194842850068426</v>
      </c>
      <c r="AG73" s="194">
        <f t="shared" si="35"/>
        <v>0</v>
      </c>
      <c r="AH73" s="194">
        <f t="shared" si="36"/>
        <v>0</v>
      </c>
      <c r="AI73" s="199">
        <f t="shared" si="37"/>
        <v>41.194842850068426</v>
      </c>
      <c r="AK73" s="71">
        <v>68</v>
      </c>
      <c r="AL73" s="33"/>
      <c r="AM73" s="33"/>
      <c r="AN73" s="33"/>
      <c r="AO73" s="33"/>
      <c r="AP73" s="33"/>
      <c r="AQ73" s="194"/>
      <c r="AR73" s="194"/>
      <c r="AS73" s="194"/>
      <c r="AT73" s="194"/>
      <c r="AU73" s="33"/>
      <c r="AV73" s="33"/>
      <c r="AW73" s="33"/>
      <c r="AX73" s="33"/>
      <c r="AY73" s="76"/>
    </row>
    <row r="74" spans="2:51">
      <c r="B74" s="40">
        <f t="shared" si="31"/>
        <v>140</v>
      </c>
      <c r="C74" s="152">
        <f t="shared" si="38"/>
        <v>141</v>
      </c>
      <c r="D74" s="137">
        <v>427</v>
      </c>
      <c r="E74" s="141">
        <f t="shared" si="29"/>
        <v>1.56</v>
      </c>
      <c r="F74" s="42">
        <f t="shared" si="44"/>
        <v>666.12</v>
      </c>
      <c r="G74" s="51">
        <f t="shared" si="45"/>
        <v>-29.639999999999986</v>
      </c>
      <c r="I74" s="55">
        <v>69</v>
      </c>
      <c r="J74" s="33">
        <f t="shared" si="57"/>
        <v>5</v>
      </c>
      <c r="K74" s="33">
        <f t="shared" si="58"/>
        <v>1.910565629709926</v>
      </c>
      <c r="L74" s="33">
        <f t="shared" si="59"/>
        <v>45</v>
      </c>
      <c r="M74" s="33">
        <f t="shared" si="60"/>
        <v>0</v>
      </c>
      <c r="N74" s="33">
        <f t="shared" si="46"/>
        <v>0</v>
      </c>
      <c r="O74" s="34">
        <f t="shared" si="47"/>
        <v>177.03590180507811</v>
      </c>
      <c r="P74" s="55">
        <v>69</v>
      </c>
      <c r="Q74" s="33">
        <f t="shared" si="55"/>
        <v>19.5</v>
      </c>
      <c r="R74" s="33">
        <f t="shared" si="61"/>
        <v>473.45999999999987</v>
      </c>
      <c r="S74" s="33">
        <f t="shared" si="62"/>
        <v>288.81059999999991</v>
      </c>
      <c r="T74" s="33">
        <f t="shared" si="48"/>
        <v>68.825571368237377</v>
      </c>
      <c r="U74" s="33">
        <f t="shared" si="56"/>
        <v>62.526407368199969</v>
      </c>
      <c r="V74" s="33">
        <f t="shared" si="49"/>
        <v>10</v>
      </c>
      <c r="W74" s="33">
        <v>0</v>
      </c>
      <c r="X74" s="33">
        <f t="shared" si="50"/>
        <v>888.81315881641319</v>
      </c>
      <c r="Y74" s="38">
        <f t="shared" si="51"/>
        <v>711.77725701133511</v>
      </c>
      <c r="AA74" s="71">
        <v>69</v>
      </c>
      <c r="AB74" s="33">
        <f t="shared" si="52"/>
        <v>0</v>
      </c>
      <c r="AC74" s="305">
        <f t="shared" si="39"/>
        <v>0</v>
      </c>
      <c r="AD74" s="100">
        <f t="shared" si="53"/>
        <v>0</v>
      </c>
      <c r="AE74" s="100">
        <f t="shared" si="54"/>
        <v>0</v>
      </c>
      <c r="AF74" s="194">
        <f t="shared" si="34"/>
        <v>40.387037108151702</v>
      </c>
      <c r="AG74" s="194">
        <f t="shared" si="35"/>
        <v>0</v>
      </c>
      <c r="AH74" s="194">
        <f t="shared" si="36"/>
        <v>0</v>
      </c>
      <c r="AI74" s="199">
        <f t="shared" si="37"/>
        <v>40.387037108151702</v>
      </c>
      <c r="AK74" s="71">
        <v>69</v>
      </c>
      <c r="AL74" s="33"/>
      <c r="AM74" s="33"/>
      <c r="AN74" s="33"/>
      <c r="AO74" s="33"/>
      <c r="AP74" s="33"/>
      <c r="AQ74" s="194"/>
      <c r="AR74" s="194"/>
      <c r="AS74" s="194"/>
      <c r="AT74" s="194"/>
      <c r="AU74" s="33"/>
      <c r="AV74" s="33"/>
      <c r="AW74" s="33"/>
      <c r="AX74" s="33"/>
      <c r="AY74" s="76"/>
    </row>
    <row r="75" spans="2:51">
      <c r="B75" s="40">
        <f t="shared" si="31"/>
        <v>141</v>
      </c>
      <c r="C75" s="152">
        <f t="shared" si="38"/>
        <v>145</v>
      </c>
      <c r="D75" s="137">
        <f>D76+19</f>
        <v>449</v>
      </c>
      <c r="E75" s="141">
        <f t="shared" si="29"/>
        <v>1.56</v>
      </c>
      <c r="F75" s="42">
        <f t="shared" si="44"/>
        <v>700.44</v>
      </c>
      <c r="G75" s="51">
        <f t="shared" si="45"/>
        <v>8.5800000000000125</v>
      </c>
      <c r="I75" s="55">
        <v>70</v>
      </c>
      <c r="J75" s="33">
        <f t="shared" si="57"/>
        <v>5</v>
      </c>
      <c r="K75" s="33">
        <f t="shared" si="58"/>
        <v>1.910565629709926</v>
      </c>
      <c r="L75" s="33">
        <f t="shared" si="59"/>
        <v>45</v>
      </c>
      <c r="M75" s="33">
        <f t="shared" si="60"/>
        <v>0</v>
      </c>
      <c r="N75" s="33">
        <f t="shared" si="46"/>
        <v>0</v>
      </c>
      <c r="O75" s="34">
        <f t="shared" si="47"/>
        <v>177.03590180507811</v>
      </c>
      <c r="P75" s="55">
        <v>70</v>
      </c>
      <c r="Q75" s="33">
        <f t="shared" si="55"/>
        <v>19.5</v>
      </c>
      <c r="R75" s="33">
        <f t="shared" si="61"/>
        <v>492.95999999999987</v>
      </c>
      <c r="S75" s="33">
        <f t="shared" si="62"/>
        <v>300.70559999999989</v>
      </c>
      <c r="T75" s="33">
        <f t="shared" si="48"/>
        <v>71.324364107429389</v>
      </c>
      <c r="U75" s="33">
        <f t="shared" si="56"/>
        <v>62.656057491911682</v>
      </c>
      <c r="V75" s="33">
        <f t="shared" si="49"/>
        <v>10</v>
      </c>
      <c r="W75" s="33">
        <v>0</v>
      </c>
      <c r="X75" s="33">
        <f t="shared" si="50"/>
        <v>914.35773162411544</v>
      </c>
      <c r="Y75" s="38">
        <f t="shared" si="51"/>
        <v>737.32182981903736</v>
      </c>
      <c r="AA75" s="71">
        <v>70</v>
      </c>
      <c r="AB75" s="33">
        <f t="shared" si="52"/>
        <v>0</v>
      </c>
      <c r="AC75" s="305">
        <f t="shared" si="39"/>
        <v>0</v>
      </c>
      <c r="AD75" s="100">
        <f t="shared" si="53"/>
        <v>0</v>
      </c>
      <c r="AE75" s="100">
        <f t="shared" si="54"/>
        <v>0</v>
      </c>
      <c r="AF75" s="194">
        <f t="shared" si="34"/>
        <v>39.595071944121109</v>
      </c>
      <c r="AG75" s="194">
        <f t="shared" si="35"/>
        <v>0</v>
      </c>
      <c r="AH75" s="194">
        <f t="shared" si="36"/>
        <v>0</v>
      </c>
      <c r="AI75" s="199">
        <f t="shared" si="37"/>
        <v>39.595071944121109</v>
      </c>
      <c r="AK75" s="71">
        <v>70</v>
      </c>
      <c r="AL75" s="33"/>
      <c r="AM75" s="33"/>
      <c r="AN75" s="33"/>
      <c r="AO75" s="33"/>
      <c r="AP75" s="33"/>
      <c r="AQ75" s="194"/>
      <c r="AR75" s="194"/>
      <c r="AS75" s="194"/>
      <c r="AT75" s="194"/>
      <c r="AU75" s="33"/>
      <c r="AV75" s="33"/>
      <c r="AW75" s="33"/>
      <c r="AX75" s="33"/>
      <c r="AY75" s="76"/>
    </row>
    <row r="76" spans="2:51">
      <c r="B76" s="40">
        <f t="shared" si="31"/>
        <v>145</v>
      </c>
      <c r="C76" s="152">
        <f t="shared" si="38"/>
        <v>146</v>
      </c>
      <c r="D76" s="137">
        <v>430</v>
      </c>
      <c r="E76" s="141">
        <f t="shared" si="29"/>
        <v>1.56</v>
      </c>
      <c r="F76" s="42">
        <f t="shared" si="44"/>
        <v>670.80000000000007</v>
      </c>
      <c r="G76" s="51">
        <f t="shared" si="45"/>
        <v>-29.639999999999986</v>
      </c>
      <c r="I76" s="55">
        <v>71</v>
      </c>
      <c r="J76" s="33">
        <f t="shared" si="57"/>
        <v>5</v>
      </c>
      <c r="K76" s="33">
        <f t="shared" si="58"/>
        <v>1.910565629709926</v>
      </c>
      <c r="L76" s="33">
        <f t="shared" si="59"/>
        <v>45</v>
      </c>
      <c r="M76" s="33">
        <f t="shared" si="60"/>
        <v>0</v>
      </c>
      <c r="N76" s="33">
        <f t="shared" si="46"/>
        <v>0</v>
      </c>
      <c r="O76" s="34">
        <f t="shared" si="47"/>
        <v>177.03590180507811</v>
      </c>
      <c r="P76" s="55">
        <v>71</v>
      </c>
      <c r="Q76" s="33">
        <f t="shared" si="55"/>
        <v>-43.680000000000007</v>
      </c>
      <c r="R76" s="33">
        <f t="shared" si="61"/>
        <v>449.27999999999986</v>
      </c>
      <c r="S76" s="33">
        <f t="shared" si="62"/>
        <v>274.06079999999992</v>
      </c>
      <c r="T76" s="33">
        <f t="shared" si="48"/>
        <v>65.710323362952934</v>
      </c>
      <c r="U76" s="33">
        <f t="shared" si="56"/>
        <v>62.783458475831253</v>
      </c>
      <c r="V76" s="33">
        <f t="shared" si="49"/>
        <v>10</v>
      </c>
      <c r="W76" s="33">
        <v>0</v>
      </c>
      <c r="X76" s="33">
        <f t="shared" si="50"/>
        <v>858.64072093519064</v>
      </c>
      <c r="Y76" s="38">
        <f t="shared" si="51"/>
        <v>681.60481913011256</v>
      </c>
      <c r="AA76" s="71">
        <v>71</v>
      </c>
      <c r="AB76" s="33">
        <f t="shared" si="52"/>
        <v>28</v>
      </c>
      <c r="AC76" s="305">
        <f t="shared" si="39"/>
        <v>0.45</v>
      </c>
      <c r="AD76" s="100">
        <f t="shared" si="53"/>
        <v>0</v>
      </c>
      <c r="AE76" s="100">
        <f t="shared" si="54"/>
        <v>0</v>
      </c>
      <c r="AF76" s="194">
        <f t="shared" si="34"/>
        <v>52.073403459766901</v>
      </c>
      <c r="AG76" s="194">
        <f t="shared" si="35"/>
        <v>0</v>
      </c>
      <c r="AH76" s="194">
        <f t="shared" si="36"/>
        <v>0</v>
      </c>
      <c r="AI76" s="199">
        <f t="shared" si="37"/>
        <v>52.073403459766901</v>
      </c>
      <c r="AK76" s="71">
        <v>71</v>
      </c>
      <c r="AL76" s="33"/>
      <c r="AM76" s="33"/>
      <c r="AN76" s="33"/>
      <c r="AO76" s="33"/>
      <c r="AP76" s="33"/>
      <c r="AQ76" s="194"/>
      <c r="AR76" s="194"/>
      <c r="AS76" s="194"/>
      <c r="AT76" s="194"/>
      <c r="AU76" s="33"/>
      <c r="AV76" s="33"/>
      <c r="AW76" s="33"/>
      <c r="AX76" s="33"/>
      <c r="AY76" s="76"/>
    </row>
    <row r="77" spans="2:51">
      <c r="B77" s="40">
        <f t="shared" si="31"/>
        <v>146</v>
      </c>
      <c r="C77" s="152">
        <f t="shared" si="38"/>
        <v>150</v>
      </c>
      <c r="D77" s="137">
        <f>D78+19</f>
        <v>448</v>
      </c>
      <c r="E77" s="141">
        <f t="shared" si="29"/>
        <v>1.56</v>
      </c>
      <c r="F77" s="42">
        <f t="shared" si="44"/>
        <v>698.88</v>
      </c>
      <c r="G77" s="51">
        <f t="shared" si="45"/>
        <v>7.0199999999999818</v>
      </c>
      <c r="I77" s="55">
        <v>72</v>
      </c>
      <c r="J77" s="33">
        <f t="shared" si="57"/>
        <v>5</v>
      </c>
      <c r="K77" s="33">
        <f t="shared" si="58"/>
        <v>1.910565629709926</v>
      </c>
      <c r="L77" s="33">
        <f t="shared" si="59"/>
        <v>45</v>
      </c>
      <c r="M77" s="33">
        <f t="shared" si="60"/>
        <v>0</v>
      </c>
      <c r="N77" s="33">
        <f t="shared" si="46"/>
        <v>0</v>
      </c>
      <c r="O77" s="34">
        <f t="shared" si="47"/>
        <v>177.03590180507811</v>
      </c>
      <c r="P77" s="55">
        <v>72</v>
      </c>
      <c r="Q77" s="33">
        <f t="shared" si="55"/>
        <v>18.329999999999998</v>
      </c>
      <c r="R77" s="33">
        <f t="shared" si="61"/>
        <v>467.60999999999984</v>
      </c>
      <c r="S77" s="33">
        <f t="shared" si="62"/>
        <v>285.24209999999988</v>
      </c>
      <c r="T77" s="33">
        <f t="shared" si="48"/>
        <v>68.073616556332013</v>
      </c>
      <c r="U77" s="33">
        <f t="shared" si="56"/>
        <v>62.908649337505743</v>
      </c>
      <c r="V77" s="33">
        <f t="shared" si="49"/>
        <v>10</v>
      </c>
      <c r="W77" s="33">
        <v>0</v>
      </c>
      <c r="X77" s="33">
        <f t="shared" si="50"/>
        <v>882.68992057313244</v>
      </c>
      <c r="Y77" s="38">
        <f t="shared" si="51"/>
        <v>705.65401876805436</v>
      </c>
      <c r="AA77" s="71">
        <v>72</v>
      </c>
      <c r="AB77" s="33">
        <f t="shared" si="52"/>
        <v>0</v>
      </c>
      <c r="AC77" s="305">
        <f t="shared" si="39"/>
        <v>0</v>
      </c>
      <c r="AD77" s="100">
        <f t="shared" si="53"/>
        <v>0</v>
      </c>
      <c r="AE77" s="100">
        <f t="shared" si="54"/>
        <v>0</v>
      </c>
      <c r="AF77" s="194">
        <f t="shared" si="34"/>
        <v>51.05227577956078</v>
      </c>
      <c r="AG77" s="194">
        <f t="shared" si="35"/>
        <v>0</v>
      </c>
      <c r="AH77" s="194">
        <f t="shared" si="36"/>
        <v>0</v>
      </c>
      <c r="AI77" s="199">
        <f t="shared" si="37"/>
        <v>51.05227577956078</v>
      </c>
      <c r="AK77" s="71">
        <v>72</v>
      </c>
      <c r="AL77" s="33"/>
      <c r="AM77" s="33"/>
      <c r="AN77" s="33"/>
      <c r="AO77" s="33"/>
      <c r="AP77" s="33"/>
      <c r="AQ77" s="194"/>
      <c r="AR77" s="194"/>
      <c r="AS77" s="194"/>
      <c r="AT77" s="194"/>
      <c r="AU77" s="33"/>
      <c r="AV77" s="33"/>
      <c r="AW77" s="33"/>
      <c r="AX77" s="33"/>
      <c r="AY77" s="76"/>
    </row>
    <row r="78" spans="2:51">
      <c r="B78" s="43">
        <f t="shared" si="31"/>
        <v>150</v>
      </c>
      <c r="C78" s="153">
        <f t="shared" si="38"/>
        <v>151</v>
      </c>
      <c r="D78" s="154">
        <v>429</v>
      </c>
      <c r="E78" s="144">
        <f t="shared" si="29"/>
        <v>1.56</v>
      </c>
      <c r="F78" s="44">
        <f t="shared" si="44"/>
        <v>669.24</v>
      </c>
      <c r="G78" s="52">
        <f t="shared" si="45"/>
        <v>-29.639999999999986</v>
      </c>
      <c r="I78" s="55">
        <v>73</v>
      </c>
      <c r="J78" s="33">
        <f t="shared" si="57"/>
        <v>5</v>
      </c>
      <c r="K78" s="33">
        <f t="shared" si="58"/>
        <v>1.910565629709926</v>
      </c>
      <c r="L78" s="33">
        <f t="shared" si="59"/>
        <v>45</v>
      </c>
      <c r="M78" s="33">
        <f t="shared" si="60"/>
        <v>0</v>
      </c>
      <c r="N78" s="33">
        <f t="shared" si="46"/>
        <v>0</v>
      </c>
      <c r="O78" s="34">
        <f t="shared" si="47"/>
        <v>177.03590180507811</v>
      </c>
      <c r="P78" s="55">
        <v>73</v>
      </c>
      <c r="Q78" s="33">
        <f t="shared" si="55"/>
        <v>18.329999999999998</v>
      </c>
      <c r="R78" s="33">
        <f t="shared" si="61"/>
        <v>485.93999999999983</v>
      </c>
      <c r="S78" s="33">
        <f t="shared" si="62"/>
        <v>296.4233999999999</v>
      </c>
      <c r="T78" s="33">
        <f t="shared" si="48"/>
        <v>70.426148162674565</v>
      </c>
      <c r="U78" s="33">
        <f t="shared" si="56"/>
        <v>63.031668417615023</v>
      </c>
      <c r="V78" s="33">
        <f t="shared" si="49"/>
        <v>10</v>
      </c>
      <c r="W78" s="33">
        <v>0</v>
      </c>
      <c r="X78" s="33">
        <f t="shared" si="50"/>
        <v>906.71241391457977</v>
      </c>
      <c r="Y78" s="38">
        <f t="shared" si="51"/>
        <v>729.67651210950169</v>
      </c>
      <c r="AA78" s="71">
        <v>73</v>
      </c>
      <c r="AB78" s="33">
        <f t="shared" si="52"/>
        <v>0</v>
      </c>
      <c r="AC78" s="305">
        <f t="shared" si="39"/>
        <v>0</v>
      </c>
      <c r="AD78" s="100">
        <f t="shared" si="53"/>
        <v>0</v>
      </c>
      <c r="AE78" s="100">
        <f t="shared" si="54"/>
        <v>0</v>
      </c>
      <c r="AF78" s="194">
        <f t="shared" si="34"/>
        <v>50.051171790337115</v>
      </c>
      <c r="AG78" s="194">
        <f t="shared" si="35"/>
        <v>0</v>
      </c>
      <c r="AH78" s="194">
        <f t="shared" si="36"/>
        <v>0</v>
      </c>
      <c r="AI78" s="199">
        <f t="shared" si="37"/>
        <v>50.051171790337115</v>
      </c>
      <c r="AK78" s="71">
        <v>73</v>
      </c>
      <c r="AL78" s="33"/>
      <c r="AM78" s="33"/>
      <c r="AN78" s="33"/>
      <c r="AO78" s="33"/>
      <c r="AP78" s="33"/>
      <c r="AQ78" s="194"/>
      <c r="AR78" s="194"/>
      <c r="AS78" s="194"/>
      <c r="AT78" s="194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7"/>
        <v>5</v>
      </c>
      <c r="K79" s="33">
        <f t="shared" si="58"/>
        <v>1.910565629709926</v>
      </c>
      <c r="L79" s="33">
        <f t="shared" si="59"/>
        <v>45</v>
      </c>
      <c r="M79" s="33">
        <f t="shared" si="60"/>
        <v>0</v>
      </c>
      <c r="N79" s="33">
        <f t="shared" si="46"/>
        <v>0</v>
      </c>
      <c r="O79" s="34">
        <f t="shared" si="47"/>
        <v>177.03590180507811</v>
      </c>
      <c r="P79" s="55">
        <v>74</v>
      </c>
      <c r="Q79" s="33">
        <f t="shared" si="55"/>
        <v>18.329999999999998</v>
      </c>
      <c r="R79" s="33">
        <f t="shared" si="61"/>
        <v>504.26999999999981</v>
      </c>
      <c r="S79" s="33">
        <f t="shared" si="62"/>
        <v>307.60469999999987</v>
      </c>
      <c r="T79" s="33">
        <f t="shared" si="48"/>
        <v>72.768370592379171</v>
      </c>
      <c r="U79" s="33">
        <f t="shared" si="56"/>
        <v>63.152553391713859</v>
      </c>
      <c r="V79" s="33">
        <f t="shared" si="49"/>
        <v>10</v>
      </c>
      <c r="W79" s="33">
        <v>0</v>
      </c>
      <c r="X79" s="33">
        <f t="shared" si="50"/>
        <v>930.70912705134424</v>
      </c>
      <c r="Y79" s="38">
        <f t="shared" si="51"/>
        <v>753.67322524626616</v>
      </c>
      <c r="AA79" s="71">
        <v>74</v>
      </c>
      <c r="AB79" s="33">
        <f t="shared" si="52"/>
        <v>0</v>
      </c>
      <c r="AC79" s="305">
        <f t="shared" si="39"/>
        <v>0</v>
      </c>
      <c r="AD79" s="100">
        <f t="shared" si="53"/>
        <v>0</v>
      </c>
      <c r="AE79" s="100">
        <f t="shared" si="54"/>
        <v>0</v>
      </c>
      <c r="AF79" s="194">
        <f t="shared" si="34"/>
        <v>49.069698839728986</v>
      </c>
      <c r="AG79" s="194">
        <f t="shared" si="35"/>
        <v>0</v>
      </c>
      <c r="AH79" s="194">
        <f t="shared" si="36"/>
        <v>0</v>
      </c>
      <c r="AI79" s="199">
        <f t="shared" si="37"/>
        <v>49.069698839728986</v>
      </c>
      <c r="AK79" s="71">
        <v>74</v>
      </c>
      <c r="AL79" s="33"/>
      <c r="AM79" s="33"/>
      <c r="AN79" s="33"/>
      <c r="AO79" s="33"/>
      <c r="AP79" s="33"/>
      <c r="AQ79" s="194"/>
      <c r="AR79" s="194"/>
      <c r="AS79" s="194"/>
      <c r="AT79" s="194"/>
      <c r="AU79" s="33"/>
      <c r="AV79" s="33"/>
      <c r="AW79" s="33"/>
      <c r="AX79" s="33"/>
      <c r="AY79" s="76"/>
    </row>
    <row r="80" spans="2:51">
      <c r="B80" s="378" t="s">
        <v>258</v>
      </c>
      <c r="C80" s="379"/>
      <c r="D80" s="379"/>
      <c r="E80" s="379"/>
      <c r="F80" s="379"/>
      <c r="G80" s="380"/>
      <c r="H80" s="23"/>
      <c r="I80" s="55">
        <v>75</v>
      </c>
      <c r="J80" s="33">
        <f t="shared" si="57"/>
        <v>5</v>
      </c>
      <c r="K80" s="33">
        <f t="shared" si="58"/>
        <v>1.910565629709926</v>
      </c>
      <c r="L80" s="33">
        <f t="shared" si="59"/>
        <v>45</v>
      </c>
      <c r="M80" s="33">
        <f t="shared" si="60"/>
        <v>0</v>
      </c>
      <c r="N80" s="33">
        <f t="shared" si="46"/>
        <v>0</v>
      </c>
      <c r="O80" s="34">
        <f t="shared" si="47"/>
        <v>177.03590180507811</v>
      </c>
      <c r="P80" s="55">
        <v>75</v>
      </c>
      <c r="Q80" s="33">
        <f t="shared" si="55"/>
        <v>18.329999999999998</v>
      </c>
      <c r="R80" s="33">
        <f t="shared" si="61"/>
        <v>522.5999999999998</v>
      </c>
      <c r="S80" s="33">
        <f t="shared" si="62"/>
        <v>318.78599999999989</v>
      </c>
      <c r="T80" s="33">
        <f t="shared" si="48"/>
        <v>75.10070150198348</v>
      </c>
      <c r="U80" s="33">
        <f t="shared" si="56"/>
        <v>63.271341281770404</v>
      </c>
      <c r="V80" s="33">
        <f t="shared" si="49"/>
        <v>10</v>
      </c>
      <c r="W80" s="33">
        <v>0</v>
      </c>
      <c r="X80" s="33">
        <f t="shared" si="50"/>
        <v>954.68092314911246</v>
      </c>
      <c r="Y80" s="38">
        <f t="shared" si="51"/>
        <v>777.64502134403438</v>
      </c>
      <c r="AA80" s="71">
        <v>75</v>
      </c>
      <c r="AB80" s="33">
        <f t="shared" si="52"/>
        <v>0</v>
      </c>
      <c r="AC80" s="305">
        <f t="shared" si="39"/>
        <v>0</v>
      </c>
      <c r="AD80" s="100">
        <f t="shared" si="53"/>
        <v>0</v>
      </c>
      <c r="AE80" s="100">
        <f t="shared" si="54"/>
        <v>0</v>
      </c>
      <c r="AF80" s="194">
        <f t="shared" si="34"/>
        <v>48.107471975042891</v>
      </c>
      <c r="AG80" s="194">
        <f t="shared" si="35"/>
        <v>0</v>
      </c>
      <c r="AH80" s="194">
        <f t="shared" si="36"/>
        <v>0</v>
      </c>
      <c r="AI80" s="199">
        <f t="shared" si="37"/>
        <v>48.107471975042891</v>
      </c>
      <c r="AK80" s="71">
        <v>75</v>
      </c>
      <c r="AL80" s="33"/>
      <c r="AM80" s="33"/>
      <c r="AN80" s="33"/>
      <c r="AO80" s="33"/>
      <c r="AP80" s="33"/>
      <c r="AQ80" s="194"/>
      <c r="AR80" s="194"/>
      <c r="AS80" s="194"/>
      <c r="AT80" s="194"/>
      <c r="AU80" s="33"/>
      <c r="AV80" s="33"/>
      <c r="AW80" s="33"/>
      <c r="AX80" s="33"/>
      <c r="AY80" s="76"/>
    </row>
    <row r="81" spans="2:51">
      <c r="B81" s="156" t="s">
        <v>76</v>
      </c>
      <c r="C81" s="132" t="s">
        <v>155</v>
      </c>
      <c r="D81" s="130" t="s">
        <v>78</v>
      </c>
      <c r="E81" s="130" t="s">
        <v>81</v>
      </c>
      <c r="F81" s="130" t="s">
        <v>80</v>
      </c>
      <c r="G81" s="131" t="s">
        <v>79</v>
      </c>
      <c r="H81" s="57"/>
      <c r="I81" s="55">
        <v>76</v>
      </c>
      <c r="J81" s="33">
        <f t="shared" si="57"/>
        <v>5</v>
      </c>
      <c r="K81" s="33">
        <f t="shared" si="58"/>
        <v>1.910565629709926</v>
      </c>
      <c r="L81" s="33">
        <f t="shared" si="59"/>
        <v>45</v>
      </c>
      <c r="M81" s="33">
        <f t="shared" si="60"/>
        <v>0</v>
      </c>
      <c r="N81" s="33">
        <f t="shared" si="46"/>
        <v>0</v>
      </c>
      <c r="O81" s="34">
        <f t="shared" si="47"/>
        <v>177.03590180507811</v>
      </c>
      <c r="P81" s="55">
        <v>76</v>
      </c>
      <c r="Q81" s="33">
        <f t="shared" si="55"/>
        <v>-43.680000000000007</v>
      </c>
      <c r="R81" s="33">
        <f t="shared" si="61"/>
        <v>478.91999999999979</v>
      </c>
      <c r="S81" s="33">
        <f t="shared" si="62"/>
        <v>292.14119999999986</v>
      </c>
      <c r="T81" s="33">
        <f t="shared" si="48"/>
        <v>69.526420504752267</v>
      </c>
      <c r="U81" s="33">
        <f t="shared" si="56"/>
        <v>63.388068467504397</v>
      </c>
      <c r="V81" s="33">
        <f t="shared" si="49"/>
        <v>10</v>
      </c>
      <c r="W81" s="33">
        <v>0</v>
      </c>
      <c r="X81" s="33">
        <f t="shared" si="50"/>
        <v>898.99402342662609</v>
      </c>
      <c r="Y81" s="38">
        <f t="shared" si="51"/>
        <v>721.958121621548</v>
      </c>
      <c r="AA81" s="71">
        <v>76</v>
      </c>
      <c r="AB81" s="33">
        <f t="shared" si="52"/>
        <v>28</v>
      </c>
      <c r="AC81" s="305">
        <f t="shared" si="39"/>
        <v>0.45</v>
      </c>
      <c r="AD81" s="100">
        <f t="shared" si="53"/>
        <v>0</v>
      </c>
      <c r="AE81" s="100">
        <f t="shared" si="54"/>
        <v>0</v>
      </c>
      <c r="AF81" s="194">
        <f t="shared" si="34"/>
        <v>60.418880518133655</v>
      </c>
      <c r="AG81" s="194">
        <f t="shared" si="35"/>
        <v>0</v>
      </c>
      <c r="AH81" s="194">
        <f t="shared" si="36"/>
        <v>0</v>
      </c>
      <c r="AI81" s="199">
        <f t="shared" si="37"/>
        <v>60.418880518133655</v>
      </c>
      <c r="AK81" s="71">
        <v>76</v>
      </c>
      <c r="AL81" s="33"/>
      <c r="AM81" s="33"/>
      <c r="AN81" s="33"/>
      <c r="AO81" s="33"/>
      <c r="AP81" s="33"/>
      <c r="AQ81" s="194"/>
      <c r="AR81" s="194"/>
      <c r="AS81" s="194"/>
      <c r="AT81" s="194"/>
      <c r="AU81" s="33"/>
      <c r="AV81" s="33"/>
      <c r="AW81" s="33"/>
      <c r="AX81" s="33"/>
      <c r="AY81" s="76"/>
    </row>
    <row r="82" spans="2:51">
      <c r="B82" s="170">
        <f>IF(C25&lt;=$F$18,C25+1,"-")</f>
        <v>21</v>
      </c>
      <c r="C82" s="145">
        <f>D25-D26</f>
        <v>0</v>
      </c>
      <c r="D82" s="146"/>
      <c r="E82" s="171">
        <f>IF(G82+D82&lt;&gt;1,(1-(G82+D82))*56%,0)</f>
        <v>0</v>
      </c>
      <c r="F82" s="171">
        <f>IF(G82+D82&lt;&gt;1,(1-(G82+D82))*44%,0)</f>
        <v>0</v>
      </c>
      <c r="G82" s="147">
        <f>1-D82</f>
        <v>1</v>
      </c>
      <c r="H82" s="58">
        <f t="shared" ref="H82:H94" si="63">IF(C82=0,0,IF(SUM(D82:G82)&lt;&gt;1,"erreur",))</f>
        <v>0</v>
      </c>
      <c r="I82" s="55">
        <v>77</v>
      </c>
      <c r="J82" s="33">
        <f t="shared" si="57"/>
        <v>5</v>
      </c>
      <c r="K82" s="33">
        <f t="shared" si="58"/>
        <v>1.910565629709926</v>
      </c>
      <c r="L82" s="33">
        <f t="shared" si="59"/>
        <v>45</v>
      </c>
      <c r="M82" s="33">
        <f t="shared" si="60"/>
        <v>0</v>
      </c>
      <c r="N82" s="33">
        <f t="shared" si="46"/>
        <v>0</v>
      </c>
      <c r="O82" s="34">
        <f t="shared" si="47"/>
        <v>177.03590180507811</v>
      </c>
      <c r="P82" s="55">
        <v>77</v>
      </c>
      <c r="Q82" s="33">
        <f t="shared" si="55"/>
        <v>17.160000000000011</v>
      </c>
      <c r="R82" s="33">
        <f t="shared" si="61"/>
        <v>496.07999999999981</v>
      </c>
      <c r="S82" s="33">
        <f t="shared" si="62"/>
        <v>302.60879999999986</v>
      </c>
      <c r="T82" s="33">
        <f t="shared" si="48"/>
        <v>71.723092260023748</v>
      </c>
      <c r="U82" s="33">
        <f t="shared" si="56"/>
        <v>63.50277069752881</v>
      </c>
      <c r="V82" s="33">
        <f t="shared" si="49"/>
        <v>10</v>
      </c>
      <c r="W82" s="33">
        <v>0</v>
      </c>
      <c r="X82" s="33">
        <f t="shared" si="50"/>
        <v>921.47153824381337</v>
      </c>
      <c r="Y82" s="38">
        <f t="shared" si="51"/>
        <v>744.43563643873529</v>
      </c>
      <c r="AA82" s="71">
        <v>77</v>
      </c>
      <c r="AB82" s="33">
        <f t="shared" si="52"/>
        <v>0</v>
      </c>
      <c r="AC82" s="305">
        <f t="shared" si="39"/>
        <v>0</v>
      </c>
      <c r="AD82" s="100">
        <f t="shared" si="53"/>
        <v>0</v>
      </c>
      <c r="AE82" s="100">
        <f t="shared" si="54"/>
        <v>0</v>
      </c>
      <c r="AF82" s="194">
        <f t="shared" si="34"/>
        <v>59.234103123051348</v>
      </c>
      <c r="AG82" s="194">
        <f t="shared" si="35"/>
        <v>0</v>
      </c>
      <c r="AH82" s="194">
        <f t="shared" si="36"/>
        <v>0</v>
      </c>
      <c r="AI82" s="199">
        <f t="shared" si="37"/>
        <v>59.234103123051348</v>
      </c>
      <c r="AK82" s="71">
        <v>77</v>
      </c>
      <c r="AL82" s="33"/>
      <c r="AM82" s="33"/>
      <c r="AN82" s="33"/>
      <c r="AO82" s="33"/>
      <c r="AP82" s="33"/>
      <c r="AQ82" s="194"/>
      <c r="AR82" s="194"/>
      <c r="AS82" s="194"/>
      <c r="AT82" s="194"/>
      <c r="AU82" s="33"/>
      <c r="AV82" s="33"/>
      <c r="AW82" s="33"/>
      <c r="AX82" s="33"/>
      <c r="AY82" s="76"/>
    </row>
    <row r="83" spans="2:51">
      <c r="B83" s="172">
        <f>IF(C27&lt;=$F$18,C27+1,"-")</f>
        <v>26</v>
      </c>
      <c r="C83" s="148">
        <f>D27-D28</f>
        <v>7</v>
      </c>
      <c r="D83" s="149"/>
      <c r="E83" s="129">
        <f t="shared" ref="E83:E94" si="64">IF(G83+D83&lt;&gt;1,(1-(G83+D83))*56%,0)</f>
        <v>0</v>
      </c>
      <c r="F83" s="129">
        <f t="shared" ref="F83:F94" si="65">IF(G83+D83&lt;&gt;1,(1-(G83+D83))*44%,0)</f>
        <v>0</v>
      </c>
      <c r="G83" s="150">
        <f t="shared" ref="G83:G94" si="66">1-D83</f>
        <v>1</v>
      </c>
      <c r="H83" s="58">
        <f t="shared" si="63"/>
        <v>0</v>
      </c>
      <c r="I83" s="55">
        <v>78</v>
      </c>
      <c r="J83" s="33">
        <f t="shared" si="57"/>
        <v>5</v>
      </c>
      <c r="K83" s="33">
        <f t="shared" si="58"/>
        <v>1.910565629709926</v>
      </c>
      <c r="L83" s="33">
        <f t="shared" si="59"/>
        <v>45</v>
      </c>
      <c r="M83" s="33">
        <f t="shared" si="60"/>
        <v>0</v>
      </c>
      <c r="N83" s="33">
        <f t="shared" si="46"/>
        <v>0</v>
      </c>
      <c r="O83" s="34">
        <f t="shared" si="47"/>
        <v>177.03590180507811</v>
      </c>
      <c r="P83" s="55">
        <v>78</v>
      </c>
      <c r="Q83" s="33">
        <f t="shared" si="55"/>
        <v>17.160000000000011</v>
      </c>
      <c r="R83" s="33">
        <f t="shared" si="61"/>
        <v>513.23999999999978</v>
      </c>
      <c r="S83" s="33">
        <f t="shared" si="62"/>
        <v>313.07639999999986</v>
      </c>
      <c r="T83" s="33">
        <f t="shared" si="48"/>
        <v>73.910935225404216</v>
      </c>
      <c r="U83" s="33">
        <f t="shared" si="56"/>
        <v>63.615483100298057</v>
      </c>
      <c r="V83" s="33">
        <f t="shared" si="49"/>
        <v>10</v>
      </c>
      <c r="W83" s="33">
        <v>0</v>
      </c>
      <c r="X83" s="33">
        <f t="shared" si="50"/>
        <v>943.92638021867162</v>
      </c>
      <c r="Y83" s="38">
        <f t="shared" si="51"/>
        <v>766.89047841359354</v>
      </c>
      <c r="AA83" s="71">
        <v>78</v>
      </c>
      <c r="AB83" s="33">
        <f t="shared" si="52"/>
        <v>0</v>
      </c>
      <c r="AC83" s="305">
        <f t="shared" si="39"/>
        <v>0</v>
      </c>
      <c r="AD83" s="100">
        <f t="shared" si="53"/>
        <v>0</v>
      </c>
      <c r="AE83" s="100">
        <f t="shared" si="54"/>
        <v>0</v>
      </c>
      <c r="AF83" s="194">
        <f t="shared" si="34"/>
        <v>58.072558490043754</v>
      </c>
      <c r="AG83" s="194">
        <f t="shared" si="35"/>
        <v>0</v>
      </c>
      <c r="AH83" s="194">
        <f t="shared" si="36"/>
        <v>0</v>
      </c>
      <c r="AI83" s="199">
        <f t="shared" si="37"/>
        <v>58.072558490043754</v>
      </c>
      <c r="AK83" s="71">
        <v>78</v>
      </c>
      <c r="AL83" s="33"/>
      <c r="AM83" s="33"/>
      <c r="AN83" s="33"/>
      <c r="AO83" s="33"/>
      <c r="AP83" s="33"/>
      <c r="AQ83" s="194"/>
      <c r="AR83" s="194"/>
      <c r="AS83" s="194"/>
      <c r="AT83" s="194"/>
      <c r="AU83" s="33"/>
      <c r="AV83" s="33"/>
      <c r="AW83" s="33"/>
      <c r="AX83" s="33"/>
      <c r="AY83" s="76"/>
    </row>
    <row r="84" spans="2:51">
      <c r="B84" s="187">
        <f>IF(C29&lt;=$F$18,C29+1,"-")</f>
        <v>31</v>
      </c>
      <c r="C84" s="148">
        <f>D29-D30</f>
        <v>28</v>
      </c>
      <c r="D84" s="149">
        <v>0.1</v>
      </c>
      <c r="E84" s="129">
        <f t="shared" si="64"/>
        <v>0</v>
      </c>
      <c r="F84" s="129">
        <f t="shared" si="65"/>
        <v>0</v>
      </c>
      <c r="G84" s="150">
        <f t="shared" si="66"/>
        <v>0.9</v>
      </c>
      <c r="H84" s="58">
        <f t="shared" si="63"/>
        <v>0</v>
      </c>
      <c r="I84" s="55">
        <v>79</v>
      </c>
      <c r="J84" s="33">
        <f t="shared" si="57"/>
        <v>5</v>
      </c>
      <c r="K84" s="33">
        <f t="shared" si="58"/>
        <v>1.910565629709926</v>
      </c>
      <c r="L84" s="33">
        <f t="shared" si="59"/>
        <v>45</v>
      </c>
      <c r="M84" s="33">
        <f t="shared" si="60"/>
        <v>0</v>
      </c>
      <c r="N84" s="33">
        <f t="shared" si="46"/>
        <v>0</v>
      </c>
      <c r="O84" s="34">
        <f t="shared" si="47"/>
        <v>177.03590180507811</v>
      </c>
      <c r="P84" s="55">
        <v>79</v>
      </c>
      <c r="Q84" s="33">
        <f t="shared" si="55"/>
        <v>17.160000000000011</v>
      </c>
      <c r="R84" s="33">
        <f t="shared" si="61"/>
        <v>530.39999999999975</v>
      </c>
      <c r="S84" s="33">
        <f t="shared" si="62"/>
        <v>323.54399999999981</v>
      </c>
      <c r="T84" s="33">
        <f t="shared" si="48"/>
        <v>76.090278432310924</v>
      </c>
      <c r="U84" s="33">
        <f t="shared" si="56"/>
        <v>63.726240194866449</v>
      </c>
      <c r="V84" s="33">
        <f t="shared" si="49"/>
        <v>10</v>
      </c>
      <c r="W84" s="33">
        <v>0</v>
      </c>
      <c r="X84" s="33">
        <f t="shared" si="50"/>
        <v>966.35924898411815</v>
      </c>
      <c r="Y84" s="38">
        <f t="shared" si="51"/>
        <v>789.32334717904007</v>
      </c>
      <c r="AA84" s="71">
        <v>79</v>
      </c>
      <c r="AB84" s="33">
        <f t="shared" si="52"/>
        <v>0</v>
      </c>
      <c r="AC84" s="305">
        <f t="shared" si="39"/>
        <v>0</v>
      </c>
      <c r="AD84" s="100">
        <f t="shared" si="53"/>
        <v>0</v>
      </c>
      <c r="AE84" s="100">
        <f t="shared" si="54"/>
        <v>0</v>
      </c>
      <c r="AF84" s="194">
        <f t="shared" si="34"/>
        <v>56.933791038817162</v>
      </c>
      <c r="AG84" s="194">
        <f t="shared" si="35"/>
        <v>0</v>
      </c>
      <c r="AH84" s="194">
        <f t="shared" si="36"/>
        <v>0</v>
      </c>
      <c r="AI84" s="199">
        <f t="shared" si="37"/>
        <v>56.933791038817162</v>
      </c>
      <c r="AK84" s="71">
        <v>79</v>
      </c>
      <c r="AL84" s="33"/>
      <c r="AM84" s="33"/>
      <c r="AN84" s="33"/>
      <c r="AO84" s="33"/>
      <c r="AP84" s="33"/>
      <c r="AQ84" s="194"/>
      <c r="AR84" s="194"/>
      <c r="AS84" s="194"/>
      <c r="AT84" s="194"/>
      <c r="AU84" s="33"/>
      <c r="AV84" s="33"/>
      <c r="AW84" s="33"/>
      <c r="AX84" s="33"/>
      <c r="AY84" s="76"/>
    </row>
    <row r="85" spans="2:51">
      <c r="B85" s="172">
        <f>IF(C31&lt;=$F$18,C31+1,"-")</f>
        <v>36</v>
      </c>
      <c r="C85" s="148">
        <f>D31-D32</f>
        <v>28</v>
      </c>
      <c r="D85" s="149">
        <v>0.2</v>
      </c>
      <c r="E85" s="129">
        <f t="shared" si="64"/>
        <v>0</v>
      </c>
      <c r="F85" s="129">
        <f t="shared" si="65"/>
        <v>0</v>
      </c>
      <c r="G85" s="150">
        <f t="shared" si="66"/>
        <v>0.8</v>
      </c>
      <c r="H85" s="58">
        <f t="shared" si="63"/>
        <v>0</v>
      </c>
      <c r="I85" s="55">
        <v>80</v>
      </c>
      <c r="J85" s="33">
        <f t="shared" si="57"/>
        <v>5</v>
      </c>
      <c r="K85" s="33">
        <f t="shared" si="58"/>
        <v>1.910565629709926</v>
      </c>
      <c r="L85" s="33">
        <f t="shared" si="59"/>
        <v>45</v>
      </c>
      <c r="M85" s="33">
        <f t="shared" si="60"/>
        <v>0</v>
      </c>
      <c r="N85" s="33">
        <f t="shared" si="46"/>
        <v>0</v>
      </c>
      <c r="O85" s="34">
        <f t="shared" si="47"/>
        <v>177.03590180507811</v>
      </c>
      <c r="P85" s="55">
        <v>80</v>
      </c>
      <c r="Q85" s="33">
        <f t="shared" si="55"/>
        <v>17.160000000000011</v>
      </c>
      <c r="R85" s="33">
        <f t="shared" si="61"/>
        <v>547.55999999999972</v>
      </c>
      <c r="S85" s="33">
        <f t="shared" si="62"/>
        <v>334.01159999999982</v>
      </c>
      <c r="T85" s="33">
        <f t="shared" si="48"/>
        <v>78.261428413244502</v>
      </c>
      <c r="U85" s="33">
        <f t="shared" si="56"/>
        <v>63.835075901459838</v>
      </c>
      <c r="V85" s="33">
        <f t="shared" si="49"/>
        <v>10</v>
      </c>
      <c r="W85" s="33">
        <v>0</v>
      </c>
      <c r="X85" s="33">
        <f t="shared" si="50"/>
        <v>988.77080279175334</v>
      </c>
      <c r="Y85" s="38">
        <f t="shared" si="51"/>
        <v>811.73490098667526</v>
      </c>
      <c r="AA85" s="71">
        <v>80</v>
      </c>
      <c r="AB85" s="33">
        <f t="shared" si="52"/>
        <v>0</v>
      </c>
      <c r="AC85" s="305">
        <f t="shared" si="39"/>
        <v>0</v>
      </c>
      <c r="AD85" s="100">
        <f t="shared" si="53"/>
        <v>0</v>
      </c>
      <c r="AE85" s="100">
        <f t="shared" si="54"/>
        <v>0</v>
      </c>
      <c r="AF85" s="194">
        <f t="shared" si="34"/>
        <v>55.817354122729569</v>
      </c>
      <c r="AG85" s="194">
        <f t="shared" si="35"/>
        <v>0</v>
      </c>
      <c r="AH85" s="194">
        <f t="shared" si="36"/>
        <v>0</v>
      </c>
      <c r="AI85" s="199">
        <f t="shared" si="37"/>
        <v>55.817354122729569</v>
      </c>
      <c r="AK85" s="71">
        <v>80</v>
      </c>
      <c r="AL85" s="33"/>
      <c r="AM85" s="33"/>
      <c r="AN85" s="33"/>
      <c r="AO85" s="33"/>
      <c r="AP85" s="33"/>
      <c r="AQ85" s="194"/>
      <c r="AR85" s="194"/>
      <c r="AS85" s="194"/>
      <c r="AT85" s="194"/>
      <c r="AU85" s="33"/>
      <c r="AV85" s="33"/>
      <c r="AW85" s="33"/>
      <c r="AX85" s="33"/>
      <c r="AY85" s="76"/>
    </row>
    <row r="86" spans="2:51">
      <c r="B86" s="172">
        <f>IF(C33&lt;=$F$18,C33+1,"-")</f>
        <v>41</v>
      </c>
      <c r="C86" s="148">
        <f>D33-D34</f>
        <v>28</v>
      </c>
      <c r="D86" s="149">
        <v>0.3</v>
      </c>
      <c r="E86" s="129">
        <f t="shared" si="64"/>
        <v>0</v>
      </c>
      <c r="F86" s="129">
        <f t="shared" si="65"/>
        <v>0</v>
      </c>
      <c r="G86" s="150">
        <f t="shared" si="66"/>
        <v>0.7</v>
      </c>
      <c r="H86" s="58">
        <f t="shared" si="63"/>
        <v>0</v>
      </c>
      <c r="I86" s="55">
        <v>81</v>
      </c>
      <c r="J86" s="33">
        <f t="shared" si="57"/>
        <v>5</v>
      </c>
      <c r="K86" s="33">
        <f t="shared" si="58"/>
        <v>1.910565629709926</v>
      </c>
      <c r="L86" s="33">
        <f t="shared" si="59"/>
        <v>45</v>
      </c>
      <c r="M86" s="33">
        <f t="shared" si="60"/>
        <v>0</v>
      </c>
      <c r="N86" s="33">
        <f t="shared" si="46"/>
        <v>0</v>
      </c>
      <c r="O86" s="34">
        <f t="shared" si="47"/>
        <v>177.03590180507811</v>
      </c>
      <c r="P86" s="55">
        <v>81</v>
      </c>
      <c r="Q86" s="33">
        <f t="shared" si="55"/>
        <v>-43.680000000000064</v>
      </c>
      <c r="R86" s="33">
        <f t="shared" si="61"/>
        <v>503.87999999999965</v>
      </c>
      <c r="S86" s="33">
        <f t="shared" si="62"/>
        <v>307.36679999999978</v>
      </c>
      <c r="T86" s="33">
        <f t="shared" si="48"/>
        <v>72.718640486230171</v>
      </c>
      <c r="U86" s="33">
        <f t="shared" si="56"/>
        <v>63.942023551864025</v>
      </c>
      <c r="V86" s="33">
        <f t="shared" si="49"/>
        <v>10</v>
      </c>
      <c r="W86" s="33">
        <v>0</v>
      </c>
      <c r="X86" s="33">
        <f t="shared" si="50"/>
        <v>933.10289520368531</v>
      </c>
      <c r="Y86" s="38">
        <f t="shared" si="51"/>
        <v>756.06699339860722</v>
      </c>
      <c r="AA86" s="71">
        <v>81</v>
      </c>
      <c r="AB86" s="33">
        <f t="shared" si="52"/>
        <v>0</v>
      </c>
      <c r="AC86" s="305">
        <f t="shared" si="39"/>
        <v>0</v>
      </c>
      <c r="AD86" s="100">
        <f t="shared" si="53"/>
        <v>0</v>
      </c>
      <c r="AE86" s="100">
        <f t="shared" si="54"/>
        <v>0</v>
      </c>
      <c r="AF86" s="194">
        <f t="shared" si="34"/>
        <v>54.722809853607167</v>
      </c>
      <c r="AG86" s="194">
        <f t="shared" si="35"/>
        <v>0</v>
      </c>
      <c r="AH86" s="194">
        <f t="shared" si="36"/>
        <v>0</v>
      </c>
      <c r="AI86" s="199">
        <f t="shared" si="37"/>
        <v>54.722809853607167</v>
      </c>
      <c r="AK86" s="71">
        <v>81</v>
      </c>
      <c r="AL86" s="33"/>
      <c r="AM86" s="33"/>
      <c r="AN86" s="33"/>
      <c r="AO86" s="33"/>
      <c r="AP86" s="33"/>
      <c r="AQ86" s="194"/>
      <c r="AR86" s="194"/>
      <c r="AS86" s="194"/>
      <c r="AT86" s="194"/>
      <c r="AU86" s="33"/>
      <c r="AV86" s="33"/>
      <c r="AW86" s="33"/>
      <c r="AX86" s="33"/>
      <c r="AY86" s="76"/>
    </row>
    <row r="87" spans="2:51">
      <c r="B87" s="172">
        <f>IF(C35&lt;=$F$18,C35+1,"-")</f>
        <v>46</v>
      </c>
      <c r="C87" s="148">
        <f>D35-D36</f>
        <v>28</v>
      </c>
      <c r="D87" s="149">
        <v>0.4</v>
      </c>
      <c r="E87" s="129">
        <f t="shared" si="64"/>
        <v>0</v>
      </c>
      <c r="F87" s="129">
        <f t="shared" si="65"/>
        <v>0</v>
      </c>
      <c r="G87" s="150">
        <f t="shared" si="66"/>
        <v>0.6</v>
      </c>
      <c r="H87" s="58">
        <f t="shared" si="63"/>
        <v>0</v>
      </c>
      <c r="I87" s="55">
        <v>82</v>
      </c>
      <c r="J87" s="33">
        <f t="shared" si="57"/>
        <v>5</v>
      </c>
      <c r="K87" s="33">
        <f t="shared" si="58"/>
        <v>1.910565629709926</v>
      </c>
      <c r="L87" s="33">
        <f t="shared" si="59"/>
        <v>45</v>
      </c>
      <c r="M87" s="33">
        <f t="shared" si="60"/>
        <v>0</v>
      </c>
      <c r="N87" s="33">
        <f t="shared" si="46"/>
        <v>0</v>
      </c>
      <c r="O87" s="34">
        <f t="shared" si="47"/>
        <v>177.03590180507811</v>
      </c>
      <c r="P87" s="55">
        <v>82</v>
      </c>
      <c r="Q87" s="33">
        <f t="shared" si="55"/>
        <v>16.379999999999995</v>
      </c>
      <c r="R87" s="33">
        <f t="shared" si="61"/>
        <v>520.25999999999965</v>
      </c>
      <c r="S87" s="33">
        <f t="shared" si="62"/>
        <v>317.3585999999998</v>
      </c>
      <c r="T87" s="33">
        <f t="shared" si="48"/>
        <v>74.803494181017641</v>
      </c>
      <c r="U87" s="33">
        <f t="shared" si="56"/>
        <v>64.047115899632828</v>
      </c>
      <c r="V87" s="33">
        <f t="shared" si="49"/>
        <v>10</v>
      </c>
      <c r="W87" s="33">
        <v>0</v>
      </c>
      <c r="X87" s="33">
        <f t="shared" si="50"/>
        <v>954.52173899725892</v>
      </c>
      <c r="Y87" s="38">
        <f t="shared" si="51"/>
        <v>777.48583719218084</v>
      </c>
      <c r="AA87" s="71">
        <v>82</v>
      </c>
      <c r="AB87" s="33">
        <f t="shared" si="52"/>
        <v>0</v>
      </c>
      <c r="AC87" s="305">
        <f t="shared" si="39"/>
        <v>0</v>
      </c>
      <c r="AD87" s="100">
        <f t="shared" si="53"/>
        <v>0</v>
      </c>
      <c r="AE87" s="100">
        <f t="shared" si="54"/>
        <v>0</v>
      </c>
      <c r="AF87" s="194">
        <f t="shared" si="34"/>
        <v>53.649728929996172</v>
      </c>
      <c r="AG87" s="194">
        <f t="shared" si="35"/>
        <v>0</v>
      </c>
      <c r="AH87" s="194">
        <f t="shared" si="36"/>
        <v>0</v>
      </c>
      <c r="AI87" s="199">
        <f t="shared" si="37"/>
        <v>53.649728929996172</v>
      </c>
      <c r="AK87" s="71">
        <v>82</v>
      </c>
      <c r="AL87" s="33"/>
      <c r="AM87" s="33"/>
      <c r="AN87" s="33"/>
      <c r="AO87" s="33"/>
      <c r="AP87" s="33"/>
      <c r="AQ87" s="194"/>
      <c r="AR87" s="194"/>
      <c r="AS87" s="194"/>
      <c r="AT87" s="194"/>
      <c r="AU87" s="33"/>
      <c r="AV87" s="33"/>
      <c r="AW87" s="33"/>
      <c r="AX87" s="33"/>
      <c r="AY87" s="76"/>
    </row>
    <row r="88" spans="2:51">
      <c r="B88" s="172">
        <f>IF(C37&lt;=$F$18,C37+1,"-")</f>
        <v>51</v>
      </c>
      <c r="C88" s="148">
        <f>D37-D38</f>
        <v>28</v>
      </c>
      <c r="D88" s="149">
        <v>0.5</v>
      </c>
      <c r="E88" s="129">
        <f t="shared" si="64"/>
        <v>0</v>
      </c>
      <c r="F88" s="129">
        <f t="shared" si="65"/>
        <v>0</v>
      </c>
      <c r="G88" s="150">
        <f t="shared" si="66"/>
        <v>0.5</v>
      </c>
      <c r="H88" s="58">
        <f t="shared" si="63"/>
        <v>0</v>
      </c>
      <c r="I88" s="55">
        <v>83</v>
      </c>
      <c r="J88" s="33">
        <f t="shared" si="57"/>
        <v>5</v>
      </c>
      <c r="K88" s="33">
        <f t="shared" si="58"/>
        <v>1.910565629709926</v>
      </c>
      <c r="L88" s="33">
        <f t="shared" si="59"/>
        <v>45</v>
      </c>
      <c r="M88" s="33">
        <f t="shared" si="60"/>
        <v>0</v>
      </c>
      <c r="N88" s="33">
        <f t="shared" si="46"/>
        <v>0</v>
      </c>
      <c r="O88" s="34">
        <f t="shared" si="47"/>
        <v>177.03590180507811</v>
      </c>
      <c r="P88" s="55">
        <v>83</v>
      </c>
      <c r="Q88" s="33">
        <f t="shared" si="55"/>
        <v>16.379999999999995</v>
      </c>
      <c r="R88" s="33">
        <f t="shared" si="61"/>
        <v>536.63999999999965</v>
      </c>
      <c r="S88" s="33">
        <f t="shared" si="62"/>
        <v>327.35039999999975</v>
      </c>
      <c r="T88" s="33">
        <f t="shared" si="48"/>
        <v>76.880720023332302</v>
      </c>
      <c r="U88" s="33">
        <f t="shared" si="56"/>
        <v>64.150385130119133</v>
      </c>
      <c r="V88" s="33">
        <f t="shared" si="49"/>
        <v>10</v>
      </c>
      <c r="W88" s="33">
        <v>0</v>
      </c>
      <c r="X88" s="33">
        <f t="shared" si="50"/>
        <v>975.92061285107332</v>
      </c>
      <c r="Y88" s="38">
        <f t="shared" si="51"/>
        <v>798.88471104599523</v>
      </c>
      <c r="AA88" s="71">
        <v>83</v>
      </c>
      <c r="AB88" s="33">
        <f t="shared" si="52"/>
        <v>0</v>
      </c>
      <c r="AC88" s="305">
        <f t="shared" si="39"/>
        <v>0</v>
      </c>
      <c r="AD88" s="100">
        <f t="shared" si="53"/>
        <v>0</v>
      </c>
      <c r="AE88" s="100">
        <f t="shared" si="54"/>
        <v>0</v>
      </c>
      <c r="AF88" s="194">
        <f t="shared" si="34"/>
        <v>52.597690468782453</v>
      </c>
      <c r="AG88" s="194">
        <f t="shared" si="35"/>
        <v>0</v>
      </c>
      <c r="AH88" s="194">
        <f t="shared" si="36"/>
        <v>0</v>
      </c>
      <c r="AI88" s="199">
        <f t="shared" si="37"/>
        <v>52.597690468782453</v>
      </c>
      <c r="AK88" s="71">
        <v>83</v>
      </c>
      <c r="AL88" s="33"/>
      <c r="AM88" s="33"/>
      <c r="AN88" s="33"/>
      <c r="AO88" s="33"/>
      <c r="AP88" s="33"/>
      <c r="AQ88" s="194"/>
      <c r="AR88" s="194"/>
      <c r="AS88" s="194"/>
      <c r="AT88" s="194"/>
      <c r="AU88" s="33"/>
      <c r="AV88" s="33"/>
      <c r="AW88" s="33"/>
      <c r="AX88" s="33"/>
      <c r="AY88" s="76"/>
    </row>
    <row r="89" spans="2:51">
      <c r="B89" s="172">
        <f>IF(C39&lt;=$F$18,C39+1,"-")</f>
        <v>56</v>
      </c>
      <c r="C89" s="148">
        <f>D39-D40</f>
        <v>28</v>
      </c>
      <c r="D89" s="149">
        <v>0.6</v>
      </c>
      <c r="E89" s="129">
        <f t="shared" si="64"/>
        <v>0</v>
      </c>
      <c r="F89" s="129">
        <f t="shared" si="65"/>
        <v>0</v>
      </c>
      <c r="G89" s="150">
        <f t="shared" si="66"/>
        <v>0.4</v>
      </c>
      <c r="H89" s="58">
        <f t="shared" si="63"/>
        <v>0</v>
      </c>
      <c r="I89" s="55">
        <v>84</v>
      </c>
      <c r="J89" s="33">
        <f t="shared" si="57"/>
        <v>5</v>
      </c>
      <c r="K89" s="33">
        <f t="shared" si="58"/>
        <v>1.910565629709926</v>
      </c>
      <c r="L89" s="33">
        <f t="shared" si="59"/>
        <v>45</v>
      </c>
      <c r="M89" s="33">
        <f t="shared" si="60"/>
        <v>0</v>
      </c>
      <c r="N89" s="33">
        <f t="shared" si="46"/>
        <v>0</v>
      </c>
      <c r="O89" s="34">
        <f t="shared" si="47"/>
        <v>177.03590180507811</v>
      </c>
      <c r="P89" s="55">
        <v>84</v>
      </c>
      <c r="Q89" s="33">
        <f t="shared" si="55"/>
        <v>16.379999999999995</v>
      </c>
      <c r="R89" s="33">
        <f t="shared" si="61"/>
        <v>553.01999999999964</v>
      </c>
      <c r="S89" s="33">
        <f t="shared" si="62"/>
        <v>337.34219999999976</v>
      </c>
      <c r="T89" s="33">
        <f t="shared" si="48"/>
        <v>78.950577561662001</v>
      </c>
      <c r="U89" s="33">
        <f t="shared" si="56"/>
        <v>64.251862870331905</v>
      </c>
      <c r="V89" s="33">
        <f t="shared" si="49"/>
        <v>10</v>
      </c>
      <c r="W89" s="33">
        <v>0</v>
      </c>
      <c r="X89" s="33">
        <f t="shared" si="50"/>
        <v>997.30008477777801</v>
      </c>
      <c r="Y89" s="38">
        <f t="shared" si="51"/>
        <v>820.26418297269993</v>
      </c>
      <c r="AA89" s="71">
        <v>84</v>
      </c>
      <c r="AB89" s="33">
        <f t="shared" si="52"/>
        <v>0</v>
      </c>
      <c r="AC89" s="305">
        <f t="shared" si="39"/>
        <v>0</v>
      </c>
      <c r="AD89" s="100">
        <f t="shared" si="53"/>
        <v>0</v>
      </c>
      <c r="AE89" s="100">
        <f t="shared" si="54"/>
        <v>0</v>
      </c>
      <c r="AF89" s="194">
        <f t="shared" si="34"/>
        <v>51.566281840113035</v>
      </c>
      <c r="AG89" s="194">
        <f t="shared" si="35"/>
        <v>0</v>
      </c>
      <c r="AH89" s="194">
        <f t="shared" si="36"/>
        <v>0</v>
      </c>
      <c r="AI89" s="199">
        <f t="shared" si="37"/>
        <v>51.566281840113035</v>
      </c>
      <c r="AK89" s="71">
        <v>84</v>
      </c>
      <c r="AL89" s="33"/>
      <c r="AM89" s="33"/>
      <c r="AN89" s="33"/>
      <c r="AO89" s="33"/>
      <c r="AP89" s="33"/>
      <c r="AQ89" s="194"/>
      <c r="AR89" s="194"/>
      <c r="AS89" s="194"/>
      <c r="AT89" s="194"/>
      <c r="AU89" s="33"/>
      <c r="AV89" s="33"/>
      <c r="AW89" s="33"/>
      <c r="AX89" s="33"/>
      <c r="AY89" s="76"/>
    </row>
    <row r="90" spans="2:51">
      <c r="B90" s="172">
        <f>IF(C41&lt;=$F$18,C41+1,"-")</f>
        <v>61</v>
      </c>
      <c r="C90" s="148">
        <f>D41-D42</f>
        <v>28</v>
      </c>
      <c r="D90" s="149">
        <v>0.7</v>
      </c>
      <c r="E90" s="129">
        <f t="shared" si="64"/>
        <v>0</v>
      </c>
      <c r="F90" s="129">
        <f t="shared" si="65"/>
        <v>0</v>
      </c>
      <c r="G90" s="150">
        <f t="shared" si="66"/>
        <v>0.30000000000000004</v>
      </c>
      <c r="H90" s="58">
        <f t="shared" si="63"/>
        <v>0</v>
      </c>
      <c r="I90" s="55">
        <v>85</v>
      </c>
      <c r="J90" s="33">
        <f t="shared" si="57"/>
        <v>5</v>
      </c>
      <c r="K90" s="33">
        <f t="shared" si="58"/>
        <v>1.910565629709926</v>
      </c>
      <c r="L90" s="33">
        <f t="shared" si="59"/>
        <v>45</v>
      </c>
      <c r="M90" s="33">
        <f t="shared" si="60"/>
        <v>0</v>
      </c>
      <c r="N90" s="33">
        <f t="shared" si="46"/>
        <v>0</v>
      </c>
      <c r="O90" s="34">
        <f t="shared" si="47"/>
        <v>177.03590180507811</v>
      </c>
      <c r="P90" s="55">
        <v>85</v>
      </c>
      <c r="Q90" s="33">
        <f t="shared" si="55"/>
        <v>16.379999999999995</v>
      </c>
      <c r="R90" s="33">
        <f t="shared" si="61"/>
        <v>569.39999999999964</v>
      </c>
      <c r="S90" s="33">
        <f t="shared" si="62"/>
        <v>347.33399999999978</v>
      </c>
      <c r="T90" s="33">
        <f t="shared" si="48"/>
        <v>81.013310095246069</v>
      </c>
      <c r="U90" s="33">
        <f t="shared" si="56"/>
        <v>64.35158019862223</v>
      </c>
      <c r="V90" s="33">
        <f t="shared" si="49"/>
        <v>10</v>
      </c>
      <c r="W90" s="33">
        <v>0</v>
      </c>
      <c r="X90" s="33">
        <f t="shared" si="50"/>
        <v>1018.6606924775015</v>
      </c>
      <c r="Y90" s="38">
        <f t="shared" si="51"/>
        <v>841.62479067242339</v>
      </c>
      <c r="AA90" s="71">
        <v>85</v>
      </c>
      <c r="AB90" s="33">
        <f t="shared" si="52"/>
        <v>0</v>
      </c>
      <c r="AC90" s="305">
        <f t="shared" si="39"/>
        <v>0</v>
      </c>
      <c r="AD90" s="100">
        <f t="shared" si="53"/>
        <v>0</v>
      </c>
      <c r="AE90" s="100">
        <f t="shared" si="54"/>
        <v>0</v>
      </c>
      <c r="AF90" s="194">
        <f t="shared" si="34"/>
        <v>50.555098505554682</v>
      </c>
      <c r="AG90" s="194">
        <f t="shared" si="35"/>
        <v>0</v>
      </c>
      <c r="AH90" s="194">
        <f t="shared" si="36"/>
        <v>0</v>
      </c>
      <c r="AI90" s="199">
        <f t="shared" si="37"/>
        <v>50.555098505554682</v>
      </c>
      <c r="AK90" s="71">
        <v>85</v>
      </c>
      <c r="AL90" s="33"/>
      <c r="AM90" s="33"/>
      <c r="AN90" s="33"/>
      <c r="AO90" s="33"/>
      <c r="AP90" s="33"/>
      <c r="AQ90" s="194"/>
      <c r="AR90" s="194"/>
      <c r="AS90" s="194"/>
      <c r="AT90" s="194"/>
      <c r="AU90" s="33"/>
      <c r="AV90" s="33"/>
      <c r="AW90" s="33"/>
      <c r="AX90" s="33"/>
      <c r="AY90" s="76"/>
    </row>
    <row r="91" spans="2:51">
      <c r="B91" s="172">
        <f>IF(C43&lt;=$F$18,C43+1,"-")</f>
        <v>66</v>
      </c>
      <c r="C91" s="148">
        <f>D43-D44</f>
        <v>28</v>
      </c>
      <c r="D91" s="149">
        <v>0.8</v>
      </c>
      <c r="E91" s="129">
        <f t="shared" si="64"/>
        <v>0</v>
      </c>
      <c r="F91" s="129">
        <f t="shared" si="65"/>
        <v>0</v>
      </c>
      <c r="G91" s="150">
        <f t="shared" si="66"/>
        <v>0.19999999999999996</v>
      </c>
      <c r="H91" s="58">
        <f t="shared" si="63"/>
        <v>0</v>
      </c>
      <c r="I91" s="55">
        <v>86</v>
      </c>
      <c r="J91" s="33">
        <f t="shared" si="57"/>
        <v>5</v>
      </c>
      <c r="K91" s="33">
        <f t="shared" si="58"/>
        <v>1.910565629709926</v>
      </c>
      <c r="L91" s="33">
        <f t="shared" si="59"/>
        <v>45</v>
      </c>
      <c r="M91" s="33">
        <f t="shared" si="60"/>
        <v>0</v>
      </c>
      <c r="N91" s="33">
        <f t="shared" si="46"/>
        <v>0</v>
      </c>
      <c r="O91" s="34">
        <f t="shared" si="47"/>
        <v>177.03590180507811</v>
      </c>
      <c r="P91" s="55">
        <v>86</v>
      </c>
      <c r="Q91" s="33">
        <f t="shared" si="55"/>
        <v>-42.120000000000005</v>
      </c>
      <c r="R91" s="33">
        <f t="shared" si="61"/>
        <v>527.27999999999963</v>
      </c>
      <c r="S91" s="33">
        <f t="shared" si="62"/>
        <v>321.64079999999979</v>
      </c>
      <c r="T91" s="33">
        <f t="shared" si="48"/>
        <v>75.694652325793157</v>
      </c>
      <c r="U91" s="33">
        <f t="shared" si="56"/>
        <v>64.449567654201275</v>
      </c>
      <c r="V91" s="33">
        <f t="shared" si="49"/>
        <v>10</v>
      </c>
      <c r="W91" s="33">
        <v>0</v>
      </c>
      <c r="X91" s="33">
        <f t="shared" si="50"/>
        <v>965.00766086616068</v>
      </c>
      <c r="Y91" s="38">
        <f t="shared" si="51"/>
        <v>787.97175906108259</v>
      </c>
      <c r="AA91" s="71">
        <v>86</v>
      </c>
      <c r="AB91" s="33">
        <f t="shared" si="52"/>
        <v>0</v>
      </c>
      <c r="AC91" s="305">
        <f t="shared" si="39"/>
        <v>0</v>
      </c>
      <c r="AD91" s="100">
        <f t="shared" si="53"/>
        <v>0</v>
      </c>
      <c r="AE91" s="100">
        <f t="shared" si="54"/>
        <v>0</v>
      </c>
      <c r="AF91" s="194">
        <f t="shared" ref="AF91:AF154" si="67">IF(OR(AA91&lt;=$F$18,AA91&lt;=30),EXP(-LN(2)/$D$104)*AF90+((1-EXP(-LN(2)/$D$104))/(LN(2)/$D$104))*$AB91*AC91*0.475*$F$19*44/12,)</f>
        <v>49.563743859426083</v>
      </c>
      <c r="AG91" s="194">
        <f t="shared" ref="AG91:AG154" si="68">IF(OR(AA91&lt;=$F$18,AA91&lt;=30),EXP(-LN(2)/$D$106)*AG90+((1-EXP(-LN(2)/$D$106))/(LN(2)/$D$106))*$AB91*AD91*0.475*$F$19*44/12,)</f>
        <v>0</v>
      </c>
      <c r="AH91" s="194">
        <f t="shared" ref="AH91:AH154" si="69">IF(OR(AA91&lt;=$F$18,AA91&lt;=30),EXP(-LN(2)/$D$105)*AH90+((1-EXP(-LN(2)/$D$105))/(LN(2)/$D$105))*$AB91*AE91*0.475*$F$19*44/12,)</f>
        <v>0</v>
      </c>
      <c r="AI91" s="199">
        <f t="shared" ref="AI91:AI154" si="70">IF(OR(AA91&lt;=$F$18,AA91&lt;=30),SUM(AF91:AH91),)</f>
        <v>49.563743859426083</v>
      </c>
      <c r="AK91" s="71">
        <v>86</v>
      </c>
      <c r="AL91" s="33"/>
      <c r="AM91" s="33"/>
      <c r="AN91" s="33"/>
      <c r="AO91" s="33"/>
      <c r="AP91" s="33"/>
      <c r="AQ91" s="194"/>
      <c r="AR91" s="194"/>
      <c r="AS91" s="194"/>
      <c r="AT91" s="194"/>
      <c r="AU91" s="33"/>
      <c r="AV91" s="33"/>
      <c r="AW91" s="33"/>
      <c r="AX91" s="33"/>
      <c r="AY91" s="76"/>
    </row>
    <row r="92" spans="2:51">
      <c r="B92" s="172">
        <f>IF(C45&lt;=$F$18,C45+1,"-")</f>
        <v>71</v>
      </c>
      <c r="C92" s="148">
        <f>D45-D46</f>
        <v>28</v>
      </c>
      <c r="D92" s="149">
        <v>0.9</v>
      </c>
      <c r="E92" s="129">
        <f t="shared" si="64"/>
        <v>0</v>
      </c>
      <c r="F92" s="129">
        <f t="shared" si="65"/>
        <v>0</v>
      </c>
      <c r="G92" s="150">
        <f t="shared" si="66"/>
        <v>9.9999999999999978E-2</v>
      </c>
      <c r="H92" s="58">
        <f t="shared" si="63"/>
        <v>0</v>
      </c>
      <c r="I92" s="55">
        <v>87</v>
      </c>
      <c r="J92" s="33">
        <f t="shared" si="57"/>
        <v>5</v>
      </c>
      <c r="K92" s="33">
        <f t="shared" si="58"/>
        <v>1.910565629709926</v>
      </c>
      <c r="L92" s="33">
        <f t="shared" si="59"/>
        <v>45</v>
      </c>
      <c r="M92" s="33">
        <f t="shared" si="60"/>
        <v>0</v>
      </c>
      <c r="N92" s="33">
        <f t="shared" si="46"/>
        <v>0</v>
      </c>
      <c r="O92" s="34">
        <f t="shared" si="47"/>
        <v>177.03590180507811</v>
      </c>
      <c r="P92" s="55">
        <v>87</v>
      </c>
      <c r="Q92" s="33">
        <f t="shared" si="55"/>
        <v>15.210000000000008</v>
      </c>
      <c r="R92" s="33">
        <f t="shared" si="61"/>
        <v>542.48999999999967</v>
      </c>
      <c r="S92" s="33">
        <f t="shared" si="62"/>
        <v>330.91889999999978</v>
      </c>
      <c r="T92" s="33">
        <f t="shared" si="48"/>
        <v>77.620787743633201</v>
      </c>
      <c r="U92" s="33">
        <f t="shared" si="56"/>
        <v>64.545855246493133</v>
      </c>
      <c r="V92" s="33">
        <f t="shared" si="49"/>
        <v>10</v>
      </c>
      <c r="W92" s="33">
        <v>0</v>
      </c>
      <c r="X92" s="33">
        <f t="shared" si="50"/>
        <v>984.87475872396874</v>
      </c>
      <c r="Y92" s="38">
        <f t="shared" si="51"/>
        <v>807.83885691889066</v>
      </c>
      <c r="AA92" s="71">
        <v>87</v>
      </c>
      <c r="AB92" s="33">
        <f t="shared" si="52"/>
        <v>0</v>
      </c>
      <c r="AC92" s="305">
        <f t="shared" si="39"/>
        <v>0</v>
      </c>
      <c r="AD92" s="100">
        <f t="shared" si="53"/>
        <v>0</v>
      </c>
      <c r="AE92" s="100">
        <f t="shared" si="54"/>
        <v>0</v>
      </c>
      <c r="AF92" s="194">
        <f t="shared" si="67"/>
        <v>48.591829073241435</v>
      </c>
      <c r="AG92" s="194">
        <f t="shared" si="68"/>
        <v>0</v>
      </c>
      <c r="AH92" s="194">
        <f t="shared" si="69"/>
        <v>0</v>
      </c>
      <c r="AI92" s="199">
        <f t="shared" si="70"/>
        <v>48.591829073241435</v>
      </c>
      <c r="AK92" s="71">
        <v>87</v>
      </c>
      <c r="AL92" s="33"/>
      <c r="AM92" s="33"/>
      <c r="AN92" s="33"/>
      <c r="AO92" s="33"/>
      <c r="AP92" s="33"/>
      <c r="AQ92" s="194"/>
      <c r="AR92" s="194"/>
      <c r="AS92" s="194"/>
      <c r="AT92" s="194"/>
      <c r="AU92" s="33"/>
      <c r="AV92" s="33"/>
      <c r="AW92" s="33"/>
      <c r="AX92" s="33"/>
      <c r="AY92" s="76"/>
    </row>
    <row r="93" spans="2:51">
      <c r="B93" s="172">
        <f>IF(C47&lt;=$F$18,C47+1,"-")</f>
        <v>76</v>
      </c>
      <c r="C93" s="148">
        <f>D47-D48</f>
        <v>28</v>
      </c>
      <c r="D93" s="149">
        <v>0.9</v>
      </c>
      <c r="E93" s="362">
        <f t="shared" si="64"/>
        <v>0</v>
      </c>
      <c r="F93" s="362">
        <f t="shared" si="65"/>
        <v>0</v>
      </c>
      <c r="G93" s="150">
        <f t="shared" si="66"/>
        <v>9.9999999999999978E-2</v>
      </c>
      <c r="H93" s="58">
        <f t="shared" si="63"/>
        <v>0</v>
      </c>
      <c r="I93" s="55">
        <v>88</v>
      </c>
      <c r="J93" s="33">
        <f t="shared" si="57"/>
        <v>5</v>
      </c>
      <c r="K93" s="33">
        <f t="shared" si="58"/>
        <v>1.910565629709926</v>
      </c>
      <c r="L93" s="33">
        <f t="shared" si="59"/>
        <v>45</v>
      </c>
      <c r="M93" s="33">
        <f t="shared" si="60"/>
        <v>0</v>
      </c>
      <c r="N93" s="33">
        <f t="shared" si="46"/>
        <v>0</v>
      </c>
      <c r="O93" s="34">
        <f t="shared" si="47"/>
        <v>177.03590180507811</v>
      </c>
      <c r="P93" s="55">
        <v>88</v>
      </c>
      <c r="Q93" s="33">
        <f t="shared" si="55"/>
        <v>15.210000000000008</v>
      </c>
      <c r="R93" s="33">
        <f t="shared" si="61"/>
        <v>557.6999999999997</v>
      </c>
      <c r="S93" s="33">
        <f t="shared" si="62"/>
        <v>340.19699999999983</v>
      </c>
      <c r="T93" s="33">
        <f t="shared" si="48"/>
        <v>79.5406464968422</v>
      </c>
      <c r="U93" s="33">
        <f t="shared" si="56"/>
        <v>64.640472464325555</v>
      </c>
      <c r="V93" s="33">
        <f t="shared" si="49"/>
        <v>10</v>
      </c>
      <c r="W93" s="33">
        <v>0</v>
      </c>
      <c r="X93" s="33">
        <f t="shared" si="50"/>
        <v>1004.7248000178602</v>
      </c>
      <c r="Y93" s="38">
        <f t="shared" si="51"/>
        <v>827.68889821278208</v>
      </c>
      <c r="AA93" s="71">
        <v>88</v>
      </c>
      <c r="AB93" s="33">
        <f t="shared" si="52"/>
        <v>0</v>
      </c>
      <c r="AC93" s="305">
        <f t="shared" si="39"/>
        <v>0</v>
      </c>
      <c r="AD93" s="100">
        <f t="shared" si="53"/>
        <v>0</v>
      </c>
      <c r="AE93" s="100">
        <f t="shared" si="54"/>
        <v>0</v>
      </c>
      <c r="AF93" s="194">
        <f t="shared" si="67"/>
        <v>47.638972943204386</v>
      </c>
      <c r="AG93" s="194">
        <f t="shared" si="68"/>
        <v>0</v>
      </c>
      <c r="AH93" s="194">
        <f t="shared" si="69"/>
        <v>0</v>
      </c>
      <c r="AI93" s="199">
        <f t="shared" si="70"/>
        <v>47.638972943204386</v>
      </c>
      <c r="AK93" s="71">
        <v>88</v>
      </c>
      <c r="AL93" s="33"/>
      <c r="AM93" s="33"/>
      <c r="AN93" s="33"/>
      <c r="AO93" s="33"/>
      <c r="AP93" s="33"/>
      <c r="AQ93" s="194"/>
      <c r="AR93" s="194"/>
      <c r="AS93" s="194"/>
      <c r="AT93" s="194"/>
      <c r="AU93" s="33"/>
      <c r="AV93" s="33"/>
      <c r="AW93" s="33"/>
      <c r="AX93" s="33"/>
      <c r="AY93" s="76"/>
    </row>
    <row r="94" spans="2:51">
      <c r="B94" s="184">
        <f>F18</f>
        <v>135</v>
      </c>
      <c r="C94" s="181">
        <f>IFERROR(VLOOKUP(B94,C25:D78,2),)</f>
        <v>444</v>
      </c>
      <c r="D94" s="336">
        <v>0.95</v>
      </c>
      <c r="E94" s="337">
        <f t="shared" si="64"/>
        <v>0</v>
      </c>
      <c r="F94" s="337">
        <f t="shared" si="65"/>
        <v>0</v>
      </c>
      <c r="G94" s="151">
        <f t="shared" si="66"/>
        <v>5.0000000000000044E-2</v>
      </c>
      <c r="H94" s="58">
        <f t="shared" si="63"/>
        <v>0</v>
      </c>
      <c r="I94" s="55">
        <v>89</v>
      </c>
      <c r="J94" s="33">
        <f t="shared" si="57"/>
        <v>5</v>
      </c>
      <c r="K94" s="33">
        <f t="shared" si="58"/>
        <v>1.910565629709926</v>
      </c>
      <c r="L94" s="33">
        <f t="shared" si="59"/>
        <v>45</v>
      </c>
      <c r="M94" s="33">
        <f t="shared" si="60"/>
        <v>0</v>
      </c>
      <c r="N94" s="33">
        <f t="shared" si="46"/>
        <v>0</v>
      </c>
      <c r="O94" s="34">
        <f t="shared" si="47"/>
        <v>177.03590180507811</v>
      </c>
      <c r="P94" s="55">
        <v>89</v>
      </c>
      <c r="Q94" s="33">
        <f t="shared" si="55"/>
        <v>15.210000000000008</v>
      </c>
      <c r="R94" s="33">
        <f t="shared" si="61"/>
        <v>572.90999999999974</v>
      </c>
      <c r="S94" s="33">
        <f t="shared" si="62"/>
        <v>349.47509999999983</v>
      </c>
      <c r="T94" s="33">
        <f t="shared" si="48"/>
        <v>81.454419437636531</v>
      </c>
      <c r="U94" s="33">
        <f t="shared" si="56"/>
        <v>64.733448284960986</v>
      </c>
      <c r="V94" s="33">
        <f t="shared" si="49"/>
        <v>10</v>
      </c>
      <c r="W94" s="33">
        <v>0</v>
      </c>
      <c r="X94" s="33">
        <f t="shared" si="50"/>
        <v>1024.5582233987404</v>
      </c>
      <c r="Y94" s="38">
        <f t="shared" si="51"/>
        <v>847.52232159366235</v>
      </c>
      <c r="AA94" s="71">
        <v>89</v>
      </c>
      <c r="AB94" s="33">
        <f t="shared" si="52"/>
        <v>0</v>
      </c>
      <c r="AC94" s="305">
        <f t="shared" si="39"/>
        <v>0</v>
      </c>
      <c r="AD94" s="100">
        <f t="shared" si="53"/>
        <v>0</v>
      </c>
      <c r="AE94" s="100">
        <f t="shared" si="54"/>
        <v>0</v>
      </c>
      <c r="AF94" s="194">
        <f t="shared" si="67"/>
        <v>46.70480174069251</v>
      </c>
      <c r="AG94" s="194">
        <f t="shared" si="68"/>
        <v>0</v>
      </c>
      <c r="AH94" s="194">
        <f t="shared" si="69"/>
        <v>0</v>
      </c>
      <c r="AI94" s="199">
        <f t="shared" si="70"/>
        <v>46.70480174069251</v>
      </c>
      <c r="AK94" s="71">
        <v>89</v>
      </c>
      <c r="AL94" s="33"/>
      <c r="AM94" s="33"/>
      <c r="AN94" s="33"/>
      <c r="AO94" s="33"/>
      <c r="AP94" s="33"/>
      <c r="AQ94" s="194"/>
      <c r="AR94" s="194"/>
      <c r="AS94" s="194"/>
      <c r="AT94" s="194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7"/>
        <v>5</v>
      </c>
      <c r="K95" s="33">
        <f t="shared" si="58"/>
        <v>1.910565629709926</v>
      </c>
      <c r="L95" s="33">
        <f t="shared" si="59"/>
        <v>45</v>
      </c>
      <c r="M95" s="33">
        <f t="shared" si="60"/>
        <v>0</v>
      </c>
      <c r="N95" s="33">
        <f t="shared" si="46"/>
        <v>0</v>
      </c>
      <c r="O95" s="34">
        <f t="shared" si="47"/>
        <v>177.03590180507811</v>
      </c>
      <c r="P95" s="55">
        <v>90</v>
      </c>
      <c r="Q95" s="33">
        <f t="shared" si="55"/>
        <v>15.210000000000008</v>
      </c>
      <c r="R95" s="33">
        <f t="shared" si="61"/>
        <v>588.11999999999978</v>
      </c>
      <c r="S95" s="33">
        <f t="shared" si="62"/>
        <v>358.75319999999988</v>
      </c>
      <c r="T95" s="33">
        <f t="shared" si="48"/>
        <v>83.362286707455752</v>
      </c>
      <c r="U95" s="33">
        <f t="shared" si="56"/>
        <v>64.824811182971189</v>
      </c>
      <c r="V95" s="33">
        <f t="shared" si="49"/>
        <v>10</v>
      </c>
      <c r="W95" s="33">
        <v>0</v>
      </c>
      <c r="X95" s="33">
        <f t="shared" si="50"/>
        <v>1044.3754470197127</v>
      </c>
      <c r="Y95" s="38">
        <f t="shared" si="51"/>
        <v>867.33954521463465</v>
      </c>
      <c r="AA95" s="71">
        <v>90</v>
      </c>
      <c r="AB95" s="33">
        <f t="shared" si="52"/>
        <v>0</v>
      </c>
      <c r="AC95" s="305">
        <f t="shared" ref="AC95:AC158" si="71">IF(AA95&lt;=$F$18,IFERROR(VLOOKUP($AA95,$B$82:$G$94,3,FALSE),0),)*50%</f>
        <v>0</v>
      </c>
      <c r="AD95" s="100">
        <f t="shared" si="53"/>
        <v>0</v>
      </c>
      <c r="AE95" s="100">
        <f t="shared" si="54"/>
        <v>0</v>
      </c>
      <c r="AF95" s="194">
        <f t="shared" si="67"/>
        <v>45.788949065673719</v>
      </c>
      <c r="AG95" s="194">
        <f t="shared" si="68"/>
        <v>0</v>
      </c>
      <c r="AH95" s="194">
        <f t="shared" si="69"/>
        <v>0</v>
      </c>
      <c r="AI95" s="199">
        <f t="shared" si="70"/>
        <v>45.788949065673719</v>
      </c>
      <c r="AK95" s="71">
        <v>90</v>
      </c>
      <c r="AL95" s="33"/>
      <c r="AM95" s="33"/>
      <c r="AN95" s="33"/>
      <c r="AO95" s="33"/>
      <c r="AP95" s="33"/>
      <c r="AQ95" s="194"/>
      <c r="AR95" s="194"/>
      <c r="AS95" s="194"/>
      <c r="AT95" s="194"/>
      <c r="AU95" s="33"/>
      <c r="AV95" s="33"/>
      <c r="AW95" s="33"/>
      <c r="AX95" s="33"/>
      <c r="AY95" s="76"/>
    </row>
    <row r="96" spans="2:51">
      <c r="C96" s="67" t="s">
        <v>153</v>
      </c>
      <c r="D96" t="s">
        <v>136</v>
      </c>
      <c r="E96" s="6"/>
      <c r="I96" s="55">
        <v>91</v>
      </c>
      <c r="J96" s="33">
        <f t="shared" si="57"/>
        <v>5</v>
      </c>
      <c r="K96" s="33">
        <f t="shared" si="58"/>
        <v>1.910565629709926</v>
      </c>
      <c r="L96" s="33">
        <f t="shared" si="59"/>
        <v>45</v>
      </c>
      <c r="M96" s="33">
        <f t="shared" si="60"/>
        <v>0</v>
      </c>
      <c r="N96" s="33">
        <f t="shared" si="46"/>
        <v>0</v>
      </c>
      <c r="O96" s="34">
        <f t="shared" si="47"/>
        <v>177.03590180507811</v>
      </c>
      <c r="P96" s="55">
        <v>91</v>
      </c>
      <c r="Q96" s="33">
        <f t="shared" si="55"/>
        <v>-40.559999999999945</v>
      </c>
      <c r="R96" s="33">
        <f t="shared" si="61"/>
        <v>547.55999999999983</v>
      </c>
      <c r="S96" s="33">
        <f t="shared" si="62"/>
        <v>334.01159999999987</v>
      </c>
      <c r="T96" s="33">
        <f t="shared" si="48"/>
        <v>78.261428413244502</v>
      </c>
      <c r="U96" s="33">
        <f t="shared" si="56"/>
        <v>64.914589138957751</v>
      </c>
      <c r="V96" s="33">
        <f t="shared" si="49"/>
        <v>10</v>
      </c>
      <c r="W96" s="33">
        <v>0</v>
      </c>
      <c r="X96" s="33">
        <f t="shared" si="50"/>
        <v>992.72901799591239</v>
      </c>
      <c r="Y96" s="38">
        <f t="shared" si="51"/>
        <v>815.6931161908343</v>
      </c>
      <c r="AA96" s="71">
        <v>91</v>
      </c>
      <c r="AB96" s="33">
        <f t="shared" si="52"/>
        <v>0</v>
      </c>
      <c r="AC96" s="305">
        <f t="shared" si="71"/>
        <v>0</v>
      </c>
      <c r="AD96" s="100">
        <f t="shared" si="53"/>
        <v>0</v>
      </c>
      <c r="AE96" s="100">
        <f t="shared" si="54"/>
        <v>0</v>
      </c>
      <c r="AF96" s="194">
        <f t="shared" si="67"/>
        <v>44.891055702997079</v>
      </c>
      <c r="AG96" s="194">
        <f t="shared" si="68"/>
        <v>0</v>
      </c>
      <c r="AH96" s="194">
        <f t="shared" si="69"/>
        <v>0</v>
      </c>
      <c r="AI96" s="199">
        <f t="shared" si="70"/>
        <v>44.891055702997079</v>
      </c>
      <c r="AK96" s="71">
        <v>91</v>
      </c>
      <c r="AL96" s="33"/>
      <c r="AM96" s="33"/>
      <c r="AN96" s="33"/>
      <c r="AO96" s="33"/>
      <c r="AP96" s="33"/>
      <c r="AQ96" s="194"/>
      <c r="AR96" s="194"/>
      <c r="AS96" s="194"/>
      <c r="AT96" s="194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7"/>
        <v>5</v>
      </c>
      <c r="K97" s="33">
        <f t="shared" si="58"/>
        <v>1.910565629709926</v>
      </c>
      <c r="L97" s="33">
        <f t="shared" si="59"/>
        <v>45</v>
      </c>
      <c r="M97" s="33">
        <f t="shared" si="60"/>
        <v>0</v>
      </c>
      <c r="N97" s="33">
        <f t="shared" si="46"/>
        <v>0</v>
      </c>
      <c r="O97" s="34">
        <f t="shared" si="47"/>
        <v>177.03590180507811</v>
      </c>
      <c r="P97" s="55">
        <v>92</v>
      </c>
      <c r="Q97" s="33">
        <f t="shared" si="55"/>
        <v>14.819999999999993</v>
      </c>
      <c r="R97" s="33">
        <f t="shared" si="61"/>
        <v>562.37999999999988</v>
      </c>
      <c r="S97" s="33">
        <f t="shared" si="62"/>
        <v>343.0517999999999</v>
      </c>
      <c r="T97" s="33">
        <f t="shared" si="48"/>
        <v>80.130139336840585</v>
      </c>
      <c r="U97" s="33">
        <f t="shared" si="56"/>
        <v>65.002809648121385</v>
      </c>
      <c r="V97" s="33">
        <f t="shared" si="49"/>
        <v>10</v>
      </c>
      <c r="W97" s="33">
        <v>0</v>
      </c>
      <c r="X97" s="33">
        <f t="shared" si="50"/>
        <v>1012.0521797214423</v>
      </c>
      <c r="Y97" s="38">
        <f t="shared" si="51"/>
        <v>835.01627791636417</v>
      </c>
      <c r="AA97" s="71">
        <v>92</v>
      </c>
      <c r="AB97" s="33">
        <f t="shared" si="52"/>
        <v>0</v>
      </c>
      <c r="AC97" s="305">
        <f t="shared" si="71"/>
        <v>0</v>
      </c>
      <c r="AD97" s="100">
        <f t="shared" si="53"/>
        <v>0</v>
      </c>
      <c r="AE97" s="100">
        <f t="shared" si="54"/>
        <v>0</v>
      </c>
      <c r="AF97" s="194">
        <f t="shared" si="67"/>
        <v>44.010769481501654</v>
      </c>
      <c r="AG97" s="194">
        <f t="shared" si="68"/>
        <v>0</v>
      </c>
      <c r="AH97" s="194">
        <f t="shared" si="69"/>
        <v>0</v>
      </c>
      <c r="AI97" s="199">
        <f t="shared" si="70"/>
        <v>44.010769481501654</v>
      </c>
      <c r="AK97" s="71">
        <v>92</v>
      </c>
      <c r="AL97" s="33"/>
      <c r="AM97" s="33"/>
      <c r="AN97" s="33"/>
      <c r="AO97" s="33"/>
      <c r="AP97" s="33"/>
      <c r="AQ97" s="194"/>
      <c r="AR97" s="194"/>
      <c r="AS97" s="194"/>
      <c r="AT97" s="194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7"/>
        <v>5</v>
      </c>
      <c r="K98" s="33">
        <f t="shared" si="58"/>
        <v>1.910565629709926</v>
      </c>
      <c r="L98" s="33">
        <f t="shared" si="59"/>
        <v>45</v>
      </c>
      <c r="M98" s="33">
        <f t="shared" si="60"/>
        <v>0</v>
      </c>
      <c r="N98" s="33">
        <f t="shared" si="46"/>
        <v>0</v>
      </c>
      <c r="O98" s="34">
        <f t="shared" si="47"/>
        <v>177.03590180507811</v>
      </c>
      <c r="P98" s="55">
        <v>93</v>
      </c>
      <c r="Q98" s="33">
        <f t="shared" si="55"/>
        <v>14.819999999999993</v>
      </c>
      <c r="R98" s="33">
        <f t="shared" si="61"/>
        <v>577.19999999999982</v>
      </c>
      <c r="S98" s="33">
        <f t="shared" si="62"/>
        <v>352.09199999999987</v>
      </c>
      <c r="T98" s="33">
        <f t="shared" si="48"/>
        <v>81.993126246877907</v>
      </c>
      <c r="U98" s="33">
        <f t="shared" si="56"/>
        <v>65.08949972868254</v>
      </c>
      <c r="V98" s="33">
        <f t="shared" si="49"/>
        <v>10</v>
      </c>
      <c r="W98" s="33">
        <v>0</v>
      </c>
      <c r="X98" s="33">
        <f t="shared" si="50"/>
        <v>1031.3597605518146</v>
      </c>
      <c r="Y98" s="38">
        <f t="shared" si="51"/>
        <v>854.32385874673651</v>
      </c>
      <c r="AA98" s="71">
        <v>93</v>
      </c>
      <c r="AB98" s="33">
        <f t="shared" si="52"/>
        <v>0</v>
      </c>
      <c r="AC98" s="305">
        <f t="shared" si="71"/>
        <v>0</v>
      </c>
      <c r="AD98" s="100">
        <f t="shared" si="53"/>
        <v>0</v>
      </c>
      <c r="AE98" s="100">
        <f t="shared" si="54"/>
        <v>0</v>
      </c>
      <c r="AF98" s="194">
        <f t="shared" si="67"/>
        <v>43.147745135888172</v>
      </c>
      <c r="AG98" s="194">
        <f t="shared" si="68"/>
        <v>0</v>
      </c>
      <c r="AH98" s="194">
        <f t="shared" si="69"/>
        <v>0</v>
      </c>
      <c r="AI98" s="199">
        <f t="shared" si="70"/>
        <v>43.147745135888172</v>
      </c>
      <c r="AK98" s="71">
        <v>93</v>
      </c>
      <c r="AL98" s="33"/>
      <c r="AM98" s="33"/>
      <c r="AN98" s="33"/>
      <c r="AO98" s="33"/>
      <c r="AP98" s="33"/>
      <c r="AQ98" s="194"/>
      <c r="AR98" s="194"/>
      <c r="AS98" s="194"/>
      <c r="AT98" s="194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7"/>
        <v>5</v>
      </c>
      <c r="K99" s="33">
        <f t="shared" si="58"/>
        <v>1.910565629709926</v>
      </c>
      <c r="L99" s="33">
        <f t="shared" si="59"/>
        <v>45</v>
      </c>
      <c r="M99" s="33">
        <f t="shared" si="60"/>
        <v>0</v>
      </c>
      <c r="N99" s="33">
        <f t="shared" si="46"/>
        <v>0</v>
      </c>
      <c r="O99" s="34">
        <f t="shared" si="47"/>
        <v>177.03590180507811</v>
      </c>
      <c r="P99" s="55">
        <v>94</v>
      </c>
      <c r="Q99" s="33">
        <f t="shared" si="55"/>
        <v>14.819999999999993</v>
      </c>
      <c r="R99" s="33">
        <f t="shared" si="61"/>
        <v>592.01999999999975</v>
      </c>
      <c r="S99" s="33">
        <f t="shared" si="62"/>
        <v>361.13219999999984</v>
      </c>
      <c r="T99" s="33">
        <f t="shared" si="48"/>
        <v>83.850553009835536</v>
      </c>
      <c r="U99" s="33">
        <f t="shared" si="56"/>
        <v>65.17468593015596</v>
      </c>
      <c r="V99" s="33">
        <f t="shared" si="49"/>
        <v>10</v>
      </c>
      <c r="W99" s="33">
        <v>0</v>
      </c>
      <c r="X99" s="33">
        <f t="shared" si="50"/>
        <v>1050.652143236035</v>
      </c>
      <c r="Y99" s="38">
        <f t="shared" si="51"/>
        <v>873.61624143095696</v>
      </c>
      <c r="AA99" s="71">
        <v>94</v>
      </c>
      <c r="AB99" s="33">
        <f t="shared" si="52"/>
        <v>0</v>
      </c>
      <c r="AC99" s="305">
        <f t="shared" si="71"/>
        <v>0</v>
      </c>
      <c r="AD99" s="100">
        <f t="shared" si="53"/>
        <v>0</v>
      </c>
      <c r="AE99" s="100">
        <f t="shared" si="54"/>
        <v>0</v>
      </c>
      <c r="AF99" s="194">
        <f t="shared" si="67"/>
        <v>42.301644171299301</v>
      </c>
      <c r="AG99" s="194">
        <f t="shared" si="68"/>
        <v>0</v>
      </c>
      <c r="AH99" s="194">
        <f t="shared" si="69"/>
        <v>0</v>
      </c>
      <c r="AI99" s="199">
        <f t="shared" si="70"/>
        <v>42.301644171299301</v>
      </c>
      <c r="AK99" s="71">
        <v>94</v>
      </c>
      <c r="AL99" s="33"/>
      <c r="AM99" s="33"/>
      <c r="AN99" s="33"/>
      <c r="AO99" s="33"/>
      <c r="AP99" s="33"/>
      <c r="AQ99" s="194"/>
      <c r="AR99" s="194"/>
      <c r="AS99" s="194"/>
      <c r="AT99" s="194"/>
      <c r="AU99" s="33"/>
      <c r="AV99" s="33"/>
      <c r="AW99" s="33"/>
      <c r="AX99" s="33"/>
      <c r="AY99" s="76"/>
    </row>
    <row r="100" spans="2:51">
      <c r="B100" s="2" t="s">
        <v>134</v>
      </c>
      <c r="C100">
        <v>70</v>
      </c>
      <c r="D100">
        <v>0</v>
      </c>
      <c r="E100" s="6"/>
      <c r="I100" s="55">
        <v>95</v>
      </c>
      <c r="J100" s="33">
        <f t="shared" si="57"/>
        <v>5</v>
      </c>
      <c r="K100" s="33">
        <f t="shared" si="58"/>
        <v>1.910565629709926</v>
      </c>
      <c r="L100" s="33">
        <f t="shared" si="59"/>
        <v>45</v>
      </c>
      <c r="M100" s="33">
        <f t="shared" si="60"/>
        <v>0</v>
      </c>
      <c r="N100" s="33">
        <f t="shared" si="46"/>
        <v>0</v>
      </c>
      <c r="O100" s="34">
        <f t="shared" si="47"/>
        <v>177.03590180507811</v>
      </c>
      <c r="P100" s="55">
        <v>95</v>
      </c>
      <c r="Q100" s="33">
        <f t="shared" si="55"/>
        <v>14.819999999999993</v>
      </c>
      <c r="R100" s="33">
        <f t="shared" si="61"/>
        <v>606.83999999999969</v>
      </c>
      <c r="S100" s="33">
        <f t="shared" si="62"/>
        <v>370.17239999999981</v>
      </c>
      <c r="T100" s="33">
        <f t="shared" si="48"/>
        <v>85.702574820499791</v>
      </c>
      <c r="U100" s="33">
        <f t="shared" si="56"/>
        <v>65.258394341481619</v>
      </c>
      <c r="V100" s="33">
        <f t="shared" si="49"/>
        <v>10</v>
      </c>
      <c r="W100" s="33">
        <v>0</v>
      </c>
      <c r="X100" s="33">
        <f t="shared" si="50"/>
        <v>1069.9296937311358</v>
      </c>
      <c r="Y100" s="38">
        <f t="shared" si="51"/>
        <v>892.8937919260577</v>
      </c>
      <c r="AA100" s="71">
        <v>95</v>
      </c>
      <c r="AB100" s="33">
        <f t="shared" si="52"/>
        <v>0</v>
      </c>
      <c r="AC100" s="305">
        <f t="shared" si="71"/>
        <v>0</v>
      </c>
      <c r="AD100" s="100">
        <f t="shared" si="53"/>
        <v>0</v>
      </c>
      <c r="AE100" s="100">
        <f t="shared" si="54"/>
        <v>0</v>
      </c>
      <c r="AF100" s="194">
        <f t="shared" si="67"/>
        <v>41.472134730555382</v>
      </c>
      <c r="AG100" s="194">
        <f t="shared" si="68"/>
        <v>0</v>
      </c>
      <c r="AH100" s="194">
        <f t="shared" si="69"/>
        <v>0</v>
      </c>
      <c r="AI100" s="199">
        <f t="shared" si="70"/>
        <v>41.472134730555382</v>
      </c>
      <c r="AK100" s="71">
        <v>95</v>
      </c>
      <c r="AL100" s="33"/>
      <c r="AM100" s="33"/>
      <c r="AN100" s="33"/>
      <c r="AO100" s="33"/>
      <c r="AP100" s="33"/>
      <c r="AQ100" s="194"/>
      <c r="AR100" s="194"/>
      <c r="AS100" s="194"/>
      <c r="AT100" s="194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7"/>
        <v>5</v>
      </c>
      <c r="K101" s="33">
        <f t="shared" si="58"/>
        <v>1.910565629709926</v>
      </c>
      <c r="L101" s="33">
        <f t="shared" si="59"/>
        <v>45</v>
      </c>
      <c r="M101" s="33">
        <f t="shared" si="60"/>
        <v>0</v>
      </c>
      <c r="N101" s="33">
        <f t="shared" si="46"/>
        <v>0</v>
      </c>
      <c r="O101" s="34">
        <f t="shared" si="47"/>
        <v>177.03590180507811</v>
      </c>
      <c r="P101" s="55">
        <v>96</v>
      </c>
      <c r="Q101" s="33">
        <f t="shared" si="55"/>
        <v>-39</v>
      </c>
      <c r="R101" s="33">
        <f t="shared" si="61"/>
        <v>567.83999999999969</v>
      </c>
      <c r="S101" s="33">
        <f t="shared" si="62"/>
        <v>346.38239999999979</v>
      </c>
      <c r="T101" s="33">
        <f t="shared" si="48"/>
        <v>80.8171599950592</v>
      </c>
      <c r="U101" s="33">
        <f t="shared" si="56"/>
        <v>65.340650599014751</v>
      </c>
      <c r="V101" s="33">
        <f t="shared" si="49"/>
        <v>10</v>
      </c>
      <c r="W101" s="33">
        <v>0</v>
      </c>
      <c r="X101" s="33">
        <f t="shared" si="50"/>
        <v>1020.2882858544484</v>
      </c>
      <c r="Y101" s="38">
        <f t="shared" si="51"/>
        <v>843.25238404937033</v>
      </c>
      <c r="AA101" s="71">
        <v>96</v>
      </c>
      <c r="AB101" s="33">
        <f t="shared" si="52"/>
        <v>0</v>
      </c>
      <c r="AC101" s="305">
        <f t="shared" si="71"/>
        <v>0</v>
      </c>
      <c r="AD101" s="100">
        <f t="shared" si="53"/>
        <v>0</v>
      </c>
      <c r="AE101" s="100">
        <f t="shared" si="54"/>
        <v>0</v>
      </c>
      <c r="AF101" s="194">
        <f t="shared" si="67"/>
        <v>40.658891463993655</v>
      </c>
      <c r="AG101" s="194">
        <f t="shared" si="68"/>
        <v>0</v>
      </c>
      <c r="AH101" s="194">
        <f t="shared" si="69"/>
        <v>0</v>
      </c>
      <c r="AI101" s="199">
        <f t="shared" si="70"/>
        <v>40.658891463993655</v>
      </c>
      <c r="AK101" s="71">
        <v>96</v>
      </c>
      <c r="AL101" s="33"/>
      <c r="AM101" s="33"/>
      <c r="AN101" s="33"/>
      <c r="AO101" s="33"/>
      <c r="AP101" s="33"/>
      <c r="AQ101" s="194"/>
      <c r="AR101" s="194"/>
      <c r="AS101" s="194"/>
      <c r="AT101" s="194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7"/>
        <v>5</v>
      </c>
      <c r="K102" s="33">
        <f t="shared" si="58"/>
        <v>1.910565629709926</v>
      </c>
      <c r="L102" s="33">
        <f t="shared" si="59"/>
        <v>45</v>
      </c>
      <c r="M102" s="33">
        <f t="shared" si="60"/>
        <v>0</v>
      </c>
      <c r="N102" s="33">
        <f t="shared" si="46"/>
        <v>0</v>
      </c>
      <c r="O102" s="34">
        <f t="shared" si="47"/>
        <v>177.03590180507811</v>
      </c>
      <c r="P102" s="55">
        <v>97</v>
      </c>
      <c r="Q102" s="33">
        <f t="shared" si="55"/>
        <v>14.039999999999992</v>
      </c>
      <c r="R102" s="33">
        <f t="shared" si="61"/>
        <v>581.87999999999965</v>
      </c>
      <c r="S102" s="33">
        <f t="shared" si="62"/>
        <v>354.94679999999977</v>
      </c>
      <c r="T102" s="33">
        <f t="shared" si="48"/>
        <v>82.580275227245068</v>
      </c>
      <c r="U102" s="33">
        <f t="shared" si="56"/>
        <v>65.421479894377129</v>
      </c>
      <c r="V102" s="33">
        <f t="shared" si="49"/>
        <v>10</v>
      </c>
      <c r="W102" s="33">
        <v>0</v>
      </c>
      <c r="X102" s="33">
        <f t="shared" si="50"/>
        <v>1038.5717489668343</v>
      </c>
      <c r="Y102" s="38">
        <f t="shared" si="51"/>
        <v>861.53584716175624</v>
      </c>
      <c r="AA102" s="71">
        <v>97</v>
      </c>
      <c r="AB102" s="33">
        <f t="shared" si="52"/>
        <v>0</v>
      </c>
      <c r="AC102" s="305">
        <f t="shared" si="71"/>
        <v>0</v>
      </c>
      <c r="AD102" s="100">
        <f t="shared" si="53"/>
        <v>0</v>
      </c>
      <c r="AE102" s="100">
        <f t="shared" si="54"/>
        <v>0</v>
      </c>
      <c r="AF102" s="194">
        <f t="shared" si="67"/>
        <v>39.861595401859788</v>
      </c>
      <c r="AG102" s="194">
        <f t="shared" si="68"/>
        <v>0</v>
      </c>
      <c r="AH102" s="194">
        <f t="shared" si="69"/>
        <v>0</v>
      </c>
      <c r="AI102" s="199">
        <f t="shared" si="70"/>
        <v>39.861595401859788</v>
      </c>
      <c r="AK102" s="71">
        <v>97</v>
      </c>
      <c r="AL102" s="33"/>
      <c r="AM102" s="33"/>
      <c r="AN102" s="33"/>
      <c r="AO102" s="33"/>
      <c r="AP102" s="33"/>
      <c r="AQ102" s="194"/>
      <c r="AR102" s="194"/>
      <c r="AS102" s="194"/>
      <c r="AT102" s="194"/>
      <c r="AU102" s="33"/>
      <c r="AV102" s="33"/>
      <c r="AW102" s="33"/>
      <c r="AX102" s="33"/>
      <c r="AY102" s="76"/>
    </row>
    <row r="103" spans="2:51" ht="16">
      <c r="C103" s="25" t="s">
        <v>156</v>
      </c>
      <c r="D103" s="157" t="s">
        <v>157</v>
      </c>
      <c r="F103" s="190" t="s">
        <v>231</v>
      </c>
      <c r="I103" s="55">
        <v>98</v>
      </c>
      <c r="J103" s="33">
        <f t="shared" si="57"/>
        <v>5</v>
      </c>
      <c r="K103" s="33">
        <f t="shared" si="58"/>
        <v>1.910565629709926</v>
      </c>
      <c r="L103" s="33">
        <f t="shared" si="59"/>
        <v>45</v>
      </c>
      <c r="M103" s="33">
        <f t="shared" si="60"/>
        <v>0</v>
      </c>
      <c r="N103" s="33">
        <f t="shared" si="46"/>
        <v>0</v>
      </c>
      <c r="O103" s="34">
        <f t="shared" si="47"/>
        <v>177.03590180507811</v>
      </c>
      <c r="P103" s="55">
        <v>98</v>
      </c>
      <c r="Q103" s="33">
        <f t="shared" si="55"/>
        <v>14.039999999999992</v>
      </c>
      <c r="R103" s="33">
        <f t="shared" si="61"/>
        <v>595.91999999999962</v>
      </c>
      <c r="S103" s="33">
        <f t="shared" si="62"/>
        <v>363.51119999999975</v>
      </c>
      <c r="T103" s="33">
        <f t="shared" si="48"/>
        <v>84.338445051031783</v>
      </c>
      <c r="U103" s="33">
        <f t="shared" si="56"/>
        <v>65.500906982172197</v>
      </c>
      <c r="V103" s="33">
        <f t="shared" si="49"/>
        <v>10</v>
      </c>
      <c r="W103" s="33">
        <v>0</v>
      </c>
      <c r="X103" s="33">
        <f t="shared" si="50"/>
        <v>1056.8414573985112</v>
      </c>
      <c r="Y103" s="38">
        <f t="shared" si="51"/>
        <v>879.80555559343316</v>
      </c>
      <c r="AA103" s="71">
        <v>98</v>
      </c>
      <c r="AB103" s="33">
        <f t="shared" si="52"/>
        <v>0</v>
      </c>
      <c r="AC103" s="305">
        <f t="shared" si="71"/>
        <v>0</v>
      </c>
      <c r="AD103" s="100">
        <f t="shared" si="53"/>
        <v>0</v>
      </c>
      <c r="AE103" s="100">
        <f t="shared" si="54"/>
        <v>0</v>
      </c>
      <c r="AF103" s="194">
        <f t="shared" si="67"/>
        <v>39.079933829201785</v>
      </c>
      <c r="AG103" s="194">
        <f t="shared" si="68"/>
        <v>0</v>
      </c>
      <c r="AH103" s="194">
        <f t="shared" si="69"/>
        <v>0</v>
      </c>
      <c r="AI103" s="199">
        <f t="shared" si="70"/>
        <v>39.079933829201785</v>
      </c>
      <c r="AK103" s="71">
        <v>98</v>
      </c>
      <c r="AL103" s="33"/>
      <c r="AM103" s="33"/>
      <c r="AN103" s="33"/>
      <c r="AO103" s="33"/>
      <c r="AP103" s="33"/>
      <c r="AQ103" s="194"/>
      <c r="AR103" s="194"/>
      <c r="AS103" s="194"/>
      <c r="AT103" s="194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9" t="s">
        <v>227</v>
      </c>
      <c r="G104" s="24">
        <v>0.25</v>
      </c>
      <c r="I104" s="55">
        <v>99</v>
      </c>
      <c r="J104" s="33">
        <f t="shared" si="57"/>
        <v>5</v>
      </c>
      <c r="K104" s="33">
        <f t="shared" si="58"/>
        <v>1.910565629709926</v>
      </c>
      <c r="L104" s="33">
        <f t="shared" si="59"/>
        <v>45</v>
      </c>
      <c r="M104" s="33">
        <f t="shared" si="60"/>
        <v>0</v>
      </c>
      <c r="N104" s="33">
        <f t="shared" si="46"/>
        <v>0</v>
      </c>
      <c r="O104" s="34">
        <f t="shared" si="47"/>
        <v>177.03590180507811</v>
      </c>
      <c r="P104" s="55">
        <v>99</v>
      </c>
      <c r="Q104" s="33">
        <f t="shared" si="55"/>
        <v>14.039999999999992</v>
      </c>
      <c r="R104" s="33">
        <f t="shared" si="61"/>
        <v>609.95999999999958</v>
      </c>
      <c r="S104" s="33">
        <f t="shared" si="62"/>
        <v>372.07559999999972</v>
      </c>
      <c r="T104" s="33">
        <f t="shared" si="48"/>
        <v>86.091799389706509</v>
      </c>
      <c r="U104" s="33">
        <f t="shared" si="56"/>
        <v>65.578956187566391</v>
      </c>
      <c r="V104" s="33">
        <f t="shared" si="49"/>
        <v>10</v>
      </c>
      <c r="W104" s="33">
        <v>0</v>
      </c>
      <c r="X104" s="33">
        <f t="shared" si="50"/>
        <v>1075.0977266248153</v>
      </c>
      <c r="Y104" s="38">
        <f t="shared" si="51"/>
        <v>898.06182481973724</v>
      </c>
      <c r="AA104" s="71">
        <v>99</v>
      </c>
      <c r="AB104" s="33">
        <f t="shared" si="52"/>
        <v>0</v>
      </c>
      <c r="AC104" s="305">
        <f t="shared" si="71"/>
        <v>0</v>
      </c>
      <c r="AD104" s="100">
        <f t="shared" si="53"/>
        <v>0</v>
      </c>
      <c r="AE104" s="100">
        <f t="shared" si="54"/>
        <v>0</v>
      </c>
      <c r="AF104" s="194">
        <f t="shared" si="67"/>
        <v>38.313600163217124</v>
      </c>
      <c r="AG104" s="194">
        <f t="shared" si="68"/>
        <v>0</v>
      </c>
      <c r="AH104" s="194">
        <f t="shared" si="69"/>
        <v>0</v>
      </c>
      <c r="AI104" s="199">
        <f t="shared" si="70"/>
        <v>38.313600163217124</v>
      </c>
      <c r="AK104" s="71">
        <v>99</v>
      </c>
      <c r="AL104" s="33"/>
      <c r="AM104" s="33"/>
      <c r="AN104" s="33"/>
      <c r="AO104" s="33"/>
      <c r="AP104" s="33"/>
      <c r="AQ104" s="194"/>
      <c r="AR104" s="194"/>
      <c r="AS104" s="194"/>
      <c r="AT104" s="194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9" t="s">
        <v>229</v>
      </c>
      <c r="G105" s="24">
        <v>1.03</v>
      </c>
      <c r="I105" s="55">
        <v>100</v>
      </c>
      <c r="J105" s="33">
        <f t="shared" si="57"/>
        <v>5</v>
      </c>
      <c r="K105" s="33">
        <f t="shared" si="58"/>
        <v>1.910565629709926</v>
      </c>
      <c r="L105" s="33">
        <f t="shared" si="59"/>
        <v>45</v>
      </c>
      <c r="M105" s="33">
        <f t="shared" si="60"/>
        <v>0</v>
      </c>
      <c r="N105" s="33">
        <f t="shared" si="46"/>
        <v>0</v>
      </c>
      <c r="O105" s="34">
        <f t="shared" si="47"/>
        <v>177.03590180507811</v>
      </c>
      <c r="P105" s="55">
        <v>100</v>
      </c>
      <c r="Q105" s="33">
        <f t="shared" si="55"/>
        <v>14.039999999999992</v>
      </c>
      <c r="R105" s="33">
        <f t="shared" si="61"/>
        <v>623.99999999999955</v>
      </c>
      <c r="S105" s="33">
        <f t="shared" si="62"/>
        <v>380.6399999999997</v>
      </c>
      <c r="T105" s="33">
        <f t="shared" si="48"/>
        <v>87.840461844123169</v>
      </c>
      <c r="U105" s="33">
        <f t="shared" si="56"/>
        <v>65.655651413738866</v>
      </c>
      <c r="V105" s="33">
        <f t="shared" si="49"/>
        <v>10</v>
      </c>
      <c r="W105" s="33">
        <v>0</v>
      </c>
      <c r="X105" s="33">
        <f t="shared" si="50"/>
        <v>1093.3408595622234</v>
      </c>
      <c r="Y105" s="38">
        <f t="shared" si="51"/>
        <v>916.3049577571453</v>
      </c>
      <c r="AA105" s="71">
        <v>100</v>
      </c>
      <c r="AB105" s="33">
        <f t="shared" si="52"/>
        <v>0</v>
      </c>
      <c r="AC105" s="305">
        <f t="shared" si="71"/>
        <v>0</v>
      </c>
      <c r="AD105" s="100">
        <f t="shared" si="53"/>
        <v>0</v>
      </c>
      <c r="AE105" s="100">
        <f t="shared" si="54"/>
        <v>0</v>
      </c>
      <c r="AF105" s="194">
        <f t="shared" si="67"/>
        <v>37.562293833005043</v>
      </c>
      <c r="AG105" s="194">
        <f t="shared" si="68"/>
        <v>0</v>
      </c>
      <c r="AH105" s="194">
        <f t="shared" si="69"/>
        <v>0</v>
      </c>
      <c r="AI105" s="199">
        <f t="shared" si="70"/>
        <v>37.562293833005043</v>
      </c>
      <c r="AK105" s="71">
        <v>100</v>
      </c>
      <c r="AL105" s="33"/>
      <c r="AM105" s="33"/>
      <c r="AN105" s="33"/>
      <c r="AO105" s="33"/>
      <c r="AP105" s="33"/>
      <c r="AQ105" s="194"/>
      <c r="AR105" s="194"/>
      <c r="AS105" s="194"/>
      <c r="AT105" s="194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9" t="s">
        <v>230</v>
      </c>
      <c r="G106" s="24">
        <v>0.59</v>
      </c>
      <c r="I106" s="55">
        <v>101</v>
      </c>
      <c r="J106" s="33">
        <f t="shared" si="57"/>
        <v>5</v>
      </c>
      <c r="K106" s="33">
        <f t="shared" si="58"/>
        <v>1.910565629709926</v>
      </c>
      <c r="L106" s="33">
        <f t="shared" si="59"/>
        <v>45</v>
      </c>
      <c r="M106" s="33">
        <f t="shared" si="60"/>
        <v>0</v>
      </c>
      <c r="N106" s="33">
        <f t="shared" si="46"/>
        <v>0</v>
      </c>
      <c r="O106" s="34">
        <f t="shared" si="47"/>
        <v>177.03590180507811</v>
      </c>
      <c r="P106" s="55">
        <v>101</v>
      </c>
      <c r="Q106" s="33">
        <f t="shared" si="55"/>
        <v>-37.439999999999941</v>
      </c>
      <c r="R106" s="33">
        <f t="shared" si="61"/>
        <v>586.5599999999996</v>
      </c>
      <c r="S106" s="33">
        <f t="shared" si="62"/>
        <v>357.80159999999972</v>
      </c>
      <c r="T106" s="33">
        <f t="shared" si="48"/>
        <v>83.16687477378926</v>
      </c>
      <c r="U106" s="33">
        <f t="shared" si="56"/>
        <v>65.731016149202105</v>
      </c>
      <c r="V106" s="33">
        <f t="shared" si="49"/>
        <v>10</v>
      </c>
      <c r="W106" s="33">
        <v>0</v>
      </c>
      <c r="X106" s="33">
        <f t="shared" si="50"/>
        <v>1045.7004861114235</v>
      </c>
      <c r="Y106" s="38">
        <f t="shared" si="51"/>
        <v>868.66458430634543</v>
      </c>
      <c r="AA106" s="71">
        <v>101</v>
      </c>
      <c r="AB106" s="33">
        <f t="shared" si="52"/>
        <v>0</v>
      </c>
      <c r="AC106" s="305">
        <f t="shared" si="71"/>
        <v>0</v>
      </c>
      <c r="AD106" s="100">
        <f t="shared" si="53"/>
        <v>0</v>
      </c>
      <c r="AE106" s="100">
        <f t="shared" si="54"/>
        <v>0</v>
      </c>
      <c r="AF106" s="194">
        <f t="shared" si="67"/>
        <v>36.825720161676806</v>
      </c>
      <c r="AG106" s="194">
        <f t="shared" si="68"/>
        <v>0</v>
      </c>
      <c r="AH106" s="194">
        <f t="shared" si="69"/>
        <v>0</v>
      </c>
      <c r="AI106" s="199">
        <f t="shared" si="70"/>
        <v>36.825720161676806</v>
      </c>
      <c r="AK106" s="71">
        <v>101</v>
      </c>
      <c r="AL106" s="33"/>
      <c r="AM106" s="33"/>
      <c r="AN106" s="33"/>
      <c r="AO106" s="33"/>
      <c r="AP106" s="33"/>
      <c r="AQ106" s="194"/>
      <c r="AR106" s="194"/>
      <c r="AS106" s="194"/>
      <c r="AT106" s="194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9" t="s">
        <v>228</v>
      </c>
      <c r="G107" s="24">
        <v>0.43</v>
      </c>
      <c r="I107" s="55">
        <v>102</v>
      </c>
      <c r="J107" s="33">
        <f t="shared" si="57"/>
        <v>5</v>
      </c>
      <c r="K107" s="33">
        <f t="shared" si="58"/>
        <v>1.910565629709926</v>
      </c>
      <c r="L107" s="33">
        <f t="shared" si="59"/>
        <v>45</v>
      </c>
      <c r="M107" s="33">
        <f t="shared" si="60"/>
        <v>0</v>
      </c>
      <c r="N107" s="33">
        <f t="shared" si="46"/>
        <v>0</v>
      </c>
      <c r="O107" s="34">
        <f t="shared" si="47"/>
        <v>177.03590180507811</v>
      </c>
      <c r="P107" s="55">
        <v>102</v>
      </c>
      <c r="Q107" s="33">
        <f t="shared" si="55"/>
        <v>12.870000000000005</v>
      </c>
      <c r="R107" s="33">
        <f t="shared" si="61"/>
        <v>599.42999999999961</v>
      </c>
      <c r="S107" s="33">
        <f t="shared" si="62"/>
        <v>365.65229999999974</v>
      </c>
      <c r="T107" s="33">
        <f t="shared" si="48"/>
        <v>84.777230154778351</v>
      </c>
      <c r="U107" s="33">
        <f t="shared" si="56"/>
        <v>65.805073474995353</v>
      </c>
      <c r="V107" s="33">
        <f t="shared" si="49"/>
        <v>10</v>
      </c>
      <c r="W107" s="33">
        <v>0</v>
      </c>
      <c r="X107" s="33">
        <f t="shared" si="50"/>
        <v>1062.4500344278879</v>
      </c>
      <c r="Y107" s="38">
        <f t="shared" si="51"/>
        <v>885.4141326228098</v>
      </c>
      <c r="AA107" s="71">
        <v>102</v>
      </c>
      <c r="AB107" s="33">
        <f t="shared" si="52"/>
        <v>0</v>
      </c>
      <c r="AC107" s="305">
        <f t="shared" si="71"/>
        <v>0</v>
      </c>
      <c r="AD107" s="100">
        <f t="shared" si="53"/>
        <v>0</v>
      </c>
      <c r="AE107" s="100">
        <f t="shared" si="54"/>
        <v>0</v>
      </c>
      <c r="AF107" s="194">
        <f t="shared" si="67"/>
        <v>36.103590250777735</v>
      </c>
      <c r="AG107" s="194">
        <f t="shared" si="68"/>
        <v>0</v>
      </c>
      <c r="AH107" s="194">
        <f t="shared" si="69"/>
        <v>0</v>
      </c>
      <c r="AI107" s="199">
        <f t="shared" si="70"/>
        <v>36.103590250777735</v>
      </c>
      <c r="AK107" s="71">
        <v>102</v>
      </c>
      <c r="AL107" s="33"/>
      <c r="AM107" s="33"/>
      <c r="AN107" s="33"/>
      <c r="AO107" s="33"/>
      <c r="AP107" s="33"/>
      <c r="AQ107" s="194"/>
      <c r="AR107" s="194"/>
      <c r="AS107" s="194"/>
      <c r="AT107" s="194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1" t="s">
        <v>232</v>
      </c>
      <c r="G108" s="192">
        <f>VLOOKUP(VLOOKUP(F17,C131:E195,3,FALSE),F104:G107,2,FALSE)</f>
        <v>0.25</v>
      </c>
      <c r="I108" s="55">
        <v>103</v>
      </c>
      <c r="J108" s="33">
        <f t="shared" si="57"/>
        <v>5</v>
      </c>
      <c r="K108" s="33">
        <f t="shared" si="58"/>
        <v>1.910565629709926</v>
      </c>
      <c r="L108" s="33">
        <f t="shared" si="59"/>
        <v>45</v>
      </c>
      <c r="M108" s="33">
        <f t="shared" si="60"/>
        <v>0</v>
      </c>
      <c r="N108" s="33">
        <f t="shared" si="46"/>
        <v>0</v>
      </c>
      <c r="O108" s="34">
        <f t="shared" si="47"/>
        <v>177.03590180507811</v>
      </c>
      <c r="P108" s="55">
        <v>103</v>
      </c>
      <c r="Q108" s="33">
        <f t="shared" si="55"/>
        <v>12.870000000000005</v>
      </c>
      <c r="R108" s="33">
        <f t="shared" si="61"/>
        <v>612.29999999999961</v>
      </c>
      <c r="S108" s="33">
        <f t="shared" si="62"/>
        <v>373.50299999999976</v>
      </c>
      <c r="T108" s="33">
        <f t="shared" si="48"/>
        <v>86.38356570768353</v>
      </c>
      <c r="U108" s="33">
        <f t="shared" si="56"/>
        <v>65.877846071753467</v>
      </c>
      <c r="V108" s="33">
        <f t="shared" si="49"/>
        <v>10</v>
      </c>
      <c r="W108" s="33">
        <v>0</v>
      </c>
      <c r="X108" s="33">
        <f t="shared" si="50"/>
        <v>1079.1878708706445</v>
      </c>
      <c r="Y108" s="38">
        <f t="shared" si="51"/>
        <v>902.15196906556639</v>
      </c>
      <c r="AA108" s="71">
        <v>103</v>
      </c>
      <c r="AB108" s="33">
        <f t="shared" si="52"/>
        <v>0</v>
      </c>
      <c r="AC108" s="305">
        <f t="shared" si="71"/>
        <v>0</v>
      </c>
      <c r="AD108" s="100">
        <f t="shared" si="53"/>
        <v>0</v>
      </c>
      <c r="AE108" s="100">
        <f t="shared" si="54"/>
        <v>0</v>
      </c>
      <c r="AF108" s="194">
        <f t="shared" si="67"/>
        <v>35.395620866975641</v>
      </c>
      <c r="AG108" s="194">
        <f t="shared" si="68"/>
        <v>0</v>
      </c>
      <c r="AH108" s="194">
        <f t="shared" si="69"/>
        <v>0</v>
      </c>
      <c r="AI108" s="199">
        <f t="shared" si="70"/>
        <v>35.395620866975641</v>
      </c>
      <c r="AK108" s="71">
        <v>103</v>
      </c>
      <c r="AL108" s="33"/>
      <c r="AM108" s="33"/>
      <c r="AN108" s="33"/>
      <c r="AO108" s="33"/>
      <c r="AP108" s="33"/>
      <c r="AQ108" s="194"/>
      <c r="AR108" s="194"/>
      <c r="AS108" s="194"/>
      <c r="AT108" s="194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7"/>
        <v>5</v>
      </c>
      <c r="K109" s="33">
        <f t="shared" si="58"/>
        <v>1.910565629709926</v>
      </c>
      <c r="L109" s="33">
        <f t="shared" si="59"/>
        <v>45</v>
      </c>
      <c r="M109" s="33">
        <f t="shared" si="60"/>
        <v>0</v>
      </c>
      <c r="N109" s="33">
        <f t="shared" si="46"/>
        <v>0</v>
      </c>
      <c r="O109" s="34">
        <f t="shared" si="47"/>
        <v>177.03590180507811</v>
      </c>
      <c r="P109" s="55">
        <v>104</v>
      </c>
      <c r="Q109" s="33">
        <f t="shared" si="55"/>
        <v>12.870000000000005</v>
      </c>
      <c r="R109" s="33">
        <f t="shared" si="61"/>
        <v>625.16999999999962</v>
      </c>
      <c r="S109" s="33">
        <f t="shared" si="62"/>
        <v>381.35369999999978</v>
      </c>
      <c r="T109" s="33">
        <f t="shared" si="48"/>
        <v>87.985975659426501</v>
      </c>
      <c r="U109" s="33">
        <f t="shared" si="56"/>
        <v>65.949356226652981</v>
      </c>
      <c r="V109" s="33">
        <f t="shared" si="49"/>
        <v>10</v>
      </c>
      <c r="W109" s="33">
        <v>0</v>
      </c>
      <c r="X109" s="33">
        <f t="shared" si="50"/>
        <v>1095.9142412712283</v>
      </c>
      <c r="Y109" s="38">
        <f t="shared" si="51"/>
        <v>918.87833946615024</v>
      </c>
      <c r="AA109" s="71">
        <v>104</v>
      </c>
      <c r="AB109" s="33">
        <f t="shared" si="52"/>
        <v>0</v>
      </c>
      <c r="AC109" s="305">
        <f t="shared" si="71"/>
        <v>0</v>
      </c>
      <c r="AD109" s="100">
        <f t="shared" si="53"/>
        <v>0</v>
      </c>
      <c r="AE109" s="100">
        <f t="shared" si="54"/>
        <v>0</v>
      </c>
      <c r="AF109" s="194">
        <f t="shared" si="67"/>
        <v>34.701534330971221</v>
      </c>
      <c r="AG109" s="194">
        <f t="shared" si="68"/>
        <v>0</v>
      </c>
      <c r="AH109" s="194">
        <f t="shared" si="69"/>
        <v>0</v>
      </c>
      <c r="AI109" s="199">
        <f t="shared" si="70"/>
        <v>34.701534330971221</v>
      </c>
      <c r="AK109" s="71">
        <v>104</v>
      </c>
      <c r="AL109" s="33"/>
      <c r="AM109" s="33"/>
      <c r="AN109" s="33"/>
      <c r="AO109" s="33"/>
      <c r="AP109" s="33"/>
      <c r="AQ109" s="194"/>
      <c r="AR109" s="194"/>
      <c r="AS109" s="194"/>
      <c r="AT109" s="194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7"/>
        <v>5</v>
      </c>
      <c r="K110" s="33">
        <f t="shared" si="58"/>
        <v>1.910565629709926</v>
      </c>
      <c r="L110" s="33">
        <f t="shared" si="59"/>
        <v>45</v>
      </c>
      <c r="M110" s="33">
        <f t="shared" si="60"/>
        <v>0</v>
      </c>
      <c r="N110" s="33">
        <f t="shared" si="46"/>
        <v>0</v>
      </c>
      <c r="O110" s="34">
        <f t="shared" si="47"/>
        <v>177.03590180507811</v>
      </c>
      <c r="P110" s="55">
        <v>105</v>
      </c>
      <c r="Q110" s="33">
        <f t="shared" si="55"/>
        <v>12.870000000000005</v>
      </c>
      <c r="R110" s="33">
        <f t="shared" si="61"/>
        <v>638.03999999999962</v>
      </c>
      <c r="S110" s="33">
        <f t="shared" si="62"/>
        <v>389.20439999999974</v>
      </c>
      <c r="T110" s="33">
        <f t="shared" si="48"/>
        <v>89.584550135595862</v>
      </c>
      <c r="U110" s="33">
        <f t="shared" si="56"/>
        <v>66.019625840237751</v>
      </c>
      <c r="V110" s="33">
        <f t="shared" si="49"/>
        <v>10</v>
      </c>
      <c r="W110" s="33">
        <v>0</v>
      </c>
      <c r="X110" s="33">
        <f t="shared" si="50"/>
        <v>1112.6293829003673</v>
      </c>
      <c r="Y110" s="38">
        <f t="shared" si="51"/>
        <v>935.59348109528923</v>
      </c>
      <c r="AA110" s="71">
        <v>105</v>
      </c>
      <c r="AB110" s="33">
        <f t="shared" si="52"/>
        <v>0</v>
      </c>
      <c r="AC110" s="305">
        <f t="shared" si="71"/>
        <v>0</v>
      </c>
      <c r="AD110" s="100">
        <f t="shared" si="53"/>
        <v>0</v>
      </c>
      <c r="AE110" s="100">
        <f t="shared" si="54"/>
        <v>0</v>
      </c>
      <c r="AF110" s="194">
        <f t="shared" si="67"/>
        <v>34.02105840858686</v>
      </c>
      <c r="AG110" s="194">
        <f t="shared" si="68"/>
        <v>0</v>
      </c>
      <c r="AH110" s="194">
        <f t="shared" si="69"/>
        <v>0</v>
      </c>
      <c r="AI110" s="199">
        <f t="shared" si="70"/>
        <v>34.02105840858686</v>
      </c>
      <c r="AK110" s="71">
        <v>105</v>
      </c>
      <c r="AL110" s="33"/>
      <c r="AM110" s="33"/>
      <c r="AN110" s="33"/>
      <c r="AO110" s="33"/>
      <c r="AP110" s="33"/>
      <c r="AQ110" s="194"/>
      <c r="AR110" s="194"/>
      <c r="AS110" s="194"/>
      <c r="AT110" s="194"/>
      <c r="AU110" s="33"/>
      <c r="AV110" s="33"/>
      <c r="AW110" s="33"/>
      <c r="AX110" s="33"/>
      <c r="AY110" s="76"/>
    </row>
    <row r="111" spans="2:51">
      <c r="C111" s="157" t="s">
        <v>168</v>
      </c>
      <c r="D111" s="157"/>
      <c r="E111" s="157"/>
      <c r="I111" s="55">
        <v>106</v>
      </c>
      <c r="J111" s="33">
        <f t="shared" si="57"/>
        <v>5</v>
      </c>
      <c r="K111" s="33">
        <f t="shared" si="58"/>
        <v>1.910565629709926</v>
      </c>
      <c r="L111" s="33">
        <f t="shared" si="59"/>
        <v>45</v>
      </c>
      <c r="M111" s="33">
        <f t="shared" si="60"/>
        <v>0</v>
      </c>
      <c r="N111" s="33">
        <f t="shared" si="46"/>
        <v>0</v>
      </c>
      <c r="O111" s="34">
        <f t="shared" si="47"/>
        <v>177.03590180507811</v>
      </c>
      <c r="P111" s="55">
        <v>106</v>
      </c>
      <c r="Q111" s="33">
        <f t="shared" si="55"/>
        <v>-35.880000000000109</v>
      </c>
      <c r="R111" s="33">
        <f t="shared" si="61"/>
        <v>602.15999999999951</v>
      </c>
      <c r="S111" s="33">
        <f t="shared" si="62"/>
        <v>367.31759999999969</v>
      </c>
      <c r="T111" s="33">
        <f t="shared" si="48"/>
        <v>85.118300662289698</v>
      </c>
      <c r="U111" s="33">
        <f t="shared" si="56"/>
        <v>66.088676433126125</v>
      </c>
      <c r="V111" s="33">
        <f t="shared" si="49"/>
        <v>10</v>
      </c>
      <c r="W111" s="33">
        <v>0</v>
      </c>
      <c r="X111" s="33">
        <f t="shared" si="50"/>
        <v>1066.9843405749498</v>
      </c>
      <c r="Y111" s="38">
        <f t="shared" si="51"/>
        <v>889.9484387698717</v>
      </c>
      <c r="AA111" s="71">
        <v>106</v>
      </c>
      <c r="AB111" s="33">
        <f t="shared" si="52"/>
        <v>0</v>
      </c>
      <c r="AC111" s="305">
        <f t="shared" si="71"/>
        <v>0</v>
      </c>
      <c r="AD111" s="100">
        <f t="shared" si="53"/>
        <v>0</v>
      </c>
      <c r="AE111" s="100">
        <f t="shared" si="54"/>
        <v>0</v>
      </c>
      <c r="AF111" s="194">
        <f t="shared" si="67"/>
        <v>33.353926203991129</v>
      </c>
      <c r="AG111" s="194">
        <f t="shared" si="68"/>
        <v>0</v>
      </c>
      <c r="AH111" s="194">
        <f t="shared" si="69"/>
        <v>0</v>
      </c>
      <c r="AI111" s="199">
        <f t="shared" si="70"/>
        <v>33.353926203991129</v>
      </c>
      <c r="AK111" s="71">
        <v>106</v>
      </c>
      <c r="AL111" s="33"/>
      <c r="AM111" s="33"/>
      <c r="AN111" s="33"/>
      <c r="AO111" s="33"/>
      <c r="AP111" s="33"/>
      <c r="AQ111" s="194"/>
      <c r="AR111" s="194"/>
      <c r="AS111" s="194"/>
      <c r="AT111" s="194"/>
      <c r="AU111" s="33"/>
      <c r="AV111" s="33"/>
      <c r="AW111" s="33"/>
      <c r="AX111" s="33"/>
      <c r="AY111" s="76"/>
    </row>
    <row r="112" spans="2:51">
      <c r="C112" s="74" t="s">
        <v>144</v>
      </c>
      <c r="D112" s="74" t="s">
        <v>72</v>
      </c>
      <c r="E112" s="74" t="s">
        <v>165</v>
      </c>
      <c r="I112" s="55">
        <v>107</v>
      </c>
      <c r="J112" s="33">
        <f t="shared" si="57"/>
        <v>5</v>
      </c>
      <c r="K112" s="33">
        <f t="shared" si="58"/>
        <v>1.910565629709926</v>
      </c>
      <c r="L112" s="33">
        <f t="shared" si="59"/>
        <v>45</v>
      </c>
      <c r="M112" s="33">
        <f t="shared" si="60"/>
        <v>0</v>
      </c>
      <c r="N112" s="33">
        <f t="shared" si="46"/>
        <v>0</v>
      </c>
      <c r="O112" s="34">
        <f t="shared" si="47"/>
        <v>177.03590180507811</v>
      </c>
      <c r="P112" s="55">
        <v>107</v>
      </c>
      <c r="Q112" s="33">
        <f t="shared" si="55"/>
        <v>12.480000000000018</v>
      </c>
      <c r="R112" s="33">
        <f t="shared" si="61"/>
        <v>614.63999999999953</v>
      </c>
      <c r="S112" s="33">
        <f t="shared" si="62"/>
        <v>374.93039999999968</v>
      </c>
      <c r="T112" s="33">
        <f t="shared" si="48"/>
        <v>86.675202264638159</v>
      </c>
      <c r="U112" s="33">
        <f t="shared" si="56"/>
        <v>66.156529152601905</v>
      </c>
      <c r="V112" s="33">
        <f t="shared" si="49"/>
        <v>10</v>
      </c>
      <c r="W112" s="33">
        <v>0</v>
      </c>
      <c r="X112" s="33">
        <f t="shared" si="50"/>
        <v>1083.2036975037845</v>
      </c>
      <c r="Y112" s="38">
        <f t="shared" si="51"/>
        <v>906.16779569870641</v>
      </c>
      <c r="AA112" s="71">
        <v>107</v>
      </c>
      <c r="AB112" s="33">
        <f t="shared" si="52"/>
        <v>0</v>
      </c>
      <c r="AC112" s="305">
        <f t="shared" si="71"/>
        <v>0</v>
      </c>
      <c r="AD112" s="100">
        <f t="shared" si="53"/>
        <v>0</v>
      </c>
      <c r="AE112" s="100">
        <f t="shared" si="54"/>
        <v>0</v>
      </c>
      <c r="AF112" s="194">
        <f t="shared" si="67"/>
        <v>32.699876055017057</v>
      </c>
      <c r="AG112" s="194">
        <f t="shared" si="68"/>
        <v>0</v>
      </c>
      <c r="AH112" s="194">
        <f t="shared" si="69"/>
        <v>0</v>
      </c>
      <c r="AI112" s="199">
        <f t="shared" si="70"/>
        <v>32.699876055017057</v>
      </c>
      <c r="AK112" s="71">
        <v>107</v>
      </c>
      <c r="AL112" s="33"/>
      <c r="AM112" s="33"/>
      <c r="AN112" s="33"/>
      <c r="AO112" s="33"/>
      <c r="AP112" s="33"/>
      <c r="AQ112" s="194"/>
      <c r="AR112" s="194"/>
      <c r="AS112" s="194"/>
      <c r="AT112" s="194"/>
      <c r="AU112" s="33"/>
      <c r="AV112" s="33"/>
      <c r="AW112" s="33"/>
      <c r="AX112" s="33"/>
      <c r="AY112" s="76"/>
    </row>
    <row r="113" spans="2:51">
      <c r="B113" s="67" t="s">
        <v>166</v>
      </c>
      <c r="C113" s="79">
        <f>1/$F$18*SUM(X6:X205)</f>
        <v>773.91397975205734</v>
      </c>
      <c r="D113" s="79">
        <f>1/$F$10*SUM(O6:O205)</f>
        <v>177.03590180507788</v>
      </c>
      <c r="E113" s="78">
        <f>C113-D113</f>
        <v>596.87807794697949</v>
      </c>
      <c r="I113" s="55">
        <v>108</v>
      </c>
      <c r="J113" s="33">
        <f t="shared" si="57"/>
        <v>5</v>
      </c>
      <c r="K113" s="33">
        <f t="shared" si="58"/>
        <v>1.910565629709926</v>
      </c>
      <c r="L113" s="33">
        <f t="shared" si="59"/>
        <v>45</v>
      </c>
      <c r="M113" s="33">
        <f t="shared" si="60"/>
        <v>0</v>
      </c>
      <c r="N113" s="33">
        <f t="shared" si="46"/>
        <v>0</v>
      </c>
      <c r="O113" s="34">
        <f t="shared" si="47"/>
        <v>177.03590180507811</v>
      </c>
      <c r="P113" s="55">
        <v>108</v>
      </c>
      <c r="Q113" s="33">
        <f t="shared" si="55"/>
        <v>12.480000000000018</v>
      </c>
      <c r="R113" s="33">
        <f t="shared" si="61"/>
        <v>627.11999999999955</v>
      </c>
      <c r="S113" s="33">
        <f t="shared" si="62"/>
        <v>382.54319999999973</v>
      </c>
      <c r="T113" s="33">
        <f t="shared" si="48"/>
        <v>88.22842828308768</v>
      </c>
      <c r="U113" s="33">
        <f t="shared" si="56"/>
        <v>66.223204779090736</v>
      </c>
      <c r="V113" s="33">
        <f t="shared" si="49"/>
        <v>10</v>
      </c>
      <c r="W113" s="33">
        <v>0</v>
      </c>
      <c r="X113" s="33">
        <f t="shared" si="50"/>
        <v>1099.4123367830432</v>
      </c>
      <c r="Y113" s="38">
        <f t="shared" si="51"/>
        <v>922.37643497796512</v>
      </c>
      <c r="AA113" s="71">
        <v>108</v>
      </c>
      <c r="AB113" s="33">
        <f t="shared" si="52"/>
        <v>0</v>
      </c>
      <c r="AC113" s="305">
        <f t="shared" si="71"/>
        <v>0</v>
      </c>
      <c r="AD113" s="100">
        <f t="shared" si="53"/>
        <v>0</v>
      </c>
      <c r="AE113" s="100">
        <f t="shared" si="54"/>
        <v>0</v>
      </c>
      <c r="AF113" s="194">
        <f t="shared" si="67"/>
        <v>32.058651430533168</v>
      </c>
      <c r="AG113" s="194">
        <f t="shared" si="68"/>
        <v>0</v>
      </c>
      <c r="AH113" s="194">
        <f t="shared" si="69"/>
        <v>0</v>
      </c>
      <c r="AI113" s="199">
        <f t="shared" si="70"/>
        <v>32.058651430533168</v>
      </c>
      <c r="AK113" s="71">
        <v>108</v>
      </c>
      <c r="AL113" s="33"/>
      <c r="AM113" s="33"/>
      <c r="AN113" s="33"/>
      <c r="AO113" s="33"/>
      <c r="AP113" s="33"/>
      <c r="AQ113" s="194"/>
      <c r="AR113" s="194"/>
      <c r="AS113" s="194"/>
      <c r="AT113" s="194"/>
      <c r="AU113" s="33"/>
      <c r="AV113" s="33"/>
      <c r="AW113" s="33"/>
      <c r="AX113" s="33"/>
      <c r="AY113" s="76"/>
    </row>
    <row r="114" spans="2:51">
      <c r="B114" s="67" t="s">
        <v>167</v>
      </c>
      <c r="C114" s="79">
        <f>X35</f>
        <v>482.60534188056772</v>
      </c>
      <c r="D114" s="79">
        <f>O35</f>
        <v>177.03590180507811</v>
      </c>
      <c r="E114" s="78">
        <f>VLOOKUP(30,I5:Y205,17,FALSE)</f>
        <v>305.56944007548964</v>
      </c>
      <c r="I114" s="55">
        <v>109</v>
      </c>
      <c r="J114" s="33">
        <f t="shared" si="57"/>
        <v>5</v>
      </c>
      <c r="K114" s="33">
        <f t="shared" si="58"/>
        <v>1.910565629709926</v>
      </c>
      <c r="L114" s="33">
        <f t="shared" si="59"/>
        <v>45</v>
      </c>
      <c r="M114" s="33">
        <f t="shared" si="60"/>
        <v>0</v>
      </c>
      <c r="N114" s="33">
        <f t="shared" si="46"/>
        <v>0</v>
      </c>
      <c r="O114" s="34">
        <f t="shared" si="47"/>
        <v>177.03590180507811</v>
      </c>
      <c r="P114" s="55">
        <v>109</v>
      </c>
      <c r="Q114" s="33">
        <f t="shared" si="55"/>
        <v>12.480000000000018</v>
      </c>
      <c r="R114" s="33">
        <f t="shared" si="61"/>
        <v>639.59999999999957</v>
      </c>
      <c r="S114" s="33">
        <f t="shared" si="62"/>
        <v>390.15599999999972</v>
      </c>
      <c r="T114" s="33">
        <f t="shared" si="48"/>
        <v>89.778060294135159</v>
      </c>
      <c r="U114" s="33">
        <f t="shared" si="56"/>
        <v>66.288723732524346</v>
      </c>
      <c r="V114" s="33">
        <f t="shared" si="49"/>
        <v>10</v>
      </c>
      <c r="W114" s="33">
        <v>0</v>
      </c>
      <c r="X114" s="33">
        <f t="shared" si="50"/>
        <v>1115.6104753648742</v>
      </c>
      <c r="Y114" s="38">
        <f t="shared" si="51"/>
        <v>938.57457355979614</v>
      </c>
      <c r="AA114" s="71">
        <v>109</v>
      </c>
      <c r="AB114" s="33">
        <f t="shared" si="52"/>
        <v>0</v>
      </c>
      <c r="AC114" s="305">
        <f t="shared" si="71"/>
        <v>0</v>
      </c>
      <c r="AD114" s="100">
        <f t="shared" si="53"/>
        <v>0</v>
      </c>
      <c r="AE114" s="100">
        <f t="shared" si="54"/>
        <v>0</v>
      </c>
      <c r="AF114" s="194">
        <f t="shared" si="67"/>
        <v>31.430000829827001</v>
      </c>
      <c r="AG114" s="194">
        <f t="shared" si="68"/>
        <v>0</v>
      </c>
      <c r="AH114" s="194">
        <f t="shared" si="69"/>
        <v>0</v>
      </c>
      <c r="AI114" s="199">
        <f t="shared" si="70"/>
        <v>31.430000829827001</v>
      </c>
      <c r="AK114" s="71">
        <v>109</v>
      </c>
      <c r="AL114" s="33"/>
      <c r="AM114" s="33"/>
      <c r="AN114" s="33"/>
      <c r="AO114" s="33"/>
      <c r="AP114" s="33"/>
      <c r="AQ114" s="194"/>
      <c r="AR114" s="194"/>
      <c r="AS114" s="194"/>
      <c r="AT114" s="194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7"/>
        <v>5</v>
      </c>
      <c r="K115" s="33">
        <f t="shared" si="58"/>
        <v>1.910565629709926</v>
      </c>
      <c r="L115" s="33">
        <f t="shared" si="59"/>
        <v>45</v>
      </c>
      <c r="M115" s="33">
        <f t="shared" si="60"/>
        <v>0</v>
      </c>
      <c r="N115" s="33">
        <f t="shared" si="46"/>
        <v>0</v>
      </c>
      <c r="O115" s="34">
        <f t="shared" si="47"/>
        <v>177.03590180507811</v>
      </c>
      <c r="P115" s="55">
        <v>110</v>
      </c>
      <c r="Q115" s="33">
        <f t="shared" si="55"/>
        <v>12.480000000000018</v>
      </c>
      <c r="R115" s="33">
        <f t="shared" si="61"/>
        <v>652.07999999999959</v>
      </c>
      <c r="S115" s="33">
        <f t="shared" si="62"/>
        <v>397.76879999999971</v>
      </c>
      <c r="T115" s="33">
        <f t="shared" si="48"/>
        <v>91.324176508708348</v>
      </c>
      <c r="U115" s="33">
        <f t="shared" si="56"/>
        <v>66.353106078594323</v>
      </c>
      <c r="V115" s="33">
        <f t="shared" si="49"/>
        <v>10</v>
      </c>
      <c r="W115" s="33">
        <v>0</v>
      </c>
      <c r="X115" s="33">
        <f t="shared" si="50"/>
        <v>1131.7983230408456</v>
      </c>
      <c r="Y115" s="38">
        <f t="shared" si="51"/>
        <v>954.76242123576753</v>
      </c>
      <c r="AA115" s="71">
        <v>110</v>
      </c>
      <c r="AB115" s="33">
        <f t="shared" si="52"/>
        <v>0</v>
      </c>
      <c r="AC115" s="305">
        <f t="shared" si="71"/>
        <v>0</v>
      </c>
      <c r="AD115" s="100">
        <f t="shared" si="53"/>
        <v>0</v>
      </c>
      <c r="AE115" s="100">
        <f t="shared" si="54"/>
        <v>0</v>
      </c>
      <c r="AF115" s="194">
        <f t="shared" si="67"/>
        <v>30.813677683961679</v>
      </c>
      <c r="AG115" s="194">
        <f t="shared" si="68"/>
        <v>0</v>
      </c>
      <c r="AH115" s="194">
        <f t="shared" si="69"/>
        <v>0</v>
      </c>
      <c r="AI115" s="199">
        <f t="shared" si="70"/>
        <v>30.813677683961679</v>
      </c>
      <c r="AK115" s="71">
        <v>110</v>
      </c>
      <c r="AL115" s="33"/>
      <c r="AM115" s="33"/>
      <c r="AN115" s="33"/>
      <c r="AO115" s="33"/>
      <c r="AP115" s="33"/>
      <c r="AQ115" s="194"/>
      <c r="AR115" s="194"/>
      <c r="AS115" s="194"/>
      <c r="AT115" s="194"/>
      <c r="AU115" s="33"/>
      <c r="AV115" s="33"/>
      <c r="AW115" s="33"/>
      <c r="AX115" s="33"/>
      <c r="AY115" s="76"/>
    </row>
    <row r="116" spans="2:51">
      <c r="C116" s="135" t="s">
        <v>124</v>
      </c>
      <c r="D116" s="135"/>
      <c r="E116" s="135"/>
      <c r="I116" s="55">
        <v>111</v>
      </c>
      <c r="J116" s="33">
        <f t="shared" si="57"/>
        <v>5</v>
      </c>
      <c r="K116" s="33">
        <f t="shared" si="58"/>
        <v>1.910565629709926</v>
      </c>
      <c r="L116" s="33">
        <f t="shared" si="59"/>
        <v>45</v>
      </c>
      <c r="M116" s="33">
        <f t="shared" si="60"/>
        <v>0</v>
      </c>
      <c r="N116" s="33">
        <f t="shared" si="46"/>
        <v>0</v>
      </c>
      <c r="O116" s="34">
        <f t="shared" si="47"/>
        <v>177.03590180507811</v>
      </c>
      <c r="P116" s="55">
        <v>111</v>
      </c>
      <c r="Q116" s="33">
        <f t="shared" si="55"/>
        <v>-34.32000000000005</v>
      </c>
      <c r="R116" s="33">
        <f t="shared" si="61"/>
        <v>617.75999999999954</v>
      </c>
      <c r="S116" s="33">
        <f t="shared" si="62"/>
        <v>376.83359999999971</v>
      </c>
      <c r="T116" s="33">
        <f t="shared" si="48"/>
        <v>87.063850109159603</v>
      </c>
      <c r="U116" s="33">
        <f t="shared" si="56"/>
        <v>66.416371534897337</v>
      </c>
      <c r="V116" s="33">
        <f t="shared" si="49"/>
        <v>10</v>
      </c>
      <c r="W116" s="33">
        <v>0</v>
      </c>
      <c r="X116" s="33">
        <f t="shared" si="50"/>
        <v>1088.1480879014093</v>
      </c>
      <c r="Y116" s="38">
        <f t="shared" si="51"/>
        <v>911.11218609633124</v>
      </c>
      <c r="AA116" s="71">
        <v>111</v>
      </c>
      <c r="AB116" s="33">
        <f t="shared" si="52"/>
        <v>0</v>
      </c>
      <c r="AC116" s="305">
        <f t="shared" si="71"/>
        <v>0</v>
      </c>
      <c r="AD116" s="100">
        <f t="shared" si="53"/>
        <v>0</v>
      </c>
      <c r="AE116" s="100">
        <f t="shared" si="54"/>
        <v>0</v>
      </c>
      <c r="AF116" s="194">
        <f t="shared" si="67"/>
        <v>30.209440259066774</v>
      </c>
      <c r="AG116" s="194">
        <f t="shared" si="68"/>
        <v>0</v>
      </c>
      <c r="AH116" s="194">
        <f t="shared" si="69"/>
        <v>0</v>
      </c>
      <c r="AI116" s="199">
        <f t="shared" si="70"/>
        <v>30.209440259066774</v>
      </c>
      <c r="AK116" s="71">
        <v>111</v>
      </c>
      <c r="AL116" s="33"/>
      <c r="AM116" s="33"/>
      <c r="AN116" s="33"/>
      <c r="AO116" s="33"/>
      <c r="AP116" s="33"/>
      <c r="AQ116" s="194"/>
      <c r="AR116" s="194"/>
      <c r="AS116" s="194"/>
      <c r="AT116" s="194"/>
      <c r="AU116" s="33"/>
      <c r="AV116" s="33"/>
      <c r="AW116" s="33"/>
      <c r="AX116" s="33"/>
      <c r="AY116" s="76"/>
    </row>
    <row r="117" spans="2:51">
      <c r="C117" s="135" t="s">
        <v>144</v>
      </c>
      <c r="D117" s="135" t="s">
        <v>72</v>
      </c>
      <c r="E117" s="81" t="s">
        <v>165</v>
      </c>
      <c r="I117" s="55">
        <v>112</v>
      </c>
      <c r="J117" s="33">
        <f t="shared" si="57"/>
        <v>5</v>
      </c>
      <c r="K117" s="33">
        <f t="shared" si="58"/>
        <v>1.910565629709926</v>
      </c>
      <c r="L117" s="33">
        <f t="shared" si="59"/>
        <v>45</v>
      </c>
      <c r="M117" s="33">
        <f t="shared" si="60"/>
        <v>0</v>
      </c>
      <c r="N117" s="33">
        <f t="shared" si="46"/>
        <v>0</v>
      </c>
      <c r="O117" s="34">
        <f t="shared" si="47"/>
        <v>177.03590180507811</v>
      </c>
      <c r="P117" s="55">
        <v>112</v>
      </c>
      <c r="Q117" s="33">
        <f t="shared" si="55"/>
        <v>11.700000000000017</v>
      </c>
      <c r="R117" s="33">
        <f t="shared" si="61"/>
        <v>629.45999999999958</v>
      </c>
      <c r="S117" s="33">
        <f t="shared" si="62"/>
        <v>383.97059999999976</v>
      </c>
      <c r="T117" s="33">
        <f t="shared" si="48"/>
        <v>88.519255644538347</v>
      </c>
      <c r="U117" s="33">
        <f t="shared" si="56"/>
        <v>66.478539476973879</v>
      </c>
      <c r="V117" s="33">
        <f t="shared" si="49"/>
        <v>10</v>
      </c>
      <c r="W117" s="33">
        <v>0</v>
      </c>
      <c r="X117" s="33">
        <f t="shared" si="50"/>
        <v>1103.3411433298081</v>
      </c>
      <c r="Y117" s="38">
        <f t="shared" si="51"/>
        <v>926.30524152473004</v>
      </c>
      <c r="AA117" s="71">
        <v>112</v>
      </c>
      <c r="AB117" s="33">
        <f t="shared" si="52"/>
        <v>0</v>
      </c>
      <c r="AC117" s="305">
        <f t="shared" si="71"/>
        <v>0</v>
      </c>
      <c r="AD117" s="100">
        <f t="shared" si="53"/>
        <v>0</v>
      </c>
      <c r="AE117" s="100">
        <f t="shared" si="54"/>
        <v>0</v>
      </c>
      <c r="AF117" s="194">
        <f t="shared" si="67"/>
        <v>29.617051561525621</v>
      </c>
      <c r="AG117" s="194">
        <f t="shared" si="68"/>
        <v>0</v>
      </c>
      <c r="AH117" s="194">
        <f t="shared" si="69"/>
        <v>0</v>
      </c>
      <c r="AI117" s="199">
        <f t="shared" si="70"/>
        <v>29.617051561525621</v>
      </c>
      <c r="AK117" s="71">
        <v>112</v>
      </c>
      <c r="AL117" s="33"/>
      <c r="AM117" s="33"/>
      <c r="AN117" s="33"/>
      <c r="AO117" s="33"/>
      <c r="AP117" s="33"/>
      <c r="AQ117" s="194"/>
      <c r="AR117" s="194"/>
      <c r="AS117" s="194"/>
      <c r="AT117" s="194"/>
      <c r="AU117" s="33"/>
      <c r="AV117" s="33"/>
      <c r="AW117" s="33"/>
      <c r="AX117" s="33"/>
      <c r="AY117" s="76"/>
    </row>
    <row r="118" spans="2:51">
      <c r="B118" s="67" t="s">
        <v>260</v>
      </c>
      <c r="C118" s="303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57"/>
        <v>5</v>
      </c>
      <c r="K118" s="33">
        <f t="shared" si="58"/>
        <v>1.910565629709926</v>
      </c>
      <c r="L118" s="33">
        <f t="shared" si="59"/>
        <v>45</v>
      </c>
      <c r="M118" s="33">
        <f t="shared" si="60"/>
        <v>0</v>
      </c>
      <c r="N118" s="33">
        <f t="shared" si="46"/>
        <v>0</v>
      </c>
      <c r="O118" s="34">
        <f t="shared" si="47"/>
        <v>177.03590180507811</v>
      </c>
      <c r="P118" s="55">
        <v>113</v>
      </c>
      <c r="Q118" s="33">
        <f t="shared" si="55"/>
        <v>11.700000000000017</v>
      </c>
      <c r="R118" s="33">
        <f t="shared" si="61"/>
        <v>641.15999999999963</v>
      </c>
      <c r="S118" s="33">
        <f t="shared" si="62"/>
        <v>391.10759999999976</v>
      </c>
      <c r="T118" s="33">
        <f t="shared" si="48"/>
        <v>89.971515522408566</v>
      </c>
      <c r="U118" s="33">
        <f t="shared" si="56"/>
        <v>66.539628944242082</v>
      </c>
      <c r="V118" s="33">
        <f t="shared" si="49"/>
        <v>10</v>
      </c>
      <c r="W118" s="33">
        <v>0</v>
      </c>
      <c r="X118" s="33">
        <f t="shared" si="50"/>
        <v>1118.5247656637487</v>
      </c>
      <c r="Y118" s="38">
        <f t="shared" si="51"/>
        <v>941.48886385867058</v>
      </c>
      <c r="AA118" s="71">
        <v>113</v>
      </c>
      <c r="AB118" s="33">
        <f t="shared" si="52"/>
        <v>0</v>
      </c>
      <c r="AC118" s="305">
        <f t="shared" si="71"/>
        <v>0</v>
      </c>
      <c r="AD118" s="100">
        <f t="shared" si="53"/>
        <v>0</v>
      </c>
      <c r="AE118" s="100">
        <f t="shared" si="54"/>
        <v>0</v>
      </c>
      <c r="AF118" s="194">
        <f t="shared" si="67"/>
        <v>29.036279245021824</v>
      </c>
      <c r="AG118" s="194">
        <f t="shared" si="68"/>
        <v>0</v>
      </c>
      <c r="AH118" s="194">
        <f t="shared" si="69"/>
        <v>0</v>
      </c>
      <c r="AI118" s="199">
        <f t="shared" si="70"/>
        <v>29.036279245021824</v>
      </c>
      <c r="AK118" s="71">
        <v>113</v>
      </c>
      <c r="AL118" s="33"/>
      <c r="AM118" s="33"/>
      <c r="AN118" s="33"/>
      <c r="AO118" s="33"/>
      <c r="AP118" s="33"/>
      <c r="AQ118" s="194"/>
      <c r="AR118" s="194"/>
      <c r="AS118" s="194"/>
      <c r="AT118" s="194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7"/>
        <v>5</v>
      </c>
      <c r="K119" s="33">
        <f t="shared" si="58"/>
        <v>1.910565629709926</v>
      </c>
      <c r="L119" s="33">
        <f t="shared" si="59"/>
        <v>45</v>
      </c>
      <c r="M119" s="33">
        <f t="shared" si="60"/>
        <v>0</v>
      </c>
      <c r="N119" s="33">
        <f t="shared" si="46"/>
        <v>0</v>
      </c>
      <c r="O119" s="34">
        <f t="shared" si="47"/>
        <v>177.03590180507811</v>
      </c>
      <c r="P119" s="55">
        <v>114</v>
      </c>
      <c r="Q119" s="33">
        <f t="shared" si="55"/>
        <v>11.700000000000017</v>
      </c>
      <c r="R119" s="33">
        <f t="shared" si="61"/>
        <v>652.85999999999967</v>
      </c>
      <c r="S119" s="33">
        <f t="shared" si="62"/>
        <v>398.24459999999976</v>
      </c>
      <c r="T119" s="33">
        <f t="shared" si="48"/>
        <v>91.420693766084952</v>
      </c>
      <c r="U119" s="33">
        <f t="shared" si="56"/>
        <v>66.599658645828768</v>
      </c>
      <c r="V119" s="33">
        <f t="shared" si="49"/>
        <v>10</v>
      </c>
      <c r="W119" s="33">
        <v>0</v>
      </c>
      <c r="X119" s="33">
        <f t="shared" si="50"/>
        <v>1133.6991350106364</v>
      </c>
      <c r="Y119" s="38">
        <f t="shared" si="51"/>
        <v>956.6632332055583</v>
      </c>
      <c r="AA119" s="71">
        <v>114</v>
      </c>
      <c r="AB119" s="33">
        <f t="shared" si="52"/>
        <v>0</v>
      </c>
      <c r="AC119" s="305">
        <f t="shared" si="71"/>
        <v>0</v>
      </c>
      <c r="AD119" s="100">
        <f t="shared" si="53"/>
        <v>0</v>
      </c>
      <c r="AE119" s="100">
        <f t="shared" si="54"/>
        <v>0</v>
      </c>
      <c r="AF119" s="194">
        <f t="shared" si="67"/>
        <v>28.466895519408531</v>
      </c>
      <c r="AG119" s="194">
        <f t="shared" si="68"/>
        <v>0</v>
      </c>
      <c r="AH119" s="194">
        <f t="shared" si="69"/>
        <v>0</v>
      </c>
      <c r="AI119" s="199">
        <f t="shared" si="70"/>
        <v>28.466895519408531</v>
      </c>
      <c r="AK119" s="71">
        <v>114</v>
      </c>
      <c r="AL119" s="33"/>
      <c r="AM119" s="33"/>
      <c r="AN119" s="33"/>
      <c r="AO119" s="33"/>
      <c r="AP119" s="33"/>
      <c r="AQ119" s="194"/>
      <c r="AR119" s="194"/>
      <c r="AS119" s="194"/>
      <c r="AT119" s="194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7"/>
        <v>5</v>
      </c>
      <c r="K120" s="33">
        <f t="shared" si="58"/>
        <v>1.910565629709926</v>
      </c>
      <c r="L120" s="33">
        <f t="shared" si="59"/>
        <v>45</v>
      </c>
      <c r="M120" s="33">
        <f t="shared" si="60"/>
        <v>0</v>
      </c>
      <c r="N120" s="33">
        <f t="shared" si="46"/>
        <v>0</v>
      </c>
      <c r="O120" s="34">
        <f t="shared" si="47"/>
        <v>177.03590180507811</v>
      </c>
      <c r="P120" s="55">
        <v>115</v>
      </c>
      <c r="Q120" s="33">
        <f t="shared" si="55"/>
        <v>11.700000000000017</v>
      </c>
      <c r="R120" s="33">
        <f t="shared" si="61"/>
        <v>664.55999999999972</v>
      </c>
      <c r="S120" s="33">
        <f t="shared" si="62"/>
        <v>405.38159999999982</v>
      </c>
      <c r="T120" s="33">
        <f t="shared" si="48"/>
        <v>92.866851972728284</v>
      </c>
      <c r="U120" s="33">
        <f t="shared" si="56"/>
        <v>66.658646966299244</v>
      </c>
      <c r="V120" s="33">
        <f t="shared" si="49"/>
        <v>10</v>
      </c>
      <c r="W120" s="33">
        <v>0</v>
      </c>
      <c r="X120" s="33">
        <f t="shared" si="50"/>
        <v>1148.8644260622652</v>
      </c>
      <c r="Y120" s="38">
        <f t="shared" si="51"/>
        <v>971.82852425718715</v>
      </c>
      <c r="AA120" s="71">
        <v>115</v>
      </c>
      <c r="AB120" s="33">
        <f t="shared" si="52"/>
        <v>0</v>
      </c>
      <c r="AC120" s="305">
        <f t="shared" si="71"/>
        <v>0</v>
      </c>
      <c r="AD120" s="100">
        <f t="shared" si="53"/>
        <v>0</v>
      </c>
      <c r="AE120" s="100">
        <f t="shared" si="54"/>
        <v>0</v>
      </c>
      <c r="AF120" s="194">
        <f t="shared" si="67"/>
        <v>27.908677061364735</v>
      </c>
      <c r="AG120" s="194">
        <f t="shared" si="68"/>
        <v>0</v>
      </c>
      <c r="AH120" s="194">
        <f t="shared" si="69"/>
        <v>0</v>
      </c>
      <c r="AI120" s="199">
        <f t="shared" si="70"/>
        <v>27.908677061364735</v>
      </c>
      <c r="AK120" s="71">
        <v>115</v>
      </c>
      <c r="AL120" s="33"/>
      <c r="AM120" s="33"/>
      <c r="AN120" s="33"/>
      <c r="AO120" s="33"/>
      <c r="AP120" s="33"/>
      <c r="AQ120" s="194"/>
      <c r="AR120" s="194"/>
      <c r="AS120" s="194"/>
      <c r="AT120" s="194"/>
      <c r="AU120" s="33"/>
      <c r="AV120" s="33"/>
      <c r="AW120" s="33"/>
      <c r="AX120" s="33"/>
      <c r="AY120" s="76"/>
    </row>
    <row r="121" spans="2:51">
      <c r="C121" s="135" t="s">
        <v>159</v>
      </c>
      <c r="D121" s="135"/>
      <c r="E121" s="135"/>
      <c r="I121" s="55">
        <v>116</v>
      </c>
      <c r="J121" s="33">
        <f t="shared" si="57"/>
        <v>5</v>
      </c>
      <c r="K121" s="33">
        <f t="shared" si="58"/>
        <v>1.910565629709926</v>
      </c>
      <c r="L121" s="33">
        <f t="shared" si="59"/>
        <v>45</v>
      </c>
      <c r="M121" s="33">
        <f t="shared" si="60"/>
        <v>0</v>
      </c>
      <c r="N121" s="33">
        <f t="shared" si="46"/>
        <v>0</v>
      </c>
      <c r="O121" s="34">
        <f t="shared" si="47"/>
        <v>177.03590180507811</v>
      </c>
      <c r="P121" s="55">
        <v>116</v>
      </c>
      <c r="Q121" s="33">
        <f t="shared" si="55"/>
        <v>-34.32000000000005</v>
      </c>
      <c r="R121" s="33">
        <f t="shared" si="61"/>
        <v>630.23999999999967</v>
      </c>
      <c r="S121" s="33">
        <f t="shared" si="62"/>
        <v>384.44639999999981</v>
      </c>
      <c r="T121" s="33">
        <f t="shared" si="48"/>
        <v>88.616170113012075</v>
      </c>
      <c r="U121" s="33">
        <f t="shared" si="56"/>
        <v>66.716611971287676</v>
      </c>
      <c r="V121" s="33">
        <f t="shared" si="49"/>
        <v>10</v>
      </c>
      <c r="W121" s="33">
        <v>0</v>
      </c>
      <c r="X121" s="33">
        <f t="shared" si="50"/>
        <v>1105.2115535082169</v>
      </c>
      <c r="Y121" s="38">
        <f t="shared" si="51"/>
        <v>928.17565170313878</v>
      </c>
      <c r="AA121" s="71">
        <v>116</v>
      </c>
      <c r="AB121" s="33">
        <f t="shared" si="52"/>
        <v>0</v>
      </c>
      <c r="AC121" s="305">
        <f t="shared" si="71"/>
        <v>0</v>
      </c>
      <c r="AD121" s="100">
        <f t="shared" si="53"/>
        <v>0</v>
      </c>
      <c r="AE121" s="100">
        <f t="shared" si="54"/>
        <v>0</v>
      </c>
      <c r="AF121" s="194">
        <f t="shared" si="67"/>
        <v>27.361404926803537</v>
      </c>
      <c r="AG121" s="194">
        <f t="shared" si="68"/>
        <v>0</v>
      </c>
      <c r="AH121" s="194">
        <f t="shared" si="69"/>
        <v>0</v>
      </c>
      <c r="AI121" s="199">
        <f t="shared" si="70"/>
        <v>27.361404926803537</v>
      </c>
      <c r="AK121" s="71">
        <v>116</v>
      </c>
      <c r="AL121" s="33"/>
      <c r="AM121" s="33"/>
      <c r="AN121" s="33"/>
      <c r="AO121" s="33"/>
      <c r="AP121" s="33"/>
      <c r="AQ121" s="194"/>
      <c r="AR121" s="194"/>
      <c r="AS121" s="194"/>
      <c r="AT121" s="194"/>
      <c r="AU121" s="33"/>
      <c r="AV121" s="33"/>
      <c r="AW121" s="33"/>
      <c r="AX121" s="33"/>
      <c r="AY121" s="76"/>
    </row>
    <row r="122" spans="2:51">
      <c r="C122" s="135" t="s">
        <v>144</v>
      </c>
      <c r="D122" s="135" t="s">
        <v>72</v>
      </c>
      <c r="E122" s="81" t="s">
        <v>165</v>
      </c>
      <c r="I122" s="55">
        <v>117</v>
      </c>
      <c r="J122" s="33">
        <f t="shared" si="57"/>
        <v>5</v>
      </c>
      <c r="K122" s="33">
        <f t="shared" si="58"/>
        <v>1.910565629709926</v>
      </c>
      <c r="L122" s="33">
        <f t="shared" si="59"/>
        <v>45</v>
      </c>
      <c r="M122" s="33">
        <f t="shared" si="60"/>
        <v>0</v>
      </c>
      <c r="N122" s="33">
        <f t="shared" si="46"/>
        <v>0</v>
      </c>
      <c r="O122" s="34">
        <f t="shared" si="47"/>
        <v>177.03590180507811</v>
      </c>
      <c r="P122" s="55">
        <v>117</v>
      </c>
      <c r="Q122" s="33">
        <f t="shared" si="55"/>
        <v>10.920000000000016</v>
      </c>
      <c r="R122" s="33">
        <f t="shared" si="61"/>
        <v>641.15999999999963</v>
      </c>
      <c r="S122" s="33">
        <f t="shared" si="62"/>
        <v>391.10759999999976</v>
      </c>
      <c r="T122" s="33">
        <f t="shared" si="48"/>
        <v>89.971515522408566</v>
      </c>
      <c r="U122" s="33">
        <f t="shared" si="56"/>
        <v>66.773571413029899</v>
      </c>
      <c r="V122" s="33">
        <f t="shared" si="49"/>
        <v>10</v>
      </c>
      <c r="W122" s="33">
        <v>0</v>
      </c>
      <c r="X122" s="33">
        <f t="shared" si="50"/>
        <v>1119.3825547159706</v>
      </c>
      <c r="Y122" s="38">
        <f t="shared" si="51"/>
        <v>942.34665291089254</v>
      </c>
      <c r="AA122" s="71">
        <v>117</v>
      </c>
      <c r="AB122" s="33">
        <f t="shared" si="52"/>
        <v>0</v>
      </c>
      <c r="AC122" s="305">
        <f t="shared" si="71"/>
        <v>0</v>
      </c>
      <c r="AD122" s="100">
        <f t="shared" si="53"/>
        <v>0</v>
      </c>
      <c r="AE122" s="100">
        <f t="shared" si="54"/>
        <v>0</v>
      </c>
      <c r="AF122" s="194">
        <f t="shared" si="67"/>
        <v>26.824864464998043</v>
      </c>
      <c r="AG122" s="194">
        <f t="shared" si="68"/>
        <v>0</v>
      </c>
      <c r="AH122" s="194">
        <f t="shared" si="69"/>
        <v>0</v>
      </c>
      <c r="AI122" s="199">
        <f t="shared" si="70"/>
        <v>26.824864464998043</v>
      </c>
      <c r="AK122" s="71">
        <v>117</v>
      </c>
      <c r="AL122" s="33"/>
      <c r="AM122" s="33"/>
      <c r="AN122" s="33"/>
      <c r="AO122" s="33"/>
      <c r="AP122" s="33"/>
      <c r="AQ122" s="194"/>
      <c r="AR122" s="194"/>
      <c r="AS122" s="194"/>
      <c r="AT122" s="194"/>
      <c r="AU122" s="33"/>
      <c r="AV122" s="33"/>
      <c r="AW122" s="33"/>
      <c r="AX122" s="33"/>
      <c r="AY122" s="76"/>
    </row>
    <row r="123" spans="2:51">
      <c r="B123" s="67" t="s">
        <v>167</v>
      </c>
      <c r="C123" s="82">
        <f>AY35</f>
        <v>1.75</v>
      </c>
      <c r="D123" s="304">
        <f>IF(AND(D8=B100,F12=C194),J34*50%*G107,0)</f>
        <v>0</v>
      </c>
      <c r="E123" s="78">
        <f>C123-D123</f>
        <v>1.75</v>
      </c>
      <c r="I123" s="55">
        <v>118</v>
      </c>
      <c r="J123" s="33">
        <f t="shared" si="57"/>
        <v>5</v>
      </c>
      <c r="K123" s="33">
        <f t="shared" si="58"/>
        <v>1.910565629709926</v>
      </c>
      <c r="L123" s="33">
        <f t="shared" si="59"/>
        <v>45</v>
      </c>
      <c r="M123" s="33">
        <f t="shared" si="60"/>
        <v>0</v>
      </c>
      <c r="N123" s="33">
        <f t="shared" si="46"/>
        <v>0</v>
      </c>
      <c r="O123" s="34">
        <f t="shared" si="47"/>
        <v>177.03590180507811</v>
      </c>
      <c r="P123" s="55">
        <v>118</v>
      </c>
      <c r="Q123" s="33">
        <f t="shared" si="55"/>
        <v>10.920000000000016</v>
      </c>
      <c r="R123" s="33">
        <f t="shared" si="61"/>
        <v>652.0799999999997</v>
      </c>
      <c r="S123" s="33">
        <f t="shared" si="62"/>
        <v>397.76879999999983</v>
      </c>
      <c r="T123" s="33">
        <f t="shared" si="48"/>
        <v>91.324176508708348</v>
      </c>
      <c r="U123" s="33">
        <f t="shared" si="56"/>
        <v>66.829542735800118</v>
      </c>
      <c r="V123" s="33">
        <f t="shared" si="49"/>
        <v>10</v>
      </c>
      <c r="W123" s="33">
        <v>0</v>
      </c>
      <c r="X123" s="33">
        <f t="shared" si="50"/>
        <v>1133.5452574506005</v>
      </c>
      <c r="Y123" s="38">
        <f t="shared" si="51"/>
        <v>956.50935564552242</v>
      </c>
      <c r="AA123" s="71">
        <v>118</v>
      </c>
      <c r="AB123" s="33">
        <f t="shared" si="52"/>
        <v>0</v>
      </c>
      <c r="AC123" s="305">
        <f t="shared" si="71"/>
        <v>0</v>
      </c>
      <c r="AD123" s="100">
        <f t="shared" si="53"/>
        <v>0</v>
      </c>
      <c r="AE123" s="100">
        <f t="shared" si="54"/>
        <v>0</v>
      </c>
      <c r="AF123" s="194">
        <f t="shared" si="67"/>
        <v>26.298845234391187</v>
      </c>
      <c r="AG123" s="194">
        <f t="shared" si="68"/>
        <v>0</v>
      </c>
      <c r="AH123" s="194">
        <f t="shared" si="69"/>
        <v>0</v>
      </c>
      <c r="AI123" s="199">
        <f t="shared" si="70"/>
        <v>26.298845234391187</v>
      </c>
      <c r="AK123" s="71">
        <v>118</v>
      </c>
      <c r="AL123" s="33"/>
      <c r="AM123" s="33"/>
      <c r="AN123" s="33"/>
      <c r="AO123" s="33"/>
      <c r="AP123" s="33"/>
      <c r="AQ123" s="194"/>
      <c r="AR123" s="194"/>
      <c r="AS123" s="194"/>
      <c r="AT123" s="194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7"/>
        <v>5</v>
      </c>
      <c r="K124" s="33">
        <f t="shared" si="58"/>
        <v>1.910565629709926</v>
      </c>
      <c r="L124" s="33">
        <f t="shared" si="59"/>
        <v>45</v>
      </c>
      <c r="M124" s="33">
        <f t="shared" si="60"/>
        <v>0</v>
      </c>
      <c r="N124" s="33">
        <f t="shared" si="46"/>
        <v>0</v>
      </c>
      <c r="O124" s="34">
        <f t="shared" si="47"/>
        <v>177.03590180507811</v>
      </c>
      <c r="P124" s="55">
        <v>119</v>
      </c>
      <c r="Q124" s="33">
        <f t="shared" si="55"/>
        <v>10.920000000000016</v>
      </c>
      <c r="R124" s="33">
        <f t="shared" si="61"/>
        <v>662.99999999999977</v>
      </c>
      <c r="S124" s="33">
        <f t="shared" si="62"/>
        <v>404.42999999999984</v>
      </c>
      <c r="T124" s="33">
        <f t="shared" si="48"/>
        <v>92.674203214904026</v>
      </c>
      <c r="U124" s="33">
        <f t="shared" si="56"/>
        <v>66.884543081253412</v>
      </c>
      <c r="V124" s="33">
        <f t="shared" si="49"/>
        <v>10</v>
      </c>
      <c r="W124" s="33">
        <v>0</v>
      </c>
      <c r="X124" s="33">
        <f t="shared" si="50"/>
        <v>1147.6998118972199</v>
      </c>
      <c r="Y124" s="38">
        <f t="shared" si="51"/>
        <v>970.6639100921418</v>
      </c>
      <c r="AA124" s="71">
        <v>119</v>
      </c>
      <c r="AB124" s="33">
        <f t="shared" si="52"/>
        <v>0</v>
      </c>
      <c r="AC124" s="305">
        <f t="shared" si="71"/>
        <v>0</v>
      </c>
      <c r="AD124" s="100">
        <f t="shared" si="53"/>
        <v>0</v>
      </c>
      <c r="AE124" s="100">
        <f t="shared" si="54"/>
        <v>0</v>
      </c>
      <c r="AF124" s="194">
        <f t="shared" si="67"/>
        <v>25.783140920056482</v>
      </c>
      <c r="AG124" s="194">
        <f t="shared" si="68"/>
        <v>0</v>
      </c>
      <c r="AH124" s="194">
        <f t="shared" si="69"/>
        <v>0</v>
      </c>
      <c r="AI124" s="199">
        <f t="shared" si="70"/>
        <v>25.783140920056482</v>
      </c>
      <c r="AK124" s="71">
        <v>119</v>
      </c>
      <c r="AL124" s="33"/>
      <c r="AM124" s="33"/>
      <c r="AN124" s="33"/>
      <c r="AO124" s="33"/>
      <c r="AP124" s="33"/>
      <c r="AQ124" s="194"/>
      <c r="AR124" s="194"/>
      <c r="AS124" s="194"/>
      <c r="AT124" s="194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7"/>
        <v>5</v>
      </c>
      <c r="K125" s="33">
        <f t="shared" si="58"/>
        <v>1.910565629709926</v>
      </c>
      <c r="L125" s="33">
        <f t="shared" si="59"/>
        <v>45</v>
      </c>
      <c r="M125" s="33">
        <f t="shared" si="60"/>
        <v>0</v>
      </c>
      <c r="N125" s="33">
        <f t="shared" si="46"/>
        <v>0</v>
      </c>
      <c r="O125" s="34">
        <f t="shared" si="47"/>
        <v>177.03590180507811</v>
      </c>
      <c r="P125" s="55">
        <v>120</v>
      </c>
      <c r="Q125" s="33">
        <f t="shared" si="55"/>
        <v>10.920000000000016</v>
      </c>
      <c r="R125" s="33">
        <f t="shared" si="61"/>
        <v>673.91999999999985</v>
      </c>
      <c r="S125" s="33">
        <f t="shared" si="62"/>
        <v>411.0911999999999</v>
      </c>
      <c r="T125" s="33">
        <f t="shared" si="48"/>
        <v>94.021644037524425</v>
      </c>
      <c r="U125" s="33">
        <f t="shared" si="56"/>
        <v>66.938589293675449</v>
      </c>
      <c r="V125" s="33">
        <f t="shared" si="49"/>
        <v>10</v>
      </c>
      <c r="W125" s="33">
        <v>0</v>
      </c>
      <c r="X125" s="33">
        <f t="shared" si="50"/>
        <v>1161.8463641088317</v>
      </c>
      <c r="Y125" s="38">
        <f t="shared" si="51"/>
        <v>984.81046230375364</v>
      </c>
      <c r="AA125" s="71">
        <v>120</v>
      </c>
      <c r="AB125" s="33">
        <f t="shared" si="52"/>
        <v>0</v>
      </c>
      <c r="AC125" s="305">
        <f t="shared" si="71"/>
        <v>0</v>
      </c>
      <c r="AD125" s="100">
        <f t="shared" si="53"/>
        <v>0</v>
      </c>
      <c r="AE125" s="100">
        <f t="shared" si="54"/>
        <v>0</v>
      </c>
      <c r="AF125" s="194">
        <f t="shared" si="67"/>
        <v>25.277549252777305</v>
      </c>
      <c r="AG125" s="194">
        <f t="shared" si="68"/>
        <v>0</v>
      </c>
      <c r="AH125" s="194">
        <f t="shared" si="69"/>
        <v>0</v>
      </c>
      <c r="AI125" s="199">
        <f t="shared" si="70"/>
        <v>25.277549252777305</v>
      </c>
      <c r="AK125" s="71">
        <v>120</v>
      </c>
      <c r="AL125" s="33"/>
      <c r="AM125" s="33"/>
      <c r="AN125" s="33"/>
      <c r="AO125" s="33"/>
      <c r="AP125" s="33"/>
      <c r="AQ125" s="194"/>
      <c r="AR125" s="194"/>
      <c r="AS125" s="194"/>
      <c r="AT125" s="194"/>
      <c r="AU125" s="33"/>
      <c r="AV125" s="33"/>
      <c r="AW125" s="33"/>
      <c r="AX125" s="33"/>
      <c r="AY125" s="76"/>
    </row>
    <row r="126" spans="2:51">
      <c r="C126" s="84" t="s">
        <v>128</v>
      </c>
      <c r="D126" s="84" t="s">
        <v>129</v>
      </c>
      <c r="E126" s="84" t="s">
        <v>159</v>
      </c>
      <c r="F126" s="157" t="s">
        <v>169</v>
      </c>
      <c r="I126" s="55">
        <v>121</v>
      </c>
      <c r="J126" s="33">
        <f t="shared" si="57"/>
        <v>5</v>
      </c>
      <c r="K126" s="33">
        <f t="shared" si="58"/>
        <v>1.910565629709926</v>
      </c>
      <c r="L126" s="33">
        <f t="shared" si="59"/>
        <v>45</v>
      </c>
      <c r="M126" s="33">
        <f t="shared" si="60"/>
        <v>0</v>
      </c>
      <c r="N126" s="33">
        <f t="shared" si="46"/>
        <v>0</v>
      </c>
      <c r="O126" s="34">
        <f t="shared" si="47"/>
        <v>177.03590180507811</v>
      </c>
      <c r="P126" s="55">
        <v>121</v>
      </c>
      <c r="Q126" s="33">
        <f t="shared" si="55"/>
        <v>-32.760000000000105</v>
      </c>
      <c r="R126" s="33">
        <f t="shared" si="61"/>
        <v>641.15999999999974</v>
      </c>
      <c r="S126" s="33">
        <f t="shared" si="62"/>
        <v>391.10759999999982</v>
      </c>
      <c r="T126" s="33">
        <f t="shared" si="48"/>
        <v>89.971515522408566</v>
      </c>
      <c r="U126" s="33">
        <f t="shared" si="56"/>
        <v>66.991697925141196</v>
      </c>
      <c r="V126" s="33">
        <f t="shared" si="49"/>
        <v>10</v>
      </c>
      <c r="W126" s="33">
        <v>0</v>
      </c>
      <c r="X126" s="33">
        <f t="shared" si="50"/>
        <v>1120.1823519270456</v>
      </c>
      <c r="Y126" s="38">
        <f t="shared" si="51"/>
        <v>943.14645012196752</v>
      </c>
      <c r="AA126" s="71">
        <v>121</v>
      </c>
      <c r="AB126" s="33">
        <f t="shared" si="52"/>
        <v>0</v>
      </c>
      <c r="AC126" s="305">
        <f t="shared" si="71"/>
        <v>0</v>
      </c>
      <c r="AD126" s="100">
        <f t="shared" si="53"/>
        <v>0</v>
      </c>
      <c r="AE126" s="100">
        <f t="shared" si="54"/>
        <v>0</v>
      </c>
      <c r="AF126" s="194">
        <f t="shared" si="67"/>
        <v>24.781871929713006</v>
      </c>
      <c r="AG126" s="194">
        <f t="shared" si="68"/>
        <v>0</v>
      </c>
      <c r="AH126" s="194">
        <f t="shared" si="69"/>
        <v>0</v>
      </c>
      <c r="AI126" s="199">
        <f t="shared" si="70"/>
        <v>24.781871929713006</v>
      </c>
      <c r="AK126" s="71">
        <v>121</v>
      </c>
      <c r="AL126" s="33"/>
      <c r="AM126" s="33"/>
      <c r="AN126" s="33"/>
      <c r="AO126" s="33"/>
      <c r="AP126" s="33"/>
      <c r="AQ126" s="194"/>
      <c r="AR126" s="194"/>
      <c r="AS126" s="194"/>
      <c r="AT126" s="194"/>
      <c r="AU126" s="33"/>
      <c r="AV126" s="33"/>
      <c r="AW126" s="33"/>
      <c r="AX126" s="33"/>
      <c r="AY126" s="76"/>
    </row>
    <row r="127" spans="2:51">
      <c r="C127" s="82">
        <f>IF(F18&gt;30,MIN(E113:E114),E113)</f>
        <v>305.56944007548964</v>
      </c>
      <c r="D127" s="82">
        <f>MIN(E118:E119)</f>
        <v>0</v>
      </c>
      <c r="E127" s="85">
        <f>E123</f>
        <v>1.75</v>
      </c>
      <c r="F127" s="86">
        <f>SUM(C127:E127)</f>
        <v>307.31944007548964</v>
      </c>
      <c r="I127" s="55">
        <v>122</v>
      </c>
      <c r="J127" s="33">
        <f t="shared" si="57"/>
        <v>5</v>
      </c>
      <c r="K127" s="33">
        <f t="shared" si="58"/>
        <v>1.910565629709926</v>
      </c>
      <c r="L127" s="33">
        <f t="shared" si="59"/>
        <v>45</v>
      </c>
      <c r="M127" s="33">
        <f t="shared" si="60"/>
        <v>0</v>
      </c>
      <c r="N127" s="33">
        <f t="shared" si="46"/>
        <v>0</v>
      </c>
      <c r="O127" s="34">
        <f t="shared" si="47"/>
        <v>177.03590180507811</v>
      </c>
      <c r="P127" s="55">
        <v>122</v>
      </c>
      <c r="Q127" s="33">
        <f t="shared" si="55"/>
        <v>10.140000000000015</v>
      </c>
      <c r="R127" s="33">
        <f t="shared" si="61"/>
        <v>651.29999999999973</v>
      </c>
      <c r="S127" s="33">
        <f t="shared" si="62"/>
        <v>397.29299999999984</v>
      </c>
      <c r="T127" s="33">
        <f t="shared" si="48"/>
        <v>91.227645811865543</v>
      </c>
      <c r="U127" s="33">
        <f t="shared" si="56"/>
        <v>67.043885240584117</v>
      </c>
      <c r="V127" s="33">
        <f t="shared" si="49"/>
        <v>10</v>
      </c>
      <c r="W127" s="33">
        <v>0</v>
      </c>
      <c r="X127" s="33">
        <f t="shared" si="50"/>
        <v>1133.3343706711405</v>
      </c>
      <c r="Y127" s="38">
        <f t="shared" si="51"/>
        <v>956.29846886606242</v>
      </c>
      <c r="AA127" s="71">
        <v>122</v>
      </c>
      <c r="AB127" s="33">
        <f t="shared" si="52"/>
        <v>0</v>
      </c>
      <c r="AC127" s="305">
        <f t="shared" si="71"/>
        <v>0</v>
      </c>
      <c r="AD127" s="100">
        <f t="shared" si="53"/>
        <v>0</v>
      </c>
      <c r="AE127" s="100">
        <f t="shared" si="54"/>
        <v>0</v>
      </c>
      <c r="AF127" s="194">
        <f t="shared" si="67"/>
        <v>24.295914536620685</v>
      </c>
      <c r="AG127" s="194">
        <f t="shared" si="68"/>
        <v>0</v>
      </c>
      <c r="AH127" s="194">
        <f t="shared" si="69"/>
        <v>0</v>
      </c>
      <c r="AI127" s="199">
        <f t="shared" si="70"/>
        <v>24.295914536620685</v>
      </c>
      <c r="AK127" s="71">
        <v>122</v>
      </c>
      <c r="AL127" s="33"/>
      <c r="AM127" s="33"/>
      <c r="AN127" s="33"/>
      <c r="AO127" s="33"/>
      <c r="AP127" s="33"/>
      <c r="AQ127" s="194"/>
      <c r="AR127" s="194"/>
      <c r="AS127" s="194"/>
      <c r="AT127" s="194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7"/>
        <v>5</v>
      </c>
      <c r="K128" s="33">
        <f t="shared" si="58"/>
        <v>1.910565629709926</v>
      </c>
      <c r="L128" s="33">
        <f t="shared" si="59"/>
        <v>45</v>
      </c>
      <c r="M128" s="33">
        <f t="shared" si="60"/>
        <v>0</v>
      </c>
      <c r="N128" s="33">
        <f t="shared" si="46"/>
        <v>0</v>
      </c>
      <c r="O128" s="34">
        <f t="shared" si="47"/>
        <v>177.03590180507811</v>
      </c>
      <c r="P128" s="55">
        <v>123</v>
      </c>
      <c r="Q128" s="33">
        <f t="shared" si="55"/>
        <v>10.140000000000015</v>
      </c>
      <c r="R128" s="33">
        <f t="shared" si="61"/>
        <v>661.43999999999971</v>
      </c>
      <c r="S128" s="33">
        <f t="shared" si="62"/>
        <v>403.47839999999979</v>
      </c>
      <c r="T128" s="33">
        <f t="shared" si="48"/>
        <v>92.481501686707048</v>
      </c>
      <c r="U128" s="33">
        <f t="shared" si="56"/>
        <v>67.095167222777462</v>
      </c>
      <c r="V128" s="33">
        <f t="shared" si="49"/>
        <v>10</v>
      </c>
      <c r="W128" s="33">
        <v>0</v>
      </c>
      <c r="X128" s="33">
        <f t="shared" si="50"/>
        <v>1146.4791085878651</v>
      </c>
      <c r="Y128" s="38">
        <f t="shared" si="51"/>
        <v>969.443206782787</v>
      </c>
      <c r="AA128" s="71">
        <v>123</v>
      </c>
      <c r="AB128" s="33">
        <f t="shared" si="52"/>
        <v>0</v>
      </c>
      <c r="AC128" s="305">
        <f t="shared" si="71"/>
        <v>0</v>
      </c>
      <c r="AD128" s="100">
        <f t="shared" si="53"/>
        <v>0</v>
      </c>
      <c r="AE128" s="100">
        <f t="shared" si="54"/>
        <v>0</v>
      </c>
      <c r="AF128" s="194">
        <f t="shared" si="67"/>
        <v>23.819486471602161</v>
      </c>
      <c r="AG128" s="194">
        <f t="shared" si="68"/>
        <v>0</v>
      </c>
      <c r="AH128" s="194">
        <f t="shared" si="69"/>
        <v>0</v>
      </c>
      <c r="AI128" s="199">
        <f t="shared" si="70"/>
        <v>23.819486471602161</v>
      </c>
      <c r="AK128" s="71">
        <v>123</v>
      </c>
      <c r="AL128" s="33"/>
      <c r="AM128" s="33"/>
      <c r="AN128" s="33"/>
      <c r="AO128" s="33"/>
      <c r="AP128" s="33"/>
      <c r="AQ128" s="194"/>
      <c r="AR128" s="194"/>
      <c r="AS128" s="194"/>
      <c r="AT128" s="194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7"/>
        <v>5</v>
      </c>
      <c r="K129" s="33">
        <f t="shared" si="58"/>
        <v>1.910565629709926</v>
      </c>
      <c r="L129" s="33">
        <f t="shared" si="59"/>
        <v>45</v>
      </c>
      <c r="M129" s="33">
        <f t="shared" si="60"/>
        <v>0</v>
      </c>
      <c r="N129" s="33">
        <f t="shared" si="46"/>
        <v>0</v>
      </c>
      <c r="O129" s="34">
        <f t="shared" si="47"/>
        <v>177.03590180507811</v>
      </c>
      <c r="P129" s="55">
        <v>124</v>
      </c>
      <c r="Q129" s="33">
        <f t="shared" si="55"/>
        <v>10.140000000000015</v>
      </c>
      <c r="R129" s="33">
        <f t="shared" si="61"/>
        <v>671.5799999999997</v>
      </c>
      <c r="S129" s="33">
        <f t="shared" si="62"/>
        <v>409.66379999999981</v>
      </c>
      <c r="T129" s="33">
        <f t="shared" si="48"/>
        <v>93.733122041039593</v>
      </c>
      <c r="U129" s="33">
        <f t="shared" si="56"/>
        <v>67.145559577229093</v>
      </c>
      <c r="V129" s="33">
        <f t="shared" si="49"/>
        <v>10</v>
      </c>
      <c r="W129" s="33">
        <v>0</v>
      </c>
      <c r="X129" s="33">
        <f t="shared" si="50"/>
        <v>1159.6166910046502</v>
      </c>
      <c r="Y129" s="38">
        <f t="shared" si="51"/>
        <v>982.58078919957211</v>
      </c>
      <c r="AA129" s="71">
        <v>124</v>
      </c>
      <c r="AB129" s="33">
        <f t="shared" si="52"/>
        <v>0</v>
      </c>
      <c r="AC129" s="305">
        <f t="shared" si="71"/>
        <v>0</v>
      </c>
      <c r="AD129" s="100">
        <f t="shared" si="53"/>
        <v>0</v>
      </c>
      <c r="AE129" s="100">
        <f t="shared" si="54"/>
        <v>0</v>
      </c>
      <c r="AF129" s="194">
        <f t="shared" si="67"/>
        <v>23.352400870346226</v>
      </c>
      <c r="AG129" s="194">
        <f t="shared" si="68"/>
        <v>0</v>
      </c>
      <c r="AH129" s="194">
        <f t="shared" si="69"/>
        <v>0</v>
      </c>
      <c r="AI129" s="199">
        <f t="shared" si="70"/>
        <v>23.352400870346226</v>
      </c>
      <c r="AK129" s="71">
        <v>124</v>
      </c>
      <c r="AL129" s="33"/>
      <c r="AM129" s="33"/>
      <c r="AN129" s="33"/>
      <c r="AO129" s="33"/>
      <c r="AP129" s="33"/>
      <c r="AQ129" s="194"/>
      <c r="AR129" s="194"/>
      <c r="AS129" s="194"/>
      <c r="AT129" s="194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8" t="s">
        <v>226</v>
      </c>
      <c r="F130" s="343" t="s">
        <v>272</v>
      </c>
      <c r="I130" s="55">
        <v>125</v>
      </c>
      <c r="J130" s="33">
        <f t="shared" si="57"/>
        <v>5</v>
      </c>
      <c r="K130" s="33">
        <f t="shared" si="58"/>
        <v>1.910565629709926</v>
      </c>
      <c r="L130" s="33">
        <f t="shared" si="59"/>
        <v>45</v>
      </c>
      <c r="M130" s="33">
        <f t="shared" si="60"/>
        <v>0</v>
      </c>
      <c r="N130" s="33">
        <f t="shared" si="46"/>
        <v>0</v>
      </c>
      <c r="O130" s="34">
        <f t="shared" si="47"/>
        <v>177.03590180507811</v>
      </c>
      <c r="P130" s="55">
        <v>125</v>
      </c>
      <c r="Q130" s="33">
        <f t="shared" si="55"/>
        <v>10.140000000000015</v>
      </c>
      <c r="R130" s="33">
        <f t="shared" si="61"/>
        <v>681.71999999999969</v>
      </c>
      <c r="S130" s="33">
        <f t="shared" si="62"/>
        <v>415.84919999999983</v>
      </c>
      <c r="T130" s="33">
        <f t="shared" si="48"/>
        <v>94.982544527061322</v>
      </c>
      <c r="U130" s="33">
        <f t="shared" si="56"/>
        <v>67.195077736991408</v>
      </c>
      <c r="V130" s="33">
        <f t="shared" si="49"/>
        <v>10</v>
      </c>
      <c r="W130" s="33">
        <v>0</v>
      </c>
      <c r="X130" s="33">
        <f t="shared" si="50"/>
        <v>1172.7472400869331</v>
      </c>
      <c r="Y130" s="38">
        <f t="shared" si="51"/>
        <v>995.71133828185498</v>
      </c>
      <c r="AA130" s="71">
        <v>125</v>
      </c>
      <c r="AB130" s="33">
        <f t="shared" si="52"/>
        <v>0</v>
      </c>
      <c r="AC130" s="305">
        <f t="shared" si="71"/>
        <v>0</v>
      </c>
      <c r="AD130" s="100">
        <f t="shared" si="53"/>
        <v>0</v>
      </c>
      <c r="AE130" s="100">
        <f t="shared" si="54"/>
        <v>0</v>
      </c>
      <c r="AF130" s="194">
        <f t="shared" si="67"/>
        <v>22.894474532836835</v>
      </c>
      <c r="AG130" s="194">
        <f t="shared" si="68"/>
        <v>0</v>
      </c>
      <c r="AH130" s="194">
        <f t="shared" si="69"/>
        <v>0</v>
      </c>
      <c r="AI130" s="199">
        <f t="shared" si="70"/>
        <v>22.894474532836835</v>
      </c>
      <c r="AK130" s="71">
        <v>125</v>
      </c>
      <c r="AL130" s="33"/>
      <c r="AM130" s="33"/>
      <c r="AN130" s="33"/>
      <c r="AO130" s="33"/>
      <c r="AP130" s="33"/>
      <c r="AQ130" s="194"/>
      <c r="AR130" s="194"/>
      <c r="AS130" s="194"/>
      <c r="AT130" s="194"/>
      <c r="AU130" s="33"/>
      <c r="AV130" s="33"/>
      <c r="AW130" s="33"/>
      <c r="AX130" s="33"/>
      <c r="AY130" s="76"/>
    </row>
    <row r="131" spans="3:51">
      <c r="C131" s="166" t="s">
        <v>7</v>
      </c>
      <c r="D131" s="4">
        <v>0.62</v>
      </c>
      <c r="E131" s="188" t="s">
        <v>227</v>
      </c>
      <c r="F131" s="343">
        <f>IF(OR(Tableau145[[#This Row],[Type]]="Feuillus",Tableau145[[#This Row],[Type]]="Peupliers"),1.56,1.3)</f>
        <v>1.56</v>
      </c>
      <c r="I131" s="55">
        <v>126</v>
      </c>
      <c r="J131" s="33">
        <f t="shared" si="57"/>
        <v>5</v>
      </c>
      <c r="K131" s="33">
        <f t="shared" si="58"/>
        <v>1.910565629709926</v>
      </c>
      <c r="L131" s="33">
        <f t="shared" si="59"/>
        <v>45</v>
      </c>
      <c r="M131" s="33">
        <f t="shared" si="60"/>
        <v>0</v>
      </c>
      <c r="N131" s="33">
        <f t="shared" si="46"/>
        <v>0</v>
      </c>
      <c r="O131" s="34">
        <f t="shared" si="47"/>
        <v>177.03590180507811</v>
      </c>
      <c r="P131" s="55">
        <v>126</v>
      </c>
      <c r="Q131" s="33">
        <f t="shared" si="55"/>
        <v>-32.759999999999991</v>
      </c>
      <c r="R131" s="33">
        <f t="shared" si="61"/>
        <v>648.9599999999997</v>
      </c>
      <c r="S131" s="33">
        <f t="shared" si="62"/>
        <v>395.8655999999998</v>
      </c>
      <c r="T131" s="33">
        <f t="shared" si="48"/>
        <v>90.937972904612437</v>
      </c>
      <c r="U131" s="33">
        <f t="shared" si="56"/>
        <v>67.243736867387867</v>
      </c>
      <c r="V131" s="33">
        <f t="shared" si="49"/>
        <v>10</v>
      </c>
      <c r="W131" s="33">
        <v>0</v>
      </c>
      <c r="X131" s="33">
        <f t="shared" si="50"/>
        <v>1131.0765913226217</v>
      </c>
      <c r="Y131" s="38">
        <f t="shared" si="51"/>
        <v>954.04068951754357</v>
      </c>
      <c r="AA131" s="71">
        <v>126</v>
      </c>
      <c r="AB131" s="33">
        <f t="shared" si="52"/>
        <v>0</v>
      </c>
      <c r="AC131" s="305">
        <f t="shared" si="71"/>
        <v>0</v>
      </c>
      <c r="AD131" s="100">
        <f t="shared" si="53"/>
        <v>0</v>
      </c>
      <c r="AE131" s="100">
        <f t="shared" si="54"/>
        <v>0</v>
      </c>
      <c r="AF131" s="194">
        <f t="shared" si="67"/>
        <v>22.445527851498515</v>
      </c>
      <c r="AG131" s="194">
        <f t="shared" si="68"/>
        <v>0</v>
      </c>
      <c r="AH131" s="194">
        <f t="shared" si="69"/>
        <v>0</v>
      </c>
      <c r="AI131" s="199">
        <f t="shared" si="70"/>
        <v>22.445527851498515</v>
      </c>
      <c r="AK131" s="71">
        <v>126</v>
      </c>
      <c r="AL131" s="33"/>
      <c r="AM131" s="33"/>
      <c r="AN131" s="33"/>
      <c r="AO131" s="33"/>
      <c r="AP131" s="33"/>
      <c r="AQ131" s="194"/>
      <c r="AR131" s="194"/>
      <c r="AS131" s="194"/>
      <c r="AT131" s="194"/>
      <c r="AU131" s="33"/>
      <c r="AV131" s="33"/>
      <c r="AW131" s="33"/>
      <c r="AX131" s="33"/>
      <c r="AY131" s="76"/>
    </row>
    <row r="132" spans="3:51">
      <c r="C132" s="166" t="s">
        <v>4</v>
      </c>
      <c r="D132" s="4">
        <v>0.64</v>
      </c>
      <c r="E132" s="188" t="s">
        <v>227</v>
      </c>
      <c r="F132" s="343">
        <f>IF(OR(Tableau145[[#This Row],[Type]]="Feuillus",Tableau145[[#This Row],[Type]]="Peupliers"),1.56,1.3)</f>
        <v>1.56</v>
      </c>
      <c r="I132" s="55">
        <v>127</v>
      </c>
      <c r="J132" s="33">
        <f t="shared" si="57"/>
        <v>5</v>
      </c>
      <c r="K132" s="33">
        <f t="shared" si="58"/>
        <v>1.910565629709926</v>
      </c>
      <c r="L132" s="33">
        <f t="shared" si="59"/>
        <v>45</v>
      </c>
      <c r="M132" s="33">
        <f t="shared" si="60"/>
        <v>0</v>
      </c>
      <c r="N132" s="33">
        <f t="shared" si="46"/>
        <v>0</v>
      </c>
      <c r="O132" s="34">
        <f t="shared" si="47"/>
        <v>177.03590180507811</v>
      </c>
      <c r="P132" s="55">
        <v>127</v>
      </c>
      <c r="Q132" s="33">
        <f t="shared" si="55"/>
        <v>9.3599999999999852</v>
      </c>
      <c r="R132" s="33">
        <f t="shared" si="61"/>
        <v>658.31999999999971</v>
      </c>
      <c r="S132" s="33">
        <f t="shared" si="62"/>
        <v>401.57519999999982</v>
      </c>
      <c r="T132" s="33">
        <f t="shared" si="48"/>
        <v>92.095939762640754</v>
      </c>
      <c r="U132" s="33">
        <f t="shared" si="56"/>
        <v>67.291551870657472</v>
      </c>
      <c r="V132" s="33">
        <f t="shared" si="49"/>
        <v>10</v>
      </c>
      <c r="W132" s="33">
        <v>0</v>
      </c>
      <c r="X132" s="33">
        <f t="shared" si="50"/>
        <v>1143.2129252790098</v>
      </c>
      <c r="Y132" s="38">
        <f t="shared" si="51"/>
        <v>966.17702347393174</v>
      </c>
      <c r="AA132" s="71">
        <v>127</v>
      </c>
      <c r="AB132" s="33">
        <f t="shared" si="52"/>
        <v>0</v>
      </c>
      <c r="AC132" s="305">
        <f t="shared" si="71"/>
        <v>0</v>
      </c>
      <c r="AD132" s="100">
        <f t="shared" si="53"/>
        <v>0</v>
      </c>
      <c r="AE132" s="100">
        <f t="shared" si="54"/>
        <v>0</v>
      </c>
      <c r="AF132" s="194">
        <f t="shared" si="67"/>
        <v>22.005384740750802</v>
      </c>
      <c r="AG132" s="194">
        <f t="shared" si="68"/>
        <v>0</v>
      </c>
      <c r="AH132" s="194">
        <f t="shared" si="69"/>
        <v>0</v>
      </c>
      <c r="AI132" s="199">
        <f t="shared" si="70"/>
        <v>22.005384740750802</v>
      </c>
      <c r="AK132" s="71">
        <v>127</v>
      </c>
      <c r="AL132" s="33"/>
      <c r="AM132" s="33"/>
      <c r="AN132" s="33"/>
      <c r="AO132" s="33"/>
      <c r="AP132" s="33"/>
      <c r="AQ132" s="194"/>
      <c r="AR132" s="194"/>
      <c r="AS132" s="194"/>
      <c r="AT132" s="194"/>
      <c r="AU132" s="33"/>
      <c r="AV132" s="33"/>
      <c r="AW132" s="33"/>
      <c r="AX132" s="33"/>
      <c r="AY132" s="76"/>
    </row>
    <row r="133" spans="3:51">
      <c r="C133" s="166" t="s">
        <v>8</v>
      </c>
      <c r="D133" s="4">
        <v>0.42</v>
      </c>
      <c r="E133" s="188" t="s">
        <v>227</v>
      </c>
      <c r="F133" s="343">
        <f>IF(OR(Tableau145[[#This Row],[Type]]="Feuillus",Tableau145[[#This Row],[Type]]="Peupliers"),1.56,1.3)</f>
        <v>1.56</v>
      </c>
      <c r="I133" s="55">
        <v>128</v>
      </c>
      <c r="J133" s="33">
        <f t="shared" si="57"/>
        <v>5</v>
      </c>
      <c r="K133" s="33">
        <f t="shared" si="58"/>
        <v>1.910565629709926</v>
      </c>
      <c r="L133" s="33">
        <f t="shared" si="59"/>
        <v>45</v>
      </c>
      <c r="M133" s="33">
        <f t="shared" si="60"/>
        <v>0</v>
      </c>
      <c r="N133" s="33">
        <f t="shared" ref="N133:N196" si="72">IF(P134&lt;=$F$18,0,)</f>
        <v>0</v>
      </c>
      <c r="O133" s="34">
        <f t="shared" ref="O133:O196" si="73">((J133+K133)*0.475+L133+M133+N133)*44/12</f>
        <v>177.03590180507811</v>
      </c>
      <c r="P133" s="55">
        <v>128</v>
      </c>
      <c r="Q133" s="33">
        <f t="shared" si="55"/>
        <v>9.3599999999999852</v>
      </c>
      <c r="R133" s="33">
        <f t="shared" si="61"/>
        <v>667.67999999999972</v>
      </c>
      <c r="S133" s="33">
        <f t="shared" si="62"/>
        <v>407.28479999999985</v>
      </c>
      <c r="T133" s="33">
        <f t="shared" ref="T133:T196" si="74">IF(S133=0,0,EXP(-1.0587+0.8836*LN(S133)+0.284))</f>
        <v>93.251991729671133</v>
      </c>
      <c r="U133" s="33">
        <f t="shared" si="56"/>
        <v>67.338537390518681</v>
      </c>
      <c r="V133" s="33">
        <f t="shared" ref="V133:V196" si="75">IF(P133&lt;=$F$18,IF(P133&lt;=30,P133*($F$16-$F$6)/30,$F$16-$F$6),)</f>
        <v>10</v>
      </c>
      <c r="W133" s="33">
        <v>0</v>
      </c>
      <c r="X133" s="33">
        <f t="shared" ref="X133:X196" si="76">((S133+T133)*0.475+U133+V133+W133)*44/12</f>
        <v>1155.3428826944121</v>
      </c>
      <c r="Y133" s="38">
        <f t="shared" ref="Y133:Y196" si="77">IF(P133&lt;=$F$18,X133-O133,)</f>
        <v>978.306980889334</v>
      </c>
      <c r="AA133" s="71">
        <v>128</v>
      </c>
      <c r="AB133" s="33">
        <f t="shared" ref="AB133:AB196" si="78">IF(AA133&lt;=$F$18,IFERROR(VLOOKUP($AA133,$B$82:$G$94,2,FALSE),0),)</f>
        <v>0</v>
      </c>
      <c r="AC133" s="305">
        <f t="shared" si="71"/>
        <v>0</v>
      </c>
      <c r="AD133" s="100">
        <f t="shared" ref="AD133:AD196" si="79">IF(AA133&lt;=$F$18,IFERROR(VLOOKUP($AA133,$B$82:$G$94,4,FALSE),0),)</f>
        <v>0</v>
      </c>
      <c r="AE133" s="100">
        <f t="shared" ref="AE133:AE196" si="80">IF(AA133&lt;=$F$18,IFERROR(VLOOKUP($AA133,$B$82:$G$94,5,FALSE),0),)</f>
        <v>0</v>
      </c>
      <c r="AF133" s="194">
        <f t="shared" si="67"/>
        <v>21.573872567944061</v>
      </c>
      <c r="AG133" s="194">
        <f t="shared" si="68"/>
        <v>0</v>
      </c>
      <c r="AH133" s="194">
        <f t="shared" si="69"/>
        <v>0</v>
      </c>
      <c r="AI133" s="199">
        <f t="shared" si="70"/>
        <v>21.573872567944061</v>
      </c>
      <c r="AK133" s="71">
        <v>128</v>
      </c>
      <c r="AL133" s="33"/>
      <c r="AM133" s="33"/>
      <c r="AN133" s="33"/>
      <c r="AO133" s="33"/>
      <c r="AP133" s="33"/>
      <c r="AQ133" s="194"/>
      <c r="AR133" s="194"/>
      <c r="AS133" s="194"/>
      <c r="AT133" s="194"/>
      <c r="AU133" s="33"/>
      <c r="AV133" s="33"/>
      <c r="AW133" s="33"/>
      <c r="AX133" s="33"/>
      <c r="AY133" s="76"/>
    </row>
    <row r="134" spans="3:51">
      <c r="C134" s="166" t="s">
        <v>9</v>
      </c>
      <c r="D134" s="4">
        <v>0.42</v>
      </c>
      <c r="E134" s="188" t="s">
        <v>227</v>
      </c>
      <c r="F134" s="343">
        <f>IF(OR(Tableau145[[#This Row],[Type]]="Feuillus",Tableau145[[#This Row],[Type]]="Peupliers"),1.56,1.3)</f>
        <v>1.56</v>
      </c>
      <c r="I134" s="55">
        <v>129</v>
      </c>
      <c r="J134" s="33">
        <f t="shared" si="57"/>
        <v>5</v>
      </c>
      <c r="K134" s="33">
        <f t="shared" si="58"/>
        <v>1.910565629709926</v>
      </c>
      <c r="L134" s="33">
        <f t="shared" si="59"/>
        <v>45</v>
      </c>
      <c r="M134" s="33">
        <f t="shared" si="60"/>
        <v>0</v>
      </c>
      <c r="N134" s="33">
        <f t="shared" si="72"/>
        <v>0</v>
      </c>
      <c r="O134" s="34">
        <f t="shared" si="73"/>
        <v>177.03590180507811</v>
      </c>
      <c r="P134" s="55">
        <v>129</v>
      </c>
      <c r="Q134" s="33">
        <f t="shared" ref="Q134:Q197" si="81">IF(P134&lt;=$F$18,LOOKUP(P134-1,$B$25:$B$78,$G$25:$G$78),)</f>
        <v>9.3599999999999852</v>
      </c>
      <c r="R134" s="33">
        <f t="shared" si="61"/>
        <v>677.03999999999974</v>
      </c>
      <c r="S134" s="33">
        <f t="shared" si="62"/>
        <v>412.99439999999981</v>
      </c>
      <c r="T134" s="33">
        <f t="shared" si="74"/>
        <v>94.406158752178399</v>
      </c>
      <c r="U134" s="33">
        <f t="shared" ref="U134:U197" si="82">IF(P134&lt;=$F$18,$F$5+($F$15-$F$5)*(1-EXP(-0.0175*P134)),)</f>
        <v>67.384707816654185</v>
      </c>
      <c r="V134" s="33">
        <f t="shared" si="75"/>
        <v>10</v>
      </c>
      <c r="W134" s="33">
        <v>0</v>
      </c>
      <c r="X134" s="33">
        <f t="shared" si="76"/>
        <v>1167.4665684877755</v>
      </c>
      <c r="Y134" s="38">
        <f t="shared" si="77"/>
        <v>990.43066668269739</v>
      </c>
      <c r="AA134" s="71">
        <v>129</v>
      </c>
      <c r="AB134" s="33">
        <f t="shared" si="78"/>
        <v>0</v>
      </c>
      <c r="AC134" s="305">
        <f t="shared" si="71"/>
        <v>0</v>
      </c>
      <c r="AD134" s="100">
        <f t="shared" si="79"/>
        <v>0</v>
      </c>
      <c r="AE134" s="100">
        <f t="shared" si="80"/>
        <v>0</v>
      </c>
      <c r="AF134" s="194">
        <f t="shared" si="67"/>
        <v>21.150822085649626</v>
      </c>
      <c r="AG134" s="194">
        <f t="shared" si="68"/>
        <v>0</v>
      </c>
      <c r="AH134" s="194">
        <f t="shared" si="69"/>
        <v>0</v>
      </c>
      <c r="AI134" s="199">
        <f t="shared" si="70"/>
        <v>21.150822085649626</v>
      </c>
      <c r="AK134" s="71">
        <v>129</v>
      </c>
      <c r="AL134" s="33"/>
      <c r="AM134" s="33"/>
      <c r="AN134" s="33"/>
      <c r="AO134" s="33"/>
      <c r="AP134" s="33"/>
      <c r="AQ134" s="194"/>
      <c r="AR134" s="194"/>
      <c r="AS134" s="194"/>
      <c r="AT134" s="194"/>
      <c r="AU134" s="33"/>
      <c r="AV134" s="33"/>
      <c r="AW134" s="33"/>
      <c r="AX134" s="33"/>
      <c r="AY134" s="76"/>
    </row>
    <row r="135" spans="3:51">
      <c r="C135" s="166" t="s">
        <v>10</v>
      </c>
      <c r="D135" s="4">
        <v>0.52</v>
      </c>
      <c r="E135" s="188" t="s">
        <v>227</v>
      </c>
      <c r="F135" s="343">
        <f>IF(OR(Tableau145[[#This Row],[Type]]="Feuillus",Tableau145[[#This Row],[Type]]="Peupliers"),1.56,1.3)</f>
        <v>1.56</v>
      </c>
      <c r="I135" s="55">
        <v>130</v>
      </c>
      <c r="J135" s="33">
        <f t="shared" ref="J135:J198" si="83">IF($I135&lt;=$F$10,$F$11*$F$13+J134,)</f>
        <v>5</v>
      </c>
      <c r="K135" s="33">
        <f t="shared" ref="K135:K198" si="84">IF(J135=0,0,EXP(-1.0587+0.8836*LN(J135)+0.284))</f>
        <v>1.910565629709926</v>
      </c>
      <c r="L135" s="33">
        <f t="shared" ref="L135:L198" si="85">IF(I135&lt;=$F$10,$F$5+($F$8-$F$5)*(1-EXP(-0.0175*I135)),)</f>
        <v>45</v>
      </c>
      <c r="M135" s="33">
        <f t="shared" ref="M135:M198" si="86">IF(I135&lt;=$F$10,IF(I135&lt;=30,I135*($F$9-$F$6)/30,$F$9-$F$6),)</f>
        <v>0</v>
      </c>
      <c r="N135" s="33">
        <f t="shared" si="72"/>
        <v>0</v>
      </c>
      <c r="O135" s="34">
        <f t="shared" si="73"/>
        <v>177.03590180507811</v>
      </c>
      <c r="P135" s="55">
        <v>130</v>
      </c>
      <c r="Q135" s="33">
        <f t="shared" si="81"/>
        <v>9.3599999999999852</v>
      </c>
      <c r="R135" s="33">
        <f t="shared" ref="R135:R198" si="87">IF(P135&lt;=$F$18,Q135+R134,)</f>
        <v>686.39999999999975</v>
      </c>
      <c r="S135" s="33">
        <f t="shared" ref="S135:S198" si="88">$F$19*R135</f>
        <v>418.70399999999984</v>
      </c>
      <c r="T135" s="33">
        <f t="shared" si="74"/>
        <v>95.558469901055844</v>
      </c>
      <c r="U135" s="33">
        <f t="shared" si="82"/>
        <v>67.430077289117847</v>
      </c>
      <c r="V135" s="33">
        <f t="shared" si="75"/>
        <v>10</v>
      </c>
      <c r="W135" s="33">
        <v>0</v>
      </c>
      <c r="X135" s="33">
        <f t="shared" si="76"/>
        <v>1179.5840851377709</v>
      </c>
      <c r="Y135" s="38">
        <f t="shared" si="77"/>
        <v>1002.5481833326928</v>
      </c>
      <c r="AA135" s="71">
        <v>130</v>
      </c>
      <c r="AB135" s="33">
        <f t="shared" si="78"/>
        <v>0</v>
      </c>
      <c r="AC135" s="305">
        <f t="shared" si="71"/>
        <v>0</v>
      </c>
      <c r="AD135" s="100">
        <f t="shared" si="79"/>
        <v>0</v>
      </c>
      <c r="AE135" s="100">
        <f t="shared" si="80"/>
        <v>0</v>
      </c>
      <c r="AF135" s="194">
        <f t="shared" si="67"/>
        <v>20.736067365277666</v>
      </c>
      <c r="AG135" s="194">
        <f t="shared" si="68"/>
        <v>0</v>
      </c>
      <c r="AH135" s="194">
        <f t="shared" si="69"/>
        <v>0</v>
      </c>
      <c r="AI135" s="199">
        <f t="shared" si="70"/>
        <v>20.736067365277666</v>
      </c>
      <c r="AK135" s="71">
        <v>130</v>
      </c>
      <c r="AL135" s="33"/>
      <c r="AM135" s="33"/>
      <c r="AN135" s="33"/>
      <c r="AO135" s="33"/>
      <c r="AP135" s="33"/>
      <c r="AQ135" s="194"/>
      <c r="AR135" s="194"/>
      <c r="AS135" s="194"/>
      <c r="AT135" s="194"/>
      <c r="AU135" s="33"/>
      <c r="AV135" s="33"/>
      <c r="AW135" s="33"/>
      <c r="AX135" s="33"/>
      <c r="AY135" s="76"/>
    </row>
    <row r="136" spans="3:51">
      <c r="C136" s="166" t="s">
        <v>11</v>
      </c>
      <c r="D136" s="4">
        <v>0.36</v>
      </c>
      <c r="E136" s="188" t="s">
        <v>228</v>
      </c>
      <c r="F136" s="343">
        <f>IF(OR(Tableau145[[#This Row],[Type]]="Feuillus",Tableau145[[#This Row],[Type]]="Peupliers"),1.56,1.3)</f>
        <v>1.3</v>
      </c>
      <c r="I136" s="55">
        <v>131</v>
      </c>
      <c r="J136" s="33">
        <f t="shared" si="83"/>
        <v>5</v>
      </c>
      <c r="K136" s="33">
        <f t="shared" si="84"/>
        <v>1.910565629709926</v>
      </c>
      <c r="L136" s="33">
        <f t="shared" si="85"/>
        <v>45</v>
      </c>
      <c r="M136" s="33">
        <f t="shared" si="86"/>
        <v>0</v>
      </c>
      <c r="N136" s="33">
        <f t="shared" si="72"/>
        <v>0</v>
      </c>
      <c r="O136" s="34">
        <f t="shared" si="73"/>
        <v>177.03590180507811</v>
      </c>
      <c r="P136" s="55">
        <v>131</v>
      </c>
      <c r="Q136" s="33">
        <f t="shared" si="81"/>
        <v>-31.199999999999932</v>
      </c>
      <c r="R136" s="33">
        <f t="shared" si="87"/>
        <v>655.19999999999982</v>
      </c>
      <c r="S136" s="33">
        <f t="shared" si="88"/>
        <v>399.67199999999985</v>
      </c>
      <c r="T136" s="33">
        <f t="shared" si="74"/>
        <v>91.710165080436155</v>
      </c>
      <c r="U136" s="33">
        <f t="shared" si="82"/>
        <v>67.474659702665207</v>
      </c>
      <c r="V136" s="33">
        <f t="shared" si="75"/>
        <v>10</v>
      </c>
      <c r="W136" s="33">
        <v>0</v>
      </c>
      <c r="X136" s="33">
        <f t="shared" si="76"/>
        <v>1139.8976897581986</v>
      </c>
      <c r="Y136" s="38">
        <f t="shared" si="77"/>
        <v>962.86178795312048</v>
      </c>
      <c r="AA136" s="71">
        <v>131</v>
      </c>
      <c r="AB136" s="33">
        <f t="shared" si="78"/>
        <v>0</v>
      </c>
      <c r="AC136" s="305">
        <f t="shared" si="71"/>
        <v>0</v>
      </c>
      <c r="AD136" s="100">
        <f t="shared" si="79"/>
        <v>0</v>
      </c>
      <c r="AE136" s="100">
        <f t="shared" si="80"/>
        <v>0</v>
      </c>
      <c r="AF136" s="194">
        <f t="shared" si="67"/>
        <v>20.329445731996802</v>
      </c>
      <c r="AG136" s="194">
        <f t="shared" si="68"/>
        <v>0</v>
      </c>
      <c r="AH136" s="194">
        <f t="shared" si="69"/>
        <v>0</v>
      </c>
      <c r="AI136" s="199">
        <f t="shared" si="70"/>
        <v>20.329445731996802</v>
      </c>
      <c r="AK136" s="71">
        <v>131</v>
      </c>
      <c r="AL136" s="33"/>
      <c r="AM136" s="33"/>
      <c r="AN136" s="33"/>
      <c r="AO136" s="33"/>
      <c r="AP136" s="33"/>
      <c r="AQ136" s="194"/>
      <c r="AR136" s="194"/>
      <c r="AS136" s="194"/>
      <c r="AT136" s="194"/>
      <c r="AU136" s="33"/>
      <c r="AV136" s="33"/>
      <c r="AW136" s="33"/>
      <c r="AX136" s="33"/>
      <c r="AY136" s="76"/>
    </row>
    <row r="137" spans="3:51">
      <c r="C137" s="166" t="s">
        <v>12</v>
      </c>
      <c r="D137" s="4">
        <v>0.61</v>
      </c>
      <c r="E137" s="188" t="s">
        <v>227</v>
      </c>
      <c r="F137" s="343">
        <f>IF(OR(Tableau145[[#This Row],[Type]]="Feuillus",Tableau145[[#This Row],[Type]]="Peupliers"),1.56,1.3)</f>
        <v>1.56</v>
      </c>
      <c r="I137" s="55">
        <v>132</v>
      </c>
      <c r="J137" s="33">
        <f t="shared" si="83"/>
        <v>5</v>
      </c>
      <c r="K137" s="33">
        <f t="shared" si="84"/>
        <v>1.910565629709926</v>
      </c>
      <c r="L137" s="33">
        <f t="shared" si="85"/>
        <v>45</v>
      </c>
      <c r="M137" s="33">
        <f t="shared" si="86"/>
        <v>0</v>
      </c>
      <c r="N137" s="33">
        <f t="shared" si="72"/>
        <v>0</v>
      </c>
      <c r="O137" s="34">
        <f t="shared" si="73"/>
        <v>177.03590180507811</v>
      </c>
      <c r="P137" s="55">
        <v>132</v>
      </c>
      <c r="Q137" s="33">
        <f t="shared" si="81"/>
        <v>9.3599999999999852</v>
      </c>
      <c r="R137" s="33">
        <f t="shared" si="87"/>
        <v>664.55999999999983</v>
      </c>
      <c r="S137" s="33">
        <f t="shared" si="88"/>
        <v>405.38159999999988</v>
      </c>
      <c r="T137" s="33">
        <f t="shared" si="74"/>
        <v>92.866851972728284</v>
      </c>
      <c r="U137" s="33">
        <f t="shared" si="82"/>
        <v>67.518468711008865</v>
      </c>
      <c r="V137" s="33">
        <f t="shared" si="75"/>
        <v>10</v>
      </c>
      <c r="W137" s="33">
        <v>0</v>
      </c>
      <c r="X137" s="33">
        <f t="shared" si="76"/>
        <v>1152.0171057928674</v>
      </c>
      <c r="Y137" s="38">
        <f t="shared" si="77"/>
        <v>974.98120398778929</v>
      </c>
      <c r="AA137" s="71">
        <v>132</v>
      </c>
      <c r="AB137" s="33">
        <f t="shared" si="78"/>
        <v>0</v>
      </c>
      <c r="AC137" s="305">
        <f t="shared" si="71"/>
        <v>0</v>
      </c>
      <c r="AD137" s="100">
        <f t="shared" si="79"/>
        <v>0</v>
      </c>
      <c r="AE137" s="100">
        <f t="shared" si="80"/>
        <v>0</v>
      </c>
      <c r="AF137" s="194">
        <f t="shared" si="67"/>
        <v>19.930797700929869</v>
      </c>
      <c r="AG137" s="194">
        <f t="shared" si="68"/>
        <v>0</v>
      </c>
      <c r="AH137" s="194">
        <f t="shared" si="69"/>
        <v>0</v>
      </c>
      <c r="AI137" s="199">
        <f t="shared" si="70"/>
        <v>19.930797700929869</v>
      </c>
      <c r="AK137" s="71">
        <v>132</v>
      </c>
      <c r="AL137" s="33"/>
      <c r="AM137" s="33"/>
      <c r="AN137" s="33"/>
      <c r="AO137" s="33"/>
      <c r="AP137" s="33"/>
      <c r="AQ137" s="194"/>
      <c r="AR137" s="194"/>
      <c r="AS137" s="194"/>
      <c r="AT137" s="194"/>
      <c r="AU137" s="33"/>
      <c r="AV137" s="33"/>
      <c r="AW137" s="33"/>
      <c r="AX137" s="33"/>
      <c r="AY137" s="76"/>
    </row>
    <row r="138" spans="3:51">
      <c r="C138" s="166" t="s">
        <v>13</v>
      </c>
      <c r="D138" s="4">
        <v>0.66</v>
      </c>
      <c r="E138" s="188" t="s">
        <v>227</v>
      </c>
      <c r="F138" s="343">
        <f>IF(OR(Tableau145[[#This Row],[Type]]="Feuillus",Tableau145[[#This Row],[Type]]="Peupliers"),1.56,1.3)</f>
        <v>1.56</v>
      </c>
      <c r="I138" s="55">
        <v>133</v>
      </c>
      <c r="J138" s="33">
        <f t="shared" si="83"/>
        <v>5</v>
      </c>
      <c r="K138" s="33">
        <f t="shared" si="84"/>
        <v>1.910565629709926</v>
      </c>
      <c r="L138" s="33">
        <f t="shared" si="85"/>
        <v>45</v>
      </c>
      <c r="M138" s="33">
        <f t="shared" si="86"/>
        <v>0</v>
      </c>
      <c r="N138" s="33">
        <f t="shared" si="72"/>
        <v>0</v>
      </c>
      <c r="O138" s="34">
        <f t="shared" si="73"/>
        <v>177.03590180507811</v>
      </c>
      <c r="P138" s="55">
        <v>133</v>
      </c>
      <c r="Q138" s="33">
        <f t="shared" si="81"/>
        <v>9.3599999999999852</v>
      </c>
      <c r="R138" s="33">
        <f t="shared" si="87"/>
        <v>673.91999999999985</v>
      </c>
      <c r="S138" s="33">
        <f t="shared" si="88"/>
        <v>411.0911999999999</v>
      </c>
      <c r="T138" s="33">
        <f t="shared" si="74"/>
        <v>94.021644037524425</v>
      </c>
      <c r="U138" s="33">
        <f t="shared" si="82"/>
        <v>67.561517731000023</v>
      </c>
      <c r="V138" s="33">
        <f t="shared" si="75"/>
        <v>10</v>
      </c>
      <c r="W138" s="33">
        <v>0</v>
      </c>
      <c r="X138" s="33">
        <f t="shared" si="76"/>
        <v>1164.1304350456883</v>
      </c>
      <c r="Y138" s="38">
        <f t="shared" si="77"/>
        <v>987.09453324061019</v>
      </c>
      <c r="AA138" s="71">
        <v>133</v>
      </c>
      <c r="AB138" s="33">
        <f t="shared" si="78"/>
        <v>0</v>
      </c>
      <c r="AC138" s="305">
        <f t="shared" si="71"/>
        <v>0</v>
      </c>
      <c r="AD138" s="100">
        <f t="shared" si="79"/>
        <v>0</v>
      </c>
      <c r="AE138" s="100">
        <f t="shared" si="80"/>
        <v>0</v>
      </c>
      <c r="AF138" s="194">
        <f t="shared" si="67"/>
        <v>19.539966914600868</v>
      </c>
      <c r="AG138" s="194">
        <f t="shared" si="68"/>
        <v>0</v>
      </c>
      <c r="AH138" s="194">
        <f t="shared" si="69"/>
        <v>0</v>
      </c>
      <c r="AI138" s="199">
        <f t="shared" si="70"/>
        <v>19.539966914600868</v>
      </c>
      <c r="AK138" s="71">
        <v>133</v>
      </c>
      <c r="AL138" s="33"/>
      <c r="AM138" s="33"/>
      <c r="AN138" s="33"/>
      <c r="AO138" s="33"/>
      <c r="AP138" s="33"/>
      <c r="AQ138" s="194"/>
      <c r="AR138" s="194"/>
      <c r="AS138" s="194"/>
      <c r="AT138" s="194"/>
      <c r="AU138" s="33"/>
      <c r="AV138" s="33"/>
      <c r="AW138" s="33"/>
      <c r="AX138" s="33"/>
      <c r="AY138" s="76"/>
    </row>
    <row r="139" spans="3:51">
      <c r="C139" s="167" t="s">
        <v>14</v>
      </c>
      <c r="D139" s="134">
        <v>0.47</v>
      </c>
      <c r="E139" s="188" t="s">
        <v>227</v>
      </c>
      <c r="F139" s="343">
        <f>IF(OR(Tableau145[[#This Row],[Type]]="Feuillus",Tableau145[[#This Row],[Type]]="Peupliers"),1.56,1.3)</f>
        <v>1.56</v>
      </c>
      <c r="I139" s="55">
        <v>134</v>
      </c>
      <c r="J139" s="33">
        <f t="shared" si="83"/>
        <v>5</v>
      </c>
      <c r="K139" s="33">
        <f t="shared" si="84"/>
        <v>1.910565629709926</v>
      </c>
      <c r="L139" s="33">
        <f t="shared" si="85"/>
        <v>45</v>
      </c>
      <c r="M139" s="33">
        <f t="shared" si="86"/>
        <v>0</v>
      </c>
      <c r="N139" s="33">
        <f t="shared" si="72"/>
        <v>0</v>
      </c>
      <c r="O139" s="34">
        <f t="shared" si="73"/>
        <v>177.03590180507811</v>
      </c>
      <c r="P139" s="55">
        <v>134</v>
      </c>
      <c r="Q139" s="33">
        <f t="shared" si="81"/>
        <v>9.3599999999999852</v>
      </c>
      <c r="R139" s="33">
        <f t="shared" si="87"/>
        <v>683.27999999999986</v>
      </c>
      <c r="S139" s="33">
        <f t="shared" si="88"/>
        <v>416.80079999999992</v>
      </c>
      <c r="T139" s="33">
        <f t="shared" si="74"/>
        <v>95.174570633340764</v>
      </c>
      <c r="U139" s="33">
        <f t="shared" si="82"/>
        <v>67.603819946737531</v>
      </c>
      <c r="V139" s="33">
        <f t="shared" si="75"/>
        <v>10</v>
      </c>
      <c r="W139" s="33">
        <v>0</v>
      </c>
      <c r="X139" s="33">
        <f t="shared" si="76"/>
        <v>1176.2377769911059</v>
      </c>
      <c r="Y139" s="38">
        <f t="shared" si="77"/>
        <v>999.20187518602779</v>
      </c>
      <c r="AA139" s="71">
        <v>134</v>
      </c>
      <c r="AB139" s="33">
        <f t="shared" si="78"/>
        <v>0</v>
      </c>
      <c r="AC139" s="305">
        <f t="shared" si="71"/>
        <v>0</v>
      </c>
      <c r="AD139" s="100">
        <f t="shared" si="79"/>
        <v>0</v>
      </c>
      <c r="AE139" s="100">
        <f t="shared" si="80"/>
        <v>0</v>
      </c>
      <c r="AF139" s="194">
        <f t="shared" si="67"/>
        <v>19.156800081608537</v>
      </c>
      <c r="AG139" s="194">
        <f t="shared" si="68"/>
        <v>0</v>
      </c>
      <c r="AH139" s="194">
        <f t="shared" si="69"/>
        <v>0</v>
      </c>
      <c r="AI139" s="199">
        <f t="shared" si="70"/>
        <v>19.156800081608537</v>
      </c>
      <c r="AK139" s="71">
        <v>134</v>
      </c>
      <c r="AL139" s="33"/>
      <c r="AM139" s="33"/>
      <c r="AN139" s="33"/>
      <c r="AO139" s="33"/>
      <c r="AP139" s="33"/>
      <c r="AQ139" s="194"/>
      <c r="AR139" s="194"/>
      <c r="AS139" s="194"/>
      <c r="AT139" s="194"/>
      <c r="AU139" s="33"/>
      <c r="AV139" s="33"/>
      <c r="AW139" s="33"/>
      <c r="AX139" s="33"/>
      <c r="AY139" s="76"/>
    </row>
    <row r="140" spans="3:51">
      <c r="C140" s="166" t="s">
        <v>15</v>
      </c>
      <c r="D140" s="4">
        <v>0.67</v>
      </c>
      <c r="E140" s="188" t="s">
        <v>227</v>
      </c>
      <c r="F140" s="343">
        <f>IF(OR(Tableau145[[#This Row],[Type]]="Feuillus",Tableau145[[#This Row],[Type]]="Peupliers"),1.56,1.3)</f>
        <v>1.56</v>
      </c>
      <c r="I140" s="55">
        <v>135</v>
      </c>
      <c r="J140" s="33">
        <f t="shared" si="83"/>
        <v>5</v>
      </c>
      <c r="K140" s="33">
        <f t="shared" si="84"/>
        <v>1.910565629709926</v>
      </c>
      <c r="L140" s="33">
        <f t="shared" si="85"/>
        <v>45</v>
      </c>
      <c r="M140" s="33">
        <f t="shared" si="86"/>
        <v>0</v>
      </c>
      <c r="N140" s="33">
        <f t="shared" si="72"/>
        <v>0</v>
      </c>
      <c r="O140" s="34">
        <f t="shared" si="73"/>
        <v>177.03590180507811</v>
      </c>
      <c r="P140" s="55">
        <v>135</v>
      </c>
      <c r="Q140" s="33">
        <f t="shared" si="81"/>
        <v>9.3599999999999852</v>
      </c>
      <c r="R140" s="33">
        <f t="shared" si="87"/>
        <v>692.63999999999987</v>
      </c>
      <c r="S140" s="33">
        <f t="shared" si="88"/>
        <v>422.51039999999989</v>
      </c>
      <c r="T140" s="33">
        <f t="shared" si="74"/>
        <v>96.325660268137014</v>
      </c>
      <c r="U140" s="33">
        <f t="shared" si="82"/>
        <v>67.645388313605579</v>
      </c>
      <c r="V140" s="33">
        <f t="shared" si="75"/>
        <v>10</v>
      </c>
      <c r="W140" s="33">
        <v>0</v>
      </c>
      <c r="X140" s="33">
        <f t="shared" si="76"/>
        <v>1188.3392287835588</v>
      </c>
      <c r="Y140" s="38">
        <f t="shared" si="77"/>
        <v>1011.3033269784808</v>
      </c>
      <c r="AA140" s="71">
        <v>135</v>
      </c>
      <c r="AB140" s="33">
        <f t="shared" si="78"/>
        <v>444</v>
      </c>
      <c r="AC140" s="305">
        <f t="shared" si="71"/>
        <v>0.47499999999999998</v>
      </c>
      <c r="AD140" s="100">
        <f t="shared" si="79"/>
        <v>0</v>
      </c>
      <c r="AE140" s="100">
        <f t="shared" si="80"/>
        <v>0</v>
      </c>
      <c r="AF140" s="194">
        <f t="shared" si="67"/>
        <v>240.64069473269629</v>
      </c>
      <c r="AG140" s="194">
        <f t="shared" si="68"/>
        <v>0</v>
      </c>
      <c r="AH140" s="194">
        <f t="shared" si="69"/>
        <v>0</v>
      </c>
      <c r="AI140" s="199">
        <f t="shared" si="70"/>
        <v>240.64069473269629</v>
      </c>
      <c r="AK140" s="71">
        <v>135</v>
      </c>
      <c r="AL140" s="33"/>
      <c r="AM140" s="33"/>
      <c r="AN140" s="33"/>
      <c r="AO140" s="33"/>
      <c r="AP140" s="33"/>
      <c r="AQ140" s="194"/>
      <c r="AR140" s="194"/>
      <c r="AS140" s="194"/>
      <c r="AT140" s="194"/>
      <c r="AU140" s="33"/>
      <c r="AV140" s="33"/>
      <c r="AW140" s="33"/>
      <c r="AX140" s="33"/>
      <c r="AY140" s="76"/>
    </row>
    <row r="141" spans="3:51">
      <c r="C141" s="166" t="s">
        <v>16</v>
      </c>
      <c r="D141" s="4">
        <v>0.7</v>
      </c>
      <c r="E141" s="188" t="s">
        <v>227</v>
      </c>
      <c r="F141" s="343">
        <f>IF(OR(Tableau145[[#This Row],[Type]]="Feuillus",Tableau145[[#This Row],[Type]]="Peupliers"),1.56,1.3)</f>
        <v>1.56</v>
      </c>
      <c r="I141" s="55">
        <v>136</v>
      </c>
      <c r="J141" s="33">
        <f t="shared" si="83"/>
        <v>0</v>
      </c>
      <c r="K141" s="33">
        <f t="shared" si="84"/>
        <v>0</v>
      </c>
      <c r="L141" s="33">
        <f t="shared" si="85"/>
        <v>0</v>
      </c>
      <c r="M141" s="33">
        <f t="shared" si="86"/>
        <v>0</v>
      </c>
      <c r="N141" s="33">
        <f t="shared" si="72"/>
        <v>0</v>
      </c>
      <c r="O141" s="34">
        <f t="shared" si="73"/>
        <v>0</v>
      </c>
      <c r="P141" s="55">
        <v>136</v>
      </c>
      <c r="Q141" s="33">
        <f t="shared" si="81"/>
        <v>0</v>
      </c>
      <c r="R141" s="33">
        <f t="shared" si="87"/>
        <v>0</v>
      </c>
      <c r="S141" s="33">
        <f t="shared" si="88"/>
        <v>0</v>
      </c>
      <c r="T141" s="33">
        <f t="shared" si="74"/>
        <v>0</v>
      </c>
      <c r="U141" s="33">
        <f t="shared" si="82"/>
        <v>0</v>
      </c>
      <c r="V141" s="33">
        <f t="shared" si="75"/>
        <v>0</v>
      </c>
      <c r="W141" s="33">
        <v>0</v>
      </c>
      <c r="X141" s="33">
        <f t="shared" si="76"/>
        <v>0</v>
      </c>
      <c r="Y141" s="38">
        <f t="shared" si="77"/>
        <v>0</v>
      </c>
      <c r="AA141" s="71">
        <v>136</v>
      </c>
      <c r="AB141" s="33">
        <f t="shared" si="78"/>
        <v>0</v>
      </c>
      <c r="AC141" s="305">
        <f t="shared" si="71"/>
        <v>0</v>
      </c>
      <c r="AD141" s="100">
        <f t="shared" si="79"/>
        <v>0</v>
      </c>
      <c r="AE141" s="100">
        <f t="shared" si="80"/>
        <v>0</v>
      </c>
      <c r="AF141" s="194">
        <f t="shared" si="67"/>
        <v>0</v>
      </c>
      <c r="AG141" s="194">
        <f t="shared" si="68"/>
        <v>0</v>
      </c>
      <c r="AH141" s="194">
        <f t="shared" si="69"/>
        <v>0</v>
      </c>
      <c r="AI141" s="199">
        <f t="shared" si="70"/>
        <v>0</v>
      </c>
      <c r="AK141" s="71">
        <v>136</v>
      </c>
      <c r="AL141" s="33"/>
      <c r="AM141" s="33"/>
      <c r="AN141" s="33"/>
      <c r="AO141" s="33"/>
      <c r="AP141" s="33"/>
      <c r="AQ141" s="194"/>
      <c r="AR141" s="194"/>
      <c r="AS141" s="194"/>
      <c r="AT141" s="194"/>
      <c r="AU141" s="33"/>
      <c r="AV141" s="33"/>
      <c r="AW141" s="33"/>
      <c r="AX141" s="33"/>
      <c r="AY141" s="76"/>
    </row>
    <row r="142" spans="3:51">
      <c r="C142" s="166" t="s">
        <v>17</v>
      </c>
      <c r="D142" s="4">
        <v>0.54</v>
      </c>
      <c r="E142" s="188" t="s">
        <v>227</v>
      </c>
      <c r="F142" s="343">
        <f>IF(OR(Tableau145[[#This Row],[Type]]="Feuillus",Tableau145[[#This Row],[Type]]="Peupliers"),1.56,1.3)</f>
        <v>1.56</v>
      </c>
      <c r="I142" s="55">
        <v>137</v>
      </c>
      <c r="J142" s="33">
        <f t="shared" si="83"/>
        <v>0</v>
      </c>
      <c r="K142" s="33">
        <f t="shared" si="84"/>
        <v>0</v>
      </c>
      <c r="L142" s="33">
        <f t="shared" si="85"/>
        <v>0</v>
      </c>
      <c r="M142" s="33">
        <f t="shared" si="86"/>
        <v>0</v>
      </c>
      <c r="N142" s="33">
        <f t="shared" si="72"/>
        <v>0</v>
      </c>
      <c r="O142" s="34">
        <f t="shared" si="73"/>
        <v>0</v>
      </c>
      <c r="P142" s="55">
        <v>137</v>
      </c>
      <c r="Q142" s="33">
        <f t="shared" si="81"/>
        <v>0</v>
      </c>
      <c r="R142" s="33">
        <f t="shared" si="87"/>
        <v>0</v>
      </c>
      <c r="S142" s="33">
        <f t="shared" si="88"/>
        <v>0</v>
      </c>
      <c r="T142" s="33">
        <f t="shared" si="74"/>
        <v>0</v>
      </c>
      <c r="U142" s="33">
        <f t="shared" si="82"/>
        <v>0</v>
      </c>
      <c r="V142" s="33">
        <f t="shared" si="75"/>
        <v>0</v>
      </c>
      <c r="W142" s="33">
        <v>0</v>
      </c>
      <c r="X142" s="33">
        <f t="shared" si="76"/>
        <v>0</v>
      </c>
      <c r="Y142" s="38">
        <f t="shared" si="77"/>
        <v>0</v>
      </c>
      <c r="AA142" s="71">
        <v>137</v>
      </c>
      <c r="AB142" s="33">
        <f t="shared" si="78"/>
        <v>0</v>
      </c>
      <c r="AC142" s="305">
        <f t="shared" si="71"/>
        <v>0</v>
      </c>
      <c r="AD142" s="100">
        <f t="shared" si="79"/>
        <v>0</v>
      </c>
      <c r="AE142" s="100">
        <f t="shared" si="80"/>
        <v>0</v>
      </c>
      <c r="AF142" s="194">
        <f t="shared" si="67"/>
        <v>0</v>
      </c>
      <c r="AG142" s="194">
        <f t="shared" si="68"/>
        <v>0</v>
      </c>
      <c r="AH142" s="194">
        <f t="shared" si="69"/>
        <v>0</v>
      </c>
      <c r="AI142" s="199">
        <f t="shared" si="70"/>
        <v>0</v>
      </c>
      <c r="AK142" s="71">
        <v>137</v>
      </c>
      <c r="AL142" s="33"/>
      <c r="AM142" s="33"/>
      <c r="AN142" s="33"/>
      <c r="AO142" s="33"/>
      <c r="AP142" s="33"/>
      <c r="AQ142" s="194"/>
      <c r="AR142" s="194"/>
      <c r="AS142" s="194"/>
      <c r="AT142" s="194"/>
      <c r="AU142" s="33"/>
      <c r="AV142" s="33"/>
      <c r="AW142" s="33"/>
      <c r="AX142" s="33"/>
      <c r="AY142" s="76"/>
    </row>
    <row r="143" spans="3:51">
      <c r="C143" s="166" t="s">
        <v>18</v>
      </c>
      <c r="D143" s="4">
        <v>0.65</v>
      </c>
      <c r="E143" s="188" t="s">
        <v>227</v>
      </c>
      <c r="F143" s="343">
        <f>IF(OR(Tableau145[[#This Row],[Type]]="Feuillus",Tableau145[[#This Row],[Type]]="Peupliers"),1.56,1.3)</f>
        <v>1.56</v>
      </c>
      <c r="I143" s="55">
        <v>138</v>
      </c>
      <c r="J143" s="33">
        <f t="shared" si="83"/>
        <v>0</v>
      </c>
      <c r="K143" s="33">
        <f t="shared" si="84"/>
        <v>0</v>
      </c>
      <c r="L143" s="33">
        <f t="shared" si="85"/>
        <v>0</v>
      </c>
      <c r="M143" s="33">
        <f t="shared" si="86"/>
        <v>0</v>
      </c>
      <c r="N143" s="33">
        <f t="shared" si="72"/>
        <v>0</v>
      </c>
      <c r="O143" s="34">
        <f t="shared" si="73"/>
        <v>0</v>
      </c>
      <c r="P143" s="55">
        <v>138</v>
      </c>
      <c r="Q143" s="33">
        <f t="shared" si="81"/>
        <v>0</v>
      </c>
      <c r="R143" s="33">
        <f t="shared" si="87"/>
        <v>0</v>
      </c>
      <c r="S143" s="33">
        <f t="shared" si="88"/>
        <v>0</v>
      </c>
      <c r="T143" s="33">
        <f t="shared" si="74"/>
        <v>0</v>
      </c>
      <c r="U143" s="33">
        <f t="shared" si="82"/>
        <v>0</v>
      </c>
      <c r="V143" s="33">
        <f t="shared" si="75"/>
        <v>0</v>
      </c>
      <c r="W143" s="33">
        <v>0</v>
      </c>
      <c r="X143" s="33">
        <f t="shared" si="76"/>
        <v>0</v>
      </c>
      <c r="Y143" s="38">
        <f t="shared" si="77"/>
        <v>0</v>
      </c>
      <c r="AA143" s="71">
        <v>138</v>
      </c>
      <c r="AB143" s="33">
        <f t="shared" si="78"/>
        <v>0</v>
      </c>
      <c r="AC143" s="305">
        <f t="shared" si="71"/>
        <v>0</v>
      </c>
      <c r="AD143" s="100">
        <f t="shared" si="79"/>
        <v>0</v>
      </c>
      <c r="AE143" s="100">
        <f t="shared" si="80"/>
        <v>0</v>
      </c>
      <c r="AF143" s="194">
        <f t="shared" si="67"/>
        <v>0</v>
      </c>
      <c r="AG143" s="194">
        <f t="shared" si="68"/>
        <v>0</v>
      </c>
      <c r="AH143" s="194">
        <f t="shared" si="69"/>
        <v>0</v>
      </c>
      <c r="AI143" s="199">
        <f t="shared" si="70"/>
        <v>0</v>
      </c>
      <c r="AK143" s="71">
        <v>138</v>
      </c>
      <c r="AL143" s="33"/>
      <c r="AM143" s="33"/>
      <c r="AN143" s="33"/>
      <c r="AO143" s="33"/>
      <c r="AP143" s="33"/>
      <c r="AQ143" s="194"/>
      <c r="AR143" s="194"/>
      <c r="AS143" s="194"/>
      <c r="AT143" s="194"/>
      <c r="AU143" s="33"/>
      <c r="AV143" s="33"/>
      <c r="AW143" s="33"/>
      <c r="AX143" s="33"/>
      <c r="AY143" s="76"/>
    </row>
    <row r="144" spans="3:51">
      <c r="C144" s="166" t="s">
        <v>19</v>
      </c>
      <c r="D144" s="4">
        <v>0.56000000000000005</v>
      </c>
      <c r="E144" s="188" t="s">
        <v>227</v>
      </c>
      <c r="F144" s="343">
        <f>IF(OR(Tableau145[[#This Row],[Type]]="Feuillus",Tableau145[[#This Row],[Type]]="Peupliers"),1.56,1.3)</f>
        <v>1.56</v>
      </c>
      <c r="I144" s="55">
        <v>139</v>
      </c>
      <c r="J144" s="33">
        <f t="shared" si="83"/>
        <v>0</v>
      </c>
      <c r="K144" s="33">
        <f t="shared" si="84"/>
        <v>0</v>
      </c>
      <c r="L144" s="33">
        <f t="shared" si="85"/>
        <v>0</v>
      </c>
      <c r="M144" s="33">
        <f t="shared" si="86"/>
        <v>0</v>
      </c>
      <c r="N144" s="33">
        <f t="shared" si="72"/>
        <v>0</v>
      </c>
      <c r="O144" s="34">
        <f t="shared" si="73"/>
        <v>0</v>
      </c>
      <c r="P144" s="55">
        <v>139</v>
      </c>
      <c r="Q144" s="33">
        <f t="shared" si="81"/>
        <v>0</v>
      </c>
      <c r="R144" s="33">
        <f t="shared" si="87"/>
        <v>0</v>
      </c>
      <c r="S144" s="33">
        <f t="shared" si="88"/>
        <v>0</v>
      </c>
      <c r="T144" s="33">
        <f t="shared" si="74"/>
        <v>0</v>
      </c>
      <c r="U144" s="33">
        <f t="shared" si="82"/>
        <v>0</v>
      </c>
      <c r="V144" s="33">
        <f t="shared" si="75"/>
        <v>0</v>
      </c>
      <c r="W144" s="33">
        <v>0</v>
      </c>
      <c r="X144" s="33">
        <f t="shared" si="76"/>
        <v>0</v>
      </c>
      <c r="Y144" s="38">
        <f t="shared" si="77"/>
        <v>0</v>
      </c>
      <c r="AA144" s="71">
        <v>139</v>
      </c>
      <c r="AB144" s="33">
        <f t="shared" si="78"/>
        <v>0</v>
      </c>
      <c r="AC144" s="305">
        <f t="shared" si="71"/>
        <v>0</v>
      </c>
      <c r="AD144" s="100">
        <f t="shared" si="79"/>
        <v>0</v>
      </c>
      <c r="AE144" s="100">
        <f t="shared" si="80"/>
        <v>0</v>
      </c>
      <c r="AF144" s="194">
        <f t="shared" si="67"/>
        <v>0</v>
      </c>
      <c r="AG144" s="194">
        <f t="shared" si="68"/>
        <v>0</v>
      </c>
      <c r="AH144" s="194">
        <f t="shared" si="69"/>
        <v>0</v>
      </c>
      <c r="AI144" s="199">
        <f t="shared" si="70"/>
        <v>0</v>
      </c>
      <c r="AK144" s="71">
        <v>139</v>
      </c>
      <c r="AL144" s="33"/>
      <c r="AM144" s="33"/>
      <c r="AN144" s="33"/>
      <c r="AO144" s="33"/>
      <c r="AP144" s="33"/>
      <c r="AQ144" s="194"/>
      <c r="AR144" s="194"/>
      <c r="AS144" s="194"/>
      <c r="AT144" s="194"/>
      <c r="AU144" s="33"/>
      <c r="AV144" s="33"/>
      <c r="AW144" s="33"/>
      <c r="AX144" s="33"/>
      <c r="AY144" s="76"/>
    </row>
    <row r="145" spans="3:51">
      <c r="C145" s="166" t="s">
        <v>20</v>
      </c>
      <c r="D145" s="4">
        <v>0.57999999999999996</v>
      </c>
      <c r="E145" s="188" t="s">
        <v>227</v>
      </c>
      <c r="F145" s="343">
        <f>IF(OR(Tableau145[[#This Row],[Type]]="Feuillus",Tableau145[[#This Row],[Type]]="Peupliers"),1.56,1.3)</f>
        <v>1.56</v>
      </c>
      <c r="I145" s="55">
        <v>140</v>
      </c>
      <c r="J145" s="33">
        <f t="shared" si="83"/>
        <v>0</v>
      </c>
      <c r="K145" s="33">
        <f t="shared" si="84"/>
        <v>0</v>
      </c>
      <c r="L145" s="33">
        <f t="shared" si="85"/>
        <v>0</v>
      </c>
      <c r="M145" s="33">
        <f t="shared" si="86"/>
        <v>0</v>
      </c>
      <c r="N145" s="33">
        <f t="shared" si="72"/>
        <v>0</v>
      </c>
      <c r="O145" s="34">
        <f t="shared" si="73"/>
        <v>0</v>
      </c>
      <c r="P145" s="55">
        <v>140</v>
      </c>
      <c r="Q145" s="33">
        <f t="shared" si="81"/>
        <v>0</v>
      </c>
      <c r="R145" s="33">
        <f t="shared" si="87"/>
        <v>0</v>
      </c>
      <c r="S145" s="33">
        <f t="shared" si="88"/>
        <v>0</v>
      </c>
      <c r="T145" s="33">
        <f t="shared" si="74"/>
        <v>0</v>
      </c>
      <c r="U145" s="33">
        <f t="shared" si="82"/>
        <v>0</v>
      </c>
      <c r="V145" s="33">
        <f t="shared" si="75"/>
        <v>0</v>
      </c>
      <c r="W145" s="33">
        <v>0</v>
      </c>
      <c r="X145" s="33">
        <f t="shared" si="76"/>
        <v>0</v>
      </c>
      <c r="Y145" s="38">
        <f t="shared" si="77"/>
        <v>0</v>
      </c>
      <c r="AA145" s="71">
        <v>140</v>
      </c>
      <c r="AB145" s="33">
        <f t="shared" si="78"/>
        <v>0</v>
      </c>
      <c r="AC145" s="305">
        <f t="shared" si="71"/>
        <v>0</v>
      </c>
      <c r="AD145" s="100">
        <f t="shared" si="79"/>
        <v>0</v>
      </c>
      <c r="AE145" s="100">
        <f t="shared" si="80"/>
        <v>0</v>
      </c>
      <c r="AF145" s="194">
        <f t="shared" si="67"/>
        <v>0</v>
      </c>
      <c r="AG145" s="194">
        <f t="shared" si="68"/>
        <v>0</v>
      </c>
      <c r="AH145" s="194">
        <f t="shared" si="69"/>
        <v>0</v>
      </c>
      <c r="AI145" s="199">
        <f t="shared" si="70"/>
        <v>0</v>
      </c>
      <c r="AK145" s="71">
        <v>140</v>
      </c>
      <c r="AL145" s="33"/>
      <c r="AM145" s="33"/>
      <c r="AN145" s="33"/>
      <c r="AO145" s="33"/>
      <c r="AP145" s="33"/>
      <c r="AQ145" s="194"/>
      <c r="AR145" s="194"/>
      <c r="AS145" s="194"/>
      <c r="AT145" s="194"/>
      <c r="AU145" s="33"/>
      <c r="AV145" s="33"/>
      <c r="AW145" s="33"/>
      <c r="AX145" s="33"/>
      <c r="AY145" s="76"/>
    </row>
    <row r="146" spans="3:51">
      <c r="C146" s="166" t="s">
        <v>21</v>
      </c>
      <c r="D146" s="4">
        <v>0.64</v>
      </c>
      <c r="E146" s="188" t="s">
        <v>227</v>
      </c>
      <c r="F146" s="343">
        <f>IF(OR(Tableau145[[#This Row],[Type]]="Feuillus",Tableau145[[#This Row],[Type]]="Peupliers"),1.56,1.3)</f>
        <v>1.56</v>
      </c>
      <c r="I146" s="55">
        <v>141</v>
      </c>
      <c r="J146" s="33">
        <f t="shared" si="83"/>
        <v>0</v>
      </c>
      <c r="K146" s="33">
        <f t="shared" si="84"/>
        <v>0</v>
      </c>
      <c r="L146" s="33">
        <f t="shared" si="85"/>
        <v>0</v>
      </c>
      <c r="M146" s="33">
        <f t="shared" si="86"/>
        <v>0</v>
      </c>
      <c r="N146" s="33">
        <f t="shared" si="72"/>
        <v>0</v>
      </c>
      <c r="O146" s="34">
        <f t="shared" si="73"/>
        <v>0</v>
      </c>
      <c r="P146" s="55">
        <v>141</v>
      </c>
      <c r="Q146" s="33">
        <f t="shared" si="81"/>
        <v>0</v>
      </c>
      <c r="R146" s="33">
        <f t="shared" si="87"/>
        <v>0</v>
      </c>
      <c r="S146" s="33">
        <f t="shared" si="88"/>
        <v>0</v>
      </c>
      <c r="T146" s="33">
        <f t="shared" si="74"/>
        <v>0</v>
      </c>
      <c r="U146" s="33">
        <f t="shared" si="82"/>
        <v>0</v>
      </c>
      <c r="V146" s="33">
        <f t="shared" si="75"/>
        <v>0</v>
      </c>
      <c r="W146" s="33">
        <v>0</v>
      </c>
      <c r="X146" s="33">
        <f t="shared" si="76"/>
        <v>0</v>
      </c>
      <c r="Y146" s="38">
        <f t="shared" si="77"/>
        <v>0</v>
      </c>
      <c r="AA146" s="71">
        <v>141</v>
      </c>
      <c r="AB146" s="33">
        <f t="shared" si="78"/>
        <v>0</v>
      </c>
      <c r="AC146" s="305">
        <f t="shared" si="71"/>
        <v>0</v>
      </c>
      <c r="AD146" s="100">
        <f t="shared" si="79"/>
        <v>0</v>
      </c>
      <c r="AE146" s="100">
        <f t="shared" si="80"/>
        <v>0</v>
      </c>
      <c r="AF146" s="194">
        <f t="shared" si="67"/>
        <v>0</v>
      </c>
      <c r="AG146" s="194">
        <f t="shared" si="68"/>
        <v>0</v>
      </c>
      <c r="AH146" s="194">
        <f t="shared" si="69"/>
        <v>0</v>
      </c>
      <c r="AI146" s="199">
        <f t="shared" si="70"/>
        <v>0</v>
      </c>
      <c r="AK146" s="71">
        <v>141</v>
      </c>
      <c r="AL146" s="33"/>
      <c r="AM146" s="33"/>
      <c r="AN146" s="33"/>
      <c r="AO146" s="33"/>
      <c r="AP146" s="33"/>
      <c r="AQ146" s="194"/>
      <c r="AR146" s="194"/>
      <c r="AS146" s="194"/>
      <c r="AT146" s="194"/>
      <c r="AU146" s="33"/>
      <c r="AV146" s="33"/>
      <c r="AW146" s="33"/>
      <c r="AX146" s="33"/>
      <c r="AY146" s="76"/>
    </row>
    <row r="147" spans="3:51">
      <c r="C147" s="166" t="s">
        <v>22</v>
      </c>
      <c r="D147" s="4">
        <v>0.73</v>
      </c>
      <c r="E147" s="188" t="s">
        <v>227</v>
      </c>
      <c r="F147" s="343">
        <f>IF(OR(Tableau145[[#This Row],[Type]]="Feuillus",Tableau145[[#This Row],[Type]]="Peupliers"),1.56,1.3)</f>
        <v>1.56</v>
      </c>
      <c r="I147" s="55">
        <v>142</v>
      </c>
      <c r="J147" s="33">
        <f t="shared" si="83"/>
        <v>0</v>
      </c>
      <c r="K147" s="33">
        <f t="shared" si="84"/>
        <v>0</v>
      </c>
      <c r="L147" s="33">
        <f t="shared" si="85"/>
        <v>0</v>
      </c>
      <c r="M147" s="33">
        <f t="shared" si="86"/>
        <v>0</v>
      </c>
      <c r="N147" s="33">
        <f t="shared" si="72"/>
        <v>0</v>
      </c>
      <c r="O147" s="34">
        <f t="shared" si="73"/>
        <v>0</v>
      </c>
      <c r="P147" s="55">
        <v>142</v>
      </c>
      <c r="Q147" s="33">
        <f t="shared" si="81"/>
        <v>0</v>
      </c>
      <c r="R147" s="33">
        <f t="shared" si="87"/>
        <v>0</v>
      </c>
      <c r="S147" s="33">
        <f t="shared" si="88"/>
        <v>0</v>
      </c>
      <c r="T147" s="33">
        <f t="shared" si="74"/>
        <v>0</v>
      </c>
      <c r="U147" s="33">
        <f t="shared" si="82"/>
        <v>0</v>
      </c>
      <c r="V147" s="33">
        <f t="shared" si="75"/>
        <v>0</v>
      </c>
      <c r="W147" s="33">
        <v>0</v>
      </c>
      <c r="X147" s="33">
        <f t="shared" si="76"/>
        <v>0</v>
      </c>
      <c r="Y147" s="38">
        <f t="shared" si="77"/>
        <v>0</v>
      </c>
      <c r="AA147" s="71">
        <v>142</v>
      </c>
      <c r="AB147" s="33">
        <f t="shared" si="78"/>
        <v>0</v>
      </c>
      <c r="AC147" s="305">
        <f t="shared" si="71"/>
        <v>0</v>
      </c>
      <c r="AD147" s="100">
        <f t="shared" si="79"/>
        <v>0</v>
      </c>
      <c r="AE147" s="100">
        <f t="shared" si="80"/>
        <v>0</v>
      </c>
      <c r="AF147" s="194">
        <f t="shared" si="67"/>
        <v>0</v>
      </c>
      <c r="AG147" s="194">
        <f t="shared" si="68"/>
        <v>0</v>
      </c>
      <c r="AH147" s="194">
        <f t="shared" si="69"/>
        <v>0</v>
      </c>
      <c r="AI147" s="199">
        <f t="shared" si="70"/>
        <v>0</v>
      </c>
      <c r="AK147" s="71">
        <v>142</v>
      </c>
      <c r="AL147" s="33"/>
      <c r="AM147" s="33"/>
      <c r="AN147" s="33"/>
      <c r="AO147" s="33"/>
      <c r="AP147" s="33"/>
      <c r="AQ147" s="194"/>
      <c r="AR147" s="194"/>
      <c r="AS147" s="194"/>
      <c r="AT147" s="194"/>
      <c r="AU147" s="33"/>
      <c r="AV147" s="33"/>
      <c r="AW147" s="33"/>
      <c r="AX147" s="33"/>
      <c r="AY147" s="76"/>
    </row>
    <row r="148" spans="3:51">
      <c r="C148" s="166" t="s">
        <v>23</v>
      </c>
      <c r="D148" s="4">
        <v>0.56000000000000005</v>
      </c>
      <c r="E148" s="188" t="s">
        <v>227</v>
      </c>
      <c r="F148" s="343">
        <f>IF(OR(Tableau145[[#This Row],[Type]]="Feuillus",Tableau145[[#This Row],[Type]]="Peupliers"),1.56,1.3)</f>
        <v>1.56</v>
      </c>
      <c r="I148" s="55">
        <v>143</v>
      </c>
      <c r="J148" s="33">
        <f t="shared" si="83"/>
        <v>0</v>
      </c>
      <c r="K148" s="33">
        <f t="shared" si="84"/>
        <v>0</v>
      </c>
      <c r="L148" s="33">
        <f t="shared" si="85"/>
        <v>0</v>
      </c>
      <c r="M148" s="33">
        <f t="shared" si="86"/>
        <v>0</v>
      </c>
      <c r="N148" s="33">
        <f t="shared" si="72"/>
        <v>0</v>
      </c>
      <c r="O148" s="34">
        <f t="shared" si="73"/>
        <v>0</v>
      </c>
      <c r="P148" s="55">
        <v>143</v>
      </c>
      <c r="Q148" s="33">
        <f t="shared" si="81"/>
        <v>0</v>
      </c>
      <c r="R148" s="33">
        <f t="shared" si="87"/>
        <v>0</v>
      </c>
      <c r="S148" s="33">
        <f t="shared" si="88"/>
        <v>0</v>
      </c>
      <c r="T148" s="33">
        <f t="shared" si="74"/>
        <v>0</v>
      </c>
      <c r="U148" s="33">
        <f t="shared" si="82"/>
        <v>0</v>
      </c>
      <c r="V148" s="33">
        <f t="shared" si="75"/>
        <v>0</v>
      </c>
      <c r="W148" s="33">
        <v>0</v>
      </c>
      <c r="X148" s="33">
        <f t="shared" si="76"/>
        <v>0</v>
      </c>
      <c r="Y148" s="38">
        <f t="shared" si="77"/>
        <v>0</v>
      </c>
      <c r="AA148" s="71">
        <v>143</v>
      </c>
      <c r="AB148" s="33">
        <f t="shared" si="78"/>
        <v>0</v>
      </c>
      <c r="AC148" s="305">
        <f t="shared" si="71"/>
        <v>0</v>
      </c>
      <c r="AD148" s="100">
        <f t="shared" si="79"/>
        <v>0</v>
      </c>
      <c r="AE148" s="100">
        <f t="shared" si="80"/>
        <v>0</v>
      </c>
      <c r="AF148" s="194">
        <f t="shared" si="67"/>
        <v>0</v>
      </c>
      <c r="AG148" s="194">
        <f t="shared" si="68"/>
        <v>0</v>
      </c>
      <c r="AH148" s="194">
        <f t="shared" si="69"/>
        <v>0</v>
      </c>
      <c r="AI148" s="199">
        <f t="shared" si="70"/>
        <v>0</v>
      </c>
      <c r="AK148" s="71">
        <v>143</v>
      </c>
      <c r="AL148" s="33"/>
      <c r="AM148" s="33"/>
      <c r="AN148" s="33"/>
      <c r="AO148" s="33"/>
      <c r="AP148" s="33"/>
      <c r="AQ148" s="194"/>
      <c r="AR148" s="194"/>
      <c r="AS148" s="194"/>
      <c r="AT148" s="194"/>
      <c r="AU148" s="33"/>
      <c r="AV148" s="33"/>
      <c r="AW148" s="33"/>
      <c r="AX148" s="33"/>
      <c r="AY148" s="76"/>
    </row>
    <row r="149" spans="3:51">
      <c r="C149" s="166" t="s">
        <v>24</v>
      </c>
      <c r="D149" s="4">
        <v>0.74</v>
      </c>
      <c r="E149" s="188" t="s">
        <v>227</v>
      </c>
      <c r="F149" s="343">
        <f>IF(OR(Tableau145[[#This Row],[Type]]="Feuillus",Tableau145[[#This Row],[Type]]="Peupliers"),1.56,1.3)</f>
        <v>1.56</v>
      </c>
      <c r="I149" s="55">
        <v>144</v>
      </c>
      <c r="J149" s="33">
        <f t="shared" si="83"/>
        <v>0</v>
      </c>
      <c r="K149" s="33">
        <f t="shared" si="84"/>
        <v>0</v>
      </c>
      <c r="L149" s="33">
        <f t="shared" si="85"/>
        <v>0</v>
      </c>
      <c r="M149" s="33">
        <f t="shared" si="86"/>
        <v>0</v>
      </c>
      <c r="N149" s="33">
        <f t="shared" si="72"/>
        <v>0</v>
      </c>
      <c r="O149" s="34">
        <f t="shared" si="73"/>
        <v>0</v>
      </c>
      <c r="P149" s="55">
        <v>144</v>
      </c>
      <c r="Q149" s="33">
        <f t="shared" si="81"/>
        <v>0</v>
      </c>
      <c r="R149" s="33">
        <f t="shared" si="87"/>
        <v>0</v>
      </c>
      <c r="S149" s="33">
        <f t="shared" si="88"/>
        <v>0</v>
      </c>
      <c r="T149" s="33">
        <f t="shared" si="74"/>
        <v>0</v>
      </c>
      <c r="U149" s="33">
        <f t="shared" si="82"/>
        <v>0</v>
      </c>
      <c r="V149" s="33">
        <f t="shared" si="75"/>
        <v>0</v>
      </c>
      <c r="W149" s="33">
        <v>0</v>
      </c>
      <c r="X149" s="33">
        <f t="shared" si="76"/>
        <v>0</v>
      </c>
      <c r="Y149" s="38">
        <f t="shared" si="77"/>
        <v>0</v>
      </c>
      <c r="AA149" s="71">
        <v>144</v>
      </c>
      <c r="AB149" s="33">
        <f t="shared" si="78"/>
        <v>0</v>
      </c>
      <c r="AC149" s="305">
        <f t="shared" si="71"/>
        <v>0</v>
      </c>
      <c r="AD149" s="100">
        <f t="shared" si="79"/>
        <v>0</v>
      </c>
      <c r="AE149" s="100">
        <f t="shared" si="80"/>
        <v>0</v>
      </c>
      <c r="AF149" s="194">
        <f t="shared" si="67"/>
        <v>0</v>
      </c>
      <c r="AG149" s="194">
        <f t="shared" si="68"/>
        <v>0</v>
      </c>
      <c r="AH149" s="194">
        <f t="shared" si="69"/>
        <v>0</v>
      </c>
      <c r="AI149" s="199">
        <f t="shared" si="70"/>
        <v>0</v>
      </c>
      <c r="AK149" s="71">
        <v>144</v>
      </c>
      <c r="AL149" s="33"/>
      <c r="AM149" s="33"/>
      <c r="AN149" s="33"/>
      <c r="AO149" s="33"/>
      <c r="AP149" s="33"/>
      <c r="AQ149" s="194"/>
      <c r="AR149" s="194"/>
      <c r="AS149" s="194"/>
      <c r="AT149" s="194"/>
      <c r="AU149" s="33"/>
      <c r="AV149" s="33"/>
      <c r="AW149" s="33"/>
      <c r="AX149" s="33"/>
      <c r="AY149" s="76"/>
    </row>
    <row r="150" spans="3:51">
      <c r="C150" s="166" t="s">
        <v>25</v>
      </c>
      <c r="D150" s="4">
        <v>0.4</v>
      </c>
      <c r="E150" s="188" t="s">
        <v>228</v>
      </c>
      <c r="F150" s="343">
        <f>IF(OR(Tableau145[[#This Row],[Type]]="Feuillus",Tableau145[[#This Row],[Type]]="Peupliers"),1.56,1.3)</f>
        <v>1.3</v>
      </c>
      <c r="I150" s="55">
        <v>145</v>
      </c>
      <c r="J150" s="33">
        <f t="shared" si="83"/>
        <v>0</v>
      </c>
      <c r="K150" s="33">
        <f t="shared" si="84"/>
        <v>0</v>
      </c>
      <c r="L150" s="33">
        <f t="shared" si="85"/>
        <v>0</v>
      </c>
      <c r="M150" s="33">
        <f t="shared" si="86"/>
        <v>0</v>
      </c>
      <c r="N150" s="33">
        <f t="shared" si="72"/>
        <v>0</v>
      </c>
      <c r="O150" s="34">
        <f t="shared" si="73"/>
        <v>0</v>
      </c>
      <c r="P150" s="55">
        <v>145</v>
      </c>
      <c r="Q150" s="33">
        <f t="shared" si="81"/>
        <v>0</v>
      </c>
      <c r="R150" s="33">
        <f t="shared" si="87"/>
        <v>0</v>
      </c>
      <c r="S150" s="33">
        <f t="shared" si="88"/>
        <v>0</v>
      </c>
      <c r="T150" s="33">
        <f t="shared" si="74"/>
        <v>0</v>
      </c>
      <c r="U150" s="33">
        <f t="shared" si="82"/>
        <v>0</v>
      </c>
      <c r="V150" s="33">
        <f t="shared" si="75"/>
        <v>0</v>
      </c>
      <c r="W150" s="33">
        <v>0</v>
      </c>
      <c r="X150" s="33">
        <f t="shared" si="76"/>
        <v>0</v>
      </c>
      <c r="Y150" s="38">
        <f t="shared" si="77"/>
        <v>0</v>
      </c>
      <c r="AA150" s="71">
        <v>145</v>
      </c>
      <c r="AB150" s="33">
        <f t="shared" si="78"/>
        <v>0</v>
      </c>
      <c r="AC150" s="305">
        <f t="shared" si="71"/>
        <v>0</v>
      </c>
      <c r="AD150" s="100">
        <f t="shared" si="79"/>
        <v>0</v>
      </c>
      <c r="AE150" s="100">
        <f t="shared" si="80"/>
        <v>0</v>
      </c>
      <c r="AF150" s="194">
        <f t="shared" si="67"/>
        <v>0</v>
      </c>
      <c r="AG150" s="194">
        <f t="shared" si="68"/>
        <v>0</v>
      </c>
      <c r="AH150" s="194">
        <f t="shared" si="69"/>
        <v>0</v>
      </c>
      <c r="AI150" s="199">
        <f t="shared" si="70"/>
        <v>0</v>
      </c>
      <c r="AK150" s="71">
        <v>145</v>
      </c>
      <c r="AL150" s="33"/>
      <c r="AM150" s="33"/>
      <c r="AN150" s="33"/>
      <c r="AO150" s="33"/>
      <c r="AP150" s="33"/>
      <c r="AQ150" s="194"/>
      <c r="AR150" s="194"/>
      <c r="AS150" s="194"/>
      <c r="AT150" s="194"/>
      <c r="AU150" s="33"/>
      <c r="AV150" s="33"/>
      <c r="AW150" s="33"/>
      <c r="AX150" s="33"/>
      <c r="AY150" s="76"/>
    </row>
    <row r="151" spans="3:51">
      <c r="C151" s="166" t="s">
        <v>26</v>
      </c>
      <c r="D151" s="4">
        <v>0.6</v>
      </c>
      <c r="E151" s="188" t="s">
        <v>227</v>
      </c>
      <c r="F151" s="343">
        <f>IF(OR(Tableau145[[#This Row],[Type]]="Feuillus",Tableau145[[#This Row],[Type]]="Peupliers"),1.56,1.3)</f>
        <v>1.56</v>
      </c>
      <c r="I151" s="55">
        <v>146</v>
      </c>
      <c r="J151" s="33">
        <f t="shared" si="83"/>
        <v>0</v>
      </c>
      <c r="K151" s="33">
        <f t="shared" si="84"/>
        <v>0</v>
      </c>
      <c r="L151" s="33">
        <f t="shared" si="85"/>
        <v>0</v>
      </c>
      <c r="M151" s="33">
        <f t="shared" si="86"/>
        <v>0</v>
      </c>
      <c r="N151" s="33">
        <f t="shared" si="72"/>
        <v>0</v>
      </c>
      <c r="O151" s="34">
        <f t="shared" si="73"/>
        <v>0</v>
      </c>
      <c r="P151" s="55">
        <v>146</v>
      </c>
      <c r="Q151" s="33">
        <f t="shared" si="81"/>
        <v>0</v>
      </c>
      <c r="R151" s="33">
        <f t="shared" si="87"/>
        <v>0</v>
      </c>
      <c r="S151" s="33">
        <f t="shared" si="88"/>
        <v>0</v>
      </c>
      <c r="T151" s="33">
        <f t="shared" si="74"/>
        <v>0</v>
      </c>
      <c r="U151" s="33">
        <f t="shared" si="82"/>
        <v>0</v>
      </c>
      <c r="V151" s="33">
        <f t="shared" si="75"/>
        <v>0</v>
      </c>
      <c r="W151" s="33">
        <v>0</v>
      </c>
      <c r="X151" s="33">
        <f t="shared" si="76"/>
        <v>0</v>
      </c>
      <c r="Y151" s="38">
        <f t="shared" si="77"/>
        <v>0</v>
      </c>
      <c r="AA151" s="71">
        <v>146</v>
      </c>
      <c r="AB151" s="33">
        <f t="shared" si="78"/>
        <v>0</v>
      </c>
      <c r="AC151" s="305">
        <f t="shared" si="71"/>
        <v>0</v>
      </c>
      <c r="AD151" s="100">
        <f t="shared" si="79"/>
        <v>0</v>
      </c>
      <c r="AE151" s="100">
        <f t="shared" si="80"/>
        <v>0</v>
      </c>
      <c r="AF151" s="194">
        <f t="shared" si="67"/>
        <v>0</v>
      </c>
      <c r="AG151" s="194">
        <f t="shared" si="68"/>
        <v>0</v>
      </c>
      <c r="AH151" s="194">
        <f t="shared" si="69"/>
        <v>0</v>
      </c>
      <c r="AI151" s="199">
        <f t="shared" si="70"/>
        <v>0</v>
      </c>
      <c r="AK151" s="71">
        <v>146</v>
      </c>
      <c r="AL151" s="33"/>
      <c r="AM151" s="33"/>
      <c r="AN151" s="33"/>
      <c r="AO151" s="33"/>
      <c r="AP151" s="33"/>
      <c r="AQ151" s="194"/>
      <c r="AR151" s="194"/>
      <c r="AS151" s="194"/>
      <c r="AT151" s="194"/>
      <c r="AU151" s="33"/>
      <c r="AV151" s="33"/>
      <c r="AW151" s="33"/>
      <c r="AX151" s="33"/>
      <c r="AY151" s="76"/>
    </row>
    <row r="152" spans="3:51">
      <c r="C152" s="166" t="s">
        <v>27</v>
      </c>
      <c r="D152" s="4">
        <v>0.43</v>
      </c>
      <c r="E152" s="188" t="s">
        <v>228</v>
      </c>
      <c r="F152" s="343">
        <f>IF(OR(Tableau145[[#This Row],[Type]]="Feuillus",Tableau145[[#This Row],[Type]]="Peupliers"),1.56,1.3)</f>
        <v>1.3</v>
      </c>
      <c r="I152" s="55">
        <v>147</v>
      </c>
      <c r="J152" s="33">
        <f t="shared" si="83"/>
        <v>0</v>
      </c>
      <c r="K152" s="33">
        <f t="shared" si="84"/>
        <v>0</v>
      </c>
      <c r="L152" s="33">
        <f t="shared" si="85"/>
        <v>0</v>
      </c>
      <c r="M152" s="33">
        <f t="shared" si="86"/>
        <v>0</v>
      </c>
      <c r="N152" s="33">
        <f t="shared" si="72"/>
        <v>0</v>
      </c>
      <c r="O152" s="34">
        <f t="shared" si="73"/>
        <v>0</v>
      </c>
      <c r="P152" s="55">
        <v>147</v>
      </c>
      <c r="Q152" s="33">
        <f t="shared" si="81"/>
        <v>0</v>
      </c>
      <c r="R152" s="33">
        <f t="shared" si="87"/>
        <v>0</v>
      </c>
      <c r="S152" s="33">
        <f t="shared" si="88"/>
        <v>0</v>
      </c>
      <c r="T152" s="33">
        <f t="shared" si="74"/>
        <v>0</v>
      </c>
      <c r="U152" s="33">
        <f t="shared" si="82"/>
        <v>0</v>
      </c>
      <c r="V152" s="33">
        <f t="shared" si="75"/>
        <v>0</v>
      </c>
      <c r="W152" s="33">
        <v>0</v>
      </c>
      <c r="X152" s="33">
        <f t="shared" si="76"/>
        <v>0</v>
      </c>
      <c r="Y152" s="38">
        <f t="shared" si="77"/>
        <v>0</v>
      </c>
      <c r="AA152" s="71">
        <v>147</v>
      </c>
      <c r="AB152" s="33">
        <f t="shared" si="78"/>
        <v>0</v>
      </c>
      <c r="AC152" s="305">
        <f t="shared" si="71"/>
        <v>0</v>
      </c>
      <c r="AD152" s="100">
        <f t="shared" si="79"/>
        <v>0</v>
      </c>
      <c r="AE152" s="100">
        <f t="shared" si="80"/>
        <v>0</v>
      </c>
      <c r="AF152" s="194">
        <f t="shared" si="67"/>
        <v>0</v>
      </c>
      <c r="AG152" s="194">
        <f t="shared" si="68"/>
        <v>0</v>
      </c>
      <c r="AH152" s="194">
        <f t="shared" si="69"/>
        <v>0</v>
      </c>
      <c r="AI152" s="199">
        <f t="shared" si="70"/>
        <v>0</v>
      </c>
      <c r="AK152" s="71">
        <v>147</v>
      </c>
      <c r="AL152" s="33"/>
      <c r="AM152" s="33"/>
      <c r="AN152" s="33"/>
      <c r="AO152" s="33"/>
      <c r="AP152" s="33"/>
      <c r="AQ152" s="194"/>
      <c r="AR152" s="194"/>
      <c r="AS152" s="194"/>
      <c r="AT152" s="194"/>
      <c r="AU152" s="33"/>
      <c r="AV152" s="33"/>
      <c r="AW152" s="33"/>
      <c r="AX152" s="33"/>
      <c r="AY152" s="76"/>
    </row>
    <row r="153" spans="3:51">
      <c r="C153" s="166" t="s">
        <v>28</v>
      </c>
      <c r="D153" s="4">
        <v>0.37</v>
      </c>
      <c r="E153" s="188" t="s">
        <v>228</v>
      </c>
      <c r="F153" s="343">
        <f>IF(OR(Tableau145[[#This Row],[Type]]="Feuillus",Tableau145[[#This Row],[Type]]="Peupliers"),1.56,1.3)</f>
        <v>1.3</v>
      </c>
      <c r="I153" s="55">
        <v>148</v>
      </c>
      <c r="J153" s="33">
        <f t="shared" si="83"/>
        <v>0</v>
      </c>
      <c r="K153" s="33">
        <f t="shared" si="84"/>
        <v>0</v>
      </c>
      <c r="L153" s="33">
        <f t="shared" si="85"/>
        <v>0</v>
      </c>
      <c r="M153" s="33">
        <f t="shared" si="86"/>
        <v>0</v>
      </c>
      <c r="N153" s="33">
        <f t="shared" si="72"/>
        <v>0</v>
      </c>
      <c r="O153" s="34">
        <f t="shared" si="73"/>
        <v>0</v>
      </c>
      <c r="P153" s="55">
        <v>148</v>
      </c>
      <c r="Q153" s="33">
        <f t="shared" si="81"/>
        <v>0</v>
      </c>
      <c r="R153" s="33">
        <f t="shared" si="87"/>
        <v>0</v>
      </c>
      <c r="S153" s="33">
        <f t="shared" si="88"/>
        <v>0</v>
      </c>
      <c r="T153" s="33">
        <f t="shared" si="74"/>
        <v>0</v>
      </c>
      <c r="U153" s="33">
        <f t="shared" si="82"/>
        <v>0</v>
      </c>
      <c r="V153" s="33">
        <f t="shared" si="75"/>
        <v>0</v>
      </c>
      <c r="W153" s="33">
        <v>0</v>
      </c>
      <c r="X153" s="33">
        <f t="shared" si="76"/>
        <v>0</v>
      </c>
      <c r="Y153" s="38">
        <f t="shared" si="77"/>
        <v>0</v>
      </c>
      <c r="AA153" s="71">
        <v>148</v>
      </c>
      <c r="AB153" s="33">
        <f t="shared" si="78"/>
        <v>0</v>
      </c>
      <c r="AC153" s="305">
        <f t="shared" si="71"/>
        <v>0</v>
      </c>
      <c r="AD153" s="100">
        <f t="shared" si="79"/>
        <v>0</v>
      </c>
      <c r="AE153" s="100">
        <f t="shared" si="80"/>
        <v>0</v>
      </c>
      <c r="AF153" s="194">
        <f t="shared" si="67"/>
        <v>0</v>
      </c>
      <c r="AG153" s="194">
        <f t="shared" si="68"/>
        <v>0</v>
      </c>
      <c r="AH153" s="194">
        <f t="shared" si="69"/>
        <v>0</v>
      </c>
      <c r="AI153" s="199">
        <f t="shared" si="70"/>
        <v>0</v>
      </c>
      <c r="AK153" s="71">
        <v>148</v>
      </c>
      <c r="AL153" s="33"/>
      <c r="AM153" s="33"/>
      <c r="AN153" s="33"/>
      <c r="AO153" s="33"/>
      <c r="AP153" s="33"/>
      <c r="AQ153" s="194"/>
      <c r="AR153" s="194"/>
      <c r="AS153" s="194"/>
      <c r="AT153" s="194"/>
      <c r="AU153" s="33"/>
      <c r="AV153" s="33"/>
      <c r="AW153" s="33"/>
      <c r="AX153" s="33"/>
      <c r="AY153" s="76"/>
    </row>
    <row r="154" spans="3:51">
      <c r="C154" s="166" t="s">
        <v>29</v>
      </c>
      <c r="D154" s="4">
        <v>0.36</v>
      </c>
      <c r="E154" s="188" t="s">
        <v>228</v>
      </c>
      <c r="F154" s="343">
        <f>IF(OR(Tableau145[[#This Row],[Type]]="Feuillus",Tableau145[[#This Row],[Type]]="Peupliers"),1.56,1.3)</f>
        <v>1.3</v>
      </c>
      <c r="I154" s="55">
        <v>149</v>
      </c>
      <c r="J154" s="33">
        <f t="shared" si="83"/>
        <v>0</v>
      </c>
      <c r="K154" s="33">
        <f t="shared" si="84"/>
        <v>0</v>
      </c>
      <c r="L154" s="33">
        <f t="shared" si="85"/>
        <v>0</v>
      </c>
      <c r="M154" s="33">
        <f t="shared" si="86"/>
        <v>0</v>
      </c>
      <c r="N154" s="33">
        <f t="shared" si="72"/>
        <v>0</v>
      </c>
      <c r="O154" s="34">
        <f t="shared" si="73"/>
        <v>0</v>
      </c>
      <c r="P154" s="55">
        <v>149</v>
      </c>
      <c r="Q154" s="33">
        <f t="shared" si="81"/>
        <v>0</v>
      </c>
      <c r="R154" s="33">
        <f t="shared" si="87"/>
        <v>0</v>
      </c>
      <c r="S154" s="33">
        <f t="shared" si="88"/>
        <v>0</v>
      </c>
      <c r="T154" s="33">
        <f t="shared" si="74"/>
        <v>0</v>
      </c>
      <c r="U154" s="33">
        <f t="shared" si="82"/>
        <v>0</v>
      </c>
      <c r="V154" s="33">
        <f t="shared" si="75"/>
        <v>0</v>
      </c>
      <c r="W154" s="33">
        <v>0</v>
      </c>
      <c r="X154" s="33">
        <f t="shared" si="76"/>
        <v>0</v>
      </c>
      <c r="Y154" s="38">
        <f t="shared" si="77"/>
        <v>0</v>
      </c>
      <c r="AA154" s="71">
        <v>149</v>
      </c>
      <c r="AB154" s="33">
        <f t="shared" si="78"/>
        <v>0</v>
      </c>
      <c r="AC154" s="305">
        <f t="shared" si="71"/>
        <v>0</v>
      </c>
      <c r="AD154" s="100">
        <f t="shared" si="79"/>
        <v>0</v>
      </c>
      <c r="AE154" s="100">
        <f t="shared" si="80"/>
        <v>0</v>
      </c>
      <c r="AF154" s="194">
        <f t="shared" si="67"/>
        <v>0</v>
      </c>
      <c r="AG154" s="194">
        <f t="shared" si="68"/>
        <v>0</v>
      </c>
      <c r="AH154" s="194">
        <f t="shared" si="69"/>
        <v>0</v>
      </c>
      <c r="AI154" s="199">
        <f t="shared" si="70"/>
        <v>0</v>
      </c>
      <c r="AK154" s="71">
        <v>149</v>
      </c>
      <c r="AL154" s="33"/>
      <c r="AM154" s="33"/>
      <c r="AN154" s="33"/>
      <c r="AO154" s="33"/>
      <c r="AP154" s="33"/>
      <c r="AQ154" s="194"/>
      <c r="AR154" s="194"/>
      <c r="AS154" s="194"/>
      <c r="AT154" s="194"/>
      <c r="AU154" s="33"/>
      <c r="AV154" s="33"/>
      <c r="AW154" s="33"/>
      <c r="AX154" s="33"/>
      <c r="AY154" s="76"/>
    </row>
    <row r="155" spans="3:51">
      <c r="C155" s="166" t="s">
        <v>30</v>
      </c>
      <c r="D155" s="4">
        <v>0.51</v>
      </c>
      <c r="E155" s="188" t="s">
        <v>227</v>
      </c>
      <c r="F155" s="343">
        <f>IF(OR(Tableau145[[#This Row],[Type]]="Feuillus",Tableau145[[#This Row],[Type]]="Peupliers"),1.56,1.3)</f>
        <v>1.56</v>
      </c>
      <c r="I155" s="55">
        <v>150</v>
      </c>
      <c r="J155" s="33">
        <f t="shared" si="83"/>
        <v>0</v>
      </c>
      <c r="K155" s="33">
        <f t="shared" si="84"/>
        <v>0</v>
      </c>
      <c r="L155" s="33">
        <f t="shared" si="85"/>
        <v>0</v>
      </c>
      <c r="M155" s="33">
        <f t="shared" si="86"/>
        <v>0</v>
      </c>
      <c r="N155" s="33">
        <f t="shared" si="72"/>
        <v>0</v>
      </c>
      <c r="O155" s="34">
        <f t="shared" si="73"/>
        <v>0</v>
      </c>
      <c r="P155" s="55">
        <v>150</v>
      </c>
      <c r="Q155" s="33">
        <f t="shared" si="81"/>
        <v>0</v>
      </c>
      <c r="R155" s="33">
        <f t="shared" si="87"/>
        <v>0</v>
      </c>
      <c r="S155" s="33">
        <f t="shared" si="88"/>
        <v>0</v>
      </c>
      <c r="T155" s="33">
        <f t="shared" si="74"/>
        <v>0</v>
      </c>
      <c r="U155" s="33">
        <f t="shared" si="82"/>
        <v>0</v>
      </c>
      <c r="V155" s="33">
        <f t="shared" si="75"/>
        <v>0</v>
      </c>
      <c r="W155" s="33">
        <v>0</v>
      </c>
      <c r="X155" s="33">
        <f t="shared" si="76"/>
        <v>0</v>
      </c>
      <c r="Y155" s="38">
        <f t="shared" si="77"/>
        <v>0</v>
      </c>
      <c r="AA155" s="71">
        <v>150</v>
      </c>
      <c r="AB155" s="33">
        <f t="shared" si="78"/>
        <v>0</v>
      </c>
      <c r="AC155" s="305">
        <f t="shared" si="71"/>
        <v>0</v>
      </c>
      <c r="AD155" s="100">
        <f t="shared" si="79"/>
        <v>0</v>
      </c>
      <c r="AE155" s="100">
        <f t="shared" si="80"/>
        <v>0</v>
      </c>
      <c r="AF155" s="194">
        <f t="shared" ref="AF155:AF205" si="89">IF(OR(AA155&lt;=$F$18,AA155&lt;=30),EXP(-LN(2)/$D$104)*AF154+((1-EXP(-LN(2)/$D$104))/(LN(2)/$D$104))*$AB155*AC155*0.475*$F$19*44/12,)</f>
        <v>0</v>
      </c>
      <c r="AG155" s="194">
        <f t="shared" ref="AG155:AG205" si="90">IF(OR(AA155&lt;=$F$18,AA155&lt;=30),EXP(-LN(2)/$D$106)*AG154+((1-EXP(-LN(2)/$D$106))/(LN(2)/$D$106))*$AB155*AD155*0.475*$F$19*44/12,)</f>
        <v>0</v>
      </c>
      <c r="AH155" s="194">
        <f t="shared" ref="AH155:AH205" si="91">IF(OR(AA155&lt;=$F$18,AA155&lt;=30),EXP(-LN(2)/$D$105)*AH154+((1-EXP(-LN(2)/$D$105))/(LN(2)/$D$105))*$AB155*AE155*0.475*$F$19*44/12,)</f>
        <v>0</v>
      </c>
      <c r="AI155" s="199">
        <f t="shared" ref="AI155:AI205" si="92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4"/>
      <c r="AR155" s="194"/>
      <c r="AS155" s="194"/>
      <c r="AT155" s="194"/>
      <c r="AU155" s="33"/>
      <c r="AV155" s="33"/>
      <c r="AW155" s="33"/>
      <c r="AX155" s="33"/>
      <c r="AY155" s="76"/>
    </row>
    <row r="156" spans="3:51">
      <c r="C156" s="166" t="s">
        <v>31</v>
      </c>
      <c r="D156" s="4">
        <v>0.56000000000000005</v>
      </c>
      <c r="E156" s="188" t="s">
        <v>227</v>
      </c>
      <c r="F156" s="343">
        <f>IF(OR(Tableau145[[#This Row],[Type]]="Feuillus",Tableau145[[#This Row],[Type]]="Peupliers"),1.56,1.3)</f>
        <v>1.56</v>
      </c>
      <c r="I156" s="55">
        <v>151</v>
      </c>
      <c r="J156" s="33">
        <f t="shared" si="83"/>
        <v>0</v>
      </c>
      <c r="K156" s="33">
        <f t="shared" si="84"/>
        <v>0</v>
      </c>
      <c r="L156" s="33">
        <f t="shared" si="85"/>
        <v>0</v>
      </c>
      <c r="M156" s="33">
        <f t="shared" si="86"/>
        <v>0</v>
      </c>
      <c r="N156" s="33">
        <f t="shared" si="72"/>
        <v>0</v>
      </c>
      <c r="O156" s="34">
        <f t="shared" si="73"/>
        <v>0</v>
      </c>
      <c r="P156" s="55">
        <v>151</v>
      </c>
      <c r="Q156" s="33">
        <f t="shared" si="81"/>
        <v>0</v>
      </c>
      <c r="R156" s="33">
        <f t="shared" si="87"/>
        <v>0</v>
      </c>
      <c r="S156" s="33">
        <f t="shared" si="88"/>
        <v>0</v>
      </c>
      <c r="T156" s="33">
        <f t="shared" si="74"/>
        <v>0</v>
      </c>
      <c r="U156" s="33">
        <f t="shared" si="82"/>
        <v>0</v>
      </c>
      <c r="V156" s="33">
        <f t="shared" si="75"/>
        <v>0</v>
      </c>
      <c r="W156" s="33">
        <v>0</v>
      </c>
      <c r="X156" s="33">
        <f t="shared" si="76"/>
        <v>0</v>
      </c>
      <c r="Y156" s="38">
        <f t="shared" si="77"/>
        <v>0</v>
      </c>
      <c r="AA156" s="71">
        <v>151</v>
      </c>
      <c r="AB156" s="33">
        <f t="shared" si="78"/>
        <v>0</v>
      </c>
      <c r="AC156" s="305">
        <f t="shared" si="71"/>
        <v>0</v>
      </c>
      <c r="AD156" s="100">
        <f t="shared" si="79"/>
        <v>0</v>
      </c>
      <c r="AE156" s="100">
        <f t="shared" si="80"/>
        <v>0</v>
      </c>
      <c r="AF156" s="194">
        <f t="shared" si="89"/>
        <v>0</v>
      </c>
      <c r="AG156" s="194">
        <f t="shared" si="90"/>
        <v>0</v>
      </c>
      <c r="AH156" s="194">
        <f t="shared" si="91"/>
        <v>0</v>
      </c>
      <c r="AI156" s="199">
        <f t="shared" si="92"/>
        <v>0</v>
      </c>
      <c r="AK156" s="71">
        <v>151</v>
      </c>
      <c r="AL156" s="33"/>
      <c r="AM156" s="33"/>
      <c r="AN156" s="33"/>
      <c r="AO156" s="33"/>
      <c r="AP156" s="33"/>
      <c r="AQ156" s="194"/>
      <c r="AR156" s="194"/>
      <c r="AS156" s="194"/>
      <c r="AT156" s="194"/>
      <c r="AU156" s="33"/>
      <c r="AV156" s="33"/>
      <c r="AW156" s="33"/>
      <c r="AX156" s="33"/>
      <c r="AY156" s="76"/>
    </row>
    <row r="157" spans="3:51">
      <c r="C157" s="166" t="s">
        <v>32</v>
      </c>
      <c r="D157" s="4">
        <v>0.56000000000000005</v>
      </c>
      <c r="E157" s="188" t="s">
        <v>227</v>
      </c>
      <c r="F157" s="343">
        <f>IF(OR(Tableau145[[#This Row],[Type]]="Feuillus",Tableau145[[#This Row],[Type]]="Peupliers"),1.56,1.3)</f>
        <v>1.56</v>
      </c>
      <c r="I157" s="55">
        <v>152</v>
      </c>
      <c r="J157" s="33">
        <f t="shared" si="83"/>
        <v>0</v>
      </c>
      <c r="K157" s="33">
        <f t="shared" si="84"/>
        <v>0</v>
      </c>
      <c r="L157" s="33">
        <f t="shared" si="85"/>
        <v>0</v>
      </c>
      <c r="M157" s="33">
        <f t="shared" si="86"/>
        <v>0</v>
      </c>
      <c r="N157" s="33">
        <f t="shared" si="72"/>
        <v>0</v>
      </c>
      <c r="O157" s="34">
        <f t="shared" si="73"/>
        <v>0</v>
      </c>
      <c r="P157" s="55">
        <v>152</v>
      </c>
      <c r="Q157" s="33">
        <f t="shared" si="81"/>
        <v>0</v>
      </c>
      <c r="R157" s="33">
        <f t="shared" si="87"/>
        <v>0</v>
      </c>
      <c r="S157" s="33">
        <f t="shared" si="88"/>
        <v>0</v>
      </c>
      <c r="T157" s="33">
        <f t="shared" si="74"/>
        <v>0</v>
      </c>
      <c r="U157" s="33">
        <f t="shared" si="82"/>
        <v>0</v>
      </c>
      <c r="V157" s="33">
        <f t="shared" si="75"/>
        <v>0</v>
      </c>
      <c r="W157" s="33">
        <v>0</v>
      </c>
      <c r="X157" s="33">
        <f t="shared" si="76"/>
        <v>0</v>
      </c>
      <c r="Y157" s="38">
        <f t="shared" si="77"/>
        <v>0</v>
      </c>
      <c r="AA157" s="71">
        <v>152</v>
      </c>
      <c r="AB157" s="33">
        <f t="shared" si="78"/>
        <v>0</v>
      </c>
      <c r="AC157" s="305">
        <f t="shared" si="71"/>
        <v>0</v>
      </c>
      <c r="AD157" s="100">
        <f t="shared" si="79"/>
        <v>0</v>
      </c>
      <c r="AE157" s="100">
        <f t="shared" si="80"/>
        <v>0</v>
      </c>
      <c r="AF157" s="194">
        <f t="shared" si="89"/>
        <v>0</v>
      </c>
      <c r="AG157" s="194">
        <f t="shared" si="90"/>
        <v>0</v>
      </c>
      <c r="AH157" s="194">
        <f t="shared" si="91"/>
        <v>0</v>
      </c>
      <c r="AI157" s="199">
        <f t="shared" si="92"/>
        <v>0</v>
      </c>
      <c r="AK157" s="71">
        <v>152</v>
      </c>
      <c r="AL157" s="33"/>
      <c r="AM157" s="33"/>
      <c r="AN157" s="33"/>
      <c r="AO157" s="33"/>
      <c r="AP157" s="33"/>
      <c r="AQ157" s="194"/>
      <c r="AR157" s="194"/>
      <c r="AS157" s="194"/>
      <c r="AT157" s="194"/>
      <c r="AU157" s="33"/>
      <c r="AV157" s="33"/>
      <c r="AW157" s="33"/>
      <c r="AX157" s="33"/>
      <c r="AY157" s="76"/>
    </row>
    <row r="158" spans="3:51">
      <c r="C158" s="166" t="s">
        <v>33</v>
      </c>
      <c r="D158" s="4">
        <v>0.48</v>
      </c>
      <c r="E158" s="188" t="s">
        <v>227</v>
      </c>
      <c r="F158" s="343">
        <f>IF(OR(Tableau145[[#This Row],[Type]]="Feuillus",Tableau145[[#This Row],[Type]]="Peupliers"),1.56,1.3)</f>
        <v>1.56</v>
      </c>
      <c r="I158" s="55">
        <v>153</v>
      </c>
      <c r="J158" s="33">
        <f t="shared" si="83"/>
        <v>0</v>
      </c>
      <c r="K158" s="33">
        <f t="shared" si="84"/>
        <v>0</v>
      </c>
      <c r="L158" s="33">
        <f t="shared" si="85"/>
        <v>0</v>
      </c>
      <c r="M158" s="33">
        <f t="shared" si="86"/>
        <v>0</v>
      </c>
      <c r="N158" s="33">
        <f t="shared" si="72"/>
        <v>0</v>
      </c>
      <c r="O158" s="34">
        <f t="shared" si="73"/>
        <v>0</v>
      </c>
      <c r="P158" s="55">
        <v>153</v>
      </c>
      <c r="Q158" s="33">
        <f t="shared" si="81"/>
        <v>0</v>
      </c>
      <c r="R158" s="33">
        <f t="shared" si="87"/>
        <v>0</v>
      </c>
      <c r="S158" s="33">
        <f t="shared" si="88"/>
        <v>0</v>
      </c>
      <c r="T158" s="33">
        <f t="shared" si="74"/>
        <v>0</v>
      </c>
      <c r="U158" s="33">
        <f t="shared" si="82"/>
        <v>0</v>
      </c>
      <c r="V158" s="33">
        <f t="shared" si="75"/>
        <v>0</v>
      </c>
      <c r="W158" s="33">
        <v>0</v>
      </c>
      <c r="X158" s="33">
        <f t="shared" si="76"/>
        <v>0</v>
      </c>
      <c r="Y158" s="38">
        <f t="shared" si="77"/>
        <v>0</v>
      </c>
      <c r="AA158" s="71">
        <v>153</v>
      </c>
      <c r="AB158" s="33">
        <f t="shared" si="78"/>
        <v>0</v>
      </c>
      <c r="AC158" s="305">
        <f t="shared" si="71"/>
        <v>0</v>
      </c>
      <c r="AD158" s="100">
        <f t="shared" si="79"/>
        <v>0</v>
      </c>
      <c r="AE158" s="100">
        <f t="shared" si="80"/>
        <v>0</v>
      </c>
      <c r="AF158" s="194">
        <f t="shared" si="89"/>
        <v>0</v>
      </c>
      <c r="AG158" s="194">
        <f t="shared" si="90"/>
        <v>0</v>
      </c>
      <c r="AH158" s="194">
        <f t="shared" si="91"/>
        <v>0</v>
      </c>
      <c r="AI158" s="199">
        <f t="shared" si="92"/>
        <v>0</v>
      </c>
      <c r="AK158" s="71">
        <v>153</v>
      </c>
      <c r="AL158" s="33"/>
      <c r="AM158" s="33"/>
      <c r="AN158" s="33"/>
      <c r="AO158" s="33"/>
      <c r="AP158" s="33"/>
      <c r="AQ158" s="194"/>
      <c r="AR158" s="194"/>
      <c r="AS158" s="194"/>
      <c r="AT158" s="194"/>
      <c r="AU158" s="33"/>
      <c r="AV158" s="33"/>
      <c r="AW158" s="33"/>
      <c r="AX158" s="33"/>
      <c r="AY158" s="76"/>
    </row>
    <row r="159" spans="3:51">
      <c r="C159" s="166" t="s">
        <v>34</v>
      </c>
      <c r="D159" s="4">
        <v>0.55000000000000004</v>
      </c>
      <c r="E159" s="188" t="s">
        <v>227</v>
      </c>
      <c r="F159" s="343">
        <f>IF(OR(Tableau145[[#This Row],[Type]]="Feuillus",Tableau145[[#This Row],[Type]]="Peupliers"),1.56,1.3)</f>
        <v>1.56</v>
      </c>
      <c r="I159" s="55">
        <v>154</v>
      </c>
      <c r="J159" s="33">
        <f t="shared" si="83"/>
        <v>0</v>
      </c>
      <c r="K159" s="33">
        <f t="shared" si="84"/>
        <v>0</v>
      </c>
      <c r="L159" s="33">
        <f t="shared" si="85"/>
        <v>0</v>
      </c>
      <c r="M159" s="33">
        <f t="shared" si="86"/>
        <v>0</v>
      </c>
      <c r="N159" s="33">
        <f t="shared" si="72"/>
        <v>0</v>
      </c>
      <c r="O159" s="34">
        <f t="shared" si="73"/>
        <v>0</v>
      </c>
      <c r="P159" s="55">
        <v>154</v>
      </c>
      <c r="Q159" s="33">
        <f t="shared" si="81"/>
        <v>0</v>
      </c>
      <c r="R159" s="33">
        <f t="shared" si="87"/>
        <v>0</v>
      </c>
      <c r="S159" s="33">
        <f t="shared" si="88"/>
        <v>0</v>
      </c>
      <c r="T159" s="33">
        <f t="shared" si="74"/>
        <v>0</v>
      </c>
      <c r="U159" s="33">
        <f t="shared" si="82"/>
        <v>0</v>
      </c>
      <c r="V159" s="33">
        <f t="shared" si="75"/>
        <v>0</v>
      </c>
      <c r="W159" s="33">
        <v>0</v>
      </c>
      <c r="X159" s="33">
        <f t="shared" si="76"/>
        <v>0</v>
      </c>
      <c r="Y159" s="38">
        <f t="shared" si="77"/>
        <v>0</v>
      </c>
      <c r="AA159" s="71">
        <v>154</v>
      </c>
      <c r="AB159" s="33">
        <f t="shared" si="78"/>
        <v>0</v>
      </c>
      <c r="AC159" s="305">
        <f t="shared" ref="AC159:AC205" si="93">IF(AA159&lt;=$F$18,IFERROR(VLOOKUP($AA159,$B$82:$G$94,3,FALSE),0),)*50%</f>
        <v>0</v>
      </c>
      <c r="AD159" s="100">
        <f t="shared" si="79"/>
        <v>0</v>
      </c>
      <c r="AE159" s="100">
        <f t="shared" si="80"/>
        <v>0</v>
      </c>
      <c r="AF159" s="194">
        <f t="shared" si="89"/>
        <v>0</v>
      </c>
      <c r="AG159" s="194">
        <f t="shared" si="90"/>
        <v>0</v>
      </c>
      <c r="AH159" s="194">
        <f t="shared" si="91"/>
        <v>0</v>
      </c>
      <c r="AI159" s="199">
        <f t="shared" si="92"/>
        <v>0</v>
      </c>
      <c r="AK159" s="71">
        <v>154</v>
      </c>
      <c r="AL159" s="33"/>
      <c r="AM159" s="33"/>
      <c r="AN159" s="33"/>
      <c r="AO159" s="33"/>
      <c r="AP159" s="33"/>
      <c r="AQ159" s="194"/>
      <c r="AR159" s="194"/>
      <c r="AS159" s="194"/>
      <c r="AT159" s="194"/>
      <c r="AU159" s="33"/>
      <c r="AV159" s="33"/>
      <c r="AW159" s="33"/>
      <c r="AX159" s="33"/>
      <c r="AY159" s="76"/>
    </row>
    <row r="160" spans="3:51">
      <c r="C160" s="166" t="s">
        <v>35</v>
      </c>
      <c r="D160" s="4">
        <v>0.56000000000000005</v>
      </c>
      <c r="E160" s="188" t="s">
        <v>227</v>
      </c>
      <c r="F160" s="343">
        <f>IF(OR(Tableau145[[#This Row],[Type]]="Feuillus",Tableau145[[#This Row],[Type]]="Peupliers"),1.56,1.3)</f>
        <v>1.56</v>
      </c>
      <c r="I160" s="55">
        <v>155</v>
      </c>
      <c r="J160" s="33">
        <f t="shared" si="83"/>
        <v>0</v>
      </c>
      <c r="K160" s="33">
        <f t="shared" si="84"/>
        <v>0</v>
      </c>
      <c r="L160" s="33">
        <f t="shared" si="85"/>
        <v>0</v>
      </c>
      <c r="M160" s="33">
        <f t="shared" si="86"/>
        <v>0</v>
      </c>
      <c r="N160" s="33">
        <f t="shared" si="72"/>
        <v>0</v>
      </c>
      <c r="O160" s="34">
        <f t="shared" si="73"/>
        <v>0</v>
      </c>
      <c r="P160" s="55">
        <v>155</v>
      </c>
      <c r="Q160" s="33">
        <f t="shared" si="81"/>
        <v>0</v>
      </c>
      <c r="R160" s="33">
        <f t="shared" si="87"/>
        <v>0</v>
      </c>
      <c r="S160" s="33">
        <f t="shared" si="88"/>
        <v>0</v>
      </c>
      <c r="T160" s="33">
        <f t="shared" si="74"/>
        <v>0</v>
      </c>
      <c r="U160" s="33">
        <f t="shared" si="82"/>
        <v>0</v>
      </c>
      <c r="V160" s="33">
        <f t="shared" si="75"/>
        <v>0</v>
      </c>
      <c r="W160" s="33">
        <v>0</v>
      </c>
      <c r="X160" s="33">
        <f t="shared" si="76"/>
        <v>0</v>
      </c>
      <c r="Y160" s="38">
        <f t="shared" si="77"/>
        <v>0</v>
      </c>
      <c r="AA160" s="71">
        <v>155</v>
      </c>
      <c r="AB160" s="33">
        <f t="shared" si="78"/>
        <v>0</v>
      </c>
      <c r="AC160" s="305">
        <f t="shared" si="93"/>
        <v>0</v>
      </c>
      <c r="AD160" s="100">
        <f t="shared" si="79"/>
        <v>0</v>
      </c>
      <c r="AE160" s="100">
        <f t="shared" si="80"/>
        <v>0</v>
      </c>
      <c r="AF160" s="194">
        <f t="shared" si="89"/>
        <v>0</v>
      </c>
      <c r="AG160" s="194">
        <f t="shared" si="90"/>
        <v>0</v>
      </c>
      <c r="AH160" s="194">
        <f t="shared" si="91"/>
        <v>0</v>
      </c>
      <c r="AI160" s="199">
        <f t="shared" si="92"/>
        <v>0</v>
      </c>
      <c r="AK160" s="71">
        <v>155</v>
      </c>
      <c r="AL160" s="33"/>
      <c r="AM160" s="33"/>
      <c r="AN160" s="33"/>
      <c r="AO160" s="33"/>
      <c r="AP160" s="33"/>
      <c r="AQ160" s="194"/>
      <c r="AR160" s="194"/>
      <c r="AS160" s="194"/>
      <c r="AT160" s="194"/>
      <c r="AU160" s="33"/>
      <c r="AV160" s="33"/>
      <c r="AW160" s="33"/>
      <c r="AX160" s="33"/>
      <c r="AY160" s="76"/>
    </row>
    <row r="161" spans="3:51">
      <c r="C161" s="166" t="s">
        <v>36</v>
      </c>
      <c r="D161" s="4">
        <v>0.57999999999999996</v>
      </c>
      <c r="E161" s="188" t="s">
        <v>227</v>
      </c>
      <c r="F161" s="343">
        <f>IF(OR(Tableau145[[#This Row],[Type]]="Feuillus",Tableau145[[#This Row],[Type]]="Peupliers"),1.56,1.3)</f>
        <v>1.56</v>
      </c>
      <c r="I161" s="55">
        <v>156</v>
      </c>
      <c r="J161" s="33">
        <f t="shared" si="83"/>
        <v>0</v>
      </c>
      <c r="K161" s="33">
        <f t="shared" si="84"/>
        <v>0</v>
      </c>
      <c r="L161" s="33">
        <f t="shared" si="85"/>
        <v>0</v>
      </c>
      <c r="M161" s="33">
        <f t="shared" si="86"/>
        <v>0</v>
      </c>
      <c r="N161" s="33">
        <f t="shared" si="72"/>
        <v>0</v>
      </c>
      <c r="O161" s="34">
        <f t="shared" si="73"/>
        <v>0</v>
      </c>
      <c r="P161" s="55">
        <v>156</v>
      </c>
      <c r="Q161" s="33">
        <f t="shared" si="81"/>
        <v>0</v>
      </c>
      <c r="R161" s="33">
        <f t="shared" si="87"/>
        <v>0</v>
      </c>
      <c r="S161" s="33">
        <f t="shared" si="88"/>
        <v>0</v>
      </c>
      <c r="T161" s="33">
        <f t="shared" si="74"/>
        <v>0</v>
      </c>
      <c r="U161" s="33">
        <f t="shared" si="82"/>
        <v>0</v>
      </c>
      <c r="V161" s="33">
        <f t="shared" si="75"/>
        <v>0</v>
      </c>
      <c r="W161" s="33">
        <v>0</v>
      </c>
      <c r="X161" s="33">
        <f t="shared" si="76"/>
        <v>0</v>
      </c>
      <c r="Y161" s="38">
        <f t="shared" si="77"/>
        <v>0</v>
      </c>
      <c r="AA161" s="71">
        <v>156</v>
      </c>
      <c r="AB161" s="33">
        <f t="shared" si="78"/>
        <v>0</v>
      </c>
      <c r="AC161" s="305">
        <f t="shared" si="93"/>
        <v>0</v>
      </c>
      <c r="AD161" s="100">
        <f t="shared" si="79"/>
        <v>0</v>
      </c>
      <c r="AE161" s="100">
        <f t="shared" si="80"/>
        <v>0</v>
      </c>
      <c r="AF161" s="194">
        <f t="shared" si="89"/>
        <v>0</v>
      </c>
      <c r="AG161" s="194">
        <f t="shared" si="90"/>
        <v>0</v>
      </c>
      <c r="AH161" s="194">
        <f t="shared" si="91"/>
        <v>0</v>
      </c>
      <c r="AI161" s="199">
        <f t="shared" si="92"/>
        <v>0</v>
      </c>
      <c r="AK161" s="71">
        <v>156</v>
      </c>
      <c r="AL161" s="33"/>
      <c r="AM161" s="33"/>
      <c r="AN161" s="33"/>
      <c r="AO161" s="33"/>
      <c r="AP161" s="33"/>
      <c r="AQ161" s="194"/>
      <c r="AR161" s="194"/>
      <c r="AS161" s="194"/>
      <c r="AT161" s="194"/>
      <c r="AU161" s="33"/>
      <c r="AV161" s="33"/>
      <c r="AW161" s="33"/>
      <c r="AX161" s="33"/>
      <c r="AY161" s="76"/>
    </row>
    <row r="162" spans="3:51">
      <c r="C162" s="166" t="s">
        <v>37</v>
      </c>
      <c r="D162" s="4">
        <v>0.57999999999999996</v>
      </c>
      <c r="E162" s="188" t="s">
        <v>228</v>
      </c>
      <c r="F162" s="343">
        <f>IF(OR(Tableau145[[#This Row],[Type]]="Feuillus",Tableau145[[#This Row],[Type]]="Peupliers"),1.56,1.3)</f>
        <v>1.3</v>
      </c>
      <c r="I162" s="55">
        <v>157</v>
      </c>
      <c r="J162" s="33">
        <f t="shared" si="83"/>
        <v>0</v>
      </c>
      <c r="K162" s="33">
        <f t="shared" si="84"/>
        <v>0</v>
      </c>
      <c r="L162" s="33">
        <f t="shared" si="85"/>
        <v>0</v>
      </c>
      <c r="M162" s="33">
        <f t="shared" si="86"/>
        <v>0</v>
      </c>
      <c r="N162" s="33">
        <f t="shared" si="72"/>
        <v>0</v>
      </c>
      <c r="O162" s="34">
        <f t="shared" si="73"/>
        <v>0</v>
      </c>
      <c r="P162" s="55">
        <v>157</v>
      </c>
      <c r="Q162" s="33">
        <f t="shared" si="81"/>
        <v>0</v>
      </c>
      <c r="R162" s="33">
        <f t="shared" si="87"/>
        <v>0</v>
      </c>
      <c r="S162" s="33">
        <f t="shared" si="88"/>
        <v>0</v>
      </c>
      <c r="T162" s="33">
        <f t="shared" si="74"/>
        <v>0</v>
      </c>
      <c r="U162" s="33">
        <f t="shared" si="82"/>
        <v>0</v>
      </c>
      <c r="V162" s="33">
        <f t="shared" si="75"/>
        <v>0</v>
      </c>
      <c r="W162" s="33">
        <v>0</v>
      </c>
      <c r="X162" s="33">
        <f t="shared" si="76"/>
        <v>0</v>
      </c>
      <c r="Y162" s="38">
        <f t="shared" si="77"/>
        <v>0</v>
      </c>
      <c r="AA162" s="71">
        <v>157</v>
      </c>
      <c r="AB162" s="33">
        <f t="shared" si="78"/>
        <v>0</v>
      </c>
      <c r="AC162" s="305">
        <f t="shared" si="93"/>
        <v>0</v>
      </c>
      <c r="AD162" s="100">
        <f t="shared" si="79"/>
        <v>0</v>
      </c>
      <c r="AE162" s="100">
        <f t="shared" si="80"/>
        <v>0</v>
      </c>
      <c r="AF162" s="194">
        <f t="shared" si="89"/>
        <v>0</v>
      </c>
      <c r="AG162" s="194">
        <f t="shared" si="90"/>
        <v>0</v>
      </c>
      <c r="AH162" s="194">
        <f t="shared" si="91"/>
        <v>0</v>
      </c>
      <c r="AI162" s="199">
        <f t="shared" si="92"/>
        <v>0</v>
      </c>
      <c r="AK162" s="71">
        <v>157</v>
      </c>
      <c r="AL162" s="33"/>
      <c r="AM162" s="33"/>
      <c r="AN162" s="33"/>
      <c r="AO162" s="33"/>
      <c r="AP162" s="33"/>
      <c r="AQ162" s="194"/>
      <c r="AR162" s="194"/>
      <c r="AS162" s="194"/>
      <c r="AT162" s="194"/>
      <c r="AU162" s="33"/>
      <c r="AV162" s="33"/>
      <c r="AW162" s="33"/>
      <c r="AX162" s="33"/>
      <c r="AY162" s="76"/>
    </row>
    <row r="163" spans="3:51">
      <c r="C163" s="166" t="s">
        <v>38</v>
      </c>
      <c r="D163" s="4">
        <v>0.48</v>
      </c>
      <c r="E163" s="188" t="s">
        <v>228</v>
      </c>
      <c r="F163" s="343">
        <f>IF(OR(Tableau145[[#This Row],[Type]]="Feuillus",Tableau145[[#This Row],[Type]]="Peupliers"),1.56,1.3)</f>
        <v>1.3</v>
      </c>
      <c r="I163" s="55">
        <v>158</v>
      </c>
      <c r="J163" s="33">
        <f t="shared" si="83"/>
        <v>0</v>
      </c>
      <c r="K163" s="33">
        <f t="shared" si="84"/>
        <v>0</v>
      </c>
      <c r="L163" s="33">
        <f t="shared" si="85"/>
        <v>0</v>
      </c>
      <c r="M163" s="33">
        <f t="shared" si="86"/>
        <v>0</v>
      </c>
      <c r="N163" s="33">
        <f t="shared" si="72"/>
        <v>0</v>
      </c>
      <c r="O163" s="34">
        <f t="shared" si="73"/>
        <v>0</v>
      </c>
      <c r="P163" s="55">
        <v>158</v>
      </c>
      <c r="Q163" s="33">
        <f t="shared" si="81"/>
        <v>0</v>
      </c>
      <c r="R163" s="33">
        <f t="shared" si="87"/>
        <v>0</v>
      </c>
      <c r="S163" s="33">
        <f t="shared" si="88"/>
        <v>0</v>
      </c>
      <c r="T163" s="33">
        <f t="shared" si="74"/>
        <v>0</v>
      </c>
      <c r="U163" s="33">
        <f t="shared" si="82"/>
        <v>0</v>
      </c>
      <c r="V163" s="33">
        <f t="shared" si="75"/>
        <v>0</v>
      </c>
      <c r="W163" s="33">
        <v>0</v>
      </c>
      <c r="X163" s="33">
        <f t="shared" si="76"/>
        <v>0</v>
      </c>
      <c r="Y163" s="38">
        <f t="shared" si="77"/>
        <v>0</v>
      </c>
      <c r="AA163" s="71">
        <v>158</v>
      </c>
      <c r="AB163" s="33">
        <f t="shared" si="78"/>
        <v>0</v>
      </c>
      <c r="AC163" s="305">
        <f t="shared" si="93"/>
        <v>0</v>
      </c>
      <c r="AD163" s="100">
        <f t="shared" si="79"/>
        <v>0</v>
      </c>
      <c r="AE163" s="100">
        <f t="shared" si="80"/>
        <v>0</v>
      </c>
      <c r="AF163" s="194">
        <f t="shared" si="89"/>
        <v>0</v>
      </c>
      <c r="AG163" s="194">
        <f t="shared" si="90"/>
        <v>0</v>
      </c>
      <c r="AH163" s="194">
        <f t="shared" si="91"/>
        <v>0</v>
      </c>
      <c r="AI163" s="199">
        <f t="shared" si="92"/>
        <v>0</v>
      </c>
      <c r="AK163" s="71">
        <v>158</v>
      </c>
      <c r="AL163" s="33"/>
      <c r="AM163" s="33"/>
      <c r="AN163" s="33"/>
      <c r="AO163" s="33"/>
      <c r="AP163" s="33"/>
      <c r="AQ163" s="194"/>
      <c r="AR163" s="194"/>
      <c r="AS163" s="194"/>
      <c r="AT163" s="194"/>
      <c r="AU163" s="33"/>
      <c r="AV163" s="33"/>
      <c r="AW163" s="33"/>
      <c r="AX163" s="33"/>
      <c r="AY163" s="76"/>
    </row>
    <row r="164" spans="3:51">
      <c r="C164" s="166" t="s">
        <v>39</v>
      </c>
      <c r="D164" s="4">
        <v>0.42</v>
      </c>
      <c r="E164" s="188" t="s">
        <v>228</v>
      </c>
      <c r="F164" s="343">
        <f>IF(OR(Tableau145[[#This Row],[Type]]="Feuillus",Tableau145[[#This Row],[Type]]="Peupliers"),1.56,1.3)</f>
        <v>1.3</v>
      </c>
      <c r="I164" s="55">
        <v>159</v>
      </c>
      <c r="J164" s="33">
        <f t="shared" si="83"/>
        <v>0</v>
      </c>
      <c r="K164" s="33">
        <f t="shared" si="84"/>
        <v>0</v>
      </c>
      <c r="L164" s="33">
        <f t="shared" si="85"/>
        <v>0</v>
      </c>
      <c r="M164" s="33">
        <f t="shared" si="86"/>
        <v>0</v>
      </c>
      <c r="N164" s="33">
        <f t="shared" si="72"/>
        <v>0</v>
      </c>
      <c r="O164" s="34">
        <f t="shared" si="73"/>
        <v>0</v>
      </c>
      <c r="P164" s="55">
        <v>159</v>
      </c>
      <c r="Q164" s="33">
        <f t="shared" si="81"/>
        <v>0</v>
      </c>
      <c r="R164" s="33">
        <f t="shared" si="87"/>
        <v>0</v>
      </c>
      <c r="S164" s="33">
        <f t="shared" si="88"/>
        <v>0</v>
      </c>
      <c r="T164" s="33">
        <f t="shared" si="74"/>
        <v>0</v>
      </c>
      <c r="U164" s="33">
        <f t="shared" si="82"/>
        <v>0</v>
      </c>
      <c r="V164" s="33">
        <f t="shared" si="75"/>
        <v>0</v>
      </c>
      <c r="W164" s="33">
        <v>0</v>
      </c>
      <c r="X164" s="33">
        <f t="shared" si="76"/>
        <v>0</v>
      </c>
      <c r="Y164" s="38">
        <f t="shared" si="77"/>
        <v>0</v>
      </c>
      <c r="AA164" s="71">
        <v>159</v>
      </c>
      <c r="AB164" s="33">
        <f t="shared" si="78"/>
        <v>0</v>
      </c>
      <c r="AC164" s="305">
        <f t="shared" si="93"/>
        <v>0</v>
      </c>
      <c r="AD164" s="100">
        <f t="shared" si="79"/>
        <v>0</v>
      </c>
      <c r="AE164" s="100">
        <f t="shared" si="80"/>
        <v>0</v>
      </c>
      <c r="AF164" s="194">
        <f t="shared" si="89"/>
        <v>0</v>
      </c>
      <c r="AG164" s="194">
        <f t="shared" si="90"/>
        <v>0</v>
      </c>
      <c r="AH164" s="194">
        <f t="shared" si="91"/>
        <v>0</v>
      </c>
      <c r="AI164" s="199">
        <f t="shared" si="92"/>
        <v>0</v>
      </c>
      <c r="AK164" s="71">
        <v>159</v>
      </c>
      <c r="AL164" s="33"/>
      <c r="AM164" s="33"/>
      <c r="AN164" s="33"/>
      <c r="AO164" s="33"/>
      <c r="AP164" s="33"/>
      <c r="AQ164" s="194"/>
      <c r="AR164" s="194"/>
      <c r="AS164" s="194"/>
      <c r="AT164" s="194"/>
      <c r="AU164" s="33"/>
      <c r="AV164" s="33"/>
      <c r="AW164" s="33"/>
      <c r="AX164" s="33"/>
      <c r="AY164" s="76"/>
    </row>
    <row r="165" spans="3:51">
      <c r="C165" s="166" t="s">
        <v>40</v>
      </c>
      <c r="D165" s="4">
        <v>0.5</v>
      </c>
      <c r="E165" s="188" t="s">
        <v>227</v>
      </c>
      <c r="F165" s="343">
        <f>IF(OR(Tableau145[[#This Row],[Type]]="Feuillus",Tableau145[[#This Row],[Type]]="Peupliers"),1.56,1.3)</f>
        <v>1.56</v>
      </c>
      <c r="I165" s="55">
        <v>160</v>
      </c>
      <c r="J165" s="33">
        <f t="shared" si="83"/>
        <v>0</v>
      </c>
      <c r="K165" s="33">
        <f t="shared" si="84"/>
        <v>0</v>
      </c>
      <c r="L165" s="33">
        <f t="shared" si="85"/>
        <v>0</v>
      </c>
      <c r="M165" s="33">
        <f t="shared" si="86"/>
        <v>0</v>
      </c>
      <c r="N165" s="33">
        <f t="shared" si="72"/>
        <v>0</v>
      </c>
      <c r="O165" s="34">
        <f t="shared" si="73"/>
        <v>0</v>
      </c>
      <c r="P165" s="55">
        <v>160</v>
      </c>
      <c r="Q165" s="33">
        <f t="shared" si="81"/>
        <v>0</v>
      </c>
      <c r="R165" s="33">
        <f t="shared" si="87"/>
        <v>0</v>
      </c>
      <c r="S165" s="33">
        <f t="shared" si="88"/>
        <v>0</v>
      </c>
      <c r="T165" s="33">
        <f t="shared" si="74"/>
        <v>0</v>
      </c>
      <c r="U165" s="33">
        <f t="shared" si="82"/>
        <v>0</v>
      </c>
      <c r="V165" s="33">
        <f t="shared" si="75"/>
        <v>0</v>
      </c>
      <c r="W165" s="33">
        <v>0</v>
      </c>
      <c r="X165" s="33">
        <f t="shared" si="76"/>
        <v>0</v>
      </c>
      <c r="Y165" s="38">
        <f t="shared" si="77"/>
        <v>0</v>
      </c>
      <c r="AA165" s="71">
        <v>160</v>
      </c>
      <c r="AB165" s="33">
        <f t="shared" si="78"/>
        <v>0</v>
      </c>
      <c r="AC165" s="305">
        <f t="shared" si="93"/>
        <v>0</v>
      </c>
      <c r="AD165" s="100">
        <f t="shared" si="79"/>
        <v>0</v>
      </c>
      <c r="AE165" s="100">
        <f t="shared" si="80"/>
        <v>0</v>
      </c>
      <c r="AF165" s="194">
        <f t="shared" si="89"/>
        <v>0</v>
      </c>
      <c r="AG165" s="194">
        <f t="shared" si="90"/>
        <v>0</v>
      </c>
      <c r="AH165" s="194">
        <f t="shared" si="91"/>
        <v>0</v>
      </c>
      <c r="AI165" s="199">
        <f t="shared" si="92"/>
        <v>0</v>
      </c>
      <c r="AK165" s="71">
        <v>160</v>
      </c>
      <c r="AL165" s="33"/>
      <c r="AM165" s="33"/>
      <c r="AN165" s="33"/>
      <c r="AO165" s="33"/>
      <c r="AP165" s="33"/>
      <c r="AQ165" s="194"/>
      <c r="AR165" s="194"/>
      <c r="AS165" s="194"/>
      <c r="AT165" s="194"/>
      <c r="AU165" s="33"/>
      <c r="AV165" s="33"/>
      <c r="AW165" s="33"/>
      <c r="AX165" s="33"/>
      <c r="AY165" s="76"/>
    </row>
    <row r="166" spans="3:51">
      <c r="C166" s="166" t="s">
        <v>41</v>
      </c>
      <c r="D166" s="4">
        <v>0.55000000000000004</v>
      </c>
      <c r="E166" s="188" t="s">
        <v>227</v>
      </c>
      <c r="F166" s="343">
        <f>IF(OR(Tableau145[[#This Row],[Type]]="Feuillus",Tableau145[[#This Row],[Type]]="Peupliers"),1.56,1.3)</f>
        <v>1.56</v>
      </c>
      <c r="I166" s="55">
        <v>161</v>
      </c>
      <c r="J166" s="33">
        <f t="shared" si="83"/>
        <v>0</v>
      </c>
      <c r="K166" s="33">
        <f t="shared" si="84"/>
        <v>0</v>
      </c>
      <c r="L166" s="33">
        <f t="shared" si="85"/>
        <v>0</v>
      </c>
      <c r="M166" s="33">
        <f t="shared" si="86"/>
        <v>0</v>
      </c>
      <c r="N166" s="33">
        <f t="shared" si="72"/>
        <v>0</v>
      </c>
      <c r="O166" s="34">
        <f t="shared" si="73"/>
        <v>0</v>
      </c>
      <c r="P166" s="55">
        <v>161</v>
      </c>
      <c r="Q166" s="33">
        <f t="shared" si="81"/>
        <v>0</v>
      </c>
      <c r="R166" s="33">
        <f t="shared" si="87"/>
        <v>0</v>
      </c>
      <c r="S166" s="33">
        <f t="shared" si="88"/>
        <v>0</v>
      </c>
      <c r="T166" s="33">
        <f t="shared" si="74"/>
        <v>0</v>
      </c>
      <c r="U166" s="33">
        <f t="shared" si="82"/>
        <v>0</v>
      </c>
      <c r="V166" s="33">
        <f t="shared" si="75"/>
        <v>0</v>
      </c>
      <c r="W166" s="33">
        <v>0</v>
      </c>
      <c r="X166" s="33">
        <f t="shared" si="76"/>
        <v>0</v>
      </c>
      <c r="Y166" s="38">
        <f t="shared" si="77"/>
        <v>0</v>
      </c>
      <c r="AA166" s="71">
        <v>161</v>
      </c>
      <c r="AB166" s="33">
        <f t="shared" si="78"/>
        <v>0</v>
      </c>
      <c r="AC166" s="305">
        <f t="shared" si="93"/>
        <v>0</v>
      </c>
      <c r="AD166" s="100">
        <f t="shared" si="79"/>
        <v>0</v>
      </c>
      <c r="AE166" s="100">
        <f t="shared" si="80"/>
        <v>0</v>
      </c>
      <c r="AF166" s="194">
        <f t="shared" si="89"/>
        <v>0</v>
      </c>
      <c r="AG166" s="194">
        <f t="shared" si="90"/>
        <v>0</v>
      </c>
      <c r="AH166" s="194">
        <f t="shared" si="91"/>
        <v>0</v>
      </c>
      <c r="AI166" s="199">
        <f t="shared" si="92"/>
        <v>0</v>
      </c>
      <c r="AK166" s="71">
        <v>161</v>
      </c>
      <c r="AL166" s="33"/>
      <c r="AM166" s="33"/>
      <c r="AN166" s="33"/>
      <c r="AO166" s="33"/>
      <c r="AP166" s="33"/>
      <c r="AQ166" s="194"/>
      <c r="AR166" s="194"/>
      <c r="AS166" s="194"/>
      <c r="AT166" s="194"/>
      <c r="AU166" s="33"/>
      <c r="AV166" s="33"/>
      <c r="AW166" s="33"/>
      <c r="AX166" s="33"/>
      <c r="AY166" s="76"/>
    </row>
    <row r="167" spans="3:51">
      <c r="C167" s="166" t="s">
        <v>42</v>
      </c>
      <c r="D167" s="4">
        <v>0.53</v>
      </c>
      <c r="E167" s="188" t="s">
        <v>227</v>
      </c>
      <c r="F167" s="343">
        <f>IF(OR(Tableau145[[#This Row],[Type]]="Feuillus",Tableau145[[#This Row],[Type]]="Peupliers"),1.56,1.3)</f>
        <v>1.56</v>
      </c>
      <c r="I167" s="55">
        <v>162</v>
      </c>
      <c r="J167" s="33">
        <f t="shared" si="83"/>
        <v>0</v>
      </c>
      <c r="K167" s="33">
        <f t="shared" si="84"/>
        <v>0</v>
      </c>
      <c r="L167" s="33">
        <f t="shared" si="85"/>
        <v>0</v>
      </c>
      <c r="M167" s="33">
        <f t="shared" si="86"/>
        <v>0</v>
      </c>
      <c r="N167" s="33">
        <f t="shared" si="72"/>
        <v>0</v>
      </c>
      <c r="O167" s="34">
        <f t="shared" si="73"/>
        <v>0</v>
      </c>
      <c r="P167" s="55">
        <v>162</v>
      </c>
      <c r="Q167" s="33">
        <f t="shared" si="81"/>
        <v>0</v>
      </c>
      <c r="R167" s="33">
        <f t="shared" si="87"/>
        <v>0</v>
      </c>
      <c r="S167" s="33">
        <f t="shared" si="88"/>
        <v>0</v>
      </c>
      <c r="T167" s="33">
        <f t="shared" si="74"/>
        <v>0</v>
      </c>
      <c r="U167" s="33">
        <f t="shared" si="82"/>
        <v>0</v>
      </c>
      <c r="V167" s="33">
        <f t="shared" si="75"/>
        <v>0</v>
      </c>
      <c r="W167" s="33">
        <v>0</v>
      </c>
      <c r="X167" s="33">
        <f t="shared" si="76"/>
        <v>0</v>
      </c>
      <c r="Y167" s="38">
        <f t="shared" si="77"/>
        <v>0</v>
      </c>
      <c r="AA167" s="71">
        <v>162</v>
      </c>
      <c r="AB167" s="33">
        <f t="shared" si="78"/>
        <v>0</v>
      </c>
      <c r="AC167" s="305">
        <f t="shared" si="93"/>
        <v>0</v>
      </c>
      <c r="AD167" s="100">
        <f t="shared" si="79"/>
        <v>0</v>
      </c>
      <c r="AE167" s="100">
        <f t="shared" si="80"/>
        <v>0</v>
      </c>
      <c r="AF167" s="194">
        <f t="shared" si="89"/>
        <v>0</v>
      </c>
      <c r="AG167" s="194">
        <f t="shared" si="90"/>
        <v>0</v>
      </c>
      <c r="AH167" s="194">
        <f t="shared" si="91"/>
        <v>0</v>
      </c>
      <c r="AI167" s="199">
        <f t="shared" si="92"/>
        <v>0</v>
      </c>
      <c r="AK167" s="71">
        <v>162</v>
      </c>
      <c r="AL167" s="33"/>
      <c r="AM167" s="33"/>
      <c r="AN167" s="33"/>
      <c r="AO167" s="33"/>
      <c r="AP167" s="33"/>
      <c r="AQ167" s="194"/>
      <c r="AR167" s="194"/>
      <c r="AS167" s="194"/>
      <c r="AT167" s="194"/>
      <c r="AU167" s="33"/>
      <c r="AV167" s="33"/>
      <c r="AW167" s="33"/>
      <c r="AX167" s="33"/>
      <c r="AY167" s="76"/>
    </row>
    <row r="168" spans="3:51">
      <c r="C168" s="166" t="s">
        <v>43</v>
      </c>
      <c r="D168" s="4">
        <v>0.52</v>
      </c>
      <c r="E168" s="188" t="s">
        <v>227</v>
      </c>
      <c r="F168" s="343">
        <f>IF(OR(Tableau145[[#This Row],[Type]]="Feuillus",Tableau145[[#This Row],[Type]]="Peupliers"),1.56,1.3)</f>
        <v>1.56</v>
      </c>
      <c r="I168" s="55">
        <v>163</v>
      </c>
      <c r="J168" s="33">
        <f t="shared" si="83"/>
        <v>0</v>
      </c>
      <c r="K168" s="33">
        <f t="shared" si="84"/>
        <v>0</v>
      </c>
      <c r="L168" s="33">
        <f t="shared" si="85"/>
        <v>0</v>
      </c>
      <c r="M168" s="33">
        <f t="shared" si="86"/>
        <v>0</v>
      </c>
      <c r="N168" s="33">
        <f t="shared" si="72"/>
        <v>0</v>
      </c>
      <c r="O168" s="34">
        <f t="shared" si="73"/>
        <v>0</v>
      </c>
      <c r="P168" s="55">
        <v>163</v>
      </c>
      <c r="Q168" s="33">
        <f t="shared" si="81"/>
        <v>0</v>
      </c>
      <c r="R168" s="33">
        <f t="shared" si="87"/>
        <v>0</v>
      </c>
      <c r="S168" s="33">
        <f t="shared" si="88"/>
        <v>0</v>
      </c>
      <c r="T168" s="33">
        <f t="shared" si="74"/>
        <v>0</v>
      </c>
      <c r="U168" s="33">
        <f t="shared" si="82"/>
        <v>0</v>
      </c>
      <c r="V168" s="33">
        <f t="shared" si="75"/>
        <v>0</v>
      </c>
      <c r="W168" s="33">
        <v>0</v>
      </c>
      <c r="X168" s="33">
        <f t="shared" si="76"/>
        <v>0</v>
      </c>
      <c r="Y168" s="38">
        <f t="shared" si="77"/>
        <v>0</v>
      </c>
      <c r="AA168" s="71">
        <v>163</v>
      </c>
      <c r="AB168" s="33">
        <f t="shared" si="78"/>
        <v>0</v>
      </c>
      <c r="AC168" s="305">
        <f t="shared" si="93"/>
        <v>0</v>
      </c>
      <c r="AD168" s="100">
        <f t="shared" si="79"/>
        <v>0</v>
      </c>
      <c r="AE168" s="100">
        <f t="shared" si="80"/>
        <v>0</v>
      </c>
      <c r="AF168" s="194">
        <f t="shared" si="89"/>
        <v>0</v>
      </c>
      <c r="AG168" s="194">
        <f t="shared" si="90"/>
        <v>0</v>
      </c>
      <c r="AH168" s="194">
        <f t="shared" si="91"/>
        <v>0</v>
      </c>
      <c r="AI168" s="199">
        <f t="shared" si="92"/>
        <v>0</v>
      </c>
      <c r="AK168" s="71">
        <v>163</v>
      </c>
      <c r="AL168" s="33"/>
      <c r="AM168" s="33"/>
      <c r="AN168" s="33"/>
      <c r="AO168" s="33"/>
      <c r="AP168" s="33"/>
      <c r="AQ168" s="194"/>
      <c r="AR168" s="194"/>
      <c r="AS168" s="194"/>
      <c r="AT168" s="194"/>
      <c r="AU168" s="33"/>
      <c r="AV168" s="33"/>
      <c r="AW168" s="33"/>
      <c r="AX168" s="33"/>
      <c r="AY168" s="76"/>
    </row>
    <row r="169" spans="3:51">
      <c r="C169" s="166" t="s">
        <v>44</v>
      </c>
      <c r="D169" s="4">
        <v>0.52</v>
      </c>
      <c r="E169" s="188" t="s">
        <v>227</v>
      </c>
      <c r="F169" s="343">
        <f>IF(OR(Tableau145[[#This Row],[Type]]="Feuillus",Tableau145[[#This Row],[Type]]="Peupliers"),1.56,1.3)</f>
        <v>1.56</v>
      </c>
      <c r="I169" s="55">
        <v>164</v>
      </c>
      <c r="J169" s="33">
        <f t="shared" si="83"/>
        <v>0</v>
      </c>
      <c r="K169" s="33">
        <f t="shared" si="84"/>
        <v>0</v>
      </c>
      <c r="L169" s="33">
        <f t="shared" si="85"/>
        <v>0</v>
      </c>
      <c r="M169" s="33">
        <f t="shared" si="86"/>
        <v>0</v>
      </c>
      <c r="N169" s="33">
        <f t="shared" si="72"/>
        <v>0</v>
      </c>
      <c r="O169" s="34">
        <f t="shared" si="73"/>
        <v>0</v>
      </c>
      <c r="P169" s="55">
        <v>164</v>
      </c>
      <c r="Q169" s="33">
        <f t="shared" si="81"/>
        <v>0</v>
      </c>
      <c r="R169" s="33">
        <f t="shared" si="87"/>
        <v>0</v>
      </c>
      <c r="S169" s="33">
        <f t="shared" si="88"/>
        <v>0</v>
      </c>
      <c r="T169" s="33">
        <f t="shared" si="74"/>
        <v>0</v>
      </c>
      <c r="U169" s="33">
        <f t="shared" si="82"/>
        <v>0</v>
      </c>
      <c r="V169" s="33">
        <f t="shared" si="75"/>
        <v>0</v>
      </c>
      <c r="W169" s="33">
        <v>0</v>
      </c>
      <c r="X169" s="33">
        <f t="shared" si="76"/>
        <v>0</v>
      </c>
      <c r="Y169" s="38">
        <f t="shared" si="77"/>
        <v>0</v>
      </c>
      <c r="AA169" s="71">
        <v>164</v>
      </c>
      <c r="AB169" s="33">
        <f t="shared" si="78"/>
        <v>0</v>
      </c>
      <c r="AC169" s="305">
        <f t="shared" si="93"/>
        <v>0</v>
      </c>
      <c r="AD169" s="100">
        <f t="shared" si="79"/>
        <v>0</v>
      </c>
      <c r="AE169" s="100">
        <f t="shared" si="80"/>
        <v>0</v>
      </c>
      <c r="AF169" s="194">
        <f t="shared" si="89"/>
        <v>0</v>
      </c>
      <c r="AG169" s="194">
        <f t="shared" si="90"/>
        <v>0</v>
      </c>
      <c r="AH169" s="194">
        <f t="shared" si="91"/>
        <v>0</v>
      </c>
      <c r="AI169" s="199">
        <f t="shared" si="92"/>
        <v>0</v>
      </c>
      <c r="AK169" s="71">
        <v>164</v>
      </c>
      <c r="AL169" s="33"/>
      <c r="AM169" s="33"/>
      <c r="AN169" s="33"/>
      <c r="AO169" s="33"/>
      <c r="AP169" s="33"/>
      <c r="AQ169" s="194"/>
      <c r="AR169" s="194"/>
      <c r="AS169" s="194"/>
      <c r="AT169" s="194"/>
      <c r="AU169" s="33"/>
      <c r="AV169" s="33"/>
      <c r="AW169" s="33"/>
      <c r="AX169" s="33"/>
      <c r="AY169" s="76"/>
    </row>
    <row r="170" spans="3:51">
      <c r="C170" s="166" t="s">
        <v>45</v>
      </c>
      <c r="D170" s="4">
        <v>0.75</v>
      </c>
      <c r="E170" s="188" t="s">
        <v>227</v>
      </c>
      <c r="F170" s="343">
        <f>IF(OR(Tableau145[[#This Row],[Type]]="Feuillus",Tableau145[[#This Row],[Type]]="Peupliers"),1.56,1.3)</f>
        <v>1.56</v>
      </c>
      <c r="I170" s="55">
        <v>165</v>
      </c>
      <c r="J170" s="33">
        <f t="shared" si="83"/>
        <v>0</v>
      </c>
      <c r="K170" s="33">
        <f t="shared" si="84"/>
        <v>0</v>
      </c>
      <c r="L170" s="33">
        <f t="shared" si="85"/>
        <v>0</v>
      </c>
      <c r="M170" s="33">
        <f t="shared" si="86"/>
        <v>0</v>
      </c>
      <c r="N170" s="33">
        <f t="shared" si="72"/>
        <v>0</v>
      </c>
      <c r="O170" s="34">
        <f t="shared" si="73"/>
        <v>0</v>
      </c>
      <c r="P170" s="55">
        <v>165</v>
      </c>
      <c r="Q170" s="33">
        <f t="shared" si="81"/>
        <v>0</v>
      </c>
      <c r="R170" s="33">
        <f t="shared" si="87"/>
        <v>0</v>
      </c>
      <c r="S170" s="33">
        <f t="shared" si="88"/>
        <v>0</v>
      </c>
      <c r="T170" s="33">
        <f t="shared" si="74"/>
        <v>0</v>
      </c>
      <c r="U170" s="33">
        <f t="shared" si="82"/>
        <v>0</v>
      </c>
      <c r="V170" s="33">
        <f t="shared" si="75"/>
        <v>0</v>
      </c>
      <c r="W170" s="33">
        <v>0</v>
      </c>
      <c r="X170" s="33">
        <f t="shared" si="76"/>
        <v>0</v>
      </c>
      <c r="Y170" s="38">
        <f t="shared" si="77"/>
        <v>0</v>
      </c>
      <c r="AA170" s="71">
        <v>165</v>
      </c>
      <c r="AB170" s="33">
        <f t="shared" si="78"/>
        <v>0</v>
      </c>
      <c r="AC170" s="305">
        <f t="shared" si="93"/>
        <v>0</v>
      </c>
      <c r="AD170" s="100">
        <f t="shared" si="79"/>
        <v>0</v>
      </c>
      <c r="AE170" s="100">
        <f t="shared" si="80"/>
        <v>0</v>
      </c>
      <c r="AF170" s="194">
        <f t="shared" si="89"/>
        <v>0</v>
      </c>
      <c r="AG170" s="194">
        <f t="shared" si="90"/>
        <v>0</v>
      </c>
      <c r="AH170" s="194">
        <f t="shared" si="91"/>
        <v>0</v>
      </c>
      <c r="AI170" s="199">
        <f t="shared" si="92"/>
        <v>0</v>
      </c>
      <c r="AK170" s="71">
        <v>165</v>
      </c>
      <c r="AL170" s="33"/>
      <c r="AM170" s="33"/>
      <c r="AN170" s="33"/>
      <c r="AO170" s="33"/>
      <c r="AP170" s="33"/>
      <c r="AQ170" s="194"/>
      <c r="AR170" s="194"/>
      <c r="AS170" s="194"/>
      <c r="AT170" s="194"/>
      <c r="AU170" s="33"/>
      <c r="AV170" s="33"/>
      <c r="AW170" s="33"/>
      <c r="AX170" s="33"/>
      <c r="AY170" s="76"/>
    </row>
    <row r="171" spans="3:51">
      <c r="C171" s="166" t="s">
        <v>46</v>
      </c>
      <c r="D171" s="4">
        <v>0.52</v>
      </c>
      <c r="E171" s="188" t="s">
        <v>227</v>
      </c>
      <c r="F171" s="343">
        <f>IF(OR(Tableau145[[#This Row],[Type]]="Feuillus",Tableau145[[#This Row],[Type]]="Peupliers"),1.56,1.3)</f>
        <v>1.56</v>
      </c>
      <c r="I171" s="55">
        <v>166</v>
      </c>
      <c r="J171" s="33">
        <f t="shared" si="83"/>
        <v>0</v>
      </c>
      <c r="K171" s="33">
        <f t="shared" si="84"/>
        <v>0</v>
      </c>
      <c r="L171" s="33">
        <f t="shared" si="85"/>
        <v>0</v>
      </c>
      <c r="M171" s="33">
        <f t="shared" si="86"/>
        <v>0</v>
      </c>
      <c r="N171" s="33">
        <f t="shared" si="72"/>
        <v>0</v>
      </c>
      <c r="O171" s="34">
        <f t="shared" si="73"/>
        <v>0</v>
      </c>
      <c r="P171" s="55">
        <v>166</v>
      </c>
      <c r="Q171" s="33">
        <f t="shared" si="81"/>
        <v>0</v>
      </c>
      <c r="R171" s="33">
        <f t="shared" si="87"/>
        <v>0</v>
      </c>
      <c r="S171" s="33">
        <f t="shared" si="88"/>
        <v>0</v>
      </c>
      <c r="T171" s="33">
        <f t="shared" si="74"/>
        <v>0</v>
      </c>
      <c r="U171" s="33">
        <f t="shared" si="82"/>
        <v>0</v>
      </c>
      <c r="V171" s="33">
        <f t="shared" si="75"/>
        <v>0</v>
      </c>
      <c r="W171" s="33">
        <v>0</v>
      </c>
      <c r="X171" s="33">
        <f t="shared" si="76"/>
        <v>0</v>
      </c>
      <c r="Y171" s="38">
        <f t="shared" si="77"/>
        <v>0</v>
      </c>
      <c r="AA171" s="71">
        <v>166</v>
      </c>
      <c r="AB171" s="33">
        <f t="shared" si="78"/>
        <v>0</v>
      </c>
      <c r="AC171" s="305">
        <f t="shared" si="93"/>
        <v>0</v>
      </c>
      <c r="AD171" s="100">
        <f t="shared" si="79"/>
        <v>0</v>
      </c>
      <c r="AE171" s="100">
        <f t="shared" si="80"/>
        <v>0</v>
      </c>
      <c r="AF171" s="194">
        <f t="shared" si="89"/>
        <v>0</v>
      </c>
      <c r="AG171" s="194">
        <f t="shared" si="90"/>
        <v>0</v>
      </c>
      <c r="AH171" s="194">
        <f t="shared" si="91"/>
        <v>0</v>
      </c>
      <c r="AI171" s="199">
        <f t="shared" si="92"/>
        <v>0</v>
      </c>
      <c r="AK171" s="71">
        <v>166</v>
      </c>
      <c r="AL171" s="33"/>
      <c r="AM171" s="33"/>
      <c r="AN171" s="33"/>
      <c r="AO171" s="33"/>
      <c r="AP171" s="33"/>
      <c r="AQ171" s="194"/>
      <c r="AR171" s="194"/>
      <c r="AS171" s="194"/>
      <c r="AT171" s="194"/>
      <c r="AU171" s="33"/>
      <c r="AV171" s="33"/>
      <c r="AW171" s="33"/>
      <c r="AX171" s="33"/>
      <c r="AY171" s="76"/>
    </row>
    <row r="172" spans="3:51">
      <c r="C172" s="166" t="s">
        <v>47</v>
      </c>
      <c r="D172" s="4">
        <v>0.35</v>
      </c>
      <c r="E172" s="188" t="s">
        <v>229</v>
      </c>
      <c r="F172" s="343">
        <f>IF(OR(Tableau145[[#This Row],[Type]]="Feuillus",Tableau145[[#This Row],[Type]]="Peupliers"),1.56,1.3)</f>
        <v>1.56</v>
      </c>
      <c r="I172" s="55">
        <v>167</v>
      </c>
      <c r="J172" s="33">
        <f t="shared" si="83"/>
        <v>0</v>
      </c>
      <c r="K172" s="33">
        <f t="shared" si="84"/>
        <v>0</v>
      </c>
      <c r="L172" s="33">
        <f t="shared" si="85"/>
        <v>0</v>
      </c>
      <c r="M172" s="33">
        <f t="shared" si="86"/>
        <v>0</v>
      </c>
      <c r="N172" s="33">
        <f t="shared" si="72"/>
        <v>0</v>
      </c>
      <c r="O172" s="34">
        <f t="shared" si="73"/>
        <v>0</v>
      </c>
      <c r="P172" s="55">
        <v>167</v>
      </c>
      <c r="Q172" s="33">
        <f t="shared" si="81"/>
        <v>0</v>
      </c>
      <c r="R172" s="33">
        <f t="shared" si="87"/>
        <v>0</v>
      </c>
      <c r="S172" s="33">
        <f t="shared" si="88"/>
        <v>0</v>
      </c>
      <c r="T172" s="33">
        <f t="shared" si="74"/>
        <v>0</v>
      </c>
      <c r="U172" s="33">
        <f t="shared" si="82"/>
        <v>0</v>
      </c>
      <c r="V172" s="33">
        <f t="shared" si="75"/>
        <v>0</v>
      </c>
      <c r="W172" s="33">
        <v>0</v>
      </c>
      <c r="X172" s="33">
        <f t="shared" si="76"/>
        <v>0</v>
      </c>
      <c r="Y172" s="38">
        <f t="shared" si="77"/>
        <v>0</v>
      </c>
      <c r="AA172" s="71">
        <v>167</v>
      </c>
      <c r="AB172" s="33">
        <f t="shared" si="78"/>
        <v>0</v>
      </c>
      <c r="AC172" s="305">
        <f t="shared" si="93"/>
        <v>0</v>
      </c>
      <c r="AD172" s="100">
        <f t="shared" si="79"/>
        <v>0</v>
      </c>
      <c r="AE172" s="100">
        <f t="shared" si="80"/>
        <v>0</v>
      </c>
      <c r="AF172" s="194">
        <f t="shared" si="89"/>
        <v>0</v>
      </c>
      <c r="AG172" s="194">
        <f t="shared" si="90"/>
        <v>0</v>
      </c>
      <c r="AH172" s="194">
        <f t="shared" si="91"/>
        <v>0</v>
      </c>
      <c r="AI172" s="199">
        <f t="shared" si="92"/>
        <v>0</v>
      </c>
      <c r="AK172" s="71">
        <v>167</v>
      </c>
      <c r="AL172" s="33"/>
      <c r="AM172" s="33"/>
      <c r="AN172" s="33"/>
      <c r="AO172" s="33"/>
      <c r="AP172" s="33"/>
      <c r="AQ172" s="194"/>
      <c r="AR172" s="194"/>
      <c r="AS172" s="194"/>
      <c r="AT172" s="194"/>
      <c r="AU172" s="33"/>
      <c r="AV172" s="33"/>
      <c r="AW172" s="33"/>
      <c r="AX172" s="33"/>
      <c r="AY172" s="76"/>
    </row>
    <row r="173" spans="3:51">
      <c r="C173" s="166" t="s">
        <v>48</v>
      </c>
      <c r="D173" s="4">
        <v>0.37</v>
      </c>
      <c r="E173" s="188" t="s">
        <v>227</v>
      </c>
      <c r="F173" s="343">
        <f>IF(OR(Tableau145[[#This Row],[Type]]="Feuillus",Tableau145[[#This Row],[Type]]="Peupliers"),1.56,1.3)</f>
        <v>1.56</v>
      </c>
      <c r="I173" s="55">
        <v>168</v>
      </c>
      <c r="J173" s="33">
        <f t="shared" si="83"/>
        <v>0</v>
      </c>
      <c r="K173" s="33">
        <f t="shared" si="84"/>
        <v>0</v>
      </c>
      <c r="L173" s="33">
        <f t="shared" si="85"/>
        <v>0</v>
      </c>
      <c r="M173" s="33">
        <f t="shared" si="86"/>
        <v>0</v>
      </c>
      <c r="N173" s="33">
        <f t="shared" si="72"/>
        <v>0</v>
      </c>
      <c r="O173" s="34">
        <f t="shared" si="73"/>
        <v>0</v>
      </c>
      <c r="P173" s="55">
        <v>168</v>
      </c>
      <c r="Q173" s="33">
        <f t="shared" si="81"/>
        <v>0</v>
      </c>
      <c r="R173" s="33">
        <f t="shared" si="87"/>
        <v>0</v>
      </c>
      <c r="S173" s="33">
        <f t="shared" si="88"/>
        <v>0</v>
      </c>
      <c r="T173" s="33">
        <f t="shared" si="74"/>
        <v>0</v>
      </c>
      <c r="U173" s="33">
        <f t="shared" si="82"/>
        <v>0</v>
      </c>
      <c r="V173" s="33">
        <f t="shared" si="75"/>
        <v>0</v>
      </c>
      <c r="W173" s="33">
        <v>0</v>
      </c>
      <c r="X173" s="33">
        <f t="shared" si="76"/>
        <v>0</v>
      </c>
      <c r="Y173" s="38">
        <f t="shared" si="77"/>
        <v>0</v>
      </c>
      <c r="AA173" s="71">
        <v>168</v>
      </c>
      <c r="AB173" s="33">
        <f t="shared" si="78"/>
        <v>0</v>
      </c>
      <c r="AC173" s="305">
        <f t="shared" si="93"/>
        <v>0</v>
      </c>
      <c r="AD173" s="100">
        <f t="shared" si="79"/>
        <v>0</v>
      </c>
      <c r="AE173" s="100">
        <f t="shared" si="80"/>
        <v>0</v>
      </c>
      <c r="AF173" s="194">
        <f t="shared" si="89"/>
        <v>0</v>
      </c>
      <c r="AG173" s="194">
        <f t="shared" si="90"/>
        <v>0</v>
      </c>
      <c r="AH173" s="194">
        <f t="shared" si="91"/>
        <v>0</v>
      </c>
      <c r="AI173" s="199">
        <f t="shared" si="92"/>
        <v>0</v>
      </c>
      <c r="AK173" s="71">
        <v>168</v>
      </c>
      <c r="AL173" s="33"/>
      <c r="AM173" s="33"/>
      <c r="AN173" s="33"/>
      <c r="AO173" s="33"/>
      <c r="AP173" s="33"/>
      <c r="AQ173" s="194"/>
      <c r="AR173" s="194"/>
      <c r="AS173" s="194"/>
      <c r="AT173" s="194"/>
      <c r="AU173" s="33"/>
      <c r="AV173" s="33"/>
      <c r="AW173" s="33"/>
      <c r="AX173" s="33"/>
      <c r="AY173" s="76"/>
    </row>
    <row r="174" spans="3:51">
      <c r="C174" s="166" t="s">
        <v>49</v>
      </c>
      <c r="D174" s="4">
        <v>0.45</v>
      </c>
      <c r="E174" s="188" t="s">
        <v>228</v>
      </c>
      <c r="F174" s="343">
        <f>IF(OR(Tableau145[[#This Row],[Type]]="Feuillus",Tableau145[[#This Row],[Type]]="Peupliers"),1.56,1.3)</f>
        <v>1.3</v>
      </c>
      <c r="I174" s="55">
        <v>169</v>
      </c>
      <c r="J174" s="33">
        <f t="shared" si="83"/>
        <v>0</v>
      </c>
      <c r="K174" s="33">
        <f t="shared" si="84"/>
        <v>0</v>
      </c>
      <c r="L174" s="33">
        <f t="shared" si="85"/>
        <v>0</v>
      </c>
      <c r="M174" s="33">
        <f t="shared" si="86"/>
        <v>0</v>
      </c>
      <c r="N174" s="33">
        <f t="shared" si="72"/>
        <v>0</v>
      </c>
      <c r="O174" s="34">
        <f t="shared" si="73"/>
        <v>0</v>
      </c>
      <c r="P174" s="55">
        <v>169</v>
      </c>
      <c r="Q174" s="33">
        <f t="shared" si="81"/>
        <v>0</v>
      </c>
      <c r="R174" s="33">
        <f t="shared" si="87"/>
        <v>0</v>
      </c>
      <c r="S174" s="33">
        <f t="shared" si="88"/>
        <v>0</v>
      </c>
      <c r="T174" s="33">
        <f t="shared" si="74"/>
        <v>0</v>
      </c>
      <c r="U174" s="33">
        <f t="shared" si="82"/>
        <v>0</v>
      </c>
      <c r="V174" s="33">
        <f t="shared" si="75"/>
        <v>0</v>
      </c>
      <c r="W174" s="33">
        <v>0</v>
      </c>
      <c r="X174" s="33">
        <f t="shared" si="76"/>
        <v>0</v>
      </c>
      <c r="Y174" s="38">
        <f t="shared" si="77"/>
        <v>0</v>
      </c>
      <c r="AA174" s="71">
        <v>169</v>
      </c>
      <c r="AB174" s="33">
        <f t="shared" si="78"/>
        <v>0</v>
      </c>
      <c r="AC174" s="305">
        <f t="shared" si="93"/>
        <v>0</v>
      </c>
      <c r="AD174" s="100">
        <f t="shared" si="79"/>
        <v>0</v>
      </c>
      <c r="AE174" s="100">
        <f t="shared" si="80"/>
        <v>0</v>
      </c>
      <c r="AF174" s="194">
        <f t="shared" si="89"/>
        <v>0</v>
      </c>
      <c r="AG174" s="194">
        <f t="shared" si="90"/>
        <v>0</v>
      </c>
      <c r="AH174" s="194">
        <f t="shared" si="91"/>
        <v>0</v>
      </c>
      <c r="AI174" s="199">
        <f t="shared" si="92"/>
        <v>0</v>
      </c>
      <c r="AK174" s="71">
        <v>169</v>
      </c>
      <c r="AL174" s="33"/>
      <c r="AM174" s="33"/>
      <c r="AN174" s="33"/>
      <c r="AO174" s="33"/>
      <c r="AP174" s="33"/>
      <c r="AQ174" s="194"/>
      <c r="AR174" s="194"/>
      <c r="AS174" s="194"/>
      <c r="AT174" s="194"/>
      <c r="AU174" s="33"/>
      <c r="AV174" s="33"/>
      <c r="AW174" s="33"/>
      <c r="AX174" s="33"/>
      <c r="AY174" s="76"/>
    </row>
    <row r="175" spans="3:51">
      <c r="C175" s="166" t="s">
        <v>50</v>
      </c>
      <c r="D175" s="4">
        <v>0.39</v>
      </c>
      <c r="E175" s="188" t="s">
        <v>228</v>
      </c>
      <c r="F175" s="343">
        <f>IF(OR(Tableau145[[#This Row],[Type]]="Feuillus",Tableau145[[#This Row],[Type]]="Peupliers"),1.56,1.3)</f>
        <v>1.3</v>
      </c>
      <c r="I175" s="55">
        <v>170</v>
      </c>
      <c r="J175" s="33">
        <f t="shared" si="83"/>
        <v>0</v>
      </c>
      <c r="K175" s="33">
        <f t="shared" si="84"/>
        <v>0</v>
      </c>
      <c r="L175" s="33">
        <f t="shared" si="85"/>
        <v>0</v>
      </c>
      <c r="M175" s="33">
        <f t="shared" si="86"/>
        <v>0</v>
      </c>
      <c r="N175" s="33">
        <f t="shared" si="72"/>
        <v>0</v>
      </c>
      <c r="O175" s="34">
        <f t="shared" si="73"/>
        <v>0</v>
      </c>
      <c r="P175" s="55">
        <v>170</v>
      </c>
      <c r="Q175" s="33">
        <f t="shared" si="81"/>
        <v>0</v>
      </c>
      <c r="R175" s="33">
        <f t="shared" si="87"/>
        <v>0</v>
      </c>
      <c r="S175" s="33">
        <f t="shared" si="88"/>
        <v>0</v>
      </c>
      <c r="T175" s="33">
        <f t="shared" si="74"/>
        <v>0</v>
      </c>
      <c r="U175" s="33">
        <f t="shared" si="82"/>
        <v>0</v>
      </c>
      <c r="V175" s="33">
        <f t="shared" si="75"/>
        <v>0</v>
      </c>
      <c r="W175" s="33">
        <v>0</v>
      </c>
      <c r="X175" s="33">
        <f t="shared" si="76"/>
        <v>0</v>
      </c>
      <c r="Y175" s="38">
        <f t="shared" si="77"/>
        <v>0</v>
      </c>
      <c r="AA175" s="71">
        <v>170</v>
      </c>
      <c r="AB175" s="33">
        <f t="shared" si="78"/>
        <v>0</v>
      </c>
      <c r="AC175" s="305">
        <f t="shared" si="93"/>
        <v>0</v>
      </c>
      <c r="AD175" s="100">
        <f t="shared" si="79"/>
        <v>0</v>
      </c>
      <c r="AE175" s="100">
        <f t="shared" si="80"/>
        <v>0</v>
      </c>
      <c r="AF175" s="194">
        <f t="shared" si="89"/>
        <v>0</v>
      </c>
      <c r="AG175" s="194">
        <f t="shared" si="90"/>
        <v>0</v>
      </c>
      <c r="AH175" s="194">
        <f t="shared" si="91"/>
        <v>0</v>
      </c>
      <c r="AI175" s="199">
        <f t="shared" si="92"/>
        <v>0</v>
      </c>
      <c r="AK175" s="71">
        <v>170</v>
      </c>
      <c r="AL175" s="33"/>
      <c r="AM175" s="33"/>
      <c r="AN175" s="33"/>
      <c r="AO175" s="33"/>
      <c r="AP175" s="33"/>
      <c r="AQ175" s="194"/>
      <c r="AR175" s="194"/>
      <c r="AS175" s="194"/>
      <c r="AT175" s="194"/>
      <c r="AU175" s="33"/>
      <c r="AV175" s="33"/>
      <c r="AW175" s="33"/>
      <c r="AX175" s="33"/>
      <c r="AY175" s="76"/>
    </row>
    <row r="176" spans="3:51">
      <c r="C176" s="166" t="s">
        <v>51</v>
      </c>
      <c r="D176" s="4">
        <v>0.44</v>
      </c>
      <c r="E176" s="188" t="s">
        <v>228</v>
      </c>
      <c r="F176" s="343">
        <f>IF(OR(Tableau145[[#This Row],[Type]]="Feuillus",Tableau145[[#This Row],[Type]]="Peupliers"),1.56,1.3)</f>
        <v>1.3</v>
      </c>
      <c r="I176" s="55">
        <v>171</v>
      </c>
      <c r="J176" s="33">
        <f t="shared" si="83"/>
        <v>0</v>
      </c>
      <c r="K176" s="33">
        <f t="shared" si="84"/>
        <v>0</v>
      </c>
      <c r="L176" s="33">
        <f t="shared" si="85"/>
        <v>0</v>
      </c>
      <c r="M176" s="33">
        <f t="shared" si="86"/>
        <v>0</v>
      </c>
      <c r="N176" s="33">
        <f t="shared" si="72"/>
        <v>0</v>
      </c>
      <c r="O176" s="34">
        <f t="shared" si="73"/>
        <v>0</v>
      </c>
      <c r="P176" s="55">
        <v>171</v>
      </c>
      <c r="Q176" s="33">
        <f t="shared" si="81"/>
        <v>0</v>
      </c>
      <c r="R176" s="33">
        <f t="shared" si="87"/>
        <v>0</v>
      </c>
      <c r="S176" s="33">
        <f t="shared" si="88"/>
        <v>0</v>
      </c>
      <c r="T176" s="33">
        <f t="shared" si="74"/>
        <v>0</v>
      </c>
      <c r="U176" s="33">
        <f t="shared" si="82"/>
        <v>0</v>
      </c>
      <c r="V176" s="33">
        <f t="shared" si="75"/>
        <v>0</v>
      </c>
      <c r="W176" s="33">
        <v>0</v>
      </c>
      <c r="X176" s="33">
        <f t="shared" si="76"/>
        <v>0</v>
      </c>
      <c r="Y176" s="38">
        <f t="shared" si="77"/>
        <v>0</v>
      </c>
      <c r="AA176" s="71">
        <v>171</v>
      </c>
      <c r="AB176" s="33">
        <f t="shared" si="78"/>
        <v>0</v>
      </c>
      <c r="AC176" s="305">
        <f t="shared" si="93"/>
        <v>0</v>
      </c>
      <c r="AD176" s="100">
        <f t="shared" si="79"/>
        <v>0</v>
      </c>
      <c r="AE176" s="100">
        <f t="shared" si="80"/>
        <v>0</v>
      </c>
      <c r="AF176" s="194">
        <f t="shared" si="89"/>
        <v>0</v>
      </c>
      <c r="AG176" s="194">
        <f t="shared" si="90"/>
        <v>0</v>
      </c>
      <c r="AH176" s="194">
        <f t="shared" si="91"/>
        <v>0</v>
      </c>
      <c r="AI176" s="199">
        <f t="shared" si="92"/>
        <v>0</v>
      </c>
      <c r="AK176" s="71">
        <v>171</v>
      </c>
      <c r="AL176" s="33"/>
      <c r="AM176" s="33"/>
      <c r="AN176" s="33"/>
      <c r="AO176" s="33"/>
      <c r="AP176" s="33"/>
      <c r="AQ176" s="194"/>
      <c r="AR176" s="194"/>
      <c r="AS176" s="194"/>
      <c r="AT176" s="194"/>
      <c r="AU176" s="33"/>
      <c r="AV176" s="33"/>
      <c r="AW176" s="33"/>
      <c r="AX176" s="33"/>
      <c r="AY176" s="76"/>
    </row>
    <row r="177" spans="3:51">
      <c r="C177" s="166" t="s">
        <v>52</v>
      </c>
      <c r="D177" s="4">
        <v>0.46</v>
      </c>
      <c r="E177" s="188" t="s">
        <v>228</v>
      </c>
      <c r="F177" s="343">
        <f>IF(OR(Tableau145[[#This Row],[Type]]="Feuillus",Tableau145[[#This Row],[Type]]="Peupliers"),1.56,1.3)</f>
        <v>1.3</v>
      </c>
      <c r="I177" s="55">
        <v>172</v>
      </c>
      <c r="J177" s="33">
        <f t="shared" si="83"/>
        <v>0</v>
      </c>
      <c r="K177" s="33">
        <f t="shared" si="84"/>
        <v>0</v>
      </c>
      <c r="L177" s="33">
        <f t="shared" si="85"/>
        <v>0</v>
      </c>
      <c r="M177" s="33">
        <f t="shared" si="86"/>
        <v>0</v>
      </c>
      <c r="N177" s="33">
        <f t="shared" si="72"/>
        <v>0</v>
      </c>
      <c r="O177" s="34">
        <f t="shared" si="73"/>
        <v>0</v>
      </c>
      <c r="P177" s="55">
        <v>172</v>
      </c>
      <c r="Q177" s="33">
        <f t="shared" si="81"/>
        <v>0</v>
      </c>
      <c r="R177" s="33">
        <f t="shared" si="87"/>
        <v>0</v>
      </c>
      <c r="S177" s="33">
        <f t="shared" si="88"/>
        <v>0</v>
      </c>
      <c r="T177" s="33">
        <f t="shared" si="74"/>
        <v>0</v>
      </c>
      <c r="U177" s="33">
        <f t="shared" si="82"/>
        <v>0</v>
      </c>
      <c r="V177" s="33">
        <f t="shared" si="75"/>
        <v>0</v>
      </c>
      <c r="W177" s="33">
        <v>0</v>
      </c>
      <c r="X177" s="33">
        <f t="shared" si="76"/>
        <v>0</v>
      </c>
      <c r="Y177" s="38">
        <f t="shared" si="77"/>
        <v>0</v>
      </c>
      <c r="AA177" s="71">
        <v>172</v>
      </c>
      <c r="AB177" s="33">
        <f t="shared" si="78"/>
        <v>0</v>
      </c>
      <c r="AC177" s="305">
        <f t="shared" si="93"/>
        <v>0</v>
      </c>
      <c r="AD177" s="100">
        <f t="shared" si="79"/>
        <v>0</v>
      </c>
      <c r="AE177" s="100">
        <f t="shared" si="80"/>
        <v>0</v>
      </c>
      <c r="AF177" s="194">
        <f t="shared" si="89"/>
        <v>0</v>
      </c>
      <c r="AG177" s="194">
        <f t="shared" si="90"/>
        <v>0</v>
      </c>
      <c r="AH177" s="194">
        <f t="shared" si="91"/>
        <v>0</v>
      </c>
      <c r="AI177" s="199">
        <f t="shared" si="92"/>
        <v>0</v>
      </c>
      <c r="AK177" s="71">
        <v>172</v>
      </c>
      <c r="AL177" s="33"/>
      <c r="AM177" s="33"/>
      <c r="AN177" s="33"/>
      <c r="AO177" s="33"/>
      <c r="AP177" s="33"/>
      <c r="AQ177" s="194"/>
      <c r="AR177" s="194"/>
      <c r="AS177" s="194"/>
      <c r="AT177" s="194"/>
      <c r="AU177" s="33"/>
      <c r="AV177" s="33"/>
      <c r="AW177" s="33"/>
      <c r="AX177" s="33"/>
      <c r="AY177" s="76"/>
    </row>
    <row r="178" spans="3:51" ht="30">
      <c r="C178" s="166" t="s">
        <v>53</v>
      </c>
      <c r="D178" s="4">
        <v>0.46</v>
      </c>
      <c r="E178" s="188" t="s">
        <v>230</v>
      </c>
      <c r="F178" s="343">
        <f>IF(OR(Tableau145[[#This Row],[Type]]="Feuillus",Tableau145[[#This Row],[Type]]="Peupliers"),1.56,1.3)</f>
        <v>1.3</v>
      </c>
      <c r="I178" s="55">
        <v>173</v>
      </c>
      <c r="J178" s="33">
        <f t="shared" si="83"/>
        <v>0</v>
      </c>
      <c r="K178" s="33">
        <f t="shared" si="84"/>
        <v>0</v>
      </c>
      <c r="L178" s="33">
        <f t="shared" si="85"/>
        <v>0</v>
      </c>
      <c r="M178" s="33">
        <f t="shared" si="86"/>
        <v>0</v>
      </c>
      <c r="N178" s="33">
        <f t="shared" si="72"/>
        <v>0</v>
      </c>
      <c r="O178" s="34">
        <f t="shared" si="73"/>
        <v>0</v>
      </c>
      <c r="P178" s="55">
        <v>173</v>
      </c>
      <c r="Q178" s="33">
        <f t="shared" si="81"/>
        <v>0</v>
      </c>
      <c r="R178" s="33">
        <f t="shared" si="87"/>
        <v>0</v>
      </c>
      <c r="S178" s="33">
        <f t="shared" si="88"/>
        <v>0</v>
      </c>
      <c r="T178" s="33">
        <f t="shared" si="74"/>
        <v>0</v>
      </c>
      <c r="U178" s="33">
        <f t="shared" si="82"/>
        <v>0</v>
      </c>
      <c r="V178" s="33">
        <f t="shared" si="75"/>
        <v>0</v>
      </c>
      <c r="W178" s="33">
        <v>0</v>
      </c>
      <c r="X178" s="33">
        <f t="shared" si="76"/>
        <v>0</v>
      </c>
      <c r="Y178" s="38">
        <f t="shared" si="77"/>
        <v>0</v>
      </c>
      <c r="AA178" s="71">
        <v>173</v>
      </c>
      <c r="AB178" s="33">
        <f t="shared" si="78"/>
        <v>0</v>
      </c>
      <c r="AC178" s="305">
        <f t="shared" si="93"/>
        <v>0</v>
      </c>
      <c r="AD178" s="100">
        <f t="shared" si="79"/>
        <v>0</v>
      </c>
      <c r="AE178" s="100">
        <f t="shared" si="80"/>
        <v>0</v>
      </c>
      <c r="AF178" s="194">
        <f t="shared" si="89"/>
        <v>0</v>
      </c>
      <c r="AG178" s="194">
        <f t="shared" si="90"/>
        <v>0</v>
      </c>
      <c r="AH178" s="194">
        <f t="shared" si="91"/>
        <v>0</v>
      </c>
      <c r="AI178" s="199">
        <f t="shared" si="92"/>
        <v>0</v>
      </c>
      <c r="AK178" s="71">
        <v>173</v>
      </c>
      <c r="AL178" s="33"/>
      <c r="AM178" s="33"/>
      <c r="AN178" s="33"/>
      <c r="AO178" s="33"/>
      <c r="AP178" s="33"/>
      <c r="AQ178" s="194"/>
      <c r="AR178" s="194"/>
      <c r="AS178" s="194"/>
      <c r="AT178" s="194"/>
      <c r="AU178" s="33"/>
      <c r="AV178" s="33"/>
      <c r="AW178" s="33"/>
      <c r="AX178" s="33"/>
      <c r="AY178" s="76"/>
    </row>
    <row r="179" spans="3:51">
      <c r="C179" s="166" t="s">
        <v>54</v>
      </c>
      <c r="D179" s="4">
        <v>0.44</v>
      </c>
      <c r="E179" s="188" t="s">
        <v>228</v>
      </c>
      <c r="F179" s="343">
        <f>IF(OR(Tableau145[[#This Row],[Type]]="Feuillus",Tableau145[[#This Row],[Type]]="Peupliers"),1.56,1.3)</f>
        <v>1.3</v>
      </c>
      <c r="I179" s="55">
        <v>174</v>
      </c>
      <c r="J179" s="33">
        <f t="shared" si="83"/>
        <v>0</v>
      </c>
      <c r="K179" s="33">
        <f t="shared" si="84"/>
        <v>0</v>
      </c>
      <c r="L179" s="33">
        <f t="shared" si="85"/>
        <v>0</v>
      </c>
      <c r="M179" s="33">
        <f t="shared" si="86"/>
        <v>0</v>
      </c>
      <c r="N179" s="33">
        <f t="shared" si="72"/>
        <v>0</v>
      </c>
      <c r="O179" s="34">
        <f t="shared" si="73"/>
        <v>0</v>
      </c>
      <c r="P179" s="55">
        <v>174</v>
      </c>
      <c r="Q179" s="33">
        <f t="shared" si="81"/>
        <v>0</v>
      </c>
      <c r="R179" s="33">
        <f t="shared" si="87"/>
        <v>0</v>
      </c>
      <c r="S179" s="33">
        <f t="shared" si="88"/>
        <v>0</v>
      </c>
      <c r="T179" s="33">
        <f t="shared" si="74"/>
        <v>0</v>
      </c>
      <c r="U179" s="33">
        <f t="shared" si="82"/>
        <v>0</v>
      </c>
      <c r="V179" s="33">
        <f t="shared" si="75"/>
        <v>0</v>
      </c>
      <c r="W179" s="33">
        <v>0</v>
      </c>
      <c r="X179" s="33">
        <f t="shared" si="76"/>
        <v>0</v>
      </c>
      <c r="Y179" s="38">
        <f t="shared" si="77"/>
        <v>0</v>
      </c>
      <c r="AA179" s="71">
        <v>174</v>
      </c>
      <c r="AB179" s="33">
        <f t="shared" si="78"/>
        <v>0</v>
      </c>
      <c r="AC179" s="305">
        <f t="shared" si="93"/>
        <v>0</v>
      </c>
      <c r="AD179" s="100">
        <f t="shared" si="79"/>
        <v>0</v>
      </c>
      <c r="AE179" s="100">
        <f t="shared" si="80"/>
        <v>0</v>
      </c>
      <c r="AF179" s="194">
        <f t="shared" si="89"/>
        <v>0</v>
      </c>
      <c r="AG179" s="194">
        <f t="shared" si="90"/>
        <v>0</v>
      </c>
      <c r="AH179" s="194">
        <f t="shared" si="91"/>
        <v>0</v>
      </c>
      <c r="AI179" s="199">
        <f t="shared" si="92"/>
        <v>0</v>
      </c>
      <c r="AK179" s="71">
        <v>174</v>
      </c>
      <c r="AL179" s="33"/>
      <c r="AM179" s="33"/>
      <c r="AN179" s="33"/>
      <c r="AO179" s="33"/>
      <c r="AP179" s="33"/>
      <c r="AQ179" s="194"/>
      <c r="AR179" s="194"/>
      <c r="AS179" s="194"/>
      <c r="AT179" s="194"/>
      <c r="AU179" s="33"/>
      <c r="AV179" s="33"/>
      <c r="AW179" s="33"/>
      <c r="AX179" s="33"/>
      <c r="AY179" s="76"/>
    </row>
    <row r="180" spans="3:51">
      <c r="C180" s="166" t="s">
        <v>55</v>
      </c>
      <c r="D180" s="4">
        <v>0.46</v>
      </c>
      <c r="E180" s="188" t="s">
        <v>228</v>
      </c>
      <c r="F180" s="343">
        <f>IF(OR(Tableau145[[#This Row],[Type]]="Feuillus",Tableau145[[#This Row],[Type]]="Peupliers"),1.56,1.3)</f>
        <v>1.3</v>
      </c>
      <c r="I180" s="55">
        <v>175</v>
      </c>
      <c r="J180" s="33">
        <f t="shared" si="83"/>
        <v>0</v>
      </c>
      <c r="K180" s="33">
        <f t="shared" si="84"/>
        <v>0</v>
      </c>
      <c r="L180" s="33">
        <f t="shared" si="85"/>
        <v>0</v>
      </c>
      <c r="M180" s="33">
        <f t="shared" si="86"/>
        <v>0</v>
      </c>
      <c r="N180" s="33">
        <f t="shared" si="72"/>
        <v>0</v>
      </c>
      <c r="O180" s="34">
        <f t="shared" si="73"/>
        <v>0</v>
      </c>
      <c r="P180" s="55">
        <v>175</v>
      </c>
      <c r="Q180" s="33">
        <f t="shared" si="81"/>
        <v>0</v>
      </c>
      <c r="R180" s="33">
        <f t="shared" si="87"/>
        <v>0</v>
      </c>
      <c r="S180" s="33">
        <f t="shared" si="88"/>
        <v>0</v>
      </c>
      <c r="T180" s="33">
        <f t="shared" si="74"/>
        <v>0</v>
      </c>
      <c r="U180" s="33">
        <f t="shared" si="82"/>
        <v>0</v>
      </c>
      <c r="V180" s="33">
        <f t="shared" si="75"/>
        <v>0</v>
      </c>
      <c r="W180" s="33">
        <v>0</v>
      </c>
      <c r="X180" s="33">
        <f t="shared" si="76"/>
        <v>0</v>
      </c>
      <c r="Y180" s="38">
        <f t="shared" si="77"/>
        <v>0</v>
      </c>
      <c r="AA180" s="71">
        <v>175</v>
      </c>
      <c r="AB180" s="33">
        <f t="shared" si="78"/>
        <v>0</v>
      </c>
      <c r="AC180" s="305">
        <f t="shared" si="93"/>
        <v>0</v>
      </c>
      <c r="AD180" s="100">
        <f t="shared" si="79"/>
        <v>0</v>
      </c>
      <c r="AE180" s="100">
        <f t="shared" si="80"/>
        <v>0</v>
      </c>
      <c r="AF180" s="194">
        <f t="shared" si="89"/>
        <v>0</v>
      </c>
      <c r="AG180" s="194">
        <f t="shared" si="90"/>
        <v>0</v>
      </c>
      <c r="AH180" s="194">
        <f t="shared" si="91"/>
        <v>0</v>
      </c>
      <c r="AI180" s="199">
        <f t="shared" si="92"/>
        <v>0</v>
      </c>
      <c r="AK180" s="71">
        <v>175</v>
      </c>
      <c r="AL180" s="33"/>
      <c r="AM180" s="33"/>
      <c r="AN180" s="33"/>
      <c r="AO180" s="33"/>
      <c r="AP180" s="33"/>
      <c r="AQ180" s="194"/>
      <c r="AR180" s="194"/>
      <c r="AS180" s="194"/>
      <c r="AT180" s="194"/>
      <c r="AU180" s="33"/>
      <c r="AV180" s="33"/>
      <c r="AW180" s="33"/>
      <c r="AX180" s="33"/>
      <c r="AY180" s="76"/>
    </row>
    <row r="181" spans="3:51">
      <c r="C181" s="166" t="s">
        <v>56</v>
      </c>
      <c r="D181" s="4">
        <v>0.48</v>
      </c>
      <c r="E181" s="188" t="s">
        <v>228</v>
      </c>
      <c r="F181" s="343">
        <f>IF(OR(Tableau145[[#This Row],[Type]]="Feuillus",Tableau145[[#This Row],[Type]]="Peupliers"),1.56,1.3)</f>
        <v>1.3</v>
      </c>
      <c r="I181" s="55">
        <v>176</v>
      </c>
      <c r="J181" s="33">
        <f t="shared" si="83"/>
        <v>0</v>
      </c>
      <c r="K181" s="33">
        <f t="shared" si="84"/>
        <v>0</v>
      </c>
      <c r="L181" s="33">
        <f t="shared" si="85"/>
        <v>0</v>
      </c>
      <c r="M181" s="33">
        <f t="shared" si="86"/>
        <v>0</v>
      </c>
      <c r="N181" s="33">
        <f t="shared" si="72"/>
        <v>0</v>
      </c>
      <c r="O181" s="34">
        <f t="shared" si="73"/>
        <v>0</v>
      </c>
      <c r="P181" s="55">
        <v>176</v>
      </c>
      <c r="Q181" s="33">
        <f t="shared" si="81"/>
        <v>0</v>
      </c>
      <c r="R181" s="33">
        <f t="shared" si="87"/>
        <v>0</v>
      </c>
      <c r="S181" s="33">
        <f t="shared" si="88"/>
        <v>0</v>
      </c>
      <c r="T181" s="33">
        <f t="shared" si="74"/>
        <v>0</v>
      </c>
      <c r="U181" s="33">
        <f t="shared" si="82"/>
        <v>0</v>
      </c>
      <c r="V181" s="33">
        <f t="shared" si="75"/>
        <v>0</v>
      </c>
      <c r="W181" s="33">
        <v>0</v>
      </c>
      <c r="X181" s="33">
        <f t="shared" si="76"/>
        <v>0</v>
      </c>
      <c r="Y181" s="38">
        <f t="shared" si="77"/>
        <v>0</v>
      </c>
      <c r="AA181" s="71">
        <v>176</v>
      </c>
      <c r="AB181" s="33">
        <f t="shared" si="78"/>
        <v>0</v>
      </c>
      <c r="AC181" s="305">
        <f t="shared" si="93"/>
        <v>0</v>
      </c>
      <c r="AD181" s="100">
        <f t="shared" si="79"/>
        <v>0</v>
      </c>
      <c r="AE181" s="100">
        <f t="shared" si="80"/>
        <v>0</v>
      </c>
      <c r="AF181" s="194">
        <f t="shared" si="89"/>
        <v>0</v>
      </c>
      <c r="AG181" s="194">
        <f t="shared" si="90"/>
        <v>0</v>
      </c>
      <c r="AH181" s="194">
        <f t="shared" si="91"/>
        <v>0</v>
      </c>
      <c r="AI181" s="199">
        <f t="shared" si="92"/>
        <v>0</v>
      </c>
      <c r="AK181" s="71">
        <v>176</v>
      </c>
      <c r="AL181" s="33"/>
      <c r="AM181" s="33"/>
      <c r="AN181" s="33"/>
      <c r="AO181" s="33"/>
      <c r="AP181" s="33"/>
      <c r="AQ181" s="194"/>
      <c r="AR181" s="194"/>
      <c r="AS181" s="194"/>
      <c r="AT181" s="194"/>
      <c r="AU181" s="33"/>
      <c r="AV181" s="33"/>
      <c r="AW181" s="33"/>
      <c r="AX181" s="33"/>
      <c r="AY181" s="76"/>
    </row>
    <row r="182" spans="3:51">
      <c r="C182" s="166" t="s">
        <v>57</v>
      </c>
      <c r="D182" s="4">
        <v>0.44</v>
      </c>
      <c r="E182" s="188" t="s">
        <v>228</v>
      </c>
      <c r="F182" s="343">
        <f>IF(OR(Tableau145[[#This Row],[Type]]="Feuillus",Tableau145[[#This Row],[Type]]="Peupliers"),1.56,1.3)</f>
        <v>1.3</v>
      </c>
      <c r="I182" s="55">
        <v>177</v>
      </c>
      <c r="J182" s="33">
        <f t="shared" si="83"/>
        <v>0</v>
      </c>
      <c r="K182" s="33">
        <f t="shared" si="84"/>
        <v>0</v>
      </c>
      <c r="L182" s="33">
        <f t="shared" si="85"/>
        <v>0</v>
      </c>
      <c r="M182" s="33">
        <f t="shared" si="86"/>
        <v>0</v>
      </c>
      <c r="N182" s="33">
        <f t="shared" si="72"/>
        <v>0</v>
      </c>
      <c r="O182" s="34">
        <f t="shared" si="73"/>
        <v>0</v>
      </c>
      <c r="P182" s="55">
        <v>177</v>
      </c>
      <c r="Q182" s="33">
        <f t="shared" si="81"/>
        <v>0</v>
      </c>
      <c r="R182" s="33">
        <f t="shared" si="87"/>
        <v>0</v>
      </c>
      <c r="S182" s="33">
        <f t="shared" si="88"/>
        <v>0</v>
      </c>
      <c r="T182" s="33">
        <f t="shared" si="74"/>
        <v>0</v>
      </c>
      <c r="U182" s="33">
        <f t="shared" si="82"/>
        <v>0</v>
      </c>
      <c r="V182" s="33">
        <f t="shared" si="75"/>
        <v>0</v>
      </c>
      <c r="W182" s="33">
        <v>0</v>
      </c>
      <c r="X182" s="33">
        <f t="shared" si="76"/>
        <v>0</v>
      </c>
      <c r="Y182" s="38">
        <f t="shared" si="77"/>
        <v>0</v>
      </c>
      <c r="AA182" s="71">
        <v>177</v>
      </c>
      <c r="AB182" s="33">
        <f t="shared" si="78"/>
        <v>0</v>
      </c>
      <c r="AC182" s="305">
        <f t="shared" si="93"/>
        <v>0</v>
      </c>
      <c r="AD182" s="100">
        <f t="shared" si="79"/>
        <v>0</v>
      </c>
      <c r="AE182" s="100">
        <f t="shared" si="80"/>
        <v>0</v>
      </c>
      <c r="AF182" s="194">
        <f t="shared" si="89"/>
        <v>0</v>
      </c>
      <c r="AG182" s="194">
        <f t="shared" si="90"/>
        <v>0</v>
      </c>
      <c r="AH182" s="194">
        <f t="shared" si="91"/>
        <v>0</v>
      </c>
      <c r="AI182" s="199">
        <f t="shared" si="92"/>
        <v>0</v>
      </c>
      <c r="AK182" s="71">
        <v>177</v>
      </c>
      <c r="AL182" s="33"/>
      <c r="AM182" s="33"/>
      <c r="AN182" s="33"/>
      <c r="AO182" s="33"/>
      <c r="AP182" s="33"/>
      <c r="AQ182" s="194"/>
      <c r="AR182" s="194"/>
      <c r="AS182" s="194"/>
      <c r="AT182" s="194"/>
      <c r="AU182" s="33"/>
      <c r="AV182" s="33"/>
      <c r="AW182" s="33"/>
      <c r="AX182" s="33"/>
      <c r="AY182" s="76"/>
    </row>
    <row r="183" spans="3:51">
      <c r="C183" s="166" t="s">
        <v>58</v>
      </c>
      <c r="D183" s="4">
        <v>0.34</v>
      </c>
      <c r="E183" s="188" t="s">
        <v>228</v>
      </c>
      <c r="F183" s="343">
        <f>IF(OR(Tableau145[[#This Row],[Type]]="Feuillus",Tableau145[[#This Row],[Type]]="Peupliers"),1.56,1.3)</f>
        <v>1.3</v>
      </c>
      <c r="I183" s="55">
        <v>178</v>
      </c>
      <c r="J183" s="33">
        <f t="shared" si="83"/>
        <v>0</v>
      </c>
      <c r="K183" s="33">
        <f t="shared" si="84"/>
        <v>0</v>
      </c>
      <c r="L183" s="33">
        <f t="shared" si="85"/>
        <v>0</v>
      </c>
      <c r="M183" s="33">
        <f t="shared" si="86"/>
        <v>0</v>
      </c>
      <c r="N183" s="33">
        <f t="shared" si="72"/>
        <v>0</v>
      </c>
      <c r="O183" s="34">
        <f t="shared" si="73"/>
        <v>0</v>
      </c>
      <c r="P183" s="55">
        <v>178</v>
      </c>
      <c r="Q183" s="33">
        <f t="shared" si="81"/>
        <v>0</v>
      </c>
      <c r="R183" s="33">
        <f t="shared" si="87"/>
        <v>0</v>
      </c>
      <c r="S183" s="33">
        <f t="shared" si="88"/>
        <v>0</v>
      </c>
      <c r="T183" s="33">
        <f t="shared" si="74"/>
        <v>0</v>
      </c>
      <c r="U183" s="33">
        <f t="shared" si="82"/>
        <v>0</v>
      </c>
      <c r="V183" s="33">
        <f t="shared" si="75"/>
        <v>0</v>
      </c>
      <c r="W183" s="33">
        <v>0</v>
      </c>
      <c r="X183" s="33">
        <f t="shared" si="76"/>
        <v>0</v>
      </c>
      <c r="Y183" s="38">
        <f t="shared" si="77"/>
        <v>0</v>
      </c>
      <c r="AA183" s="71">
        <v>178</v>
      </c>
      <c r="AB183" s="33">
        <f t="shared" si="78"/>
        <v>0</v>
      </c>
      <c r="AC183" s="305">
        <f t="shared" si="93"/>
        <v>0</v>
      </c>
      <c r="AD183" s="100">
        <f t="shared" si="79"/>
        <v>0</v>
      </c>
      <c r="AE183" s="100">
        <f t="shared" si="80"/>
        <v>0</v>
      </c>
      <c r="AF183" s="194">
        <f t="shared" si="89"/>
        <v>0</v>
      </c>
      <c r="AG183" s="194">
        <f t="shared" si="90"/>
        <v>0</v>
      </c>
      <c r="AH183" s="194">
        <f t="shared" si="91"/>
        <v>0</v>
      </c>
      <c r="AI183" s="199">
        <f t="shared" si="92"/>
        <v>0</v>
      </c>
      <c r="AK183" s="71">
        <v>178</v>
      </c>
      <c r="AL183" s="33"/>
      <c r="AM183" s="33"/>
      <c r="AN183" s="33"/>
      <c r="AO183" s="33"/>
      <c r="AP183" s="33"/>
      <c r="AQ183" s="194"/>
      <c r="AR183" s="194"/>
      <c r="AS183" s="194"/>
      <c r="AT183" s="194"/>
      <c r="AU183" s="33"/>
      <c r="AV183" s="33"/>
      <c r="AW183" s="33"/>
      <c r="AX183" s="33"/>
      <c r="AY183" s="76"/>
    </row>
    <row r="184" spans="3:51">
      <c r="C184" s="166" t="s">
        <v>59</v>
      </c>
      <c r="D184" s="4">
        <v>0.5</v>
      </c>
      <c r="E184" s="188" t="s">
        <v>227</v>
      </c>
      <c r="F184" s="343">
        <f>IF(OR(Tableau145[[#This Row],[Type]]="Feuillus",Tableau145[[#This Row],[Type]]="Peupliers"),1.56,1.3)</f>
        <v>1.56</v>
      </c>
      <c r="I184" s="55">
        <v>179</v>
      </c>
      <c r="J184" s="33">
        <f t="shared" si="83"/>
        <v>0</v>
      </c>
      <c r="K184" s="33">
        <f t="shared" si="84"/>
        <v>0</v>
      </c>
      <c r="L184" s="33">
        <f t="shared" si="85"/>
        <v>0</v>
      </c>
      <c r="M184" s="33">
        <f t="shared" si="86"/>
        <v>0</v>
      </c>
      <c r="N184" s="33">
        <f t="shared" si="72"/>
        <v>0</v>
      </c>
      <c r="O184" s="34">
        <f t="shared" si="73"/>
        <v>0</v>
      </c>
      <c r="P184" s="55">
        <v>179</v>
      </c>
      <c r="Q184" s="33">
        <f t="shared" si="81"/>
        <v>0</v>
      </c>
      <c r="R184" s="33">
        <f t="shared" si="87"/>
        <v>0</v>
      </c>
      <c r="S184" s="33">
        <f t="shared" si="88"/>
        <v>0</v>
      </c>
      <c r="T184" s="33">
        <f t="shared" si="74"/>
        <v>0</v>
      </c>
      <c r="U184" s="33">
        <f t="shared" si="82"/>
        <v>0</v>
      </c>
      <c r="V184" s="33">
        <f t="shared" si="75"/>
        <v>0</v>
      </c>
      <c r="W184" s="33">
        <v>0</v>
      </c>
      <c r="X184" s="33">
        <f t="shared" si="76"/>
        <v>0</v>
      </c>
      <c r="Y184" s="38">
        <f t="shared" si="77"/>
        <v>0</v>
      </c>
      <c r="AA184" s="71">
        <v>179</v>
      </c>
      <c r="AB184" s="33">
        <f t="shared" si="78"/>
        <v>0</v>
      </c>
      <c r="AC184" s="305">
        <f t="shared" si="93"/>
        <v>0</v>
      </c>
      <c r="AD184" s="100">
        <f t="shared" si="79"/>
        <v>0</v>
      </c>
      <c r="AE184" s="100">
        <f t="shared" si="80"/>
        <v>0</v>
      </c>
      <c r="AF184" s="194">
        <f t="shared" si="89"/>
        <v>0</v>
      </c>
      <c r="AG184" s="194">
        <f t="shared" si="90"/>
        <v>0</v>
      </c>
      <c r="AH184" s="194">
        <f t="shared" si="91"/>
        <v>0</v>
      </c>
      <c r="AI184" s="199">
        <f t="shared" si="92"/>
        <v>0</v>
      </c>
      <c r="AK184" s="71">
        <v>179</v>
      </c>
      <c r="AL184" s="33"/>
      <c r="AM184" s="33"/>
      <c r="AN184" s="33"/>
      <c r="AO184" s="33"/>
      <c r="AP184" s="33"/>
      <c r="AQ184" s="194"/>
      <c r="AR184" s="194"/>
      <c r="AS184" s="194"/>
      <c r="AT184" s="194"/>
      <c r="AU184" s="33"/>
      <c r="AV184" s="33"/>
      <c r="AW184" s="33"/>
      <c r="AX184" s="33"/>
      <c r="AY184" s="76"/>
    </row>
    <row r="185" spans="3:51">
      <c r="C185" s="166" t="s">
        <v>60</v>
      </c>
      <c r="D185" s="4">
        <v>0.57999999999999996</v>
      </c>
      <c r="E185" s="188" t="s">
        <v>227</v>
      </c>
      <c r="F185" s="343">
        <f>IF(OR(Tableau145[[#This Row],[Type]]="Feuillus",Tableau145[[#This Row],[Type]]="Peupliers"),1.56,1.3)</f>
        <v>1.56</v>
      </c>
      <c r="I185" s="55">
        <v>180</v>
      </c>
      <c r="J185" s="33">
        <f t="shared" si="83"/>
        <v>0</v>
      </c>
      <c r="K185" s="33">
        <f t="shared" si="84"/>
        <v>0</v>
      </c>
      <c r="L185" s="33">
        <f t="shared" si="85"/>
        <v>0</v>
      </c>
      <c r="M185" s="33">
        <f t="shared" si="86"/>
        <v>0</v>
      </c>
      <c r="N185" s="33">
        <f t="shared" si="72"/>
        <v>0</v>
      </c>
      <c r="O185" s="34">
        <f t="shared" si="73"/>
        <v>0</v>
      </c>
      <c r="P185" s="55">
        <v>180</v>
      </c>
      <c r="Q185" s="33">
        <f t="shared" si="81"/>
        <v>0</v>
      </c>
      <c r="R185" s="33">
        <f t="shared" si="87"/>
        <v>0</v>
      </c>
      <c r="S185" s="33">
        <f t="shared" si="88"/>
        <v>0</v>
      </c>
      <c r="T185" s="33">
        <f t="shared" si="74"/>
        <v>0</v>
      </c>
      <c r="U185" s="33">
        <f t="shared" si="82"/>
        <v>0</v>
      </c>
      <c r="V185" s="33">
        <f t="shared" si="75"/>
        <v>0</v>
      </c>
      <c r="W185" s="33">
        <v>0</v>
      </c>
      <c r="X185" s="33">
        <f t="shared" si="76"/>
        <v>0</v>
      </c>
      <c r="Y185" s="38">
        <f t="shared" si="77"/>
        <v>0</v>
      </c>
      <c r="AA185" s="71">
        <v>180</v>
      </c>
      <c r="AB185" s="33">
        <f t="shared" si="78"/>
        <v>0</v>
      </c>
      <c r="AC185" s="305">
        <f t="shared" si="93"/>
        <v>0</v>
      </c>
      <c r="AD185" s="100">
        <f t="shared" si="79"/>
        <v>0</v>
      </c>
      <c r="AE185" s="100">
        <f t="shared" si="80"/>
        <v>0</v>
      </c>
      <c r="AF185" s="194">
        <f t="shared" si="89"/>
        <v>0</v>
      </c>
      <c r="AG185" s="194">
        <f t="shared" si="90"/>
        <v>0</v>
      </c>
      <c r="AH185" s="194">
        <f t="shared" si="91"/>
        <v>0</v>
      </c>
      <c r="AI185" s="199">
        <f t="shared" si="92"/>
        <v>0</v>
      </c>
      <c r="AK185" s="71">
        <v>180</v>
      </c>
      <c r="AL185" s="33"/>
      <c r="AM185" s="33"/>
      <c r="AN185" s="33"/>
      <c r="AO185" s="33"/>
      <c r="AP185" s="33"/>
      <c r="AQ185" s="194"/>
      <c r="AR185" s="194"/>
      <c r="AS185" s="194"/>
      <c r="AT185" s="194"/>
      <c r="AU185" s="33"/>
      <c r="AV185" s="33"/>
      <c r="AW185" s="33"/>
      <c r="AX185" s="33"/>
      <c r="AY185" s="76"/>
    </row>
    <row r="186" spans="3:51">
      <c r="C186" s="166" t="s">
        <v>61</v>
      </c>
      <c r="D186" s="4">
        <v>0.37</v>
      </c>
      <c r="E186" s="188" t="s">
        <v>228</v>
      </c>
      <c r="F186" s="343">
        <f>IF(OR(Tableau145[[#This Row],[Type]]="Feuillus",Tableau145[[#This Row],[Type]]="Peupliers"),1.56,1.3)</f>
        <v>1.3</v>
      </c>
      <c r="I186" s="55">
        <v>181</v>
      </c>
      <c r="J186" s="33">
        <f t="shared" si="83"/>
        <v>0</v>
      </c>
      <c r="K186" s="33">
        <f t="shared" si="84"/>
        <v>0</v>
      </c>
      <c r="L186" s="33">
        <f t="shared" si="85"/>
        <v>0</v>
      </c>
      <c r="M186" s="33">
        <f t="shared" si="86"/>
        <v>0</v>
      </c>
      <c r="N186" s="33">
        <f t="shared" si="72"/>
        <v>0</v>
      </c>
      <c r="O186" s="34">
        <f t="shared" si="73"/>
        <v>0</v>
      </c>
      <c r="P186" s="55">
        <v>181</v>
      </c>
      <c r="Q186" s="33">
        <f t="shared" si="81"/>
        <v>0</v>
      </c>
      <c r="R186" s="33">
        <f t="shared" si="87"/>
        <v>0</v>
      </c>
      <c r="S186" s="33">
        <f t="shared" si="88"/>
        <v>0</v>
      </c>
      <c r="T186" s="33">
        <f t="shared" si="74"/>
        <v>0</v>
      </c>
      <c r="U186" s="33">
        <f t="shared" si="82"/>
        <v>0</v>
      </c>
      <c r="V186" s="33">
        <f t="shared" si="75"/>
        <v>0</v>
      </c>
      <c r="W186" s="33">
        <v>0</v>
      </c>
      <c r="X186" s="33">
        <f t="shared" si="76"/>
        <v>0</v>
      </c>
      <c r="Y186" s="38">
        <f t="shared" si="77"/>
        <v>0</v>
      </c>
      <c r="AA186" s="71">
        <v>181</v>
      </c>
      <c r="AB186" s="33">
        <f t="shared" si="78"/>
        <v>0</v>
      </c>
      <c r="AC186" s="305">
        <f t="shared" si="93"/>
        <v>0</v>
      </c>
      <c r="AD186" s="100">
        <f t="shared" si="79"/>
        <v>0</v>
      </c>
      <c r="AE186" s="100">
        <f t="shared" si="80"/>
        <v>0</v>
      </c>
      <c r="AF186" s="194">
        <f t="shared" si="89"/>
        <v>0</v>
      </c>
      <c r="AG186" s="194">
        <f t="shared" si="90"/>
        <v>0</v>
      </c>
      <c r="AH186" s="194">
        <f t="shared" si="91"/>
        <v>0</v>
      </c>
      <c r="AI186" s="199">
        <f t="shared" si="92"/>
        <v>0</v>
      </c>
      <c r="AK186" s="71">
        <v>181</v>
      </c>
      <c r="AL186" s="33"/>
      <c r="AM186" s="33"/>
      <c r="AN186" s="33"/>
      <c r="AO186" s="33"/>
      <c r="AP186" s="33"/>
      <c r="AQ186" s="194"/>
      <c r="AR186" s="194"/>
      <c r="AS186" s="194"/>
      <c r="AT186" s="194"/>
      <c r="AU186" s="33"/>
      <c r="AV186" s="33"/>
      <c r="AW186" s="33"/>
      <c r="AX186" s="33"/>
      <c r="AY186" s="76"/>
    </row>
    <row r="187" spans="3:51">
      <c r="C187" s="166" t="s">
        <v>62</v>
      </c>
      <c r="D187" s="4">
        <v>0.37</v>
      </c>
      <c r="E187" s="188" t="s">
        <v>228</v>
      </c>
      <c r="F187" s="343">
        <f>IF(OR(Tableau145[[#This Row],[Type]]="Feuillus",Tableau145[[#This Row],[Type]]="Peupliers"),1.56,1.3)</f>
        <v>1.3</v>
      </c>
      <c r="I187" s="55">
        <v>182</v>
      </c>
      <c r="J187" s="33">
        <f t="shared" si="83"/>
        <v>0</v>
      </c>
      <c r="K187" s="33">
        <f t="shared" si="84"/>
        <v>0</v>
      </c>
      <c r="L187" s="33">
        <f t="shared" si="85"/>
        <v>0</v>
      </c>
      <c r="M187" s="33">
        <f t="shared" si="86"/>
        <v>0</v>
      </c>
      <c r="N187" s="33">
        <f t="shared" si="72"/>
        <v>0</v>
      </c>
      <c r="O187" s="34">
        <f t="shared" si="73"/>
        <v>0</v>
      </c>
      <c r="P187" s="55">
        <v>182</v>
      </c>
      <c r="Q187" s="33">
        <f t="shared" si="81"/>
        <v>0</v>
      </c>
      <c r="R187" s="33">
        <f t="shared" si="87"/>
        <v>0</v>
      </c>
      <c r="S187" s="33">
        <f t="shared" si="88"/>
        <v>0</v>
      </c>
      <c r="T187" s="33">
        <f t="shared" si="74"/>
        <v>0</v>
      </c>
      <c r="U187" s="33">
        <f t="shared" si="82"/>
        <v>0</v>
      </c>
      <c r="V187" s="33">
        <f t="shared" si="75"/>
        <v>0</v>
      </c>
      <c r="W187" s="33">
        <v>0</v>
      </c>
      <c r="X187" s="33">
        <f t="shared" si="76"/>
        <v>0</v>
      </c>
      <c r="Y187" s="38">
        <f t="shared" si="77"/>
        <v>0</v>
      </c>
      <c r="AA187" s="71">
        <v>182</v>
      </c>
      <c r="AB187" s="33">
        <f t="shared" si="78"/>
        <v>0</v>
      </c>
      <c r="AC187" s="305">
        <f t="shared" si="93"/>
        <v>0</v>
      </c>
      <c r="AD187" s="100">
        <f t="shared" si="79"/>
        <v>0</v>
      </c>
      <c r="AE187" s="100">
        <f t="shared" si="80"/>
        <v>0</v>
      </c>
      <c r="AF187" s="194">
        <f t="shared" si="89"/>
        <v>0</v>
      </c>
      <c r="AG187" s="194">
        <f t="shared" si="90"/>
        <v>0</v>
      </c>
      <c r="AH187" s="194">
        <f t="shared" si="91"/>
        <v>0</v>
      </c>
      <c r="AI187" s="199">
        <f t="shared" si="92"/>
        <v>0</v>
      </c>
      <c r="AK187" s="71">
        <v>182</v>
      </c>
      <c r="AL187" s="33"/>
      <c r="AM187" s="33"/>
      <c r="AN187" s="33"/>
      <c r="AO187" s="33"/>
      <c r="AP187" s="33"/>
      <c r="AQ187" s="194"/>
      <c r="AR187" s="194"/>
      <c r="AS187" s="194"/>
      <c r="AT187" s="194"/>
      <c r="AU187" s="33"/>
      <c r="AV187" s="33"/>
      <c r="AW187" s="33"/>
      <c r="AX187" s="33"/>
      <c r="AY187" s="76"/>
    </row>
    <row r="188" spans="3:51">
      <c r="C188" s="166" t="s">
        <v>63</v>
      </c>
      <c r="D188" s="4">
        <v>0.38</v>
      </c>
      <c r="E188" s="188" t="s">
        <v>228</v>
      </c>
      <c r="F188" s="343">
        <f>IF(OR(Tableau145[[#This Row],[Type]]="Feuillus",Tableau145[[#This Row],[Type]]="Peupliers"),1.56,1.3)</f>
        <v>1.3</v>
      </c>
      <c r="I188" s="55">
        <v>183</v>
      </c>
      <c r="J188" s="33">
        <f t="shared" si="83"/>
        <v>0</v>
      </c>
      <c r="K188" s="33">
        <f t="shared" si="84"/>
        <v>0</v>
      </c>
      <c r="L188" s="33">
        <f t="shared" si="85"/>
        <v>0</v>
      </c>
      <c r="M188" s="33">
        <f t="shared" si="86"/>
        <v>0</v>
      </c>
      <c r="N188" s="33">
        <f t="shared" si="72"/>
        <v>0</v>
      </c>
      <c r="O188" s="34">
        <f t="shared" si="73"/>
        <v>0</v>
      </c>
      <c r="P188" s="55">
        <v>183</v>
      </c>
      <c r="Q188" s="33">
        <f t="shared" si="81"/>
        <v>0</v>
      </c>
      <c r="R188" s="33">
        <f t="shared" si="87"/>
        <v>0</v>
      </c>
      <c r="S188" s="33">
        <f t="shared" si="88"/>
        <v>0</v>
      </c>
      <c r="T188" s="33">
        <f t="shared" si="74"/>
        <v>0</v>
      </c>
      <c r="U188" s="33">
        <f t="shared" si="82"/>
        <v>0</v>
      </c>
      <c r="V188" s="33">
        <f t="shared" si="75"/>
        <v>0</v>
      </c>
      <c r="W188" s="33">
        <v>0</v>
      </c>
      <c r="X188" s="33">
        <f t="shared" si="76"/>
        <v>0</v>
      </c>
      <c r="Y188" s="38">
        <f t="shared" si="77"/>
        <v>0</v>
      </c>
      <c r="AA188" s="71">
        <v>183</v>
      </c>
      <c r="AB188" s="33">
        <f t="shared" si="78"/>
        <v>0</v>
      </c>
      <c r="AC188" s="305">
        <f t="shared" si="93"/>
        <v>0</v>
      </c>
      <c r="AD188" s="100">
        <f t="shared" si="79"/>
        <v>0</v>
      </c>
      <c r="AE188" s="100">
        <f t="shared" si="80"/>
        <v>0</v>
      </c>
      <c r="AF188" s="194">
        <f t="shared" si="89"/>
        <v>0</v>
      </c>
      <c r="AG188" s="194">
        <f t="shared" si="90"/>
        <v>0</v>
      </c>
      <c r="AH188" s="194">
        <f t="shared" si="91"/>
        <v>0</v>
      </c>
      <c r="AI188" s="199">
        <f t="shared" si="92"/>
        <v>0</v>
      </c>
      <c r="AK188" s="71">
        <v>183</v>
      </c>
      <c r="AL188" s="33"/>
      <c r="AM188" s="33"/>
      <c r="AN188" s="33"/>
      <c r="AO188" s="33"/>
      <c r="AP188" s="33"/>
      <c r="AQ188" s="194"/>
      <c r="AR188" s="194"/>
      <c r="AS188" s="194"/>
      <c r="AT188" s="194"/>
      <c r="AU188" s="33"/>
      <c r="AV188" s="33"/>
      <c r="AW188" s="33"/>
      <c r="AX188" s="33"/>
      <c r="AY188" s="76"/>
    </row>
    <row r="189" spans="3:51">
      <c r="C189" s="166" t="s">
        <v>64</v>
      </c>
      <c r="D189" s="4">
        <v>0.36</v>
      </c>
      <c r="E189" s="188" t="s">
        <v>228</v>
      </c>
      <c r="F189" s="343">
        <f>IF(OR(Tableau145[[#This Row],[Type]]="Feuillus",Tableau145[[#This Row],[Type]]="Peupliers"),1.56,1.3)</f>
        <v>1.3</v>
      </c>
      <c r="I189" s="55">
        <v>184</v>
      </c>
      <c r="J189" s="33">
        <f t="shared" si="83"/>
        <v>0</v>
      </c>
      <c r="K189" s="33">
        <f t="shared" si="84"/>
        <v>0</v>
      </c>
      <c r="L189" s="33">
        <f t="shared" si="85"/>
        <v>0</v>
      </c>
      <c r="M189" s="33">
        <f t="shared" si="86"/>
        <v>0</v>
      </c>
      <c r="N189" s="33">
        <f t="shared" si="72"/>
        <v>0</v>
      </c>
      <c r="O189" s="34">
        <f t="shared" si="73"/>
        <v>0</v>
      </c>
      <c r="P189" s="55">
        <v>184</v>
      </c>
      <c r="Q189" s="33">
        <f t="shared" si="81"/>
        <v>0</v>
      </c>
      <c r="R189" s="33">
        <f t="shared" si="87"/>
        <v>0</v>
      </c>
      <c r="S189" s="33">
        <f t="shared" si="88"/>
        <v>0</v>
      </c>
      <c r="T189" s="33">
        <f t="shared" si="74"/>
        <v>0</v>
      </c>
      <c r="U189" s="33">
        <f t="shared" si="82"/>
        <v>0</v>
      </c>
      <c r="V189" s="33">
        <f t="shared" si="75"/>
        <v>0</v>
      </c>
      <c r="W189" s="33">
        <v>0</v>
      </c>
      <c r="X189" s="33">
        <f t="shared" si="76"/>
        <v>0</v>
      </c>
      <c r="Y189" s="38">
        <f t="shared" si="77"/>
        <v>0</v>
      </c>
      <c r="AA189" s="71">
        <v>184</v>
      </c>
      <c r="AB189" s="33">
        <f t="shared" si="78"/>
        <v>0</v>
      </c>
      <c r="AC189" s="305">
        <f t="shared" si="93"/>
        <v>0</v>
      </c>
      <c r="AD189" s="100">
        <f t="shared" si="79"/>
        <v>0</v>
      </c>
      <c r="AE189" s="100">
        <f t="shared" si="80"/>
        <v>0</v>
      </c>
      <c r="AF189" s="194">
        <f t="shared" si="89"/>
        <v>0</v>
      </c>
      <c r="AG189" s="194">
        <f t="shared" si="90"/>
        <v>0</v>
      </c>
      <c r="AH189" s="194">
        <f t="shared" si="91"/>
        <v>0</v>
      </c>
      <c r="AI189" s="199">
        <f t="shared" si="92"/>
        <v>0</v>
      </c>
      <c r="AK189" s="71">
        <v>184</v>
      </c>
      <c r="AL189" s="33"/>
      <c r="AM189" s="33"/>
      <c r="AN189" s="33"/>
      <c r="AO189" s="33"/>
      <c r="AP189" s="33"/>
      <c r="AQ189" s="194"/>
      <c r="AR189" s="194"/>
      <c r="AS189" s="194"/>
      <c r="AT189" s="194"/>
      <c r="AU189" s="33"/>
      <c r="AV189" s="33"/>
      <c r="AW189" s="33"/>
      <c r="AX189" s="33"/>
      <c r="AY189" s="76"/>
    </row>
    <row r="190" spans="3:51">
      <c r="C190" s="166" t="s">
        <v>65</v>
      </c>
      <c r="D190" s="4">
        <v>0.37</v>
      </c>
      <c r="E190" s="188" t="s">
        <v>227</v>
      </c>
      <c r="F190" s="343">
        <f>IF(OR(Tableau145[[#This Row],[Type]]="Feuillus",Tableau145[[#This Row],[Type]]="Peupliers"),1.56,1.3)</f>
        <v>1.56</v>
      </c>
      <c r="I190" s="55">
        <v>185</v>
      </c>
      <c r="J190" s="33">
        <f t="shared" si="83"/>
        <v>0</v>
      </c>
      <c r="K190" s="33">
        <f t="shared" si="84"/>
        <v>0</v>
      </c>
      <c r="L190" s="33">
        <f t="shared" si="85"/>
        <v>0</v>
      </c>
      <c r="M190" s="33">
        <f t="shared" si="86"/>
        <v>0</v>
      </c>
      <c r="N190" s="33">
        <f t="shared" si="72"/>
        <v>0</v>
      </c>
      <c r="O190" s="34">
        <f t="shared" si="73"/>
        <v>0</v>
      </c>
      <c r="P190" s="55">
        <v>185</v>
      </c>
      <c r="Q190" s="33">
        <f t="shared" si="81"/>
        <v>0</v>
      </c>
      <c r="R190" s="33">
        <f t="shared" si="87"/>
        <v>0</v>
      </c>
      <c r="S190" s="33">
        <f t="shared" si="88"/>
        <v>0</v>
      </c>
      <c r="T190" s="33">
        <f t="shared" si="74"/>
        <v>0</v>
      </c>
      <c r="U190" s="33">
        <f t="shared" si="82"/>
        <v>0</v>
      </c>
      <c r="V190" s="33">
        <f t="shared" si="75"/>
        <v>0</v>
      </c>
      <c r="W190" s="33">
        <v>0</v>
      </c>
      <c r="X190" s="33">
        <f t="shared" si="76"/>
        <v>0</v>
      </c>
      <c r="Y190" s="38">
        <f t="shared" si="77"/>
        <v>0</v>
      </c>
      <c r="AA190" s="71">
        <v>185</v>
      </c>
      <c r="AB190" s="33">
        <f t="shared" si="78"/>
        <v>0</v>
      </c>
      <c r="AC190" s="305">
        <f t="shared" si="93"/>
        <v>0</v>
      </c>
      <c r="AD190" s="100">
        <f t="shared" si="79"/>
        <v>0</v>
      </c>
      <c r="AE190" s="100">
        <f t="shared" si="80"/>
        <v>0</v>
      </c>
      <c r="AF190" s="194">
        <f t="shared" si="89"/>
        <v>0</v>
      </c>
      <c r="AG190" s="194">
        <f t="shared" si="90"/>
        <v>0</v>
      </c>
      <c r="AH190" s="194">
        <f t="shared" si="91"/>
        <v>0</v>
      </c>
      <c r="AI190" s="199">
        <f t="shared" si="92"/>
        <v>0</v>
      </c>
      <c r="AK190" s="71">
        <v>185</v>
      </c>
      <c r="AL190" s="33"/>
      <c r="AM190" s="33"/>
      <c r="AN190" s="33"/>
      <c r="AO190" s="33"/>
      <c r="AP190" s="33"/>
      <c r="AQ190" s="194"/>
      <c r="AR190" s="194"/>
      <c r="AS190" s="194"/>
      <c r="AT190" s="194"/>
      <c r="AU190" s="33"/>
      <c r="AV190" s="33"/>
      <c r="AW190" s="33"/>
      <c r="AX190" s="33"/>
      <c r="AY190" s="76"/>
    </row>
    <row r="191" spans="3:51">
      <c r="C191" s="166" t="s">
        <v>66</v>
      </c>
      <c r="D191" s="4">
        <v>0.53</v>
      </c>
      <c r="E191" s="188" t="s">
        <v>227</v>
      </c>
      <c r="F191" s="343">
        <f>IF(OR(Tableau145[[#This Row],[Type]]="Feuillus",Tableau145[[#This Row],[Type]]="Peupliers"),1.56,1.3)</f>
        <v>1.56</v>
      </c>
      <c r="I191" s="55">
        <v>186</v>
      </c>
      <c r="J191" s="33">
        <f t="shared" si="83"/>
        <v>0</v>
      </c>
      <c r="K191" s="33">
        <f t="shared" si="84"/>
        <v>0</v>
      </c>
      <c r="L191" s="33">
        <f t="shared" si="85"/>
        <v>0</v>
      </c>
      <c r="M191" s="33">
        <f t="shared" si="86"/>
        <v>0</v>
      </c>
      <c r="N191" s="33">
        <f t="shared" si="72"/>
        <v>0</v>
      </c>
      <c r="O191" s="34">
        <f t="shared" si="73"/>
        <v>0</v>
      </c>
      <c r="P191" s="55">
        <v>186</v>
      </c>
      <c r="Q191" s="33">
        <f t="shared" si="81"/>
        <v>0</v>
      </c>
      <c r="R191" s="33">
        <f t="shared" si="87"/>
        <v>0</v>
      </c>
      <c r="S191" s="33">
        <f t="shared" si="88"/>
        <v>0</v>
      </c>
      <c r="T191" s="33">
        <f t="shared" si="74"/>
        <v>0</v>
      </c>
      <c r="U191" s="33">
        <f t="shared" si="82"/>
        <v>0</v>
      </c>
      <c r="V191" s="33">
        <f t="shared" si="75"/>
        <v>0</v>
      </c>
      <c r="W191" s="33">
        <v>0</v>
      </c>
      <c r="X191" s="33">
        <f t="shared" si="76"/>
        <v>0</v>
      </c>
      <c r="Y191" s="38">
        <f t="shared" si="77"/>
        <v>0</v>
      </c>
      <c r="AA191" s="71">
        <v>186</v>
      </c>
      <c r="AB191" s="33">
        <f t="shared" si="78"/>
        <v>0</v>
      </c>
      <c r="AC191" s="305">
        <f t="shared" si="93"/>
        <v>0</v>
      </c>
      <c r="AD191" s="100">
        <f t="shared" si="79"/>
        <v>0</v>
      </c>
      <c r="AE191" s="100">
        <f t="shared" si="80"/>
        <v>0</v>
      </c>
      <c r="AF191" s="194">
        <f t="shared" si="89"/>
        <v>0</v>
      </c>
      <c r="AG191" s="194">
        <f t="shared" si="90"/>
        <v>0</v>
      </c>
      <c r="AH191" s="194">
        <f t="shared" si="91"/>
        <v>0</v>
      </c>
      <c r="AI191" s="199">
        <f t="shared" si="92"/>
        <v>0</v>
      </c>
      <c r="AK191" s="71">
        <v>186</v>
      </c>
      <c r="AL191" s="33"/>
      <c r="AM191" s="33"/>
      <c r="AN191" s="33"/>
      <c r="AO191" s="33"/>
      <c r="AP191" s="33"/>
      <c r="AQ191" s="194"/>
      <c r="AR191" s="194"/>
      <c r="AS191" s="194"/>
      <c r="AT191" s="194"/>
      <c r="AU191" s="33"/>
      <c r="AV191" s="33"/>
      <c r="AW191" s="33"/>
      <c r="AX191" s="33"/>
      <c r="AY191" s="76"/>
    </row>
    <row r="192" spans="3:51">
      <c r="C192" s="166" t="s">
        <v>67</v>
      </c>
      <c r="D192" s="4">
        <v>0.43</v>
      </c>
      <c r="E192" s="188" t="s">
        <v>227</v>
      </c>
      <c r="F192" s="343">
        <f>IF(OR(Tableau145[[#This Row],[Type]]="Feuillus",Tableau145[[#This Row],[Type]]="Peupliers"),1.56,1.3)</f>
        <v>1.56</v>
      </c>
      <c r="I192" s="55">
        <v>187</v>
      </c>
      <c r="J192" s="33">
        <f t="shared" si="83"/>
        <v>0</v>
      </c>
      <c r="K192" s="33">
        <f t="shared" si="84"/>
        <v>0</v>
      </c>
      <c r="L192" s="33">
        <f t="shared" si="85"/>
        <v>0</v>
      </c>
      <c r="M192" s="33">
        <f t="shared" si="86"/>
        <v>0</v>
      </c>
      <c r="N192" s="33">
        <f t="shared" si="72"/>
        <v>0</v>
      </c>
      <c r="O192" s="34">
        <f t="shared" si="73"/>
        <v>0</v>
      </c>
      <c r="P192" s="55">
        <v>187</v>
      </c>
      <c r="Q192" s="33">
        <f t="shared" si="81"/>
        <v>0</v>
      </c>
      <c r="R192" s="33">
        <f t="shared" si="87"/>
        <v>0</v>
      </c>
      <c r="S192" s="33">
        <f t="shared" si="88"/>
        <v>0</v>
      </c>
      <c r="T192" s="33">
        <f t="shared" si="74"/>
        <v>0</v>
      </c>
      <c r="U192" s="33">
        <f t="shared" si="82"/>
        <v>0</v>
      </c>
      <c r="V192" s="33">
        <f t="shared" si="75"/>
        <v>0</v>
      </c>
      <c r="W192" s="33">
        <v>0</v>
      </c>
      <c r="X192" s="33">
        <f t="shared" si="76"/>
        <v>0</v>
      </c>
      <c r="Y192" s="38">
        <f t="shared" si="77"/>
        <v>0</v>
      </c>
      <c r="AA192" s="71">
        <v>187</v>
      </c>
      <c r="AB192" s="33">
        <f t="shared" si="78"/>
        <v>0</v>
      </c>
      <c r="AC192" s="305">
        <f t="shared" si="93"/>
        <v>0</v>
      </c>
      <c r="AD192" s="100">
        <f t="shared" si="79"/>
        <v>0</v>
      </c>
      <c r="AE192" s="100">
        <f t="shared" si="80"/>
        <v>0</v>
      </c>
      <c r="AF192" s="194">
        <f t="shared" si="89"/>
        <v>0</v>
      </c>
      <c r="AG192" s="194">
        <f t="shared" si="90"/>
        <v>0</v>
      </c>
      <c r="AH192" s="194">
        <f t="shared" si="91"/>
        <v>0</v>
      </c>
      <c r="AI192" s="199">
        <f t="shared" si="92"/>
        <v>0</v>
      </c>
      <c r="AK192" s="71">
        <v>187</v>
      </c>
      <c r="AL192" s="33"/>
      <c r="AM192" s="33"/>
      <c r="AN192" s="33"/>
      <c r="AO192" s="33"/>
      <c r="AP192" s="33"/>
      <c r="AQ192" s="194"/>
      <c r="AR192" s="194"/>
      <c r="AS192" s="194"/>
      <c r="AT192" s="194"/>
      <c r="AU192" s="33"/>
      <c r="AV192" s="33"/>
      <c r="AW192" s="33"/>
      <c r="AX192" s="33"/>
      <c r="AY192" s="76"/>
    </row>
    <row r="193" spans="3:51">
      <c r="C193" s="166" t="s">
        <v>68</v>
      </c>
      <c r="D193" s="4">
        <v>0.38</v>
      </c>
      <c r="E193" s="188" t="s">
        <v>227</v>
      </c>
      <c r="F193" s="343">
        <f>IF(OR(Tableau145[[#This Row],[Type]]="Feuillus",Tableau145[[#This Row],[Type]]="Peupliers"),1.56,1.3)</f>
        <v>1.56</v>
      </c>
      <c r="I193" s="55">
        <v>188</v>
      </c>
      <c r="J193" s="33">
        <f t="shared" si="83"/>
        <v>0</v>
      </c>
      <c r="K193" s="33">
        <f t="shared" si="84"/>
        <v>0</v>
      </c>
      <c r="L193" s="33">
        <f t="shared" si="85"/>
        <v>0</v>
      </c>
      <c r="M193" s="33">
        <f t="shared" si="86"/>
        <v>0</v>
      </c>
      <c r="N193" s="33">
        <f t="shared" si="72"/>
        <v>0</v>
      </c>
      <c r="O193" s="34">
        <f t="shared" si="73"/>
        <v>0</v>
      </c>
      <c r="P193" s="55">
        <v>188</v>
      </c>
      <c r="Q193" s="33">
        <f t="shared" si="81"/>
        <v>0</v>
      </c>
      <c r="R193" s="33">
        <f t="shared" si="87"/>
        <v>0</v>
      </c>
      <c r="S193" s="33">
        <f t="shared" si="88"/>
        <v>0</v>
      </c>
      <c r="T193" s="33">
        <f t="shared" si="74"/>
        <v>0</v>
      </c>
      <c r="U193" s="33">
        <f t="shared" si="82"/>
        <v>0</v>
      </c>
      <c r="V193" s="33">
        <f t="shared" si="75"/>
        <v>0</v>
      </c>
      <c r="W193" s="33">
        <v>0</v>
      </c>
      <c r="X193" s="33">
        <f t="shared" si="76"/>
        <v>0</v>
      </c>
      <c r="Y193" s="38">
        <f t="shared" si="77"/>
        <v>0</v>
      </c>
      <c r="AA193" s="71">
        <v>188</v>
      </c>
      <c r="AB193" s="33">
        <f t="shared" si="78"/>
        <v>0</v>
      </c>
      <c r="AC193" s="305">
        <f t="shared" si="93"/>
        <v>0</v>
      </c>
      <c r="AD193" s="100">
        <f t="shared" si="79"/>
        <v>0</v>
      </c>
      <c r="AE193" s="100">
        <f t="shared" si="80"/>
        <v>0</v>
      </c>
      <c r="AF193" s="194">
        <f t="shared" si="89"/>
        <v>0</v>
      </c>
      <c r="AG193" s="194">
        <f t="shared" si="90"/>
        <v>0</v>
      </c>
      <c r="AH193" s="194">
        <f t="shared" si="91"/>
        <v>0</v>
      </c>
      <c r="AI193" s="199">
        <f t="shared" si="92"/>
        <v>0</v>
      </c>
      <c r="AK193" s="71">
        <v>188</v>
      </c>
      <c r="AL193" s="33"/>
      <c r="AM193" s="33"/>
      <c r="AN193" s="33"/>
      <c r="AO193" s="33"/>
      <c r="AP193" s="33"/>
      <c r="AQ193" s="194"/>
      <c r="AR193" s="194"/>
      <c r="AS193" s="194"/>
      <c r="AT193" s="194"/>
      <c r="AU193" s="33"/>
      <c r="AV193" s="33"/>
      <c r="AW193" s="33"/>
      <c r="AX193" s="33"/>
      <c r="AY193" s="76"/>
    </row>
    <row r="194" spans="3:51">
      <c r="C194" s="168" t="s">
        <v>69</v>
      </c>
      <c r="D194" s="3">
        <v>0.42</v>
      </c>
      <c r="E194" s="188" t="s">
        <v>228</v>
      </c>
      <c r="F194" s="343">
        <f>IF(OR(Tableau145[[#This Row],[Type]]="Feuillus",Tableau145[[#This Row],[Type]]="Peupliers"),1.56,1.3)</f>
        <v>1.3</v>
      </c>
      <c r="I194" s="55">
        <v>189</v>
      </c>
      <c r="J194" s="33">
        <f t="shared" si="83"/>
        <v>0</v>
      </c>
      <c r="K194" s="33">
        <f t="shared" si="84"/>
        <v>0</v>
      </c>
      <c r="L194" s="33">
        <f t="shared" si="85"/>
        <v>0</v>
      </c>
      <c r="M194" s="33">
        <f t="shared" si="86"/>
        <v>0</v>
      </c>
      <c r="N194" s="33">
        <f t="shared" si="72"/>
        <v>0</v>
      </c>
      <c r="O194" s="34">
        <f t="shared" si="73"/>
        <v>0</v>
      </c>
      <c r="P194" s="55">
        <v>189</v>
      </c>
      <c r="Q194" s="33">
        <f t="shared" si="81"/>
        <v>0</v>
      </c>
      <c r="R194" s="33">
        <f t="shared" si="87"/>
        <v>0</v>
      </c>
      <c r="S194" s="33">
        <f t="shared" si="88"/>
        <v>0</v>
      </c>
      <c r="T194" s="33">
        <f t="shared" si="74"/>
        <v>0</v>
      </c>
      <c r="U194" s="33">
        <f t="shared" si="82"/>
        <v>0</v>
      </c>
      <c r="V194" s="33">
        <f t="shared" si="75"/>
        <v>0</v>
      </c>
      <c r="W194" s="33">
        <v>0</v>
      </c>
      <c r="X194" s="33">
        <f t="shared" si="76"/>
        <v>0</v>
      </c>
      <c r="Y194" s="38">
        <f t="shared" si="77"/>
        <v>0</v>
      </c>
      <c r="AA194" s="71">
        <v>189</v>
      </c>
      <c r="AB194" s="33">
        <f t="shared" si="78"/>
        <v>0</v>
      </c>
      <c r="AC194" s="305">
        <f t="shared" si="93"/>
        <v>0</v>
      </c>
      <c r="AD194" s="100">
        <f t="shared" si="79"/>
        <v>0</v>
      </c>
      <c r="AE194" s="100">
        <f t="shared" si="80"/>
        <v>0</v>
      </c>
      <c r="AF194" s="194">
        <f t="shared" si="89"/>
        <v>0</v>
      </c>
      <c r="AG194" s="194">
        <f t="shared" si="90"/>
        <v>0</v>
      </c>
      <c r="AH194" s="194">
        <f t="shared" si="91"/>
        <v>0</v>
      </c>
      <c r="AI194" s="199">
        <f t="shared" si="92"/>
        <v>0</v>
      </c>
      <c r="AK194" s="71">
        <v>189</v>
      </c>
      <c r="AL194" s="33"/>
      <c r="AM194" s="33"/>
      <c r="AN194" s="33"/>
      <c r="AO194" s="33"/>
      <c r="AP194" s="33"/>
      <c r="AQ194" s="194"/>
      <c r="AR194" s="194"/>
      <c r="AS194" s="194"/>
      <c r="AT194" s="194"/>
      <c r="AU194" s="33"/>
      <c r="AV194" s="33"/>
      <c r="AW194" s="33"/>
      <c r="AX194" s="33"/>
      <c r="AY194" s="76"/>
    </row>
    <row r="195" spans="3:51">
      <c r="C195" s="168" t="s">
        <v>70</v>
      </c>
      <c r="D195" s="3">
        <v>0.56999999999999995</v>
      </c>
      <c r="E195" s="188" t="s">
        <v>227</v>
      </c>
      <c r="F195" s="343">
        <f>IF(OR(Tableau145[[#This Row],[Type]]="Feuillus",Tableau145[[#This Row],[Type]]="Peupliers"),1.56,1.3)</f>
        <v>1.56</v>
      </c>
      <c r="I195" s="55">
        <v>190</v>
      </c>
      <c r="J195" s="33">
        <f t="shared" si="83"/>
        <v>0</v>
      </c>
      <c r="K195" s="33">
        <f t="shared" si="84"/>
        <v>0</v>
      </c>
      <c r="L195" s="33">
        <f t="shared" si="85"/>
        <v>0</v>
      </c>
      <c r="M195" s="33">
        <f t="shared" si="86"/>
        <v>0</v>
      </c>
      <c r="N195" s="33">
        <f t="shared" si="72"/>
        <v>0</v>
      </c>
      <c r="O195" s="34">
        <f t="shared" si="73"/>
        <v>0</v>
      </c>
      <c r="P195" s="55">
        <v>190</v>
      </c>
      <c r="Q195" s="33">
        <f t="shared" si="81"/>
        <v>0</v>
      </c>
      <c r="R195" s="33">
        <f t="shared" si="87"/>
        <v>0</v>
      </c>
      <c r="S195" s="33">
        <f t="shared" si="88"/>
        <v>0</v>
      </c>
      <c r="T195" s="33">
        <f t="shared" si="74"/>
        <v>0</v>
      </c>
      <c r="U195" s="33">
        <f t="shared" si="82"/>
        <v>0</v>
      </c>
      <c r="V195" s="33">
        <f t="shared" si="75"/>
        <v>0</v>
      </c>
      <c r="W195" s="33">
        <v>0</v>
      </c>
      <c r="X195" s="33">
        <f t="shared" si="76"/>
        <v>0</v>
      </c>
      <c r="Y195" s="38">
        <f t="shared" si="77"/>
        <v>0</v>
      </c>
      <c r="AA195" s="71">
        <v>190</v>
      </c>
      <c r="AB195" s="33">
        <f t="shared" si="78"/>
        <v>0</v>
      </c>
      <c r="AC195" s="305">
        <f t="shared" si="93"/>
        <v>0</v>
      </c>
      <c r="AD195" s="100">
        <f t="shared" si="79"/>
        <v>0</v>
      </c>
      <c r="AE195" s="100">
        <f t="shared" si="80"/>
        <v>0</v>
      </c>
      <c r="AF195" s="194">
        <f t="shared" si="89"/>
        <v>0</v>
      </c>
      <c r="AG195" s="194">
        <f t="shared" si="90"/>
        <v>0</v>
      </c>
      <c r="AH195" s="194">
        <f t="shared" si="91"/>
        <v>0</v>
      </c>
      <c r="AI195" s="199">
        <f t="shared" si="92"/>
        <v>0</v>
      </c>
      <c r="AK195" s="71">
        <v>190</v>
      </c>
      <c r="AL195" s="33"/>
      <c r="AM195" s="33"/>
      <c r="AN195" s="33"/>
      <c r="AO195" s="33"/>
      <c r="AP195" s="33"/>
      <c r="AQ195" s="194"/>
      <c r="AR195" s="194"/>
      <c r="AS195" s="194"/>
      <c r="AT195" s="194"/>
      <c r="AU195" s="33"/>
      <c r="AV195" s="33"/>
      <c r="AW195" s="33"/>
      <c r="AX195" s="33"/>
      <c r="AY195" s="76"/>
    </row>
    <row r="196" spans="3:51">
      <c r="C196" s="168" t="s">
        <v>71</v>
      </c>
      <c r="D196" s="3">
        <v>0.54</v>
      </c>
      <c r="E196" s="188"/>
      <c r="F196" s="343">
        <f>IF(OR(Tableau145[[#This Row],[Type]]="Feuillus",Tableau145[[#This Row],[Type]]="Peupliers"),1.56,1.3)</f>
        <v>1.3</v>
      </c>
      <c r="I196" s="55">
        <v>191</v>
      </c>
      <c r="J196" s="33">
        <f t="shared" si="83"/>
        <v>0</v>
      </c>
      <c r="K196" s="33">
        <f t="shared" si="84"/>
        <v>0</v>
      </c>
      <c r="L196" s="33">
        <f t="shared" si="85"/>
        <v>0</v>
      </c>
      <c r="M196" s="33">
        <f t="shared" si="86"/>
        <v>0</v>
      </c>
      <c r="N196" s="33">
        <f t="shared" si="72"/>
        <v>0</v>
      </c>
      <c r="O196" s="34">
        <f t="shared" si="73"/>
        <v>0</v>
      </c>
      <c r="P196" s="55">
        <v>191</v>
      </c>
      <c r="Q196" s="33">
        <f t="shared" si="81"/>
        <v>0</v>
      </c>
      <c r="R196" s="33">
        <f t="shared" si="87"/>
        <v>0</v>
      </c>
      <c r="S196" s="33">
        <f t="shared" si="88"/>
        <v>0</v>
      </c>
      <c r="T196" s="33">
        <f t="shared" si="74"/>
        <v>0</v>
      </c>
      <c r="U196" s="33">
        <f t="shared" si="82"/>
        <v>0</v>
      </c>
      <c r="V196" s="33">
        <f t="shared" si="75"/>
        <v>0</v>
      </c>
      <c r="W196" s="33">
        <v>0</v>
      </c>
      <c r="X196" s="33">
        <f t="shared" si="76"/>
        <v>0</v>
      </c>
      <c r="Y196" s="38">
        <f t="shared" si="77"/>
        <v>0</v>
      </c>
      <c r="AA196" s="71">
        <v>191</v>
      </c>
      <c r="AB196" s="33">
        <f t="shared" si="78"/>
        <v>0</v>
      </c>
      <c r="AC196" s="305">
        <f t="shared" si="93"/>
        <v>0</v>
      </c>
      <c r="AD196" s="100">
        <f t="shared" si="79"/>
        <v>0</v>
      </c>
      <c r="AE196" s="100">
        <f t="shared" si="80"/>
        <v>0</v>
      </c>
      <c r="AF196" s="194">
        <f t="shared" si="89"/>
        <v>0</v>
      </c>
      <c r="AG196" s="194">
        <f t="shared" si="90"/>
        <v>0</v>
      </c>
      <c r="AH196" s="194">
        <f t="shared" si="91"/>
        <v>0</v>
      </c>
      <c r="AI196" s="199">
        <f t="shared" si="92"/>
        <v>0</v>
      </c>
      <c r="AK196" s="71">
        <v>191</v>
      </c>
      <c r="AL196" s="33"/>
      <c r="AM196" s="33"/>
      <c r="AN196" s="33"/>
      <c r="AO196" s="33"/>
      <c r="AP196" s="33"/>
      <c r="AQ196" s="194"/>
      <c r="AR196" s="194"/>
      <c r="AS196" s="194"/>
      <c r="AT196" s="194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83"/>
        <v>0</v>
      </c>
      <c r="K197" s="33">
        <f t="shared" si="84"/>
        <v>0</v>
      </c>
      <c r="L197" s="33">
        <f t="shared" si="85"/>
        <v>0</v>
      </c>
      <c r="M197" s="33">
        <f t="shared" si="86"/>
        <v>0</v>
      </c>
      <c r="N197" s="33">
        <f t="shared" ref="N197:N204" si="94">IF(P198&lt;=$F$18,0,)</f>
        <v>0</v>
      </c>
      <c r="O197" s="34">
        <f t="shared" ref="O197:O205" si="95">((J197+K197)*0.475+L197+M197+N197)*44/12</f>
        <v>0</v>
      </c>
      <c r="P197" s="55">
        <v>192</v>
      </c>
      <c r="Q197" s="33">
        <f t="shared" si="81"/>
        <v>0</v>
      </c>
      <c r="R197" s="33">
        <f t="shared" si="87"/>
        <v>0</v>
      </c>
      <c r="S197" s="33">
        <f t="shared" si="88"/>
        <v>0</v>
      </c>
      <c r="T197" s="33">
        <f t="shared" ref="T197:T205" si="96">IF(S197=0,0,EXP(-1.0587+0.8836*LN(S197)+0.284))</f>
        <v>0</v>
      </c>
      <c r="U197" s="33">
        <f t="shared" si="82"/>
        <v>0</v>
      </c>
      <c r="V197" s="33">
        <f t="shared" ref="V197:V205" si="97">IF(P197&lt;=$F$18,IF(P197&lt;=30,P197*($F$16-$F$6)/30,$F$16-$F$6),)</f>
        <v>0</v>
      </c>
      <c r="W197" s="33">
        <v>0</v>
      </c>
      <c r="X197" s="33">
        <f t="shared" ref="X197:X205" si="98">((S197+T197)*0.475+U197+V197+W197)*44/12</f>
        <v>0</v>
      </c>
      <c r="Y197" s="38">
        <f t="shared" ref="Y197:Y205" si="99">IF(P197&lt;=$F$18,X197-O197,)</f>
        <v>0</v>
      </c>
      <c r="AA197" s="71">
        <v>192</v>
      </c>
      <c r="AB197" s="33">
        <f t="shared" ref="AB197:AB205" si="100">IF(AA197&lt;=$F$18,IFERROR(VLOOKUP($AA197,$B$82:$G$94,2,FALSE),0),)</f>
        <v>0</v>
      </c>
      <c r="AC197" s="305">
        <f t="shared" si="93"/>
        <v>0</v>
      </c>
      <c r="AD197" s="100">
        <f t="shared" ref="AD197:AD205" si="101">IF(AA197&lt;=$F$18,IFERROR(VLOOKUP($AA197,$B$82:$G$94,4,FALSE),0),)</f>
        <v>0</v>
      </c>
      <c r="AE197" s="100">
        <f t="shared" ref="AE197:AE205" si="102">IF(AA197&lt;=$F$18,IFERROR(VLOOKUP($AA197,$B$82:$G$94,5,FALSE),0),)</f>
        <v>0</v>
      </c>
      <c r="AF197" s="194">
        <f t="shared" si="89"/>
        <v>0</v>
      </c>
      <c r="AG197" s="194">
        <f t="shared" si="90"/>
        <v>0</v>
      </c>
      <c r="AH197" s="194">
        <f t="shared" si="91"/>
        <v>0</v>
      </c>
      <c r="AI197" s="199">
        <f t="shared" si="92"/>
        <v>0</v>
      </c>
      <c r="AK197" s="71">
        <v>192</v>
      </c>
      <c r="AL197" s="33"/>
      <c r="AM197" s="33"/>
      <c r="AN197" s="33"/>
      <c r="AO197" s="33"/>
      <c r="AP197" s="33"/>
      <c r="AQ197" s="194"/>
      <c r="AR197" s="194"/>
      <c r="AS197" s="194"/>
      <c r="AT197" s="194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83"/>
        <v>0</v>
      </c>
      <c r="K198" s="33">
        <f t="shared" si="84"/>
        <v>0</v>
      </c>
      <c r="L198" s="33">
        <f t="shared" si="85"/>
        <v>0</v>
      </c>
      <c r="M198" s="33">
        <f t="shared" si="86"/>
        <v>0</v>
      </c>
      <c r="N198" s="33">
        <f t="shared" si="94"/>
        <v>0</v>
      </c>
      <c r="O198" s="34">
        <f t="shared" si="95"/>
        <v>0</v>
      </c>
      <c r="P198" s="55">
        <v>193</v>
      </c>
      <c r="Q198" s="33">
        <f t="shared" ref="Q198:Q205" si="103">IF(P198&lt;=$F$18,LOOKUP(P198-1,$B$25:$B$78,$G$25:$G$78),)</f>
        <v>0</v>
      </c>
      <c r="R198" s="33">
        <f t="shared" si="87"/>
        <v>0</v>
      </c>
      <c r="S198" s="33">
        <f t="shared" si="88"/>
        <v>0</v>
      </c>
      <c r="T198" s="33">
        <f t="shared" si="96"/>
        <v>0</v>
      </c>
      <c r="U198" s="33">
        <f t="shared" ref="U198:U205" si="104">IF(P198&lt;=$F$18,$F$5+($F$15-$F$5)*(1-EXP(-0.0175*P198)),)</f>
        <v>0</v>
      </c>
      <c r="V198" s="33">
        <f t="shared" si="97"/>
        <v>0</v>
      </c>
      <c r="W198" s="33">
        <v>0</v>
      </c>
      <c r="X198" s="33">
        <f t="shared" si="98"/>
        <v>0</v>
      </c>
      <c r="Y198" s="38">
        <f t="shared" si="99"/>
        <v>0</v>
      </c>
      <c r="AA198" s="71">
        <v>193</v>
      </c>
      <c r="AB198" s="33">
        <f t="shared" si="100"/>
        <v>0</v>
      </c>
      <c r="AC198" s="305">
        <f t="shared" si="93"/>
        <v>0</v>
      </c>
      <c r="AD198" s="100">
        <f t="shared" si="101"/>
        <v>0</v>
      </c>
      <c r="AE198" s="100">
        <f t="shared" si="102"/>
        <v>0</v>
      </c>
      <c r="AF198" s="194">
        <f t="shared" si="89"/>
        <v>0</v>
      </c>
      <c r="AG198" s="194">
        <f t="shared" si="90"/>
        <v>0</v>
      </c>
      <c r="AH198" s="194">
        <f t="shared" si="91"/>
        <v>0</v>
      </c>
      <c r="AI198" s="199">
        <f t="shared" si="92"/>
        <v>0</v>
      </c>
      <c r="AK198" s="71">
        <v>193</v>
      </c>
      <c r="AL198" s="33"/>
      <c r="AM198" s="33"/>
      <c r="AN198" s="33"/>
      <c r="AO198" s="33"/>
      <c r="AP198" s="33"/>
      <c r="AQ198" s="194"/>
      <c r="AR198" s="194"/>
      <c r="AS198" s="194"/>
      <c r="AT198" s="194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5">IF($I199&lt;=$F$10,$F$11*$F$13+J198,)</f>
        <v>0</v>
      </c>
      <c r="K199" s="33">
        <f t="shared" ref="K199:K205" si="106">IF(J199=0,0,EXP(-1.0587+0.8836*LN(J199)+0.284))</f>
        <v>0</v>
      </c>
      <c r="L199" s="33">
        <f t="shared" ref="L199:L205" si="107">IF(I199&lt;=$F$10,$F$5+($F$8-$F$5)*(1-EXP(-0.0175*I199)),)</f>
        <v>0</v>
      </c>
      <c r="M199" s="33">
        <f t="shared" ref="M199:M205" si="108">IF(I199&lt;=$F$10,IF(I199&lt;=30,I199*($F$9-$F$6)/30,$F$9-$F$6),)</f>
        <v>0</v>
      </c>
      <c r="N199" s="33">
        <f t="shared" si="94"/>
        <v>0</v>
      </c>
      <c r="O199" s="34">
        <f t="shared" si="95"/>
        <v>0</v>
      </c>
      <c r="P199" s="55">
        <v>194</v>
      </c>
      <c r="Q199" s="33">
        <f t="shared" si="103"/>
        <v>0</v>
      </c>
      <c r="R199" s="33">
        <f t="shared" ref="R199:R205" si="109">IF(P199&lt;=$F$18,Q199+R198,)</f>
        <v>0</v>
      </c>
      <c r="S199" s="33">
        <f t="shared" ref="S199:S205" si="110">$F$19*R199</f>
        <v>0</v>
      </c>
      <c r="T199" s="33">
        <f t="shared" si="96"/>
        <v>0</v>
      </c>
      <c r="U199" s="33">
        <f t="shared" si="104"/>
        <v>0</v>
      </c>
      <c r="V199" s="33">
        <f t="shared" si="97"/>
        <v>0</v>
      </c>
      <c r="W199" s="33">
        <v>0</v>
      </c>
      <c r="X199" s="33">
        <f t="shared" si="98"/>
        <v>0</v>
      </c>
      <c r="Y199" s="38">
        <f t="shared" si="99"/>
        <v>0</v>
      </c>
      <c r="AA199" s="71">
        <v>194</v>
      </c>
      <c r="AB199" s="33">
        <f t="shared" si="100"/>
        <v>0</v>
      </c>
      <c r="AC199" s="305">
        <f t="shared" si="93"/>
        <v>0</v>
      </c>
      <c r="AD199" s="100">
        <f t="shared" si="101"/>
        <v>0</v>
      </c>
      <c r="AE199" s="100">
        <f t="shared" si="102"/>
        <v>0</v>
      </c>
      <c r="AF199" s="194">
        <f t="shared" si="89"/>
        <v>0</v>
      </c>
      <c r="AG199" s="194">
        <f t="shared" si="90"/>
        <v>0</v>
      </c>
      <c r="AH199" s="194">
        <f t="shared" si="91"/>
        <v>0</v>
      </c>
      <c r="AI199" s="199">
        <f t="shared" si="92"/>
        <v>0</v>
      </c>
      <c r="AK199" s="71">
        <v>194</v>
      </c>
      <c r="AL199" s="33"/>
      <c r="AM199" s="33"/>
      <c r="AN199" s="33"/>
      <c r="AO199" s="33"/>
      <c r="AP199" s="33"/>
      <c r="AQ199" s="194"/>
      <c r="AR199" s="194"/>
      <c r="AS199" s="194"/>
      <c r="AT199" s="194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5"/>
        <v>0</v>
      </c>
      <c r="K200" s="33">
        <f t="shared" si="106"/>
        <v>0</v>
      </c>
      <c r="L200" s="33">
        <f t="shared" si="107"/>
        <v>0</v>
      </c>
      <c r="M200" s="33">
        <f t="shared" si="108"/>
        <v>0</v>
      </c>
      <c r="N200" s="33">
        <f t="shared" si="94"/>
        <v>0</v>
      </c>
      <c r="O200" s="34">
        <f t="shared" si="95"/>
        <v>0</v>
      </c>
      <c r="P200" s="55">
        <v>195</v>
      </c>
      <c r="Q200" s="33">
        <f t="shared" si="103"/>
        <v>0</v>
      </c>
      <c r="R200" s="33">
        <f t="shared" si="109"/>
        <v>0</v>
      </c>
      <c r="S200" s="33">
        <f t="shared" si="110"/>
        <v>0</v>
      </c>
      <c r="T200" s="33">
        <f t="shared" si="96"/>
        <v>0</v>
      </c>
      <c r="U200" s="33">
        <f t="shared" si="104"/>
        <v>0</v>
      </c>
      <c r="V200" s="33">
        <f t="shared" si="97"/>
        <v>0</v>
      </c>
      <c r="W200" s="33">
        <v>0</v>
      </c>
      <c r="X200" s="33">
        <f t="shared" si="98"/>
        <v>0</v>
      </c>
      <c r="Y200" s="38">
        <f t="shared" si="99"/>
        <v>0</v>
      </c>
      <c r="AA200" s="71">
        <v>195</v>
      </c>
      <c r="AB200" s="33">
        <f t="shared" si="100"/>
        <v>0</v>
      </c>
      <c r="AC200" s="305">
        <f t="shared" si="93"/>
        <v>0</v>
      </c>
      <c r="AD200" s="100">
        <f t="shared" si="101"/>
        <v>0</v>
      </c>
      <c r="AE200" s="100">
        <f t="shared" si="102"/>
        <v>0</v>
      </c>
      <c r="AF200" s="194">
        <f t="shared" si="89"/>
        <v>0</v>
      </c>
      <c r="AG200" s="194">
        <f t="shared" si="90"/>
        <v>0</v>
      </c>
      <c r="AH200" s="194">
        <f t="shared" si="91"/>
        <v>0</v>
      </c>
      <c r="AI200" s="199">
        <f t="shared" si="92"/>
        <v>0</v>
      </c>
      <c r="AK200" s="71">
        <v>195</v>
      </c>
      <c r="AL200" s="33"/>
      <c r="AM200" s="33"/>
      <c r="AN200" s="33"/>
      <c r="AO200" s="33"/>
      <c r="AP200" s="33"/>
      <c r="AQ200" s="194"/>
      <c r="AR200" s="194"/>
      <c r="AS200" s="194"/>
      <c r="AT200" s="194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5"/>
        <v>0</v>
      </c>
      <c r="K201" s="33">
        <f t="shared" si="106"/>
        <v>0</v>
      </c>
      <c r="L201" s="33">
        <f t="shared" si="107"/>
        <v>0</v>
      </c>
      <c r="M201" s="33">
        <f t="shared" si="108"/>
        <v>0</v>
      </c>
      <c r="N201" s="33">
        <f t="shared" si="94"/>
        <v>0</v>
      </c>
      <c r="O201" s="34">
        <f t="shared" si="95"/>
        <v>0</v>
      </c>
      <c r="P201" s="55">
        <v>196</v>
      </c>
      <c r="Q201" s="33">
        <f t="shared" si="103"/>
        <v>0</v>
      </c>
      <c r="R201" s="33">
        <f t="shared" si="109"/>
        <v>0</v>
      </c>
      <c r="S201" s="33">
        <f t="shared" si="110"/>
        <v>0</v>
      </c>
      <c r="T201" s="33">
        <f t="shared" si="96"/>
        <v>0</v>
      </c>
      <c r="U201" s="33">
        <f t="shared" si="104"/>
        <v>0</v>
      </c>
      <c r="V201" s="33">
        <f t="shared" si="97"/>
        <v>0</v>
      </c>
      <c r="W201" s="33">
        <v>0</v>
      </c>
      <c r="X201" s="33">
        <f t="shared" si="98"/>
        <v>0</v>
      </c>
      <c r="Y201" s="38">
        <f t="shared" si="99"/>
        <v>0</v>
      </c>
      <c r="AA201" s="71">
        <v>196</v>
      </c>
      <c r="AB201" s="33">
        <f t="shared" si="100"/>
        <v>0</v>
      </c>
      <c r="AC201" s="305">
        <f t="shared" si="93"/>
        <v>0</v>
      </c>
      <c r="AD201" s="100">
        <f t="shared" si="101"/>
        <v>0</v>
      </c>
      <c r="AE201" s="100">
        <f t="shared" si="102"/>
        <v>0</v>
      </c>
      <c r="AF201" s="194">
        <f t="shared" si="89"/>
        <v>0</v>
      </c>
      <c r="AG201" s="194">
        <f t="shared" si="90"/>
        <v>0</v>
      </c>
      <c r="AH201" s="194">
        <f t="shared" si="91"/>
        <v>0</v>
      </c>
      <c r="AI201" s="199">
        <f t="shared" si="92"/>
        <v>0</v>
      </c>
      <c r="AK201" s="71">
        <v>196</v>
      </c>
      <c r="AL201" s="33"/>
      <c r="AM201" s="33"/>
      <c r="AN201" s="33"/>
      <c r="AO201" s="33"/>
      <c r="AP201" s="33"/>
      <c r="AQ201" s="194"/>
      <c r="AR201" s="194"/>
      <c r="AS201" s="194"/>
      <c r="AT201" s="194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5"/>
        <v>0</v>
      </c>
      <c r="K202" s="33">
        <f t="shared" si="106"/>
        <v>0</v>
      </c>
      <c r="L202" s="33">
        <f t="shared" si="107"/>
        <v>0</v>
      </c>
      <c r="M202" s="33">
        <f t="shared" si="108"/>
        <v>0</v>
      </c>
      <c r="N202" s="33">
        <f t="shared" si="94"/>
        <v>0</v>
      </c>
      <c r="O202" s="34">
        <f t="shared" si="95"/>
        <v>0</v>
      </c>
      <c r="P202" s="55">
        <v>197</v>
      </c>
      <c r="Q202" s="33">
        <f t="shared" si="103"/>
        <v>0</v>
      </c>
      <c r="R202" s="33">
        <f t="shared" si="109"/>
        <v>0</v>
      </c>
      <c r="S202" s="33">
        <f t="shared" si="110"/>
        <v>0</v>
      </c>
      <c r="T202" s="33">
        <f t="shared" si="96"/>
        <v>0</v>
      </c>
      <c r="U202" s="33">
        <f t="shared" si="104"/>
        <v>0</v>
      </c>
      <c r="V202" s="33">
        <f t="shared" si="97"/>
        <v>0</v>
      </c>
      <c r="W202" s="33">
        <v>0</v>
      </c>
      <c r="X202" s="33">
        <f t="shared" si="98"/>
        <v>0</v>
      </c>
      <c r="Y202" s="38">
        <f t="shared" si="99"/>
        <v>0</v>
      </c>
      <c r="AA202" s="71">
        <v>197</v>
      </c>
      <c r="AB202" s="33">
        <f t="shared" si="100"/>
        <v>0</v>
      </c>
      <c r="AC202" s="305">
        <f t="shared" si="93"/>
        <v>0</v>
      </c>
      <c r="AD202" s="100">
        <f t="shared" si="101"/>
        <v>0</v>
      </c>
      <c r="AE202" s="100">
        <f t="shared" si="102"/>
        <v>0</v>
      </c>
      <c r="AF202" s="194">
        <f t="shared" si="89"/>
        <v>0</v>
      </c>
      <c r="AG202" s="194">
        <f t="shared" si="90"/>
        <v>0</v>
      </c>
      <c r="AH202" s="194">
        <f t="shared" si="91"/>
        <v>0</v>
      </c>
      <c r="AI202" s="199">
        <f t="shared" si="92"/>
        <v>0</v>
      </c>
      <c r="AK202" s="71">
        <v>197</v>
      </c>
      <c r="AL202" s="33"/>
      <c r="AM202" s="33"/>
      <c r="AN202" s="33"/>
      <c r="AO202" s="33"/>
      <c r="AP202" s="33"/>
      <c r="AQ202" s="194"/>
      <c r="AR202" s="194"/>
      <c r="AS202" s="194"/>
      <c r="AT202" s="194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5"/>
        <v>0</v>
      </c>
      <c r="K203" s="33">
        <f t="shared" si="106"/>
        <v>0</v>
      </c>
      <c r="L203" s="33">
        <f t="shared" si="107"/>
        <v>0</v>
      </c>
      <c r="M203" s="33">
        <f t="shared" si="108"/>
        <v>0</v>
      </c>
      <c r="N203" s="33">
        <f t="shared" si="94"/>
        <v>0</v>
      </c>
      <c r="O203" s="34">
        <f t="shared" si="95"/>
        <v>0</v>
      </c>
      <c r="P203" s="55">
        <v>198</v>
      </c>
      <c r="Q203" s="33">
        <f t="shared" si="103"/>
        <v>0</v>
      </c>
      <c r="R203" s="33">
        <f t="shared" si="109"/>
        <v>0</v>
      </c>
      <c r="S203" s="33">
        <f t="shared" si="110"/>
        <v>0</v>
      </c>
      <c r="T203" s="33">
        <f t="shared" si="96"/>
        <v>0</v>
      </c>
      <c r="U203" s="33">
        <f t="shared" si="104"/>
        <v>0</v>
      </c>
      <c r="V203" s="33">
        <f t="shared" si="97"/>
        <v>0</v>
      </c>
      <c r="W203" s="33">
        <v>0</v>
      </c>
      <c r="X203" s="33">
        <f t="shared" si="98"/>
        <v>0</v>
      </c>
      <c r="Y203" s="38">
        <f t="shared" si="99"/>
        <v>0</v>
      </c>
      <c r="AA203" s="71">
        <v>198</v>
      </c>
      <c r="AB203" s="33">
        <f t="shared" si="100"/>
        <v>0</v>
      </c>
      <c r="AC203" s="305">
        <f t="shared" si="93"/>
        <v>0</v>
      </c>
      <c r="AD203" s="100">
        <f t="shared" si="101"/>
        <v>0</v>
      </c>
      <c r="AE203" s="100">
        <f t="shared" si="102"/>
        <v>0</v>
      </c>
      <c r="AF203" s="194">
        <f t="shared" si="89"/>
        <v>0</v>
      </c>
      <c r="AG203" s="194">
        <f t="shared" si="90"/>
        <v>0</v>
      </c>
      <c r="AH203" s="194">
        <f t="shared" si="91"/>
        <v>0</v>
      </c>
      <c r="AI203" s="199">
        <f t="shared" si="92"/>
        <v>0</v>
      </c>
      <c r="AK203" s="71">
        <v>198</v>
      </c>
      <c r="AL203" s="33"/>
      <c r="AM203" s="33"/>
      <c r="AN203" s="33"/>
      <c r="AO203" s="33"/>
      <c r="AP203" s="33"/>
      <c r="AQ203" s="194"/>
      <c r="AR203" s="194"/>
      <c r="AS203" s="194"/>
      <c r="AT203" s="194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5"/>
        <v>0</v>
      </c>
      <c r="K204" s="33">
        <f t="shared" si="106"/>
        <v>0</v>
      </c>
      <c r="L204" s="33">
        <f t="shared" si="107"/>
        <v>0</v>
      </c>
      <c r="M204" s="33">
        <f t="shared" si="108"/>
        <v>0</v>
      </c>
      <c r="N204" s="33">
        <f t="shared" si="94"/>
        <v>0</v>
      </c>
      <c r="O204" s="34">
        <f t="shared" si="95"/>
        <v>0</v>
      </c>
      <c r="P204" s="55">
        <v>199</v>
      </c>
      <c r="Q204" s="33">
        <f t="shared" si="103"/>
        <v>0</v>
      </c>
      <c r="R204" s="33">
        <f t="shared" si="109"/>
        <v>0</v>
      </c>
      <c r="S204" s="33">
        <f t="shared" si="110"/>
        <v>0</v>
      </c>
      <c r="T204" s="33">
        <f t="shared" si="96"/>
        <v>0</v>
      </c>
      <c r="U204" s="33">
        <f t="shared" si="104"/>
        <v>0</v>
      </c>
      <c r="V204" s="33">
        <f t="shared" si="97"/>
        <v>0</v>
      </c>
      <c r="W204" s="33">
        <v>0</v>
      </c>
      <c r="X204" s="33">
        <f t="shared" si="98"/>
        <v>0</v>
      </c>
      <c r="Y204" s="38">
        <f t="shared" si="99"/>
        <v>0</v>
      </c>
      <c r="AA204" s="71">
        <v>199</v>
      </c>
      <c r="AB204" s="33">
        <f t="shared" si="100"/>
        <v>0</v>
      </c>
      <c r="AC204" s="305">
        <f t="shared" si="93"/>
        <v>0</v>
      </c>
      <c r="AD204" s="100">
        <f t="shared" si="101"/>
        <v>0</v>
      </c>
      <c r="AE204" s="100">
        <f t="shared" si="102"/>
        <v>0</v>
      </c>
      <c r="AF204" s="194">
        <f t="shared" si="89"/>
        <v>0</v>
      </c>
      <c r="AG204" s="194">
        <f t="shared" si="90"/>
        <v>0</v>
      </c>
      <c r="AH204" s="194">
        <f t="shared" si="91"/>
        <v>0</v>
      </c>
      <c r="AI204" s="199">
        <f t="shared" si="92"/>
        <v>0</v>
      </c>
      <c r="AK204" s="71">
        <v>199</v>
      </c>
      <c r="AL204" s="33"/>
      <c r="AM204" s="33"/>
      <c r="AN204" s="33"/>
      <c r="AO204" s="33"/>
      <c r="AP204" s="33"/>
      <c r="AQ204" s="194"/>
      <c r="AR204" s="194"/>
      <c r="AS204" s="194"/>
      <c r="AT204" s="194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5"/>
        <v>0</v>
      </c>
      <c r="K205" s="33">
        <f t="shared" si="106"/>
        <v>0</v>
      </c>
      <c r="L205" s="33">
        <f t="shared" si="107"/>
        <v>0</v>
      </c>
      <c r="M205" s="33">
        <f t="shared" si="108"/>
        <v>0</v>
      </c>
      <c r="N205" s="35">
        <f>IF(F208&lt;=$F$18,0,)</f>
        <v>0</v>
      </c>
      <c r="O205" s="34">
        <f t="shared" si="95"/>
        <v>0</v>
      </c>
      <c r="P205" s="56">
        <v>200</v>
      </c>
      <c r="Q205" s="35">
        <f t="shared" si="103"/>
        <v>0</v>
      </c>
      <c r="R205" s="35">
        <f t="shared" si="109"/>
        <v>0</v>
      </c>
      <c r="S205" s="35">
        <f t="shared" si="110"/>
        <v>0</v>
      </c>
      <c r="T205" s="35">
        <f t="shared" si="96"/>
        <v>0</v>
      </c>
      <c r="U205" s="35">
        <f t="shared" si="104"/>
        <v>0</v>
      </c>
      <c r="V205" s="35">
        <f t="shared" si="97"/>
        <v>0</v>
      </c>
      <c r="W205" s="35">
        <v>0</v>
      </c>
      <c r="X205" s="155">
        <f t="shared" si="98"/>
        <v>0</v>
      </c>
      <c r="Y205" s="39">
        <f t="shared" si="99"/>
        <v>0</v>
      </c>
      <c r="AA205" s="72">
        <v>200</v>
      </c>
      <c r="AB205" s="143">
        <f t="shared" si="100"/>
        <v>0</v>
      </c>
      <c r="AC205" s="305">
        <f t="shared" si="93"/>
        <v>0</v>
      </c>
      <c r="AD205" s="101">
        <f t="shared" si="101"/>
        <v>0</v>
      </c>
      <c r="AE205" s="101">
        <f t="shared" si="102"/>
        <v>0</v>
      </c>
      <c r="AF205" s="196">
        <f t="shared" si="89"/>
        <v>0</v>
      </c>
      <c r="AG205" s="196">
        <f t="shared" si="90"/>
        <v>0</v>
      </c>
      <c r="AH205" s="196">
        <f t="shared" si="91"/>
        <v>0</v>
      </c>
      <c r="AI205" s="203">
        <f t="shared" si="92"/>
        <v>0</v>
      </c>
      <c r="AK205" s="72">
        <v>200</v>
      </c>
      <c r="AL205" s="143"/>
      <c r="AM205" s="35"/>
      <c r="AN205" s="35"/>
      <c r="AO205" s="35"/>
      <c r="AP205" s="35"/>
      <c r="AQ205" s="196"/>
      <c r="AR205" s="196"/>
      <c r="AS205" s="196"/>
      <c r="AT205" s="196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4">
    <dataValidation type="list" allowBlank="1" showInputMessage="1" showErrorMessage="1" sqref="D8:E8 D5:E5 D15" xr:uid="{00000000-0002-0000-0700-000000000000}">
      <formula1>$B$97:$B$100</formula1>
    </dataValidation>
    <dataValidation type="list" allowBlank="1" showInputMessage="1" showErrorMessage="1" sqref="D81:G81" xr:uid="{00000000-0002-0000-0700-000001000000}">
      <formula1>$B$104:$B$108</formula1>
    </dataValidation>
    <dataValidation type="list" allowBlank="1" showInputMessage="1" showErrorMessage="1" sqref="F17" xr:uid="{00000000-0002-0000-0700-000002000000}">
      <formula1>$C$130:$C$195</formula1>
    </dataValidation>
    <dataValidation type="list" allowBlank="1" showInputMessage="1" showErrorMessage="1" sqref="F12" xr:uid="{00000000-0002-0000-0700-000003000000}">
      <formula1>$C$194:$C$195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221"/>
  <sheetViews>
    <sheetView zoomScale="85" zoomScaleNormal="85" zoomScaleSheetLayoutView="25" workbookViewId="0">
      <selection activeCell="B20" sqref="B20:L20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53" customWidth="1"/>
    <col min="13" max="13" width="11.5" style="133"/>
    <col min="14" max="14" width="13.6640625" customWidth="1"/>
    <col min="15" max="15" width="12.164062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429" t="s">
        <v>257</v>
      </c>
      <c r="D3" s="430"/>
      <c r="I3" s="426" t="s">
        <v>195</v>
      </c>
      <c r="J3" s="278"/>
      <c r="K3" s="278" t="s">
        <v>216</v>
      </c>
      <c r="L3" s="279"/>
      <c r="M3" s="280"/>
      <c r="N3" s="411" t="str">
        <f>'Pin Laricio'!F17</f>
        <v xml:space="preserve">Pin laricio </v>
      </c>
      <c r="O3" s="412"/>
      <c r="P3" s="413"/>
      <c r="Q3" s="412" t="str">
        <f>Douglas!F17</f>
        <v xml:space="preserve">Douglas </v>
      </c>
      <c r="R3" s="412"/>
      <c r="S3" s="412"/>
      <c r="T3" s="411" t="str">
        <f>'Cedre de l''Atlas'!F17</f>
        <v xml:space="preserve">Cèdre de l’Atlas </v>
      </c>
      <c r="U3" s="412"/>
      <c r="V3" s="413"/>
      <c r="W3" s="412" t="str">
        <f>'Sequoia sempervirens'!F17</f>
        <v xml:space="preserve">Sapin pectiné </v>
      </c>
      <c r="X3" s="412"/>
      <c r="Y3" s="412"/>
      <c r="Z3" s="411" t="str">
        <f>Chêne!F17</f>
        <v xml:space="preserve">Chêne rouvre (sessile) </v>
      </c>
      <c r="AA3" s="412"/>
      <c r="AB3" s="413"/>
      <c r="AC3" s="412" t="str">
        <f>Charme!F17</f>
        <v xml:space="preserve">Charme </v>
      </c>
      <c r="AD3" s="412"/>
      <c r="AE3" s="442"/>
    </row>
    <row r="4" spans="3:32" ht="19">
      <c r="C4" s="310" t="s">
        <v>261</v>
      </c>
      <c r="D4" s="311">
        <f>E9+SUM(AB21:AB221)</f>
        <v>-56710.68820466203</v>
      </c>
      <c r="I4" s="427"/>
      <c r="J4" s="281"/>
      <c r="K4" s="282" t="s">
        <v>214</v>
      </c>
      <c r="L4" s="285">
        <f>MAX(O4,R4,U4,X4,AA4,AD4)</f>
        <v>135</v>
      </c>
      <c r="M4" s="283"/>
      <c r="N4" s="315" t="s">
        <v>214</v>
      </c>
      <c r="O4" s="237">
        <f>'Pin Laricio'!F18</f>
        <v>65</v>
      </c>
      <c r="P4" s="316"/>
      <c r="Q4" s="281" t="s">
        <v>214</v>
      </c>
      <c r="R4" s="237">
        <f>Douglas!F18</f>
        <v>65</v>
      </c>
      <c r="S4" s="237"/>
      <c r="T4" s="315" t="s">
        <v>214</v>
      </c>
      <c r="U4" s="237">
        <f>'Cedre de l''Atlas'!F18</f>
        <v>65</v>
      </c>
      <c r="V4" s="316"/>
      <c r="W4" s="281" t="s">
        <v>214</v>
      </c>
      <c r="X4" s="237">
        <f>'Sequoia sempervirens'!F18</f>
        <v>65</v>
      </c>
      <c r="Y4" s="237"/>
      <c r="Z4" s="315" t="s">
        <v>214</v>
      </c>
      <c r="AA4" s="237">
        <f>Chêne!F18</f>
        <v>135</v>
      </c>
      <c r="AB4" s="316"/>
      <c r="AC4" s="281" t="s">
        <v>214</v>
      </c>
      <c r="AD4" s="237">
        <f>Charme!F18</f>
        <v>135</v>
      </c>
      <c r="AE4" s="284"/>
    </row>
    <row r="5" spans="3:32" ht="19">
      <c r="C5" s="310" t="s">
        <v>253</v>
      </c>
      <c r="D5" s="312">
        <f>E9+(1*L4*E184-0)/((1+4.5%)^L4)</f>
        <v>21.270897191432553</v>
      </c>
      <c r="I5" s="427"/>
      <c r="J5" s="281"/>
      <c r="K5" s="282" t="s">
        <v>218</v>
      </c>
      <c r="L5" s="287">
        <f>SUM(O5,R5,U5,X5,AA5,AD5)</f>
        <v>21.67</v>
      </c>
      <c r="M5" s="283"/>
      <c r="N5" s="315" t="s">
        <v>173</v>
      </c>
      <c r="O5" s="286">
        <f>'Pin Laricio'!F21</f>
        <v>14.35</v>
      </c>
      <c r="P5" s="317"/>
      <c r="Q5" s="281" t="s">
        <v>173</v>
      </c>
      <c r="R5" s="286">
        <f>Douglas!F21</f>
        <v>2.0500000000000003</v>
      </c>
      <c r="S5" s="286"/>
      <c r="T5" s="315" t="s">
        <v>173</v>
      </c>
      <c r="U5" s="286">
        <f>'Cedre de l''Atlas'!F21</f>
        <v>2.0500000000000003</v>
      </c>
      <c r="V5" s="317"/>
      <c r="W5" s="281" t="s">
        <v>173</v>
      </c>
      <c r="X5" s="286">
        <f>'Sequoia sempervirens'!F21</f>
        <v>2.0500000000000003</v>
      </c>
      <c r="Y5" s="286"/>
      <c r="Z5" s="315" t="s">
        <v>173</v>
      </c>
      <c r="AA5" s="286">
        <f>Chêne!F21</f>
        <v>0.97500000000000009</v>
      </c>
      <c r="AB5" s="317"/>
      <c r="AC5" s="281" t="s">
        <v>173</v>
      </c>
      <c r="AD5" s="286">
        <f>Charme!F21</f>
        <v>0.19500000000000001</v>
      </c>
      <c r="AE5" s="284"/>
    </row>
    <row r="6" spans="3:32" ht="20" thickBot="1">
      <c r="C6" s="314" t="s">
        <v>254</v>
      </c>
      <c r="D6" s="313">
        <f>D4-D5</f>
        <v>-56731.959101853463</v>
      </c>
      <c r="I6" s="427"/>
      <c r="J6" s="281"/>
      <c r="M6" s="283"/>
      <c r="N6" s="315" t="s">
        <v>215</v>
      </c>
      <c r="O6" s="288">
        <v>330</v>
      </c>
      <c r="P6" s="316" t="s">
        <v>219</v>
      </c>
      <c r="Q6" s="281" t="s">
        <v>215</v>
      </c>
      <c r="R6" s="288">
        <f t="shared" ref="R6:R13" si="0">O6</f>
        <v>330</v>
      </c>
      <c r="S6" s="237" t="s">
        <v>219</v>
      </c>
      <c r="T6" s="315" t="s">
        <v>215</v>
      </c>
      <c r="U6" s="288">
        <f t="shared" ref="U6:U13" si="1">R6</f>
        <v>330</v>
      </c>
      <c r="V6" s="316" t="s">
        <v>219</v>
      </c>
      <c r="W6" s="281" t="s">
        <v>215</v>
      </c>
      <c r="X6" s="288">
        <f>U6</f>
        <v>330</v>
      </c>
      <c r="Y6" s="237" t="s">
        <v>219</v>
      </c>
      <c r="Z6" s="315" t="s">
        <v>215</v>
      </c>
      <c r="AA6" s="288">
        <f>X6</f>
        <v>330</v>
      </c>
      <c r="AB6" s="316" t="s">
        <v>219</v>
      </c>
      <c r="AC6" s="281" t="s">
        <v>215</v>
      </c>
      <c r="AD6" s="288">
        <f t="shared" ref="AD6:AD13" si="2">AA6</f>
        <v>330</v>
      </c>
      <c r="AE6" s="284" t="s">
        <v>219</v>
      </c>
    </row>
    <row r="7" spans="3:32">
      <c r="I7" s="427"/>
      <c r="J7" s="281"/>
      <c r="M7" s="283"/>
      <c r="N7" s="315" t="s">
        <v>197</v>
      </c>
      <c r="O7" s="290">
        <v>1750</v>
      </c>
      <c r="P7" s="316" t="s">
        <v>219</v>
      </c>
      <c r="Q7" s="281" t="s">
        <v>197</v>
      </c>
      <c r="R7" s="290">
        <f t="shared" si="0"/>
        <v>1750</v>
      </c>
      <c r="S7" s="237" t="s">
        <v>219</v>
      </c>
      <c r="T7" s="315" t="s">
        <v>197</v>
      </c>
      <c r="U7" s="290">
        <f t="shared" si="1"/>
        <v>1750</v>
      </c>
      <c r="V7" s="316" t="s">
        <v>219</v>
      </c>
      <c r="W7" s="281" t="s">
        <v>197</v>
      </c>
      <c r="X7" s="290">
        <f>U7</f>
        <v>1750</v>
      </c>
      <c r="Y7" s="237" t="s">
        <v>219</v>
      </c>
      <c r="Z7" s="315" t="s">
        <v>197</v>
      </c>
      <c r="AA7" s="290">
        <v>2827</v>
      </c>
      <c r="AB7" s="316" t="s">
        <v>219</v>
      </c>
      <c r="AC7" s="281" t="s">
        <v>197</v>
      </c>
      <c r="AD7" s="290">
        <f>AA7</f>
        <v>2827</v>
      </c>
      <c r="AE7" s="284" t="s">
        <v>219</v>
      </c>
    </row>
    <row r="8" spans="3:32" ht="16" thickBot="1">
      <c r="I8" s="427"/>
      <c r="J8" s="281"/>
      <c r="K8" s="282"/>
      <c r="L8" s="291"/>
      <c r="M8" s="283"/>
      <c r="N8" s="315" t="s">
        <v>265</v>
      </c>
      <c r="O8" s="288">
        <v>900</v>
      </c>
      <c r="P8" s="316" t="s">
        <v>219</v>
      </c>
      <c r="Q8" s="315" t="s">
        <v>265</v>
      </c>
      <c r="R8" s="288">
        <f t="shared" si="0"/>
        <v>900</v>
      </c>
      <c r="S8" s="237" t="s">
        <v>219</v>
      </c>
      <c r="T8" s="315" t="s">
        <v>265</v>
      </c>
      <c r="U8" s="288">
        <f t="shared" si="1"/>
        <v>900</v>
      </c>
      <c r="V8" s="316" t="s">
        <v>219</v>
      </c>
      <c r="W8" s="281" t="s">
        <v>202</v>
      </c>
      <c r="X8" s="288">
        <f>U8</f>
        <v>900</v>
      </c>
      <c r="Y8" s="237" t="s">
        <v>219</v>
      </c>
      <c r="Z8" s="315" t="s">
        <v>202</v>
      </c>
      <c r="AA8" s="288">
        <f>X8</f>
        <v>900</v>
      </c>
      <c r="AB8" s="316" t="s">
        <v>219</v>
      </c>
      <c r="AC8" s="281" t="s">
        <v>202</v>
      </c>
      <c r="AD8" s="288">
        <f>AA8</f>
        <v>900</v>
      </c>
      <c r="AE8" s="284" t="s">
        <v>219</v>
      </c>
    </row>
    <row r="9" spans="3:32" ht="15" customHeight="1" thickBot="1">
      <c r="C9" s="445" t="s">
        <v>263</v>
      </c>
      <c r="D9" s="446"/>
      <c r="E9" s="322">
        <v>0</v>
      </c>
      <c r="I9" s="427"/>
      <c r="J9" s="281"/>
      <c r="K9" s="282" t="s">
        <v>194</v>
      </c>
      <c r="L9" s="289">
        <v>0</v>
      </c>
      <c r="M9" s="283"/>
      <c r="N9" s="315" t="s">
        <v>203</v>
      </c>
      <c r="O9" s="288">
        <f>200+85+425</f>
        <v>710</v>
      </c>
      <c r="P9" s="316" t="s">
        <v>219</v>
      </c>
      <c r="Q9" s="281" t="s">
        <v>220</v>
      </c>
      <c r="R9" s="288">
        <f t="shared" si="0"/>
        <v>710</v>
      </c>
      <c r="S9" s="237" t="s">
        <v>219</v>
      </c>
      <c r="T9" s="315" t="s">
        <v>220</v>
      </c>
      <c r="U9" s="288">
        <f t="shared" si="1"/>
        <v>710</v>
      </c>
      <c r="V9" s="316" t="s">
        <v>219</v>
      </c>
      <c r="W9" s="281" t="s">
        <v>220</v>
      </c>
      <c r="X9" s="288">
        <f t="shared" ref="X9:X13" si="3">U9</f>
        <v>710</v>
      </c>
      <c r="Y9" s="237" t="s">
        <v>219</v>
      </c>
      <c r="Z9" s="315" t="s">
        <v>220</v>
      </c>
      <c r="AA9" s="288">
        <f>X9+275</f>
        <v>985</v>
      </c>
      <c r="AB9" s="316" t="s">
        <v>219</v>
      </c>
      <c r="AC9" s="281" t="s">
        <v>220</v>
      </c>
      <c r="AD9" s="288">
        <f t="shared" si="2"/>
        <v>985</v>
      </c>
      <c r="AE9" s="284" t="s">
        <v>219</v>
      </c>
    </row>
    <row r="10" spans="3:32" ht="15" customHeight="1">
      <c r="C10" s="443" t="s">
        <v>262</v>
      </c>
      <c r="D10" s="323">
        <v>0</v>
      </c>
      <c r="E10" s="324">
        <v>0</v>
      </c>
      <c r="I10" s="427"/>
      <c r="J10" s="281"/>
      <c r="K10" s="282" t="s">
        <v>217</v>
      </c>
      <c r="L10" s="292">
        <v>7.0000000000000007E-2</v>
      </c>
      <c r="M10" s="283"/>
      <c r="N10" s="315" t="s">
        <v>204</v>
      </c>
      <c r="O10" s="288">
        <f>200+85</f>
        <v>285</v>
      </c>
      <c r="P10" s="316" t="s">
        <v>219</v>
      </c>
      <c r="Q10" s="281" t="s">
        <v>221</v>
      </c>
      <c r="R10" s="288">
        <f t="shared" si="0"/>
        <v>285</v>
      </c>
      <c r="S10" s="237" t="s">
        <v>219</v>
      </c>
      <c r="T10" s="315" t="s">
        <v>221</v>
      </c>
      <c r="U10" s="288">
        <f t="shared" si="1"/>
        <v>285</v>
      </c>
      <c r="V10" s="316" t="s">
        <v>219</v>
      </c>
      <c r="W10" s="281" t="s">
        <v>221</v>
      </c>
      <c r="X10" s="288">
        <f t="shared" si="3"/>
        <v>285</v>
      </c>
      <c r="Y10" s="237" t="s">
        <v>219</v>
      </c>
      <c r="Z10" s="315" t="s">
        <v>221</v>
      </c>
      <c r="AA10" s="288">
        <f t="shared" ref="AA10:AA13" si="4">X10</f>
        <v>285</v>
      </c>
      <c r="AB10" s="316" t="s">
        <v>219</v>
      </c>
      <c r="AC10" s="281" t="s">
        <v>221</v>
      </c>
      <c r="AD10" s="288">
        <f t="shared" si="2"/>
        <v>285</v>
      </c>
      <c r="AE10" s="284" t="s">
        <v>219</v>
      </c>
    </row>
    <row r="11" spans="3:32" ht="15" customHeight="1">
      <c r="C11" s="443"/>
      <c r="D11" s="323">
        <v>1</v>
      </c>
      <c r="E11" s="324">
        <v>0</v>
      </c>
      <c r="I11" s="427"/>
      <c r="J11" s="281"/>
      <c r="K11" s="282" t="s">
        <v>200</v>
      </c>
      <c r="L11" s="293">
        <v>0</v>
      </c>
      <c r="M11" s="283"/>
      <c r="N11" s="315" t="s">
        <v>205</v>
      </c>
      <c r="O11" s="288">
        <f>200+85</f>
        <v>285</v>
      </c>
      <c r="P11" s="316" t="s">
        <v>219</v>
      </c>
      <c r="Q11" s="281" t="s">
        <v>222</v>
      </c>
      <c r="R11" s="288">
        <f t="shared" si="0"/>
        <v>285</v>
      </c>
      <c r="S11" s="237" t="s">
        <v>219</v>
      </c>
      <c r="T11" s="315" t="s">
        <v>222</v>
      </c>
      <c r="U11" s="288">
        <f t="shared" si="1"/>
        <v>285</v>
      </c>
      <c r="V11" s="316" t="s">
        <v>219</v>
      </c>
      <c r="W11" s="281" t="s">
        <v>222</v>
      </c>
      <c r="X11" s="288">
        <f t="shared" si="3"/>
        <v>285</v>
      </c>
      <c r="Y11" s="237" t="s">
        <v>219</v>
      </c>
      <c r="Z11" s="315" t="s">
        <v>222</v>
      </c>
      <c r="AA11" s="288">
        <f t="shared" si="4"/>
        <v>285</v>
      </c>
      <c r="AB11" s="316" t="s">
        <v>219</v>
      </c>
      <c r="AC11" s="281" t="s">
        <v>222</v>
      </c>
      <c r="AD11" s="288">
        <f t="shared" si="2"/>
        <v>285</v>
      </c>
      <c r="AE11" s="284" t="s">
        <v>219</v>
      </c>
    </row>
    <row r="12" spans="3:32" ht="15" customHeight="1">
      <c r="C12" s="443"/>
      <c r="D12" s="323">
        <v>2</v>
      </c>
      <c r="E12" s="324">
        <v>0</v>
      </c>
      <c r="I12" s="427"/>
      <c r="J12" s="281"/>
      <c r="K12" s="282" t="s">
        <v>212</v>
      </c>
      <c r="L12" s="294">
        <v>5</v>
      </c>
      <c r="M12" s="283"/>
      <c r="N12" s="315" t="s">
        <v>206</v>
      </c>
      <c r="O12" s="288"/>
      <c r="P12" s="316" t="s">
        <v>219</v>
      </c>
      <c r="Q12" s="281" t="s">
        <v>223</v>
      </c>
      <c r="R12" s="288">
        <f t="shared" si="0"/>
        <v>0</v>
      </c>
      <c r="S12" s="237" t="s">
        <v>219</v>
      </c>
      <c r="T12" s="315" t="s">
        <v>223</v>
      </c>
      <c r="U12" s="288">
        <f t="shared" si="1"/>
        <v>0</v>
      </c>
      <c r="V12" s="316" t="s">
        <v>219</v>
      </c>
      <c r="W12" s="281" t="s">
        <v>223</v>
      </c>
      <c r="X12" s="288">
        <f t="shared" si="3"/>
        <v>0</v>
      </c>
      <c r="Y12" s="237" t="s">
        <v>219</v>
      </c>
      <c r="Z12" s="315" t="s">
        <v>223</v>
      </c>
      <c r="AA12" s="288">
        <f t="shared" si="4"/>
        <v>0</v>
      </c>
      <c r="AB12" s="316" t="s">
        <v>219</v>
      </c>
      <c r="AC12" s="281" t="s">
        <v>223</v>
      </c>
      <c r="AD12" s="288">
        <f t="shared" si="2"/>
        <v>0</v>
      </c>
      <c r="AE12" s="284" t="s">
        <v>219</v>
      </c>
    </row>
    <row r="13" spans="3:32" ht="15" customHeight="1">
      <c r="C13" s="443"/>
      <c r="D13" s="323">
        <v>3</v>
      </c>
      <c r="E13" s="324">
        <v>0</v>
      </c>
      <c r="I13" s="427"/>
      <c r="J13" s="281"/>
      <c r="K13" s="282" t="s">
        <v>213</v>
      </c>
      <c r="L13" s="294">
        <v>25</v>
      </c>
      <c r="M13" s="283"/>
      <c r="N13" s="315" t="s">
        <v>207</v>
      </c>
      <c r="O13" s="288"/>
      <c r="P13" s="316" t="s">
        <v>219</v>
      </c>
      <c r="Q13" s="281" t="s">
        <v>224</v>
      </c>
      <c r="R13" s="288">
        <f t="shared" si="0"/>
        <v>0</v>
      </c>
      <c r="S13" s="237" t="s">
        <v>219</v>
      </c>
      <c r="T13" s="315" t="s">
        <v>224</v>
      </c>
      <c r="U13" s="288">
        <f t="shared" si="1"/>
        <v>0</v>
      </c>
      <c r="V13" s="316" t="s">
        <v>219</v>
      </c>
      <c r="W13" s="281" t="s">
        <v>224</v>
      </c>
      <c r="X13" s="288">
        <f t="shared" si="3"/>
        <v>0</v>
      </c>
      <c r="Y13" s="237" t="s">
        <v>219</v>
      </c>
      <c r="Z13" s="315" t="s">
        <v>224</v>
      </c>
      <c r="AA13" s="288">
        <f t="shared" si="4"/>
        <v>0</v>
      </c>
      <c r="AB13" s="316" t="s">
        <v>219</v>
      </c>
      <c r="AC13" s="281" t="s">
        <v>224</v>
      </c>
      <c r="AD13" s="288">
        <f t="shared" si="2"/>
        <v>0</v>
      </c>
      <c r="AE13" s="284" t="s">
        <v>219</v>
      </c>
    </row>
    <row r="14" spans="3:32" ht="15" customHeight="1" thickBot="1">
      <c r="C14" s="443"/>
      <c r="D14" s="323">
        <v>4</v>
      </c>
      <c r="E14" s="324">
        <v>0</v>
      </c>
      <c r="I14" s="428"/>
      <c r="J14" s="295"/>
      <c r="K14" s="295"/>
      <c r="L14" s="296"/>
      <c r="M14" s="297"/>
      <c r="N14" s="318"/>
      <c r="O14" s="306"/>
      <c r="P14" s="320"/>
      <c r="Q14" s="297"/>
      <c r="R14" s="308"/>
      <c r="S14" s="307"/>
      <c r="T14" s="318"/>
      <c r="U14" s="297"/>
      <c r="V14" s="319"/>
      <c r="W14" s="307"/>
      <c r="X14" s="297"/>
      <c r="Y14" s="308"/>
      <c r="Z14" s="321"/>
      <c r="AA14" s="297"/>
      <c r="AB14" s="319"/>
      <c r="AC14" s="307"/>
      <c r="AD14" s="297"/>
      <c r="AE14" s="309"/>
    </row>
    <row r="15" spans="3:32" s="133" customFormat="1" ht="15" customHeight="1" thickBot="1">
      <c r="C15" s="444"/>
      <c r="D15" s="325">
        <v>5</v>
      </c>
      <c r="E15" s="326">
        <v>0</v>
      </c>
      <c r="L15" s="232"/>
      <c r="O15" s="206"/>
      <c r="P15" s="216"/>
      <c r="R15" s="160"/>
      <c r="S15" s="216"/>
      <c r="V15" s="160"/>
      <c r="W15" s="216"/>
      <c r="Y15" s="160"/>
      <c r="Z15" s="216"/>
      <c r="AB15" s="160"/>
      <c r="AC15" s="216"/>
      <c r="AE15" s="160"/>
      <c r="AF15" s="216"/>
    </row>
    <row r="16" spans="3:32" s="133" customFormat="1">
      <c r="L16" s="232"/>
      <c r="M16" s="186"/>
      <c r="O16" s="206"/>
      <c r="P16" s="216"/>
      <c r="R16" s="160"/>
      <c r="S16" s="216"/>
      <c r="V16" s="160"/>
      <c r="W16" s="216"/>
      <c r="Y16" s="160"/>
      <c r="Z16" s="216"/>
      <c r="AB16" s="160"/>
      <c r="AC16" s="216"/>
      <c r="AE16" s="160"/>
      <c r="AF16" s="216"/>
    </row>
    <row r="17" spans="2:30">
      <c r="M17" s="186"/>
    </row>
    <row r="18" spans="2:30" ht="19">
      <c r="M18" s="186"/>
      <c r="N18" s="420" t="s">
        <v>255</v>
      </c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2"/>
    </row>
    <row r="19" spans="2:30" ht="17" thickBot="1">
      <c r="M19" s="186"/>
      <c r="N19" s="437" t="s">
        <v>76</v>
      </c>
      <c r="O19" s="439" t="s">
        <v>195</v>
      </c>
      <c r="P19" s="440"/>
      <c r="Q19" s="440"/>
      <c r="R19" s="440"/>
      <c r="S19" s="440"/>
      <c r="T19" s="441"/>
      <c r="U19" s="299"/>
      <c r="V19" s="393" t="s">
        <v>196</v>
      </c>
      <c r="W19" s="393"/>
      <c r="X19" s="393"/>
      <c r="Y19" s="393"/>
      <c r="Z19" s="393"/>
      <c r="AA19" s="393"/>
      <c r="AB19" s="233" t="s">
        <v>165</v>
      </c>
    </row>
    <row r="20" spans="2:30" ht="49" thickBot="1">
      <c r="B20" s="423" t="s">
        <v>256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5"/>
      <c r="M20"/>
      <c r="N20" s="438"/>
      <c r="O20" s="234" t="s">
        <v>197</v>
      </c>
      <c r="P20" s="178" t="s">
        <v>198</v>
      </c>
      <c r="Q20" s="178" t="s">
        <v>225</v>
      </c>
      <c r="R20" s="178" t="s">
        <v>199</v>
      </c>
      <c r="S20" s="178" t="s">
        <v>200</v>
      </c>
      <c r="T20" s="235" t="s">
        <v>201</v>
      </c>
      <c r="U20" s="178" t="s">
        <v>262</v>
      </c>
      <c r="V20" s="180" t="s">
        <v>145</v>
      </c>
      <c r="W20" s="174" t="s">
        <v>208</v>
      </c>
      <c r="X20" s="68" t="s">
        <v>209</v>
      </c>
      <c r="Y20" s="64" t="s">
        <v>210</v>
      </c>
      <c r="Z20" s="64" t="s">
        <v>211</v>
      </c>
      <c r="AA20" s="64" t="s">
        <v>196</v>
      </c>
      <c r="AB20" s="75" t="s">
        <v>252</v>
      </c>
    </row>
    <row r="21" spans="2:30">
      <c r="B21" s="434" t="str">
        <f>'Pin Laricio'!F17</f>
        <v xml:space="preserve">Pin laricio </v>
      </c>
      <c r="C21" s="435"/>
      <c r="D21" s="435"/>
      <c r="E21" s="435"/>
      <c r="F21" s="435"/>
      <c r="G21" s="436"/>
      <c r="H21" s="414" t="s">
        <v>247</v>
      </c>
      <c r="I21" s="415"/>
      <c r="J21" s="415"/>
      <c r="K21" s="416"/>
      <c r="L21" s="298">
        <f>O5</f>
        <v>14.35</v>
      </c>
      <c r="N21" s="71">
        <v>0</v>
      </c>
      <c r="O21" s="236">
        <f>SUMPRODUCT(O6:AE6,O5:AE5)+SUMPRODUCT(O5:AE5,O7:AE7)+SUMPRODUCT(O5:AE5,O8:AE8)</f>
        <v>65836.69</v>
      </c>
      <c r="P21" s="177"/>
      <c r="Q21" s="237"/>
      <c r="R21" s="177">
        <f t="shared" ref="R21:R84" si="5">$L$10*SUM(O21:Q21)</f>
        <v>4608.5683000000008</v>
      </c>
      <c r="S21" s="177">
        <f>$L$11*(1+$L$9)^N21*'Récapitulatif des résultats'!$I$11</f>
        <v>0</v>
      </c>
      <c r="T21" s="238"/>
      <c r="U21" s="335">
        <f t="shared" ref="U21:U26" si="6">VLOOKUP(N21,D9:E14,2,FALSE)</f>
        <v>0</v>
      </c>
      <c r="V21" s="242">
        <f t="shared" ref="V21:V84" si="7">SUM(W21:Z21)</f>
        <v>0</v>
      </c>
      <c r="W21" s="243">
        <f>SUM('Pin Laricio'!AQ5*'Pin Laricio'!$F$21,Douglas!AQ5*Douglas!$F$21,'Cedre de l''Atlas'!AQ5*'Cedre de l''Atlas'!$F$21,'Sequoia sempervirens'!AQ5*'Sequoia sempervirens'!$F$21,Chêne!AQ5*Chêne!$F$21,Charme!AQ5*Charme!$F$21)</f>
        <v>0</v>
      </c>
      <c r="X21" s="243">
        <f>SUM('Pin Laricio'!AR5*'Pin Laricio'!$F$21,Douglas!AR5*Douglas!$F$21,'Cedre de l''Atlas'!AR5*'Cedre de l''Atlas'!$F$21,'Sequoia sempervirens'!AR5*'Sequoia sempervirens'!$F$21,Chêne!AR5*Chêne!$F$21,Charme!AR5*Charme!$F$21)</f>
        <v>0</v>
      </c>
      <c r="Y21" s="243">
        <f>SUM('Pin Laricio'!AS5*'Pin Laricio'!$F$21,Douglas!AS5*Douglas!$F$21,'Cedre de l''Atlas'!AS5*'Cedre de l''Atlas'!$F$21,'Sequoia sempervirens'!AS5*'Sequoia sempervirens'!$F$21,Chêne!AS5*Chêne!$F$21,Charme!AS5*Charme!$F$21)</f>
        <v>0</v>
      </c>
      <c r="Z21" s="327">
        <f>SUM('Pin Laricio'!AT5*'Pin Laricio'!$F$21,Douglas!AT5*Douglas!$F$21,'Cedre de l''Atlas'!AT5*'Cedre de l''Atlas'!$F$21,'Sequoia sempervirens'!AT5*'Sequoia sempervirens'!$F$21,Chêne!AT5*Chêne!$F$21,Charme!AT5*Charme!$F$21)</f>
        <v>0</v>
      </c>
      <c r="AA21" s="244">
        <f>SUMIF(B$23:B$115,N21,L$23:L$115)+U21</f>
        <v>0</v>
      </c>
      <c r="AB21" s="245">
        <f t="shared" ref="AB21:AB84" si="8">IF(N21&lt;=$L$4,(AA21-SUM(O21:T21))/((1+4.5%)^N21),)</f>
        <v>-70445.258300000001</v>
      </c>
    </row>
    <row r="22" spans="2:30">
      <c r="B22" s="255" t="str">
        <f>'Pin Laricio'!B81</f>
        <v>Année</v>
      </c>
      <c r="C22" s="132" t="str">
        <f>'Pin Laricio'!C81</f>
        <v>Volume d'éclaircie</v>
      </c>
      <c r="D22" s="130" t="str">
        <f>'Pin Laricio'!D81</f>
        <v>BO</v>
      </c>
      <c r="E22" s="130" t="str">
        <f>'Pin Laricio'!E81</f>
        <v>BI - panneaux</v>
      </c>
      <c r="F22" s="130" t="str">
        <f>'Pin Laricio'!F81</f>
        <v>BI - papier</v>
      </c>
      <c r="G22" s="131" t="str">
        <f>'Pin Laricio'!G81</f>
        <v>BE</v>
      </c>
      <c r="H22" s="213" t="s">
        <v>78</v>
      </c>
      <c r="I22" s="214" t="s">
        <v>81</v>
      </c>
      <c r="J22" s="214" t="s">
        <v>80</v>
      </c>
      <c r="K22" s="215" t="s">
        <v>79</v>
      </c>
      <c r="L22" s="256" t="s">
        <v>251</v>
      </c>
      <c r="N22" s="71">
        <v>1</v>
      </c>
      <c r="O22" s="236"/>
      <c r="P22" s="177">
        <f>SUMPRODUCT($O$5:$AE$5,O9:AE9)</f>
        <v>15707.45</v>
      </c>
      <c r="Q22" s="237"/>
      <c r="R22" s="177">
        <f t="shared" si="5"/>
        <v>1099.5215000000001</v>
      </c>
      <c r="S22" s="177">
        <f>$L$11*(1+$L$9)^N22*'Récapitulatif des résultats'!$I$11</f>
        <v>0</v>
      </c>
      <c r="T22" s="238"/>
      <c r="U22" s="335">
        <f t="shared" si="6"/>
        <v>0</v>
      </c>
      <c r="V22" s="246">
        <f t="shared" si="7"/>
        <v>0</v>
      </c>
      <c r="W22" s="185">
        <f>SUM('Pin Laricio'!AQ6*'Pin Laricio'!$F$21,Douglas!AQ6*Douglas!$F$21,'Cedre de l''Atlas'!AQ6*'Cedre de l''Atlas'!$F$21,'Sequoia sempervirens'!AQ6*'Sequoia sempervirens'!$F$21,Chêne!AQ6*Chêne!$F$21,Charme!AQ6*Charme!$F$21)</f>
        <v>0</v>
      </c>
      <c r="X22" s="185">
        <f>SUM('Pin Laricio'!AR6*'Pin Laricio'!$F$21,Douglas!AR6*Douglas!$F$21,'Cedre de l''Atlas'!AR6*'Cedre de l''Atlas'!$F$21,'Sequoia sempervirens'!AR6*'Sequoia sempervirens'!$F$21,Chêne!AR6*Chêne!$F$21,Charme!AR6*Charme!$F$21)</f>
        <v>0</v>
      </c>
      <c r="Y22" s="185">
        <f>SUM('Pin Laricio'!AS6*'Pin Laricio'!$F$21,Douglas!AS6*Douglas!$F$21,'Cedre de l''Atlas'!AS6*'Cedre de l''Atlas'!$F$21,'Sequoia sempervirens'!AS6*'Sequoia sempervirens'!$F$21,Chêne!AS6*Chêne!$F$21,Charme!AS6*Charme!$F$21)</f>
        <v>0</v>
      </c>
      <c r="Z22" s="328">
        <f>SUM('Pin Laricio'!AT6*'Pin Laricio'!$F$21,Douglas!AT6*Douglas!$F$21,'Cedre de l''Atlas'!AT6*'Cedre de l''Atlas'!$F$21,'Sequoia sempervirens'!AT6*'Sequoia sempervirens'!$F$21,Chêne!AT6*Chêne!$F$21,Charme!AT6*Charme!$F$21)</f>
        <v>0</v>
      </c>
      <c r="AA22" s="175">
        <f t="shared" ref="AA22:AA85" si="9">SUMIF(B$23:B$115,N22,L$23:L$115)+U22</f>
        <v>0</v>
      </c>
      <c r="AB22" s="176">
        <f t="shared" si="8"/>
        <v>-16083.226315789474</v>
      </c>
      <c r="AC22" s="175"/>
      <c r="AD22" s="175"/>
    </row>
    <row r="23" spans="2:30">
      <c r="B23" s="257">
        <f>'Pin Laricio'!B82</f>
        <v>23</v>
      </c>
      <c r="C23" s="220">
        <f>'Pin Laricio'!C82</f>
        <v>16</v>
      </c>
      <c r="D23" s="217">
        <f>'Pin Laricio'!D82</f>
        <v>0</v>
      </c>
      <c r="E23" s="217">
        <f>'Pin Laricio'!E82</f>
        <v>0.56000000000000005</v>
      </c>
      <c r="F23" s="217">
        <f>'Pin Laricio'!F82</f>
        <v>0.44</v>
      </c>
      <c r="G23" s="221">
        <f>'Pin Laricio'!G82</f>
        <v>0</v>
      </c>
      <c r="H23" s="228">
        <f>IFERROR(VLOOKUP($B$21,Tableau14582[],4,FALSE)*(1+$L$9)^$B23,0)</f>
        <v>30</v>
      </c>
      <c r="I23" s="229">
        <f>IFERROR(VLOOKUP($B$21,Tableau14582[],5,FALSE)*(1+$L$9)^$B23,0)</f>
        <v>19.375</v>
      </c>
      <c r="J23" s="229">
        <f>IFERROR(VLOOKUP($B$21,Tableau14582[],5,FALSE)*(1+$L$9)^$B23,0)</f>
        <v>19.375</v>
      </c>
      <c r="K23" s="230">
        <f>IFERROR(VLOOKUP($B$21,Tableau14582[],6,FALSE)*(1+$L$9)^$B23,0)</f>
        <v>10</v>
      </c>
      <c r="L23" s="258">
        <f>(C23*D23*H23+C23*E23*I23+C23*F23*J23+C23*G23*K23)*L$21</f>
        <v>4448.5</v>
      </c>
      <c r="N23" s="71">
        <v>2</v>
      </c>
      <c r="O23" s="236"/>
      <c r="P23" s="177">
        <f>SUMPRODUCT($O$5:$AE$5,O10:AE10)</f>
        <v>6175.95</v>
      </c>
      <c r="Q23" s="237"/>
      <c r="R23" s="177">
        <f t="shared" si="5"/>
        <v>432.31650000000002</v>
      </c>
      <c r="S23" s="177">
        <f>$L$11*(1+$L$9)^N23*'Récapitulatif des résultats'!$I$11</f>
        <v>0</v>
      </c>
      <c r="T23" s="238"/>
      <c r="U23" s="335">
        <f t="shared" si="6"/>
        <v>0</v>
      </c>
      <c r="V23" s="246">
        <f t="shared" si="7"/>
        <v>0</v>
      </c>
      <c r="W23" s="185">
        <f>SUM('Pin Laricio'!AQ7*'Pin Laricio'!$F$21,Douglas!AQ7*Douglas!$F$21,'Cedre de l''Atlas'!AQ7*'Cedre de l''Atlas'!$F$21,'Sequoia sempervirens'!AQ7*'Sequoia sempervirens'!$F$21,Chêne!AQ7*Chêne!$F$21,Charme!AQ7*Charme!$F$21)</f>
        <v>0</v>
      </c>
      <c r="X23" s="185">
        <f>SUM('Pin Laricio'!AR7*'Pin Laricio'!$F$21,Douglas!AR7*Douglas!$F$21,'Cedre de l''Atlas'!AR7*'Cedre de l''Atlas'!$F$21,'Sequoia sempervirens'!AR7*'Sequoia sempervirens'!$F$21,Chêne!AR7*Chêne!$F$21,Charme!AR7*Charme!$F$21)</f>
        <v>0</v>
      </c>
      <c r="Y23" s="185">
        <f>SUM('Pin Laricio'!AS7*'Pin Laricio'!$F$21,Douglas!AS7*Douglas!$F$21,'Cedre de l''Atlas'!AS7*'Cedre de l''Atlas'!$F$21,'Sequoia sempervirens'!AS7*'Sequoia sempervirens'!$F$21,Chêne!AS7*Chêne!$F$21,Charme!AS7*Charme!$F$21)</f>
        <v>0</v>
      </c>
      <c r="Z23" s="328">
        <f>SUM('Pin Laricio'!AT7*'Pin Laricio'!$F$21,Douglas!AT7*Douglas!$F$21,'Cedre de l''Atlas'!AT7*'Cedre de l''Atlas'!$F$21,'Sequoia sempervirens'!AT7*'Sequoia sempervirens'!$F$21,Chêne!AT7*Chêne!$F$21,Charme!AT7*Charme!$F$21)</f>
        <v>0</v>
      </c>
      <c r="AA23" s="175">
        <f t="shared" si="9"/>
        <v>0</v>
      </c>
      <c r="AB23" s="176">
        <f t="shared" si="8"/>
        <v>-6051.3875598086133</v>
      </c>
      <c r="AC23" s="175"/>
      <c r="AD23" s="175"/>
    </row>
    <row r="24" spans="2:30">
      <c r="B24" s="259">
        <f>'Pin Laricio'!B83</f>
        <v>26</v>
      </c>
      <c r="C24" s="222">
        <f>'Pin Laricio'!C83</f>
        <v>17</v>
      </c>
      <c r="D24" s="223">
        <f>'Pin Laricio'!D83</f>
        <v>0</v>
      </c>
      <c r="E24" s="218">
        <f>'Pin Laricio'!E83</f>
        <v>0.56000000000000005</v>
      </c>
      <c r="F24" s="218">
        <f>'Pin Laricio'!F83</f>
        <v>0.44</v>
      </c>
      <c r="G24" s="224">
        <f>'Pin Laricio'!G83</f>
        <v>0</v>
      </c>
      <c r="H24" s="207">
        <f>IFERROR(VLOOKUP($B$21,Tableau14582[],4,FALSE)*(1+$L$9)^$B24,0)</f>
        <v>30</v>
      </c>
      <c r="I24" s="208">
        <f>IFERROR(VLOOKUP($B$21,Tableau14582[],5,FALSE)*(1+$L$9)^$B24,0)</f>
        <v>19.375</v>
      </c>
      <c r="J24" s="208">
        <f>IFERROR(VLOOKUP($B$21,Tableau14582[],5,FALSE)*(1+$L$9)^$B24,0)</f>
        <v>19.375</v>
      </c>
      <c r="K24" s="209">
        <f>IFERROR(VLOOKUP($B$21,Tableau14582[],6,FALSE)*(1+$L$9)^$B24,0)</f>
        <v>10</v>
      </c>
      <c r="L24" s="260">
        <f t="shared" ref="L24:L35" si="10">(C24*D24*H24+C24*E24*I24+C24*F24*J24+C24*G24*K24)*L$21</f>
        <v>4726.53125</v>
      </c>
      <c r="N24" s="71">
        <v>3</v>
      </c>
      <c r="O24" s="236"/>
      <c r="P24" s="177">
        <f>SUMPRODUCT($O$5:$AE$5,O11:AE11)</f>
        <v>6175.95</v>
      </c>
      <c r="Q24" s="237"/>
      <c r="R24" s="177">
        <f t="shared" si="5"/>
        <v>432.31650000000002</v>
      </c>
      <c r="S24" s="177">
        <f>$L$11*(1+$L$9)^N24*'Récapitulatif des résultats'!$I$11</f>
        <v>0</v>
      </c>
      <c r="T24" s="238"/>
      <c r="U24" s="335">
        <f t="shared" si="6"/>
        <v>0</v>
      </c>
      <c r="V24" s="246">
        <f t="shared" si="7"/>
        <v>0</v>
      </c>
      <c r="W24" s="185">
        <f>SUM('Pin Laricio'!AQ8*'Pin Laricio'!$F$21,Douglas!AQ8*Douglas!$F$21,'Cedre de l''Atlas'!AQ8*'Cedre de l''Atlas'!$F$21,'Sequoia sempervirens'!AQ8*'Sequoia sempervirens'!$F$21,Chêne!AQ8*Chêne!$F$21,Charme!AQ8*Charme!$F$21)</f>
        <v>0</v>
      </c>
      <c r="X24" s="185">
        <f>SUM('Pin Laricio'!AR8*'Pin Laricio'!$F$21,Douglas!AR8*Douglas!$F$21,'Cedre de l''Atlas'!AR8*'Cedre de l''Atlas'!$F$21,'Sequoia sempervirens'!AR8*'Sequoia sempervirens'!$F$21,Chêne!AR8*Chêne!$F$21,Charme!AR8*Charme!$F$21)</f>
        <v>0</v>
      </c>
      <c r="Y24" s="185">
        <f>SUM('Pin Laricio'!AS8*'Pin Laricio'!$F$21,Douglas!AS8*Douglas!$F$21,'Cedre de l''Atlas'!AS8*'Cedre de l''Atlas'!$F$21,'Sequoia sempervirens'!AS8*'Sequoia sempervirens'!$F$21,Chêne!AS8*Chêne!$F$21,Charme!AS8*Charme!$F$21)</f>
        <v>0</v>
      </c>
      <c r="Z24" s="328">
        <f>SUM('Pin Laricio'!AT8*'Pin Laricio'!$F$21,Douglas!AT8*Douglas!$F$21,'Cedre de l''Atlas'!AT8*'Cedre de l''Atlas'!$F$21,'Sequoia sempervirens'!AT8*'Sequoia sempervirens'!$F$21,Chêne!AT8*Chêne!$F$21,Charme!AT8*Charme!$F$21)</f>
        <v>0</v>
      </c>
      <c r="AA24" s="175">
        <f t="shared" si="9"/>
        <v>0</v>
      </c>
      <c r="AB24" s="176">
        <f t="shared" si="8"/>
        <v>-5790.8014926398209</v>
      </c>
      <c r="AC24" s="175"/>
      <c r="AD24" s="175"/>
    </row>
    <row r="25" spans="2:30">
      <c r="B25" s="259">
        <f>'Pin Laricio'!B84</f>
        <v>31</v>
      </c>
      <c r="C25" s="222">
        <f>'Pin Laricio'!C84</f>
        <v>34</v>
      </c>
      <c r="D25" s="223">
        <f>'Pin Laricio'!D84</f>
        <v>0.2</v>
      </c>
      <c r="E25" s="218">
        <f>'Pin Laricio'!E84</f>
        <v>0.44800000000000006</v>
      </c>
      <c r="F25" s="218">
        <f>'Pin Laricio'!F84</f>
        <v>0.35200000000000004</v>
      </c>
      <c r="G25" s="224">
        <f>'Pin Laricio'!G84</f>
        <v>0</v>
      </c>
      <c r="H25" s="207">
        <f>IFERROR(VLOOKUP($B$21,Tableau14582[],4,FALSE)*(1+$L$9)^$B25,0)</f>
        <v>30</v>
      </c>
      <c r="I25" s="208">
        <f>IFERROR(VLOOKUP($B$21,Tableau14582[],5,FALSE)*(1+$L$9)^$B25,0)</f>
        <v>19.375</v>
      </c>
      <c r="J25" s="208">
        <f>IFERROR(VLOOKUP($B$21,Tableau14582[],5,FALSE)*(1+$L$9)^$B25,0)</f>
        <v>19.375</v>
      </c>
      <c r="K25" s="209">
        <f>IFERROR(VLOOKUP($B$21,Tableau14582[],6,FALSE)*(1+$L$9)^$B25,0)</f>
        <v>10</v>
      </c>
      <c r="L25" s="260">
        <f t="shared" si="10"/>
        <v>10489.850000000002</v>
      </c>
      <c r="N25" s="71">
        <v>4</v>
      </c>
      <c r="O25" s="236"/>
      <c r="P25" s="177">
        <f>SUMPRODUCT($O$5:$AE$5,O12:AE12)</f>
        <v>0</v>
      </c>
      <c r="Q25" s="237"/>
      <c r="R25" s="177">
        <f t="shared" si="5"/>
        <v>0</v>
      </c>
      <c r="S25" s="177">
        <f>$L$11*(1+$L$9)^N25*'Récapitulatif des résultats'!$I$11</f>
        <v>0</v>
      </c>
      <c r="T25" s="238"/>
      <c r="U25" s="335">
        <f t="shared" si="6"/>
        <v>0</v>
      </c>
      <c r="V25" s="246">
        <f t="shared" si="7"/>
        <v>0</v>
      </c>
      <c r="W25" s="185">
        <f>SUM('Pin Laricio'!AQ9*'Pin Laricio'!$F$21,Douglas!AQ9*Douglas!$F$21,'Cedre de l''Atlas'!AQ9*'Cedre de l''Atlas'!$F$21,'Sequoia sempervirens'!AQ9*'Sequoia sempervirens'!$F$21,Chêne!AQ9*Chêne!$F$21,Charme!AQ9*Charme!$F$21)</f>
        <v>0</v>
      </c>
      <c r="X25" s="185">
        <f>SUM('Pin Laricio'!AR9*'Pin Laricio'!$F$21,Douglas!AR9*Douglas!$F$21,'Cedre de l''Atlas'!AR9*'Cedre de l''Atlas'!$F$21,'Sequoia sempervirens'!AR9*'Sequoia sempervirens'!$F$21,Chêne!AR9*Chêne!$F$21,Charme!AR9*Charme!$F$21)</f>
        <v>0</v>
      </c>
      <c r="Y25" s="185">
        <f>SUM('Pin Laricio'!AS9*'Pin Laricio'!$F$21,Douglas!AS9*Douglas!$F$21,'Cedre de l''Atlas'!AS9*'Cedre de l''Atlas'!$F$21,'Sequoia sempervirens'!AS9*'Sequoia sempervirens'!$F$21,Chêne!AS9*Chêne!$F$21,Charme!AS9*Charme!$F$21)</f>
        <v>0</v>
      </c>
      <c r="Z25" s="328">
        <f>SUM('Pin Laricio'!AT9*'Pin Laricio'!$F$21,Douglas!AT9*Douglas!$F$21,'Cedre de l''Atlas'!AT9*'Cedre de l''Atlas'!$F$21,'Sequoia sempervirens'!AT9*'Sequoia sempervirens'!$F$21,Chêne!AT9*Chêne!$F$21,Charme!AT9*Charme!$F$21)</f>
        <v>0</v>
      </c>
      <c r="AA25" s="175">
        <f t="shared" si="9"/>
        <v>0</v>
      </c>
      <c r="AB25" s="176">
        <f t="shared" si="8"/>
        <v>0</v>
      </c>
      <c r="AC25" s="175"/>
      <c r="AD25" s="175"/>
    </row>
    <row r="26" spans="2:30">
      <c r="B26" s="259">
        <f>'Pin Laricio'!B85</f>
        <v>36</v>
      </c>
      <c r="C26" s="222">
        <f>'Pin Laricio'!C85</f>
        <v>41</v>
      </c>
      <c r="D26" s="223">
        <f>'Pin Laricio'!D85</f>
        <v>0.3</v>
      </c>
      <c r="E26" s="218">
        <f>'Pin Laricio'!E85</f>
        <v>0.39200000000000002</v>
      </c>
      <c r="F26" s="218">
        <f>'Pin Laricio'!F85</f>
        <v>0.308</v>
      </c>
      <c r="G26" s="224">
        <f>'Pin Laricio'!G85</f>
        <v>0</v>
      </c>
      <c r="H26" s="207">
        <f>IFERROR(VLOOKUP($B$21,Tableau14582[],4,FALSE)*(1+$L$9)^$B26,0)</f>
        <v>30</v>
      </c>
      <c r="I26" s="208">
        <f>IFERROR(VLOOKUP($B$21,Tableau14582[],5,FALSE)*(1+$L$9)^$B26,0)</f>
        <v>19.375</v>
      </c>
      <c r="J26" s="208">
        <f>IFERROR(VLOOKUP($B$21,Tableau14582[],5,FALSE)*(1+$L$9)^$B26,0)</f>
        <v>19.375</v>
      </c>
      <c r="K26" s="209">
        <f>IFERROR(VLOOKUP($B$21,Tableau14582[],6,FALSE)*(1+$L$9)^$B26,0)</f>
        <v>10</v>
      </c>
      <c r="L26" s="260">
        <f t="shared" si="10"/>
        <v>13274.646875</v>
      </c>
      <c r="N26" s="71">
        <v>5</v>
      </c>
      <c r="O26" s="236"/>
      <c r="P26" s="177">
        <f>SUMPRODUCT($O$5:$AE$5,O13:AE13)</f>
        <v>0</v>
      </c>
      <c r="Q26" s="237"/>
      <c r="R26" s="177">
        <f t="shared" si="5"/>
        <v>0</v>
      </c>
      <c r="S26" s="177">
        <f>$L$11*(1+$L$9)^N26*'Récapitulatif des résultats'!$I$11</f>
        <v>0</v>
      </c>
      <c r="T26" s="238"/>
      <c r="U26" s="335">
        <f t="shared" si="6"/>
        <v>0</v>
      </c>
      <c r="V26" s="246">
        <f t="shared" si="7"/>
        <v>0</v>
      </c>
      <c r="W26" s="185">
        <f>SUM('Pin Laricio'!AQ10*'Pin Laricio'!$F$21,Douglas!AQ10*Douglas!$F$21,'Cedre de l''Atlas'!AQ10*'Cedre de l''Atlas'!$F$21,'Sequoia sempervirens'!AQ10*'Sequoia sempervirens'!$F$21,Chêne!AQ10*Chêne!$F$21,Charme!AQ10*Charme!$F$21)</f>
        <v>0</v>
      </c>
      <c r="X26" s="185">
        <f>SUM('Pin Laricio'!AR10*'Pin Laricio'!$F$21,Douglas!AR10*Douglas!$F$21,'Cedre de l''Atlas'!AR10*'Cedre de l''Atlas'!$F$21,'Sequoia sempervirens'!AR10*'Sequoia sempervirens'!$F$21,Chêne!AR10*Chêne!$F$21,Charme!AR10*Charme!$F$21)</f>
        <v>0</v>
      </c>
      <c r="Y26" s="185">
        <f>SUM('Pin Laricio'!AS10*'Pin Laricio'!$F$21,Douglas!AS10*Douglas!$F$21,'Cedre de l''Atlas'!AS10*'Cedre de l''Atlas'!$F$21,'Sequoia sempervirens'!AS10*'Sequoia sempervirens'!$F$21,Chêne!AS10*Chêne!$F$21,Charme!AS10*Charme!$F$21)</f>
        <v>0</v>
      </c>
      <c r="Z26" s="328">
        <f>SUM('Pin Laricio'!AT10*'Pin Laricio'!$F$21,Douglas!AT10*Douglas!$F$21,'Cedre de l''Atlas'!AT10*'Cedre de l''Atlas'!$F$21,'Sequoia sempervirens'!AT10*'Sequoia sempervirens'!$F$21,Chêne!AT10*Chêne!$F$21,Charme!AT10*Charme!$F$21)</f>
        <v>0</v>
      </c>
      <c r="AA26" s="175">
        <f t="shared" si="9"/>
        <v>0</v>
      </c>
      <c r="AB26" s="176">
        <f t="shared" si="8"/>
        <v>0</v>
      </c>
      <c r="AC26" s="175"/>
      <c r="AD26" s="175"/>
    </row>
    <row r="27" spans="2:30">
      <c r="B27" s="259">
        <f>'Pin Laricio'!B86</f>
        <v>41</v>
      </c>
      <c r="C27" s="222">
        <f>'Pin Laricio'!C86</f>
        <v>41</v>
      </c>
      <c r="D27" s="223">
        <f>'Pin Laricio'!D86</f>
        <v>0.4</v>
      </c>
      <c r="E27" s="218">
        <f>'Pin Laricio'!E86</f>
        <v>0.33600000000000002</v>
      </c>
      <c r="F27" s="218">
        <f>'Pin Laricio'!F86</f>
        <v>0.26400000000000001</v>
      </c>
      <c r="G27" s="224">
        <f>'Pin Laricio'!G86</f>
        <v>0</v>
      </c>
      <c r="H27" s="207">
        <f>IFERROR(VLOOKUP($B$21,Tableau14582[],4,FALSE)*(1+$L$9)^$B27,0)</f>
        <v>30</v>
      </c>
      <c r="I27" s="208">
        <f>IFERROR(VLOOKUP($B$21,Tableau14582[],5,FALSE)*(1+$L$9)^$B27,0)</f>
        <v>19.375</v>
      </c>
      <c r="J27" s="208">
        <f>IFERROR(VLOOKUP($B$21,Tableau14582[],5,FALSE)*(1+$L$9)^$B27,0)</f>
        <v>19.375</v>
      </c>
      <c r="K27" s="209">
        <f>IFERROR(VLOOKUP($B$21,Tableau14582[],6,FALSE)*(1+$L$9)^$B27,0)</f>
        <v>10</v>
      </c>
      <c r="L27" s="260">
        <f t="shared" si="10"/>
        <v>13899.768750000001</v>
      </c>
      <c r="N27" s="71">
        <v>6</v>
      </c>
      <c r="O27" s="236"/>
      <c r="P27" s="177"/>
      <c r="Q27" s="237">
        <f t="shared" ref="Q27:Q58" si="11">$L$13*(1+$L$9)^N27*$L$5</f>
        <v>541.75</v>
      </c>
      <c r="R27" s="177">
        <f t="shared" si="5"/>
        <v>37.922500000000007</v>
      </c>
      <c r="S27" s="177">
        <f>$L$11*(1+$L$9)^N27*'Récapitulatif des résultats'!$I$11</f>
        <v>0</v>
      </c>
      <c r="T27" s="238"/>
      <c r="U27" s="177"/>
      <c r="V27" s="246">
        <f t="shared" si="7"/>
        <v>0</v>
      </c>
      <c r="W27" s="185">
        <f>SUM('Pin Laricio'!AQ11*'Pin Laricio'!$F$21,Douglas!AQ11*Douglas!$F$21,'Cedre de l''Atlas'!AQ11*'Cedre de l''Atlas'!$F$21,'Sequoia sempervirens'!AQ11*'Sequoia sempervirens'!$F$21,Chêne!AQ11*Chêne!$F$21,Charme!AQ11*Charme!$F$21)</f>
        <v>0</v>
      </c>
      <c r="X27" s="185">
        <f>SUM('Pin Laricio'!AR11*'Pin Laricio'!$F$21,Douglas!AR11*Douglas!$F$21,'Cedre de l''Atlas'!AR11*'Cedre de l''Atlas'!$F$21,'Sequoia sempervirens'!AR11*'Sequoia sempervirens'!$F$21,Chêne!AR11*Chêne!$F$21,Charme!AR11*Charme!$F$21)</f>
        <v>0</v>
      </c>
      <c r="Y27" s="185">
        <f>SUM('Pin Laricio'!AS11*'Pin Laricio'!$F$21,Douglas!AS11*Douglas!$F$21,'Cedre de l''Atlas'!AS11*'Cedre de l''Atlas'!$F$21,'Sequoia sempervirens'!AS11*'Sequoia sempervirens'!$F$21,Chêne!AS11*Chêne!$F$21,Charme!AS11*Charme!$F$21)</f>
        <v>0</v>
      </c>
      <c r="Z27" s="328">
        <f>SUM('Pin Laricio'!AT11*'Pin Laricio'!$F$21,Douglas!AT11*Douglas!$F$21,'Cedre de l''Atlas'!AT11*'Cedre de l''Atlas'!$F$21,'Sequoia sempervirens'!AT11*'Sequoia sempervirens'!$F$21,Chêne!AT11*Chêne!$F$21,Charme!AT11*Charme!$F$21)</f>
        <v>0</v>
      </c>
      <c r="AA27" s="175">
        <f t="shared" si="9"/>
        <v>0</v>
      </c>
      <c r="AB27" s="176">
        <f t="shared" si="8"/>
        <v>-445.12804234705067</v>
      </c>
      <c r="AC27" s="175"/>
      <c r="AD27" s="175"/>
    </row>
    <row r="28" spans="2:30">
      <c r="B28" s="259">
        <f>'Pin Laricio'!B87</f>
        <v>46</v>
      </c>
      <c r="C28" s="222">
        <f>'Pin Laricio'!C87</f>
        <v>53</v>
      </c>
      <c r="D28" s="223">
        <f>'Pin Laricio'!D87</f>
        <v>0.5</v>
      </c>
      <c r="E28" s="218">
        <f>'Pin Laricio'!E87</f>
        <v>0.28000000000000003</v>
      </c>
      <c r="F28" s="218">
        <f>'Pin Laricio'!F87</f>
        <v>0.22</v>
      </c>
      <c r="G28" s="224">
        <f>'Pin Laricio'!G87</f>
        <v>0</v>
      </c>
      <c r="H28" s="207">
        <f>IFERROR(VLOOKUP($B$21,Tableau14582[],4,FALSE)*(1+$L$9)^$B28,0)</f>
        <v>30</v>
      </c>
      <c r="I28" s="208">
        <f>IFERROR(VLOOKUP($B$21,Tableau14582[],5,FALSE)*(1+$L$9)^$B28,0)</f>
        <v>19.375</v>
      </c>
      <c r="J28" s="208">
        <f>IFERROR(VLOOKUP($B$21,Tableau14582[],5,FALSE)*(1+$L$9)^$B28,0)</f>
        <v>19.375</v>
      </c>
      <c r="K28" s="209">
        <f>IFERROR(VLOOKUP($B$21,Tableau14582[],6,FALSE)*(1+$L$9)^$B28,0)</f>
        <v>10</v>
      </c>
      <c r="L28" s="260">
        <f t="shared" si="10"/>
        <v>18776.078125</v>
      </c>
      <c r="N28" s="71">
        <v>7</v>
      </c>
      <c r="O28" s="236"/>
      <c r="P28" s="177"/>
      <c r="Q28" s="237">
        <f t="shared" si="11"/>
        <v>541.75</v>
      </c>
      <c r="R28" s="177">
        <f t="shared" si="5"/>
        <v>37.922500000000007</v>
      </c>
      <c r="S28" s="177">
        <f>$L$11*(1+$L$9)^N28*'Récapitulatif des résultats'!$I$11</f>
        <v>0</v>
      </c>
      <c r="T28" s="238"/>
      <c r="U28" s="177"/>
      <c r="V28" s="246">
        <f t="shared" si="7"/>
        <v>0</v>
      </c>
      <c r="W28" s="185">
        <f>SUM('Pin Laricio'!AQ12*'Pin Laricio'!$F$21,Douglas!AQ12*Douglas!$F$21,'Cedre de l''Atlas'!AQ12*'Cedre de l''Atlas'!$F$21,'Sequoia sempervirens'!AQ12*'Sequoia sempervirens'!$F$21,Chêne!AQ12*Chêne!$F$21,Charme!AQ12*Charme!$F$21)</f>
        <v>0</v>
      </c>
      <c r="X28" s="185">
        <f>SUM('Pin Laricio'!AR12*'Pin Laricio'!$F$21,Douglas!AR12*Douglas!$F$21,'Cedre de l''Atlas'!AR12*'Cedre de l''Atlas'!$F$21,'Sequoia sempervirens'!AR12*'Sequoia sempervirens'!$F$21,Chêne!AR12*Chêne!$F$21,Charme!AR12*Charme!$F$21)</f>
        <v>0</v>
      </c>
      <c r="Y28" s="185">
        <f>SUM('Pin Laricio'!AS12*'Pin Laricio'!$F$21,Douglas!AS12*Douglas!$F$21,'Cedre de l''Atlas'!AS12*'Cedre de l''Atlas'!$F$21,'Sequoia sempervirens'!AS12*'Sequoia sempervirens'!$F$21,Chêne!AS12*Chêne!$F$21,Charme!AS12*Charme!$F$21)</f>
        <v>0</v>
      </c>
      <c r="Z28" s="328">
        <f>SUM('Pin Laricio'!AT12*'Pin Laricio'!$F$21,Douglas!AT12*Douglas!$F$21,'Cedre de l''Atlas'!AT12*'Cedre de l''Atlas'!$F$21,'Sequoia sempervirens'!AT12*'Sequoia sempervirens'!$F$21,Chêne!AT12*Chêne!$F$21,Charme!AT12*Charme!$F$21)</f>
        <v>0</v>
      </c>
      <c r="AA28" s="175">
        <f t="shared" si="9"/>
        <v>0</v>
      </c>
      <c r="AB28" s="176">
        <f t="shared" si="8"/>
        <v>-425.95984913593361</v>
      </c>
      <c r="AC28" s="175"/>
      <c r="AD28" s="175"/>
    </row>
    <row r="29" spans="2:30">
      <c r="B29" s="259">
        <f>'Pin Laricio'!B88</f>
        <v>51</v>
      </c>
      <c r="C29" s="222">
        <f>'Pin Laricio'!C88</f>
        <v>53</v>
      </c>
      <c r="D29" s="223">
        <f>'Pin Laricio'!D88</f>
        <v>0.6</v>
      </c>
      <c r="E29" s="218">
        <f>'Pin Laricio'!E88</f>
        <v>0.22400000000000003</v>
      </c>
      <c r="F29" s="218">
        <f>'Pin Laricio'!F88</f>
        <v>0.17600000000000002</v>
      </c>
      <c r="G29" s="224">
        <f>'Pin Laricio'!G88</f>
        <v>0</v>
      </c>
      <c r="H29" s="207">
        <f>IFERROR(VLOOKUP($B$21,Tableau14582[],4,FALSE)*(1+$L$9)^$B29,0)</f>
        <v>30</v>
      </c>
      <c r="I29" s="208">
        <f>IFERROR(VLOOKUP($B$21,Tableau14582[],5,FALSE)*(1+$L$9)^$B29,0)</f>
        <v>19.375</v>
      </c>
      <c r="J29" s="208">
        <f>IFERROR(VLOOKUP($B$21,Tableau14582[],5,FALSE)*(1+$L$9)^$B29,0)</f>
        <v>19.375</v>
      </c>
      <c r="K29" s="209">
        <f>IFERROR(VLOOKUP($B$21,Tableau14582[],6,FALSE)*(1+$L$9)^$B29,0)</f>
        <v>10</v>
      </c>
      <c r="L29" s="260">
        <f t="shared" si="10"/>
        <v>19584.162499999999</v>
      </c>
      <c r="N29" s="71">
        <v>8</v>
      </c>
      <c r="O29" s="236"/>
      <c r="P29" s="177"/>
      <c r="Q29" s="237">
        <f t="shared" si="11"/>
        <v>541.75</v>
      </c>
      <c r="R29" s="177">
        <f t="shared" si="5"/>
        <v>37.922500000000007</v>
      </c>
      <c r="S29" s="177">
        <f>$L$11*(1+$L$9)^N29*'Récapitulatif des résultats'!$I$11</f>
        <v>0</v>
      </c>
      <c r="T29" s="238"/>
      <c r="U29" s="177"/>
      <c r="V29" s="246">
        <f t="shared" si="7"/>
        <v>0</v>
      </c>
      <c r="W29" s="185">
        <f>SUM('Pin Laricio'!AQ13*'Pin Laricio'!$F$21,Douglas!AQ13*Douglas!$F$21,'Cedre de l''Atlas'!AQ13*'Cedre de l''Atlas'!$F$21,'Sequoia sempervirens'!AQ13*'Sequoia sempervirens'!$F$21,Chêne!AQ13*Chêne!$F$21,Charme!AQ13*Charme!$F$21)</f>
        <v>0</v>
      </c>
      <c r="X29" s="185">
        <f>SUM('Pin Laricio'!AR13*'Pin Laricio'!$F$21,Douglas!AR13*Douglas!$F$21,'Cedre de l''Atlas'!AR13*'Cedre de l''Atlas'!$F$21,'Sequoia sempervirens'!AR13*'Sequoia sempervirens'!$F$21,Chêne!AR13*Chêne!$F$21,Charme!AR13*Charme!$F$21)</f>
        <v>0</v>
      </c>
      <c r="Y29" s="185">
        <f>SUM('Pin Laricio'!AS13*'Pin Laricio'!$F$21,Douglas!AS13*Douglas!$F$21,'Cedre de l''Atlas'!AS13*'Cedre de l''Atlas'!$F$21,'Sequoia sempervirens'!AS13*'Sequoia sempervirens'!$F$21,Chêne!AS13*Chêne!$F$21,Charme!AS13*Charme!$F$21)</f>
        <v>0</v>
      </c>
      <c r="Z29" s="328">
        <f>SUM('Pin Laricio'!AT13*'Pin Laricio'!$F$21,Douglas!AT13*Douglas!$F$21,'Cedre de l''Atlas'!AT13*'Cedre de l''Atlas'!$F$21,'Sequoia sempervirens'!AT13*'Sequoia sempervirens'!$F$21,Chêne!AT13*Chêne!$F$21,Charme!AT13*Charme!$F$21)</f>
        <v>0</v>
      </c>
      <c r="AA29" s="175">
        <f t="shared" si="9"/>
        <v>0</v>
      </c>
      <c r="AB29" s="176">
        <f t="shared" si="8"/>
        <v>-407.61708051285524</v>
      </c>
      <c r="AC29" s="175"/>
      <c r="AD29" s="175"/>
    </row>
    <row r="30" spans="2:30">
      <c r="B30" s="259">
        <f>'Pin Laricio'!B89</f>
        <v>59</v>
      </c>
      <c r="C30" s="222">
        <f>'Pin Laricio'!C89</f>
        <v>78</v>
      </c>
      <c r="D30" s="223">
        <f>'Pin Laricio'!D89</f>
        <v>0.7</v>
      </c>
      <c r="E30" s="218">
        <f>'Pin Laricio'!E89</f>
        <v>0.16800000000000004</v>
      </c>
      <c r="F30" s="218">
        <f>'Pin Laricio'!F89</f>
        <v>0.13200000000000003</v>
      </c>
      <c r="G30" s="224">
        <f>'Pin Laricio'!G89</f>
        <v>0</v>
      </c>
      <c r="H30" s="207">
        <f>IFERROR(VLOOKUP($B$21,Tableau14582[],4,FALSE)*(1+$L$9)^$B30,0)</f>
        <v>30</v>
      </c>
      <c r="I30" s="208">
        <f>IFERROR(VLOOKUP($B$21,Tableau14582[],5,FALSE)*(1+$L$9)^$B30,0)</f>
        <v>19.375</v>
      </c>
      <c r="J30" s="208">
        <f>IFERROR(VLOOKUP($B$21,Tableau14582[],5,FALSE)*(1+$L$9)^$B30,0)</f>
        <v>19.375</v>
      </c>
      <c r="K30" s="209">
        <f>IFERROR(VLOOKUP($B$21,Tableau14582[],6,FALSE)*(1+$L$9)^$B30,0)</f>
        <v>10</v>
      </c>
      <c r="L30" s="260">
        <f t="shared" si="10"/>
        <v>30011.231250000001</v>
      </c>
      <c r="N30" s="71">
        <v>9</v>
      </c>
      <c r="O30" s="236"/>
      <c r="P30" s="177"/>
      <c r="Q30" s="237">
        <f t="shared" si="11"/>
        <v>541.75</v>
      </c>
      <c r="R30" s="177">
        <f t="shared" si="5"/>
        <v>37.922500000000007</v>
      </c>
      <c r="S30" s="177">
        <f>$L$11*(1+$L$9)^N30*'Récapitulatif des résultats'!$I$11</f>
        <v>0</v>
      </c>
      <c r="T30" s="238"/>
      <c r="U30" s="177"/>
      <c r="V30" s="246">
        <f t="shared" si="7"/>
        <v>0</v>
      </c>
      <c r="W30" s="185">
        <f>SUM('Pin Laricio'!AQ14*'Pin Laricio'!$F$21,Douglas!AQ14*Douglas!$F$21,'Cedre de l''Atlas'!AQ14*'Cedre de l''Atlas'!$F$21,'Sequoia sempervirens'!AQ14*'Sequoia sempervirens'!$F$21,Chêne!AQ14*Chêne!$F$21,Charme!AQ14*Charme!$F$21)</f>
        <v>0</v>
      </c>
      <c r="X30" s="185">
        <f>SUM('Pin Laricio'!AR14*'Pin Laricio'!$F$21,Douglas!AR14*Douglas!$F$21,'Cedre de l''Atlas'!AR14*'Cedre de l''Atlas'!$F$21,'Sequoia sempervirens'!AR14*'Sequoia sempervirens'!$F$21,Chêne!AR14*Chêne!$F$21,Charme!AR14*Charme!$F$21)</f>
        <v>0</v>
      </c>
      <c r="Y30" s="185">
        <f>SUM('Pin Laricio'!AS14*'Pin Laricio'!$F$21,Douglas!AS14*Douglas!$F$21,'Cedre de l''Atlas'!AS14*'Cedre de l''Atlas'!$F$21,'Sequoia sempervirens'!AS14*'Sequoia sempervirens'!$F$21,Chêne!AS14*Chêne!$F$21,Charme!AS14*Charme!$F$21)</f>
        <v>0</v>
      </c>
      <c r="Z30" s="328">
        <f>SUM('Pin Laricio'!AT14*'Pin Laricio'!$F$21,Douglas!AT14*Douglas!$F$21,'Cedre de l''Atlas'!AT14*'Cedre de l''Atlas'!$F$21,'Sequoia sempervirens'!AT14*'Sequoia sempervirens'!$F$21,Chêne!AT14*Chêne!$F$21,Charme!AT14*Charme!$F$21)</f>
        <v>0</v>
      </c>
      <c r="AA30" s="175">
        <f t="shared" si="9"/>
        <v>0</v>
      </c>
      <c r="AB30" s="176">
        <f t="shared" si="8"/>
        <v>-390.0641918783304</v>
      </c>
      <c r="AC30" s="175"/>
      <c r="AD30" s="175"/>
    </row>
    <row r="31" spans="2:30">
      <c r="B31" s="259" t="str">
        <f>'Pin Laricio'!B90</f>
        <v>-</v>
      </c>
      <c r="C31" s="222">
        <f>'Pin Laricio'!C90</f>
        <v>65</v>
      </c>
      <c r="D31" s="223">
        <f>'Pin Laricio'!D90</f>
        <v>0.8</v>
      </c>
      <c r="E31" s="218">
        <f>'Pin Laricio'!E90</f>
        <v>0.11199999999999999</v>
      </c>
      <c r="F31" s="218">
        <f>'Pin Laricio'!F90</f>
        <v>8.7999999999999981E-2</v>
      </c>
      <c r="G31" s="224">
        <f>'Pin Laricio'!G90</f>
        <v>0</v>
      </c>
      <c r="H31" s="207">
        <f>IFERROR(VLOOKUP($B$21,Tableau14582[],4,FALSE)*(1+$L$9)^$B31,0)</f>
        <v>0</v>
      </c>
      <c r="I31" s="208">
        <f>IFERROR(VLOOKUP($B$21,Tableau14582[],5,FALSE)*(1+$L$9)^$B31,0)</f>
        <v>0</v>
      </c>
      <c r="J31" s="208">
        <f>IFERROR(VLOOKUP($B$21,Tableau14582[],5,FALSE)*(1+$L$9)^$B31,0)</f>
        <v>0</v>
      </c>
      <c r="K31" s="209">
        <f>IFERROR(VLOOKUP($B$21,Tableau14582[],6,FALSE)*(1+$L$9)^$B31,0)</f>
        <v>0</v>
      </c>
      <c r="L31" s="260">
        <f t="shared" si="10"/>
        <v>0</v>
      </c>
      <c r="N31" s="71">
        <v>10</v>
      </c>
      <c r="O31" s="236"/>
      <c r="P31" s="177"/>
      <c r="Q31" s="237">
        <f t="shared" si="11"/>
        <v>541.75</v>
      </c>
      <c r="R31" s="177">
        <f t="shared" si="5"/>
        <v>37.922500000000007</v>
      </c>
      <c r="S31" s="177">
        <f>$L$11*(1+$L$9)^N31*'Récapitulatif des résultats'!$I$11</f>
        <v>0</v>
      </c>
      <c r="T31" s="238"/>
      <c r="U31" s="177"/>
      <c r="V31" s="246">
        <f t="shared" si="7"/>
        <v>0</v>
      </c>
      <c r="W31" s="185">
        <f>SUM('Pin Laricio'!AQ15*'Pin Laricio'!$F$21,Douglas!AQ15*Douglas!$F$21,'Cedre de l''Atlas'!AQ15*'Cedre de l''Atlas'!$F$21,'Sequoia sempervirens'!AQ15*'Sequoia sempervirens'!$F$21,Chêne!AQ15*Chêne!$F$21,Charme!AQ15*Charme!$F$21)</f>
        <v>0</v>
      </c>
      <c r="X31" s="185">
        <f>SUM('Pin Laricio'!AR15*'Pin Laricio'!$F$21,Douglas!AR15*Douglas!$F$21,'Cedre de l''Atlas'!AR15*'Cedre de l''Atlas'!$F$21,'Sequoia sempervirens'!AR15*'Sequoia sempervirens'!$F$21,Chêne!AR15*Chêne!$F$21,Charme!AR15*Charme!$F$21)</f>
        <v>0</v>
      </c>
      <c r="Y31" s="185">
        <f>SUM('Pin Laricio'!AS15*'Pin Laricio'!$F$21,Douglas!AS15*Douglas!$F$21,'Cedre de l''Atlas'!AS15*'Cedre de l''Atlas'!$F$21,'Sequoia sempervirens'!AS15*'Sequoia sempervirens'!$F$21,Chêne!AS15*Chêne!$F$21,Charme!AS15*Charme!$F$21)</f>
        <v>0</v>
      </c>
      <c r="Z31" s="328">
        <f>SUM('Pin Laricio'!AT15*'Pin Laricio'!$F$21,Douglas!AT15*Douglas!$F$21,'Cedre de l''Atlas'!AT15*'Cedre de l''Atlas'!$F$21,'Sequoia sempervirens'!AT15*'Sequoia sempervirens'!$F$21,Chêne!AT15*Chêne!$F$21,Charme!AT15*Charme!$F$21)</f>
        <v>0</v>
      </c>
      <c r="AA31" s="175">
        <f t="shared" si="9"/>
        <v>0</v>
      </c>
      <c r="AB31" s="176">
        <f t="shared" si="8"/>
        <v>-373.2671692615603</v>
      </c>
      <c r="AC31" s="175"/>
      <c r="AD31" s="175"/>
    </row>
    <row r="32" spans="2:30">
      <c r="B32" s="259" t="str">
        <f>'Pin Laricio'!B91</f>
        <v>-</v>
      </c>
      <c r="C32" s="222">
        <f>'Pin Laricio'!C91</f>
        <v>37</v>
      </c>
      <c r="D32" s="223">
        <f>'Pin Laricio'!D91</f>
        <v>0.4</v>
      </c>
      <c r="E32" s="218">
        <f>'Pin Laricio'!E91</f>
        <v>0.33600000000000002</v>
      </c>
      <c r="F32" s="218">
        <f>'Pin Laricio'!F91</f>
        <v>0.26400000000000001</v>
      </c>
      <c r="G32" s="224">
        <f>'Pin Laricio'!G91</f>
        <v>0</v>
      </c>
      <c r="H32" s="207">
        <f>IFERROR(VLOOKUP($B$21,Tableau14582[],4,FALSE)*(1+$L$9)^$B32,0)</f>
        <v>0</v>
      </c>
      <c r="I32" s="208">
        <f>IFERROR(VLOOKUP($B$21,Tableau14582[],5,FALSE)*(1+$L$9)^$B32,0)</f>
        <v>0</v>
      </c>
      <c r="J32" s="208">
        <f>IFERROR(VLOOKUP($B$21,Tableau14582[],5,FALSE)*(1+$L$9)^$B32,0)</f>
        <v>0</v>
      </c>
      <c r="K32" s="209">
        <f>IFERROR(VLOOKUP($B$21,Tableau14582[],6,FALSE)*(1+$L$9)^$B32,0)</f>
        <v>0</v>
      </c>
      <c r="L32" s="260">
        <f t="shared" si="10"/>
        <v>0</v>
      </c>
      <c r="N32" s="71">
        <v>11</v>
      </c>
      <c r="O32" s="236"/>
      <c r="P32" s="177"/>
      <c r="Q32" s="237">
        <f t="shared" si="11"/>
        <v>541.75</v>
      </c>
      <c r="R32" s="177">
        <f t="shared" si="5"/>
        <v>37.922500000000007</v>
      </c>
      <c r="S32" s="177">
        <f>$L$11*(1+$L$9)^N32*'Récapitulatif des résultats'!$I$11</f>
        <v>0</v>
      </c>
      <c r="T32" s="238"/>
      <c r="U32" s="177"/>
      <c r="V32" s="246">
        <f t="shared" si="7"/>
        <v>0</v>
      </c>
      <c r="W32" s="185">
        <f>SUM('Pin Laricio'!AQ16*'Pin Laricio'!$F$21,Douglas!AQ16*Douglas!$F$21,'Cedre de l''Atlas'!AQ16*'Cedre de l''Atlas'!$F$21,'Sequoia sempervirens'!AQ16*'Sequoia sempervirens'!$F$21,Chêne!AQ16*Chêne!$F$21,Charme!AQ16*Charme!$F$21)</f>
        <v>0</v>
      </c>
      <c r="X32" s="185">
        <f>SUM('Pin Laricio'!AR16*'Pin Laricio'!$F$21,Douglas!AR16*Douglas!$F$21,'Cedre de l''Atlas'!AR16*'Cedre de l''Atlas'!$F$21,'Sequoia sempervirens'!AR16*'Sequoia sempervirens'!$F$21,Chêne!AR16*Chêne!$F$21,Charme!AR16*Charme!$F$21)</f>
        <v>0</v>
      </c>
      <c r="Y32" s="185">
        <f>SUM('Pin Laricio'!AS16*'Pin Laricio'!$F$21,Douglas!AS16*Douglas!$F$21,'Cedre de l''Atlas'!AS16*'Cedre de l''Atlas'!$F$21,'Sequoia sempervirens'!AS16*'Sequoia sempervirens'!$F$21,Chêne!AS16*Chêne!$F$21,Charme!AS16*Charme!$F$21)</f>
        <v>0</v>
      </c>
      <c r="Z32" s="328">
        <f>SUM('Pin Laricio'!AT16*'Pin Laricio'!$F$21,Douglas!AT16*Douglas!$F$21,'Cedre de l''Atlas'!AT16*'Cedre de l''Atlas'!$F$21,'Sequoia sempervirens'!AT16*'Sequoia sempervirens'!$F$21,Chêne!AT16*Chêne!$F$21,Charme!AT16*Charme!$F$21)</f>
        <v>0</v>
      </c>
      <c r="AA32" s="175">
        <f t="shared" si="9"/>
        <v>0</v>
      </c>
      <c r="AB32" s="176">
        <f t="shared" si="8"/>
        <v>-357.19346340819163</v>
      </c>
      <c r="AC32" s="175"/>
      <c r="AD32" s="175"/>
    </row>
    <row r="33" spans="1:30">
      <c r="B33" s="259" t="str">
        <f>'Pin Laricio'!B92</f>
        <v>-</v>
      </c>
      <c r="C33" s="222">
        <f>'Pin Laricio'!C92</f>
        <v>26</v>
      </c>
      <c r="D33" s="223">
        <f>'Pin Laricio'!D92</f>
        <v>0.4</v>
      </c>
      <c r="E33" s="218">
        <f>'Pin Laricio'!E92</f>
        <v>0.33600000000000002</v>
      </c>
      <c r="F33" s="218">
        <f>'Pin Laricio'!F92</f>
        <v>0.26400000000000001</v>
      </c>
      <c r="G33" s="224">
        <f>'Pin Laricio'!G92</f>
        <v>0</v>
      </c>
      <c r="H33" s="207">
        <f>IFERROR(VLOOKUP($B$21,Tableau14582[],4,FALSE)*(1+$L$9)^$B33,0)</f>
        <v>0</v>
      </c>
      <c r="I33" s="208">
        <f>IFERROR(VLOOKUP($B$21,Tableau14582[],5,FALSE)*(1+$L$9)^$B33,0)</f>
        <v>0</v>
      </c>
      <c r="J33" s="208">
        <f>IFERROR(VLOOKUP($B$21,Tableau14582[],5,FALSE)*(1+$L$9)^$B33,0)</f>
        <v>0</v>
      </c>
      <c r="K33" s="209">
        <f>IFERROR(VLOOKUP($B$21,Tableau14582[],6,FALSE)*(1+$L$9)^$B33,0)</f>
        <v>0</v>
      </c>
      <c r="L33" s="260">
        <f t="shared" si="10"/>
        <v>0</v>
      </c>
      <c r="N33" s="71">
        <v>12</v>
      </c>
      <c r="O33" s="236"/>
      <c r="P33" s="177"/>
      <c r="Q33" s="237">
        <f t="shared" si="11"/>
        <v>541.75</v>
      </c>
      <c r="R33" s="177">
        <f t="shared" si="5"/>
        <v>37.922500000000007</v>
      </c>
      <c r="S33" s="177">
        <f>$L$11*(1+$L$9)^N33*'Récapitulatif des résultats'!$I$11</f>
        <v>0</v>
      </c>
      <c r="T33" s="238"/>
      <c r="U33" s="177"/>
      <c r="V33" s="246">
        <f t="shared" si="7"/>
        <v>0</v>
      </c>
      <c r="W33" s="185">
        <f>SUM('Pin Laricio'!AQ17*'Pin Laricio'!$F$21,Douglas!AQ17*Douglas!$F$21,'Cedre de l''Atlas'!AQ17*'Cedre de l''Atlas'!$F$21,'Sequoia sempervirens'!AQ17*'Sequoia sempervirens'!$F$21,Chêne!AQ17*Chêne!$F$21,Charme!AQ17*Charme!$F$21)</f>
        <v>0</v>
      </c>
      <c r="X33" s="185">
        <f>SUM('Pin Laricio'!AR17*'Pin Laricio'!$F$21,Douglas!AR17*Douglas!$F$21,'Cedre de l''Atlas'!AR17*'Cedre de l''Atlas'!$F$21,'Sequoia sempervirens'!AR17*'Sequoia sempervirens'!$F$21,Chêne!AR17*Chêne!$F$21,Charme!AR17*Charme!$F$21)</f>
        <v>0</v>
      </c>
      <c r="Y33" s="185">
        <f>SUM('Pin Laricio'!AS17*'Pin Laricio'!$F$21,Douglas!AS17*Douglas!$F$21,'Cedre de l''Atlas'!AS17*'Cedre de l''Atlas'!$F$21,'Sequoia sempervirens'!AS17*'Sequoia sempervirens'!$F$21,Chêne!AS17*Chêne!$F$21,Charme!AS17*Charme!$F$21)</f>
        <v>0</v>
      </c>
      <c r="Z33" s="328">
        <f>SUM('Pin Laricio'!AT17*'Pin Laricio'!$F$21,Douglas!AT17*Douglas!$F$21,'Cedre de l''Atlas'!AT17*'Cedre de l''Atlas'!$F$21,'Sequoia sempervirens'!AT17*'Sequoia sempervirens'!$F$21,Chêne!AT17*Chêne!$F$21,Charme!AT17*Charme!$F$21)</f>
        <v>0</v>
      </c>
      <c r="AA33" s="175">
        <f t="shared" si="9"/>
        <v>0</v>
      </c>
      <c r="AB33" s="176">
        <f t="shared" si="8"/>
        <v>-341.81192670640354</v>
      </c>
      <c r="AC33" s="175"/>
      <c r="AD33" s="175"/>
    </row>
    <row r="34" spans="1:30">
      <c r="B34" s="259">
        <f>'Pin Laricio'!B93</f>
        <v>1</v>
      </c>
      <c r="C34" s="222">
        <f>'Pin Laricio'!C93</f>
        <v>0</v>
      </c>
      <c r="D34" s="223">
        <f>'Pin Laricio'!D93</f>
        <v>0.5</v>
      </c>
      <c r="E34" s="218">
        <f>'Pin Laricio'!E93</f>
        <v>0.28000000000000003</v>
      </c>
      <c r="F34" s="218">
        <f>'Pin Laricio'!F93</f>
        <v>0.22</v>
      </c>
      <c r="G34" s="224">
        <f>'Pin Laricio'!G93</f>
        <v>0</v>
      </c>
      <c r="H34" s="207">
        <f>IFERROR(VLOOKUP($B$21,Tableau14582[],4,FALSE)*(1+$L$9)^$B34,0)</f>
        <v>30</v>
      </c>
      <c r="I34" s="208">
        <f>IFERROR(VLOOKUP($B$21,Tableau14582[],5,FALSE)*(1+$L$9)^$B34,0)</f>
        <v>19.375</v>
      </c>
      <c r="J34" s="208">
        <f>IFERROR(VLOOKUP($B$21,Tableau14582[],5,FALSE)*(1+$L$9)^$B34,0)</f>
        <v>19.375</v>
      </c>
      <c r="K34" s="209">
        <f>IFERROR(VLOOKUP($B$21,Tableau14582[],6,FALSE)*(1+$L$9)^$B34,0)</f>
        <v>10</v>
      </c>
      <c r="L34" s="260">
        <f t="shared" si="10"/>
        <v>0</v>
      </c>
      <c r="N34" s="71">
        <v>13</v>
      </c>
      <c r="O34" s="236"/>
      <c r="P34" s="177"/>
      <c r="Q34" s="237">
        <f t="shared" si="11"/>
        <v>541.75</v>
      </c>
      <c r="R34" s="177">
        <f t="shared" si="5"/>
        <v>37.922500000000007</v>
      </c>
      <c r="S34" s="177">
        <f>$L$11*(1+$L$9)^N34*'Récapitulatif des résultats'!$I$11</f>
        <v>0</v>
      </c>
      <c r="T34" s="238"/>
      <c r="U34" s="177"/>
      <c r="V34" s="246">
        <f t="shared" si="7"/>
        <v>0</v>
      </c>
      <c r="W34" s="185">
        <f>SUM('Pin Laricio'!AQ18*'Pin Laricio'!$F$21,Douglas!AQ18*Douglas!$F$21,'Cedre de l''Atlas'!AQ18*'Cedre de l''Atlas'!$F$21,'Sequoia sempervirens'!AQ18*'Sequoia sempervirens'!$F$21,Chêne!AQ18*Chêne!$F$21,Charme!AQ18*Charme!$F$21)</f>
        <v>0</v>
      </c>
      <c r="X34" s="185">
        <f>SUM('Pin Laricio'!AR18*'Pin Laricio'!$F$21,Douglas!AR18*Douglas!$F$21,'Cedre de l''Atlas'!AR18*'Cedre de l''Atlas'!$F$21,'Sequoia sempervirens'!AR18*'Sequoia sempervirens'!$F$21,Chêne!AR18*Chêne!$F$21,Charme!AR18*Charme!$F$21)</f>
        <v>0</v>
      </c>
      <c r="Y34" s="185">
        <f>SUM('Pin Laricio'!AS18*'Pin Laricio'!$F$21,Douglas!AS18*Douglas!$F$21,'Cedre de l''Atlas'!AS18*'Cedre de l''Atlas'!$F$21,'Sequoia sempervirens'!AS18*'Sequoia sempervirens'!$F$21,Chêne!AS18*Chêne!$F$21,Charme!AS18*Charme!$F$21)</f>
        <v>0</v>
      </c>
      <c r="Z34" s="328">
        <f>SUM('Pin Laricio'!AT18*'Pin Laricio'!$F$21,Douglas!AT18*Douglas!$F$21,'Cedre de l''Atlas'!AT18*'Cedre de l''Atlas'!$F$21,'Sequoia sempervirens'!AT18*'Sequoia sempervirens'!$F$21,Chêne!AT18*Chêne!$F$21,Charme!AT18*Charme!$F$21)</f>
        <v>0</v>
      </c>
      <c r="AA34" s="175">
        <f t="shared" si="9"/>
        <v>0</v>
      </c>
      <c r="AB34" s="176">
        <f t="shared" si="8"/>
        <v>-327.09275282909431</v>
      </c>
      <c r="AC34" s="175"/>
      <c r="AD34" s="175"/>
    </row>
    <row r="35" spans="1:30">
      <c r="B35" s="261">
        <f>'Pin Laricio'!B95</f>
        <v>65</v>
      </c>
      <c r="C35" s="225">
        <f>'Pin Laricio'!C95</f>
        <v>362</v>
      </c>
      <c r="D35" s="219">
        <f>'Pin Laricio'!D95</f>
        <v>0.9</v>
      </c>
      <c r="E35" s="231">
        <f>'Pin Laricio'!E95</f>
        <v>5.5999999999999994E-2</v>
      </c>
      <c r="F35" s="231">
        <f>'Pin Laricio'!F95</f>
        <v>4.3999999999999991E-2</v>
      </c>
      <c r="G35" s="226">
        <f>'Pin Laricio'!G95</f>
        <v>0</v>
      </c>
      <c r="H35" s="210">
        <f>IFERROR(VLOOKUP($B$21,Tableau14582[],4,FALSE)*(1+$L$9)^$B35,0)</f>
        <v>30</v>
      </c>
      <c r="I35" s="211">
        <f>IFERROR(VLOOKUP($B$21,Tableau14582[],5,FALSE)*(1+$L$9)^$B35,0)</f>
        <v>19.375</v>
      </c>
      <c r="J35" s="211">
        <f>IFERROR(VLOOKUP($B$21,Tableau14582[],5,FALSE)*(1+$L$9)^$B35,0)</f>
        <v>19.375</v>
      </c>
      <c r="K35" s="212">
        <f>IFERROR(VLOOKUP($B$21,Tableau14582[],6,FALSE)*(1+$L$9)^$B35,0)</f>
        <v>10</v>
      </c>
      <c r="L35" s="262">
        <f t="shared" si="10"/>
        <v>150321.63125000001</v>
      </c>
      <c r="N35" s="71">
        <v>14</v>
      </c>
      <c r="O35" s="236"/>
      <c r="P35" s="177"/>
      <c r="Q35" s="237">
        <f t="shared" si="11"/>
        <v>541.75</v>
      </c>
      <c r="R35" s="177">
        <f t="shared" si="5"/>
        <v>37.922500000000007</v>
      </c>
      <c r="S35" s="177">
        <f>$L$11*(1+$L$9)^N35*'Récapitulatif des résultats'!$I$11</f>
        <v>0</v>
      </c>
      <c r="T35" s="238"/>
      <c r="U35" s="177"/>
      <c r="V35" s="246">
        <f t="shared" si="7"/>
        <v>0</v>
      </c>
      <c r="W35" s="185">
        <f>SUM('Pin Laricio'!AQ19*'Pin Laricio'!$F$21,Douglas!AQ19*Douglas!$F$21,'Cedre de l''Atlas'!AQ19*'Cedre de l''Atlas'!$F$21,'Sequoia sempervirens'!AQ19*'Sequoia sempervirens'!$F$21,Chêne!AQ19*Chêne!$F$21,Charme!AQ19*Charme!$F$21)</f>
        <v>0</v>
      </c>
      <c r="X35" s="185">
        <f>SUM('Pin Laricio'!AR19*'Pin Laricio'!$F$21,Douglas!AR19*Douglas!$F$21,'Cedre de l''Atlas'!AR19*'Cedre de l''Atlas'!$F$21,'Sequoia sempervirens'!AR19*'Sequoia sempervirens'!$F$21,Chêne!AR19*Chêne!$F$21,Charme!AR19*Charme!$F$21)</f>
        <v>0</v>
      </c>
      <c r="Y35" s="185">
        <f>SUM('Pin Laricio'!AS19*'Pin Laricio'!$F$21,Douglas!AS19*Douglas!$F$21,'Cedre de l''Atlas'!AS19*'Cedre de l''Atlas'!$F$21,'Sequoia sempervirens'!AS19*'Sequoia sempervirens'!$F$21,Chêne!AS19*Chêne!$F$21,Charme!AS19*Charme!$F$21)</f>
        <v>0</v>
      </c>
      <c r="Z35" s="328">
        <f>SUM('Pin Laricio'!AT19*'Pin Laricio'!$F$21,Douglas!AT19*Douglas!$F$21,'Cedre de l''Atlas'!AT19*'Cedre de l''Atlas'!$F$21,'Sequoia sempervirens'!AT19*'Sequoia sempervirens'!$F$21,Chêne!AT19*Chêne!$F$21,Charme!AT19*Charme!$F$21)</f>
        <v>0</v>
      </c>
      <c r="AA35" s="175">
        <f t="shared" si="9"/>
        <v>0</v>
      </c>
      <c r="AB35" s="176">
        <f t="shared" si="8"/>
        <v>-313.00741897520993</v>
      </c>
      <c r="AC35" s="175"/>
      <c r="AD35" s="175"/>
    </row>
    <row r="36" spans="1:30">
      <c r="B36" s="263"/>
      <c r="C36" s="264"/>
      <c r="D36" s="264"/>
      <c r="E36" s="264"/>
      <c r="F36" s="264"/>
      <c r="G36" s="264"/>
      <c r="H36" s="264"/>
      <c r="I36" s="264"/>
      <c r="J36" s="264"/>
      <c r="K36" s="264"/>
      <c r="L36" s="265"/>
      <c r="N36" s="71">
        <v>15</v>
      </c>
      <c r="O36" s="236"/>
      <c r="P36" s="177"/>
      <c r="Q36" s="237">
        <f t="shared" si="11"/>
        <v>541.75</v>
      </c>
      <c r="R36" s="177">
        <f t="shared" si="5"/>
        <v>37.922500000000007</v>
      </c>
      <c r="S36" s="177">
        <f>$L$11*(1+$L$9)^N36*'Récapitulatif des résultats'!$I$11</f>
        <v>0</v>
      </c>
      <c r="T36" s="238"/>
      <c r="U36" s="177"/>
      <c r="V36" s="246">
        <f t="shared" si="7"/>
        <v>0</v>
      </c>
      <c r="W36" s="185">
        <f>SUM('Pin Laricio'!AQ20*'Pin Laricio'!$F$21,Douglas!AQ20*Douglas!$F$21,'Cedre de l''Atlas'!AQ20*'Cedre de l''Atlas'!$F$21,'Sequoia sempervirens'!AQ20*'Sequoia sempervirens'!$F$21,Chêne!AQ20*Chêne!$F$21,Charme!AQ20*Charme!$F$21)</f>
        <v>0</v>
      </c>
      <c r="X36" s="185">
        <f>SUM('Pin Laricio'!AR20*'Pin Laricio'!$F$21,Douglas!AR20*Douglas!$F$21,'Cedre de l''Atlas'!AR20*'Cedre de l''Atlas'!$F$21,'Sequoia sempervirens'!AR20*'Sequoia sempervirens'!$F$21,Chêne!AR20*Chêne!$F$21,Charme!AR20*Charme!$F$21)</f>
        <v>0</v>
      </c>
      <c r="Y36" s="185">
        <f>SUM('Pin Laricio'!AS20*'Pin Laricio'!$F$21,Douglas!AS20*Douglas!$F$21,'Cedre de l''Atlas'!AS20*'Cedre de l''Atlas'!$F$21,'Sequoia sempervirens'!AS20*'Sequoia sempervirens'!$F$21,Chêne!AS20*Chêne!$F$21,Charme!AS20*Charme!$F$21)</f>
        <v>0</v>
      </c>
      <c r="Z36" s="328">
        <f>SUM('Pin Laricio'!AT20*'Pin Laricio'!$F$21,Douglas!AT20*Douglas!$F$21,'Cedre de l''Atlas'!AT20*'Cedre de l''Atlas'!$F$21,'Sequoia sempervirens'!AT20*'Sequoia sempervirens'!$F$21,Chêne!AT20*Chêne!$F$21,Charme!AT20*Charme!$F$21)</f>
        <v>0</v>
      </c>
      <c r="AA36" s="175">
        <f t="shared" si="9"/>
        <v>0</v>
      </c>
      <c r="AB36" s="176">
        <f t="shared" si="8"/>
        <v>-299.52863059828701</v>
      </c>
      <c r="AC36" s="175"/>
      <c r="AD36" s="175"/>
    </row>
    <row r="37" spans="1:30">
      <c r="B37" s="431" t="str">
        <f>Douglas!F17</f>
        <v xml:space="preserve">Douglas </v>
      </c>
      <c r="C37" s="432">
        <f>Douglas!C80</f>
        <v>0</v>
      </c>
      <c r="D37" s="432">
        <f>Douglas!D80</f>
        <v>0</v>
      </c>
      <c r="E37" s="432">
        <f>Douglas!E80</f>
        <v>0</v>
      </c>
      <c r="F37" s="432">
        <f>Douglas!F80</f>
        <v>0</v>
      </c>
      <c r="G37" s="433">
        <f>Douglas!G80</f>
        <v>0</v>
      </c>
      <c r="H37" s="417" t="s">
        <v>247</v>
      </c>
      <c r="I37" s="418"/>
      <c r="J37" s="418"/>
      <c r="K37" s="419"/>
      <c r="L37" s="254">
        <f>R5</f>
        <v>2.0500000000000003</v>
      </c>
      <c r="N37" s="71">
        <v>16</v>
      </c>
      <c r="O37" s="236"/>
      <c r="P37" s="177"/>
      <c r="Q37" s="237">
        <f t="shared" si="11"/>
        <v>541.75</v>
      </c>
      <c r="R37" s="177">
        <f t="shared" si="5"/>
        <v>37.922500000000007</v>
      </c>
      <c r="S37" s="177">
        <f>$L$11*(1+$L$9)^N37*'Récapitulatif des résultats'!$I$11</f>
        <v>0</v>
      </c>
      <c r="T37" s="238"/>
      <c r="U37" s="177"/>
      <c r="V37" s="246">
        <f t="shared" si="7"/>
        <v>0</v>
      </c>
      <c r="W37" s="185">
        <f>SUM('Pin Laricio'!AQ21*'Pin Laricio'!$F$21,Douglas!AQ21*Douglas!$F$21,'Cedre de l''Atlas'!AQ21*'Cedre de l''Atlas'!$F$21,'Sequoia sempervirens'!AQ21*'Sequoia sempervirens'!$F$21,Chêne!AQ21*Chêne!$F$21,Charme!AQ21*Charme!$F$21)</f>
        <v>0</v>
      </c>
      <c r="X37" s="185">
        <f>SUM('Pin Laricio'!AR21*'Pin Laricio'!$F$21,Douglas!AR21*Douglas!$F$21,'Cedre de l''Atlas'!AR21*'Cedre de l''Atlas'!$F$21,'Sequoia sempervirens'!AR21*'Sequoia sempervirens'!$F$21,Chêne!AR21*Chêne!$F$21,Charme!AR21*Charme!$F$21)</f>
        <v>0</v>
      </c>
      <c r="Y37" s="185">
        <f>SUM('Pin Laricio'!AS21*'Pin Laricio'!$F$21,Douglas!AS21*Douglas!$F$21,'Cedre de l''Atlas'!AS21*'Cedre de l''Atlas'!$F$21,'Sequoia sempervirens'!AS21*'Sequoia sempervirens'!$F$21,Chêne!AS21*Chêne!$F$21,Charme!AS21*Charme!$F$21)</f>
        <v>0</v>
      </c>
      <c r="Z37" s="328">
        <f>SUM('Pin Laricio'!AT21*'Pin Laricio'!$F$21,Douglas!AT21*Douglas!$F$21,'Cedre de l''Atlas'!AT21*'Cedre de l''Atlas'!$F$21,'Sequoia sempervirens'!AT21*'Sequoia sempervirens'!$F$21,Chêne!AT21*Chêne!$F$21,Charme!AT21*Charme!$F$21)</f>
        <v>0</v>
      </c>
      <c r="AA37" s="175">
        <f t="shared" si="9"/>
        <v>0</v>
      </c>
      <c r="AB37" s="176">
        <f t="shared" si="8"/>
        <v>-286.63026851510728</v>
      </c>
      <c r="AC37" s="175"/>
      <c r="AD37" s="175"/>
    </row>
    <row r="38" spans="1:30">
      <c r="B38" s="266" t="str">
        <f>Douglas!B81</f>
        <v>Année</v>
      </c>
      <c r="C38" s="227" t="str">
        <f>Douglas!C81</f>
        <v>Volume d'éclaircie</v>
      </c>
      <c r="D38" s="214" t="str">
        <f>Douglas!D81</f>
        <v>BO</v>
      </c>
      <c r="E38" s="214" t="str">
        <f>Douglas!E81</f>
        <v>BI - panneaux</v>
      </c>
      <c r="F38" s="214" t="str">
        <f>Douglas!F81</f>
        <v>BI - papier</v>
      </c>
      <c r="G38" s="215" t="str">
        <f>Douglas!G81</f>
        <v>BE</v>
      </c>
      <c r="H38" s="213" t="s">
        <v>78</v>
      </c>
      <c r="I38" s="214" t="s">
        <v>81</v>
      </c>
      <c r="J38" s="214" t="s">
        <v>80</v>
      </c>
      <c r="K38" s="215" t="s">
        <v>79</v>
      </c>
      <c r="L38" s="256" t="s">
        <v>251</v>
      </c>
      <c r="N38" s="71">
        <v>17</v>
      </c>
      <c r="O38" s="236"/>
      <c r="P38" s="177"/>
      <c r="Q38" s="237">
        <f t="shared" si="11"/>
        <v>541.75</v>
      </c>
      <c r="R38" s="177">
        <f t="shared" si="5"/>
        <v>37.922500000000007</v>
      </c>
      <c r="S38" s="177">
        <f>$L$11*(1+$L$9)^N38*'Récapitulatif des résultats'!$I$11</f>
        <v>0</v>
      </c>
      <c r="T38" s="238"/>
      <c r="U38" s="177"/>
      <c r="V38" s="246">
        <f t="shared" si="7"/>
        <v>0</v>
      </c>
      <c r="W38" s="185">
        <f>SUM('Pin Laricio'!AQ22*'Pin Laricio'!$F$21,Douglas!AQ22*Douglas!$F$21,'Cedre de l''Atlas'!AQ22*'Cedre de l''Atlas'!$F$21,'Sequoia sempervirens'!AQ22*'Sequoia sempervirens'!$F$21,Chêne!AQ22*Chêne!$F$21,Charme!AQ22*Charme!$F$21)</f>
        <v>0</v>
      </c>
      <c r="X38" s="185">
        <f>SUM('Pin Laricio'!AR22*'Pin Laricio'!$F$21,Douglas!AR22*Douglas!$F$21,'Cedre de l''Atlas'!AR22*'Cedre de l''Atlas'!$F$21,'Sequoia sempervirens'!AR22*'Sequoia sempervirens'!$F$21,Chêne!AR22*Chêne!$F$21,Charme!AR22*Charme!$F$21)</f>
        <v>0</v>
      </c>
      <c r="Y38" s="185">
        <f>SUM('Pin Laricio'!AS22*'Pin Laricio'!$F$21,Douglas!AS22*Douglas!$F$21,'Cedre de l''Atlas'!AS22*'Cedre de l''Atlas'!$F$21,'Sequoia sempervirens'!AS22*'Sequoia sempervirens'!$F$21,Chêne!AS22*Chêne!$F$21,Charme!AS22*Charme!$F$21)</f>
        <v>0</v>
      </c>
      <c r="Z38" s="328">
        <f>SUM('Pin Laricio'!AT22*'Pin Laricio'!$F$21,Douglas!AT22*Douglas!$F$21,'Cedre de l''Atlas'!AT22*'Cedre de l''Atlas'!$F$21,'Sequoia sempervirens'!AT22*'Sequoia sempervirens'!$F$21,Chêne!AT22*Chêne!$F$21,Charme!AT22*Charme!$F$21)</f>
        <v>0</v>
      </c>
      <c r="AA38" s="175">
        <f t="shared" si="9"/>
        <v>0</v>
      </c>
      <c r="AB38" s="176">
        <f t="shared" si="8"/>
        <v>-274.28733829196869</v>
      </c>
      <c r="AC38" s="175"/>
      <c r="AD38" s="175"/>
    </row>
    <row r="39" spans="1:30">
      <c r="B39" s="257">
        <f>Douglas!B82</f>
        <v>20</v>
      </c>
      <c r="C39" s="220">
        <f>Douglas!C82</f>
        <v>0</v>
      </c>
      <c r="D39" s="217">
        <f>Douglas!D82</f>
        <v>0</v>
      </c>
      <c r="E39" s="217">
        <f>Douglas!E82</f>
        <v>0.56000000000000005</v>
      </c>
      <c r="F39" s="217">
        <f>Douglas!F82</f>
        <v>0.44</v>
      </c>
      <c r="G39" s="221">
        <f>Douglas!G82</f>
        <v>0</v>
      </c>
      <c r="H39" s="228">
        <f>IFERROR(VLOOKUP($B$37,Tableau14582[],4,FALSE)*(1+$L$9)^$B39,0)</f>
        <v>59</v>
      </c>
      <c r="I39" s="229">
        <f>IFERROR(VLOOKUP($B$37,Tableau14582[],5,FALSE)*(1+$L$9)^$B39,0)</f>
        <v>19.375</v>
      </c>
      <c r="J39" s="229">
        <f>IFERROR(VLOOKUP($B$37,Tableau14582[],5,FALSE)*(1+$L$9)^$B39,0)</f>
        <v>19.375</v>
      </c>
      <c r="K39" s="230">
        <f>IFERROR(VLOOKUP($B$37,Tableau14582[],6,FALSE)*(1+$L$9)^$B39,0)</f>
        <v>10</v>
      </c>
      <c r="L39" s="258">
        <f>(C39*D39*H39+C39*E39*I39+C39*F39*J39+C39*G39*K39)*L$37</f>
        <v>0</v>
      </c>
      <c r="N39" s="71">
        <v>18</v>
      </c>
      <c r="O39" s="236"/>
      <c r="P39" s="177"/>
      <c r="Q39" s="237">
        <f t="shared" si="11"/>
        <v>541.75</v>
      </c>
      <c r="R39" s="177">
        <f t="shared" si="5"/>
        <v>37.922500000000007</v>
      </c>
      <c r="S39" s="177">
        <f>$L$11*(1+$L$9)^N39*'Récapitulatif des résultats'!$I$11</f>
        <v>0</v>
      </c>
      <c r="T39" s="238"/>
      <c r="U39" s="177"/>
      <c r="V39" s="246">
        <f t="shared" si="7"/>
        <v>0</v>
      </c>
      <c r="W39" s="185">
        <f>SUM('Pin Laricio'!AQ23*'Pin Laricio'!$F$21,Douglas!AQ23*Douglas!$F$21,'Cedre de l''Atlas'!AQ23*'Cedre de l''Atlas'!$F$21,'Sequoia sempervirens'!AQ23*'Sequoia sempervirens'!$F$21,Chêne!AQ23*Chêne!$F$21,Charme!AQ23*Charme!$F$21)</f>
        <v>0</v>
      </c>
      <c r="X39" s="185">
        <f>SUM('Pin Laricio'!AR23*'Pin Laricio'!$F$21,Douglas!AR23*Douglas!$F$21,'Cedre de l''Atlas'!AR23*'Cedre de l''Atlas'!$F$21,'Sequoia sempervirens'!AR23*'Sequoia sempervirens'!$F$21,Chêne!AR23*Chêne!$F$21,Charme!AR23*Charme!$F$21)</f>
        <v>0</v>
      </c>
      <c r="Y39" s="185">
        <f>SUM('Pin Laricio'!AS23*'Pin Laricio'!$F$21,Douglas!AS23*Douglas!$F$21,'Cedre de l''Atlas'!AS23*'Cedre de l''Atlas'!$F$21,'Sequoia sempervirens'!AS23*'Sequoia sempervirens'!$F$21,Chêne!AS23*Chêne!$F$21,Charme!AS23*Charme!$F$21)</f>
        <v>0</v>
      </c>
      <c r="Z39" s="328">
        <f>SUM('Pin Laricio'!AT23*'Pin Laricio'!$F$21,Douglas!AT23*Douglas!$F$21,'Cedre de l''Atlas'!AT23*'Cedre de l''Atlas'!$F$21,'Sequoia sempervirens'!AT23*'Sequoia sempervirens'!$F$21,Chêne!AT23*Chêne!$F$21,Charme!AT23*Charme!$F$21)</f>
        <v>0</v>
      </c>
      <c r="AA39" s="175">
        <f t="shared" si="9"/>
        <v>0</v>
      </c>
      <c r="AB39" s="176">
        <f t="shared" si="8"/>
        <v>-262.4759218104964</v>
      </c>
      <c r="AC39" s="175"/>
      <c r="AD39" s="175"/>
    </row>
    <row r="40" spans="1:30">
      <c r="A40" s="410"/>
      <c r="B40" s="259">
        <f>Douglas!B83</f>
        <v>26</v>
      </c>
      <c r="C40" s="222">
        <f>Douglas!C83</f>
        <v>54</v>
      </c>
      <c r="D40" s="223">
        <f>Douglas!D83</f>
        <v>0</v>
      </c>
      <c r="E40" s="218">
        <f>Douglas!E83</f>
        <v>0.56000000000000005</v>
      </c>
      <c r="F40" s="218">
        <f>Douglas!F83</f>
        <v>0.44</v>
      </c>
      <c r="G40" s="224">
        <f>Douglas!G83</f>
        <v>0</v>
      </c>
      <c r="H40" s="207">
        <f>IFERROR(VLOOKUP($B$37,Tableau14582[],4,FALSE)*(1+$L$9)^$B40,0)</f>
        <v>59</v>
      </c>
      <c r="I40" s="208">
        <f>IFERROR(VLOOKUP($B$37,Tableau14582[],5,FALSE)*(1+$L$9)^$B40,0)</f>
        <v>19.375</v>
      </c>
      <c r="J40" s="208">
        <f>IFERROR(VLOOKUP($B$37,Tableau14582[],5,FALSE)*(1+$L$9)^$B40,0)</f>
        <v>19.375</v>
      </c>
      <c r="K40" s="209">
        <f>IFERROR(VLOOKUP($B$37,Tableau14582[],6,FALSE)*(1+$L$9)^$B40,0)</f>
        <v>10</v>
      </c>
      <c r="L40" s="260">
        <f t="shared" ref="L40:L51" si="12">(C40*D40*H40+C40*E40*I40+C40*F40*J40+C40*G40*K40)*L$37</f>
        <v>2144.8125000000005</v>
      </c>
      <c r="N40" s="71">
        <v>19</v>
      </c>
      <c r="O40" s="236"/>
      <c r="P40" s="177"/>
      <c r="Q40" s="237">
        <f t="shared" si="11"/>
        <v>541.75</v>
      </c>
      <c r="R40" s="177">
        <f t="shared" si="5"/>
        <v>37.922500000000007</v>
      </c>
      <c r="S40" s="177">
        <f>$L$11*(1+$L$9)^N40*'Récapitulatif des résultats'!$I$11</f>
        <v>0</v>
      </c>
      <c r="T40" s="238"/>
      <c r="U40" s="177"/>
      <c r="V40" s="246">
        <f t="shared" si="7"/>
        <v>0</v>
      </c>
      <c r="W40" s="185">
        <f>SUM('Pin Laricio'!AQ24*'Pin Laricio'!$F$21,Douglas!AQ24*Douglas!$F$21,'Cedre de l''Atlas'!AQ24*'Cedre de l''Atlas'!$F$21,'Sequoia sempervirens'!AQ24*'Sequoia sempervirens'!$F$21,Chêne!AQ24*Chêne!$F$21,Charme!AQ24*Charme!$F$21)</f>
        <v>0</v>
      </c>
      <c r="X40" s="185">
        <f>SUM('Pin Laricio'!AR24*'Pin Laricio'!$F$21,Douglas!AR24*Douglas!$F$21,'Cedre de l''Atlas'!AR24*'Cedre de l''Atlas'!$F$21,'Sequoia sempervirens'!AR24*'Sequoia sempervirens'!$F$21,Chêne!AR24*Chêne!$F$21,Charme!AR24*Charme!$F$21)</f>
        <v>0</v>
      </c>
      <c r="Y40" s="185">
        <f>SUM('Pin Laricio'!AS24*'Pin Laricio'!$F$21,Douglas!AS24*Douglas!$F$21,'Cedre de l''Atlas'!AS24*'Cedre de l''Atlas'!$F$21,'Sequoia sempervirens'!AS24*'Sequoia sempervirens'!$F$21,Chêne!AS24*Chêne!$F$21,Charme!AS24*Charme!$F$21)</f>
        <v>0</v>
      </c>
      <c r="Z40" s="328">
        <f>SUM('Pin Laricio'!AT24*'Pin Laricio'!$F$21,Douglas!AT24*Douglas!$F$21,'Cedre de l''Atlas'!AT24*'Cedre de l''Atlas'!$F$21,'Sequoia sempervirens'!AT24*'Sequoia sempervirens'!$F$21,Chêne!AT24*Chêne!$F$21,Charme!AT24*Charme!$F$21)</f>
        <v>0</v>
      </c>
      <c r="AA40" s="175">
        <f t="shared" si="9"/>
        <v>0</v>
      </c>
      <c r="AB40" s="176">
        <f t="shared" si="8"/>
        <v>-251.17313091913533</v>
      </c>
      <c r="AC40" s="175"/>
      <c r="AD40" s="175"/>
    </row>
    <row r="41" spans="1:30">
      <c r="A41" s="410"/>
      <c r="B41" s="259">
        <f>Douglas!B84</f>
        <v>31</v>
      </c>
      <c r="C41" s="222">
        <f>Douglas!C84</f>
        <v>54</v>
      </c>
      <c r="D41" s="223">
        <f>Douglas!D84</f>
        <v>0.2</v>
      </c>
      <c r="E41" s="218">
        <f>Douglas!E84</f>
        <v>0.44800000000000006</v>
      </c>
      <c r="F41" s="218">
        <f>Douglas!F84</f>
        <v>0.35200000000000004</v>
      </c>
      <c r="G41" s="224">
        <f>Douglas!G84</f>
        <v>0</v>
      </c>
      <c r="H41" s="207">
        <f>IFERROR(VLOOKUP($B$37,Tableau14582[],4,FALSE)*(1+$L$9)^$B41,0)</f>
        <v>59</v>
      </c>
      <c r="I41" s="208">
        <f>IFERROR(VLOOKUP($B$37,Tableau14582[],5,FALSE)*(1+$L$9)^$B41,0)</f>
        <v>19.375</v>
      </c>
      <c r="J41" s="208">
        <f>IFERROR(VLOOKUP($B$37,Tableau14582[],5,FALSE)*(1+$L$9)^$B41,0)</f>
        <v>19.375</v>
      </c>
      <c r="K41" s="209">
        <f>IFERROR(VLOOKUP($B$37,Tableau14582[],6,FALSE)*(1+$L$9)^$B41,0)</f>
        <v>10</v>
      </c>
      <c r="L41" s="260">
        <f t="shared" si="12"/>
        <v>3022.1100000000006</v>
      </c>
      <c r="N41" s="71">
        <v>20</v>
      </c>
      <c r="O41" s="236"/>
      <c r="P41" s="177"/>
      <c r="Q41" s="237">
        <f t="shared" si="11"/>
        <v>541.75</v>
      </c>
      <c r="R41" s="177">
        <f t="shared" si="5"/>
        <v>37.922500000000007</v>
      </c>
      <c r="S41" s="177">
        <f>$L$11*(1+$L$9)^N41*'Récapitulatif des résultats'!$I$11</f>
        <v>0</v>
      </c>
      <c r="T41" s="238"/>
      <c r="U41" s="177"/>
      <c r="V41" s="246">
        <f>SUM(W41:Z41)</f>
        <v>0</v>
      </c>
      <c r="W41" s="185">
        <f>SUM('Pin Laricio'!AQ25*'Pin Laricio'!$F$21,Douglas!AQ25*Douglas!$F$21,'Cedre de l''Atlas'!AQ25*'Cedre de l''Atlas'!$F$21,'Sequoia sempervirens'!AQ25*'Sequoia sempervirens'!$F$21,Chêne!AQ25*Chêne!$F$21,Charme!AQ25*Charme!$F$21)</f>
        <v>0</v>
      </c>
      <c r="X41" s="185">
        <f>SUM('Pin Laricio'!AR25*'Pin Laricio'!$F$21,Douglas!AR25*Douglas!$F$21,'Cedre de l''Atlas'!AR25*'Cedre de l''Atlas'!$F$21,'Sequoia sempervirens'!AR25*'Sequoia sempervirens'!$F$21,Chêne!AR25*Chêne!$F$21,Charme!AR25*Charme!$F$21)</f>
        <v>0</v>
      </c>
      <c r="Y41" s="185">
        <f>SUM('Pin Laricio'!AS25*'Pin Laricio'!$F$21,Douglas!AS25*Douglas!$F$21,'Cedre de l''Atlas'!AS25*'Cedre de l''Atlas'!$F$21,'Sequoia sempervirens'!AS25*'Sequoia sempervirens'!$F$21,Chêne!AS25*Chêne!$F$21,Charme!AS25*Charme!$F$21)</f>
        <v>0</v>
      </c>
      <c r="Z41" s="328">
        <f>SUM('Pin Laricio'!AT25*'Pin Laricio'!$F$21,Douglas!AT25*Douglas!$F$21,'Cedre de l''Atlas'!AT25*'Cedre de l''Atlas'!$F$21,'Sequoia sempervirens'!AT25*'Sequoia sempervirens'!$F$21,Chêne!AT25*Chêne!$F$21,Charme!AT25*Charme!$F$21)</f>
        <v>0</v>
      </c>
      <c r="AA41" s="175">
        <f t="shared" si="9"/>
        <v>0</v>
      </c>
      <c r="AB41" s="176">
        <f t="shared" si="8"/>
        <v>-240.35706308051235</v>
      </c>
      <c r="AC41" s="175"/>
      <c r="AD41" s="175"/>
    </row>
    <row r="42" spans="1:30">
      <c r="A42" s="410"/>
      <c r="B42" s="259">
        <f>Douglas!B85</f>
        <v>36</v>
      </c>
      <c r="C42" s="222">
        <f>Douglas!C85</f>
        <v>69</v>
      </c>
      <c r="D42" s="223">
        <f>Douglas!D85</f>
        <v>0.3</v>
      </c>
      <c r="E42" s="218">
        <f>Douglas!E85</f>
        <v>0.39200000000000002</v>
      </c>
      <c r="F42" s="218">
        <f>Douglas!F85</f>
        <v>0.308</v>
      </c>
      <c r="G42" s="224">
        <f>Douglas!G85</f>
        <v>0</v>
      </c>
      <c r="H42" s="207">
        <f>IFERROR(VLOOKUP($B$37,Tableau14582[],4,FALSE)*(1+$L$9)^$B42,0)</f>
        <v>59</v>
      </c>
      <c r="I42" s="208">
        <f>IFERROR(VLOOKUP($B$37,Tableau14582[],5,FALSE)*(1+$L$9)^$B42,0)</f>
        <v>19.375</v>
      </c>
      <c r="J42" s="208">
        <f>IFERROR(VLOOKUP($B$37,Tableau14582[],5,FALSE)*(1+$L$9)^$B42,0)</f>
        <v>19.375</v>
      </c>
      <c r="K42" s="209">
        <f>IFERROR(VLOOKUP($B$37,Tableau14582[],6,FALSE)*(1+$L$9)^$B42,0)</f>
        <v>10</v>
      </c>
      <c r="L42" s="260">
        <f t="shared" si="12"/>
        <v>4422.0806250000005</v>
      </c>
      <c r="N42" s="71">
        <v>21</v>
      </c>
      <c r="O42" s="236"/>
      <c r="P42" s="177"/>
      <c r="Q42" s="237">
        <f t="shared" si="11"/>
        <v>541.75</v>
      </c>
      <c r="R42" s="177">
        <f t="shared" si="5"/>
        <v>37.922500000000007</v>
      </c>
      <c r="S42" s="177">
        <f>$L$11*(1+$L$9)^N42*'Récapitulatif des résultats'!$I$11</f>
        <v>0</v>
      </c>
      <c r="T42" s="238"/>
      <c r="U42" s="177"/>
      <c r="V42" s="246">
        <f t="shared" si="7"/>
        <v>262.40000000000003</v>
      </c>
      <c r="W42" s="185">
        <f>SUM('Pin Laricio'!AQ26*'Pin Laricio'!$F$21,Douglas!AQ26*Douglas!$F$21,'Cedre de l''Atlas'!AQ26*'Cedre de l''Atlas'!$F$21,'Sequoia sempervirens'!AQ26*'Sequoia sempervirens'!$F$21,Chêne!AQ26*Chêne!$F$21,Charme!AQ26*Charme!$F$21)</f>
        <v>0</v>
      </c>
      <c r="X42" s="185">
        <f>SUM('Pin Laricio'!AR26*'Pin Laricio'!$F$21,Douglas!AR26*Douglas!$F$21,'Cedre de l''Atlas'!AR26*'Cedre de l''Atlas'!$F$21,'Sequoia sempervirens'!AR26*'Sequoia sempervirens'!$F$21,Chêne!AR26*Chêne!$F$21,Charme!AR26*Charme!$F$21)</f>
        <v>146.94400000000002</v>
      </c>
      <c r="Y42" s="185">
        <f>SUM('Pin Laricio'!AS26*'Pin Laricio'!$F$21,Douglas!AS26*Douglas!$F$21,'Cedre de l''Atlas'!AS26*'Cedre de l''Atlas'!$F$21,'Sequoia sempervirens'!AS26*'Sequoia sempervirens'!$F$21,Chêne!AS26*Chêne!$F$21,Charme!AS26*Charme!$F$21)</f>
        <v>115.45600000000002</v>
      </c>
      <c r="Z42" s="328">
        <f>SUM('Pin Laricio'!AT26*'Pin Laricio'!$F$21,Douglas!AT26*Douglas!$F$21,'Cedre de l''Atlas'!AT26*'Cedre de l''Atlas'!$F$21,'Sequoia sempervirens'!AT26*'Sequoia sempervirens'!$F$21,Chêne!AT26*Chêne!$F$21,Charme!AT26*Charme!$F$21)</f>
        <v>0</v>
      </c>
      <c r="AA42" s="175">
        <f t="shared" si="9"/>
        <v>5084.0000000000009</v>
      </c>
      <c r="AB42" s="176">
        <f t="shared" si="8"/>
        <v>1787.2605124936993</v>
      </c>
      <c r="AC42" s="175"/>
      <c r="AD42" s="175"/>
    </row>
    <row r="43" spans="1:30">
      <c r="A43" s="410"/>
      <c r="B43" s="259">
        <f>Douglas!B86</f>
        <v>41</v>
      </c>
      <c r="C43" s="222">
        <f>Douglas!C86</f>
        <v>72</v>
      </c>
      <c r="D43" s="223">
        <f>Douglas!D86</f>
        <v>0.4</v>
      </c>
      <c r="E43" s="218">
        <f>Douglas!E86</f>
        <v>0.33600000000000002</v>
      </c>
      <c r="F43" s="218">
        <f>Douglas!F86</f>
        <v>0.26400000000000001</v>
      </c>
      <c r="G43" s="224">
        <f>Douglas!G86</f>
        <v>0</v>
      </c>
      <c r="H43" s="207">
        <f>IFERROR(VLOOKUP($B$37,Tableau14582[],4,FALSE)*(1+$L$9)^$B43,0)</f>
        <v>59</v>
      </c>
      <c r="I43" s="208">
        <f>IFERROR(VLOOKUP($B$37,Tableau14582[],5,FALSE)*(1+$L$9)^$B43,0)</f>
        <v>19.375</v>
      </c>
      <c r="J43" s="208">
        <f>IFERROR(VLOOKUP($B$37,Tableau14582[],5,FALSE)*(1+$L$9)^$B43,0)</f>
        <v>19.375</v>
      </c>
      <c r="K43" s="209">
        <f>IFERROR(VLOOKUP($B$37,Tableau14582[],6,FALSE)*(1+$L$9)^$B43,0)</f>
        <v>10</v>
      </c>
      <c r="L43" s="260">
        <f t="shared" si="12"/>
        <v>5199.2100000000009</v>
      </c>
      <c r="N43" s="71">
        <v>22</v>
      </c>
      <c r="O43" s="236"/>
      <c r="P43" s="177"/>
      <c r="Q43" s="237">
        <f t="shared" si="11"/>
        <v>541.75</v>
      </c>
      <c r="R43" s="177">
        <f t="shared" si="5"/>
        <v>37.922500000000007</v>
      </c>
      <c r="S43" s="177">
        <f>$L$11*(1+$L$9)^N43*'Récapitulatif des résultats'!$I$11</f>
        <v>0</v>
      </c>
      <c r="T43" s="238"/>
      <c r="U43" s="177"/>
      <c r="V43" s="246">
        <f t="shared" si="7"/>
        <v>0</v>
      </c>
      <c r="W43" s="185">
        <f>SUM('Pin Laricio'!AQ27*'Pin Laricio'!$F$21,Douglas!AQ27*Douglas!$F$21,'Cedre de l''Atlas'!AQ27*'Cedre de l''Atlas'!$F$21,'Sequoia sempervirens'!AQ27*'Sequoia sempervirens'!$F$21,Chêne!AQ27*Chêne!$F$21,Charme!AQ27*Charme!$F$21)</f>
        <v>0</v>
      </c>
      <c r="X43" s="185">
        <f>SUM('Pin Laricio'!AR27*'Pin Laricio'!$F$21,Douglas!AR27*Douglas!$F$21,'Cedre de l''Atlas'!AR27*'Cedre de l''Atlas'!$F$21,'Sequoia sempervirens'!AR27*'Sequoia sempervirens'!$F$21,Chêne!AR27*Chêne!$F$21,Charme!AR27*Charme!$F$21)</f>
        <v>0</v>
      </c>
      <c r="Y43" s="185">
        <f>SUM('Pin Laricio'!AS27*'Pin Laricio'!$F$21,Douglas!AS27*Douglas!$F$21,'Cedre de l''Atlas'!AS27*'Cedre de l''Atlas'!$F$21,'Sequoia sempervirens'!AS27*'Sequoia sempervirens'!$F$21,Chêne!AS27*Chêne!$F$21,Charme!AS27*Charme!$F$21)</f>
        <v>0</v>
      </c>
      <c r="Z43" s="328">
        <f>SUM('Pin Laricio'!AT27*'Pin Laricio'!$F$21,Douglas!AT27*Douglas!$F$21,'Cedre de l''Atlas'!AT27*'Cedre de l''Atlas'!$F$21,'Sequoia sempervirens'!AT27*'Sequoia sempervirens'!$F$21,Chêne!AT27*Chêne!$F$21,Charme!AT27*Charme!$F$21)</f>
        <v>0</v>
      </c>
      <c r="AA43" s="175">
        <f t="shared" si="9"/>
        <v>0</v>
      </c>
      <c r="AB43" s="176">
        <f t="shared" si="8"/>
        <v>-220.10216165427752</v>
      </c>
      <c r="AC43" s="175"/>
      <c r="AD43" s="175"/>
    </row>
    <row r="44" spans="1:30">
      <c r="A44" s="410"/>
      <c r="B44" s="259">
        <f>Douglas!B87</f>
        <v>46</v>
      </c>
      <c r="C44" s="222">
        <f>Douglas!C87</f>
        <v>66</v>
      </c>
      <c r="D44" s="223">
        <f>Douglas!D87</f>
        <v>0.5</v>
      </c>
      <c r="E44" s="218">
        <f>Douglas!E87</f>
        <v>0.28000000000000003</v>
      </c>
      <c r="F44" s="218">
        <f>Douglas!F87</f>
        <v>0.22</v>
      </c>
      <c r="G44" s="224">
        <f>Douglas!G87</f>
        <v>0</v>
      </c>
      <c r="H44" s="207">
        <f>IFERROR(VLOOKUP($B$37,Tableau14582[],4,FALSE)*(1+$L$9)^$B44,0)</f>
        <v>59</v>
      </c>
      <c r="I44" s="208">
        <f>IFERROR(VLOOKUP($B$37,Tableau14582[],5,FALSE)*(1+$L$9)^$B44,0)</f>
        <v>19.375</v>
      </c>
      <c r="J44" s="208">
        <f>IFERROR(VLOOKUP($B$37,Tableau14582[],5,FALSE)*(1+$L$9)^$B44,0)</f>
        <v>19.375</v>
      </c>
      <c r="K44" s="209">
        <f>IFERROR(VLOOKUP($B$37,Tableau14582[],6,FALSE)*(1+$L$9)^$B44,0)</f>
        <v>10</v>
      </c>
      <c r="L44" s="260">
        <f t="shared" si="12"/>
        <v>5302.0687500000004</v>
      </c>
      <c r="N44" s="71">
        <v>23</v>
      </c>
      <c r="O44" s="236"/>
      <c r="P44" s="177"/>
      <c r="Q44" s="237">
        <f t="shared" si="11"/>
        <v>541.75</v>
      </c>
      <c r="R44" s="177">
        <f t="shared" si="5"/>
        <v>37.922500000000007</v>
      </c>
      <c r="S44" s="177">
        <f>$L$11*(1+$L$9)^N44*'Récapitulatif des résultats'!$I$11</f>
        <v>0</v>
      </c>
      <c r="T44" s="238"/>
      <c r="U44" s="177"/>
      <c r="V44" s="246">
        <f t="shared" si="7"/>
        <v>229.60000000000002</v>
      </c>
      <c r="W44" s="185">
        <f>SUM('Pin Laricio'!AQ28*'Pin Laricio'!$F$21,Douglas!AQ28*Douglas!$F$21,'Cedre de l''Atlas'!AQ28*'Cedre de l''Atlas'!$F$21,'Sequoia sempervirens'!AQ28*'Sequoia sempervirens'!$F$21,Chêne!AQ28*Chêne!$F$21,Charme!AQ28*Charme!$F$21)</f>
        <v>0</v>
      </c>
      <c r="X44" s="185">
        <f>SUM('Pin Laricio'!AR28*'Pin Laricio'!$F$21,Douglas!AR28*Douglas!$F$21,'Cedre de l''Atlas'!AR28*'Cedre de l''Atlas'!$F$21,'Sequoia sempervirens'!AR28*'Sequoia sempervirens'!$F$21,Chêne!AR28*Chêne!$F$21,Charme!AR28*Charme!$F$21)</f>
        <v>128.57600000000002</v>
      </c>
      <c r="Y44" s="185">
        <f>SUM('Pin Laricio'!AS28*'Pin Laricio'!$F$21,Douglas!AS28*Douglas!$F$21,'Cedre de l''Atlas'!AS28*'Cedre de l''Atlas'!$F$21,'Sequoia sempervirens'!AS28*'Sequoia sempervirens'!$F$21,Chêne!AS28*Chêne!$F$21,Charme!AS28*Charme!$F$21)</f>
        <v>101.024</v>
      </c>
      <c r="Z44" s="328">
        <f>SUM('Pin Laricio'!AT28*'Pin Laricio'!$F$21,Douglas!AT28*Douglas!$F$21,'Cedre de l''Atlas'!AT28*'Cedre de l''Atlas'!$F$21,'Sequoia sempervirens'!AT28*'Sequoia sempervirens'!$F$21,Chêne!AT28*Chêne!$F$21,Charme!AT28*Charme!$F$21)</f>
        <v>0</v>
      </c>
      <c r="AA44" s="175">
        <f t="shared" si="9"/>
        <v>4448.5</v>
      </c>
      <c r="AB44" s="176">
        <f t="shared" si="8"/>
        <v>1405.7389744427983</v>
      </c>
      <c r="AC44" s="175"/>
      <c r="AD44" s="175"/>
    </row>
    <row r="45" spans="1:30">
      <c r="A45" s="410"/>
      <c r="B45" s="259">
        <f>Douglas!B88</f>
        <v>51</v>
      </c>
      <c r="C45" s="222">
        <f>Douglas!C88</f>
        <v>48</v>
      </c>
      <c r="D45" s="223">
        <f>Douglas!D88</f>
        <v>0.6</v>
      </c>
      <c r="E45" s="218">
        <f>Douglas!E88</f>
        <v>0.22400000000000003</v>
      </c>
      <c r="F45" s="218">
        <f>Douglas!F88</f>
        <v>0.17600000000000002</v>
      </c>
      <c r="G45" s="224">
        <f>Douglas!G88</f>
        <v>0</v>
      </c>
      <c r="H45" s="207">
        <f>IFERROR(VLOOKUP($B$37,Tableau14582[],4,FALSE)*(1+$L$9)^$B45,0)</f>
        <v>59</v>
      </c>
      <c r="I45" s="208">
        <f>IFERROR(VLOOKUP($B$37,Tableau14582[],5,FALSE)*(1+$L$9)^$B45,0)</f>
        <v>19.375</v>
      </c>
      <c r="J45" s="208">
        <f>IFERROR(VLOOKUP($B$37,Tableau14582[],5,FALSE)*(1+$L$9)^$B45,0)</f>
        <v>19.375</v>
      </c>
      <c r="K45" s="209">
        <f>IFERROR(VLOOKUP($B$37,Tableau14582[],6,FALSE)*(1+$L$9)^$B45,0)</f>
        <v>10</v>
      </c>
      <c r="L45" s="260">
        <f t="shared" si="12"/>
        <v>4245.96</v>
      </c>
      <c r="N45" s="71">
        <v>24</v>
      </c>
      <c r="O45" s="236"/>
      <c r="P45" s="177"/>
      <c r="Q45" s="237">
        <f t="shared" si="11"/>
        <v>541.75</v>
      </c>
      <c r="R45" s="177">
        <f t="shared" si="5"/>
        <v>37.922500000000007</v>
      </c>
      <c r="S45" s="177">
        <f>$L$11*(1+$L$9)^N45*'Récapitulatif des résultats'!$I$11</f>
        <v>0</v>
      </c>
      <c r="T45" s="238"/>
      <c r="U45" s="177"/>
      <c r="V45" s="246">
        <f t="shared" si="7"/>
        <v>0</v>
      </c>
      <c r="W45" s="185">
        <f>SUM('Pin Laricio'!AQ29*'Pin Laricio'!$F$21,Douglas!AQ29*Douglas!$F$21,'Cedre de l''Atlas'!AQ29*'Cedre de l''Atlas'!$F$21,'Sequoia sempervirens'!AQ29*'Sequoia sempervirens'!$F$21,Chêne!AQ29*Chêne!$F$21,Charme!AQ29*Charme!$F$21)</f>
        <v>0</v>
      </c>
      <c r="X45" s="185">
        <f>SUM('Pin Laricio'!AR29*'Pin Laricio'!$F$21,Douglas!AR29*Douglas!$F$21,'Cedre de l''Atlas'!AR29*'Cedre de l''Atlas'!$F$21,'Sequoia sempervirens'!AR29*'Sequoia sempervirens'!$F$21,Chêne!AR29*Chêne!$F$21,Charme!AR29*Charme!$F$21)</f>
        <v>0</v>
      </c>
      <c r="Y45" s="185">
        <f>SUM('Pin Laricio'!AS29*'Pin Laricio'!$F$21,Douglas!AS29*Douglas!$F$21,'Cedre de l''Atlas'!AS29*'Cedre de l''Atlas'!$F$21,'Sequoia sempervirens'!AS29*'Sequoia sempervirens'!$F$21,Chêne!AS29*Chêne!$F$21,Charme!AS29*Charme!$F$21)</f>
        <v>0</v>
      </c>
      <c r="Z45" s="328">
        <f>SUM('Pin Laricio'!AT29*'Pin Laricio'!$F$21,Douglas!AT29*Douglas!$F$21,'Cedre de l''Atlas'!AT29*'Cedre de l''Atlas'!$F$21,'Sequoia sempervirens'!AT29*'Sequoia sempervirens'!$F$21,Chêne!AT29*Chêne!$F$21,Charme!AT29*Charme!$F$21)</f>
        <v>0</v>
      </c>
      <c r="AA45" s="175">
        <f t="shared" si="9"/>
        <v>0</v>
      </c>
      <c r="AB45" s="176">
        <f t="shared" si="8"/>
        <v>-201.55414175891352</v>
      </c>
      <c r="AC45" s="175"/>
      <c r="AD45" s="175"/>
    </row>
    <row r="46" spans="1:30">
      <c r="A46" s="410"/>
      <c r="B46" s="259">
        <f>Douglas!B89</f>
        <v>56</v>
      </c>
      <c r="C46" s="222">
        <f>Douglas!C89</f>
        <v>35</v>
      </c>
      <c r="D46" s="223">
        <f>Douglas!D89</f>
        <v>0.7</v>
      </c>
      <c r="E46" s="218">
        <f>Douglas!E89</f>
        <v>0.16800000000000004</v>
      </c>
      <c r="F46" s="218">
        <f>Douglas!F89</f>
        <v>0.13200000000000003</v>
      </c>
      <c r="G46" s="224">
        <f>Douglas!G89</f>
        <v>0</v>
      </c>
      <c r="H46" s="207">
        <f>IFERROR(VLOOKUP($B$37,Tableau14582[],4,FALSE)*(1+$L$9)^$B46,0)</f>
        <v>59</v>
      </c>
      <c r="I46" s="208">
        <f>IFERROR(VLOOKUP($B$37,Tableau14582[],5,FALSE)*(1+$L$9)^$B46,0)</f>
        <v>19.375</v>
      </c>
      <c r="J46" s="208">
        <f>IFERROR(VLOOKUP($B$37,Tableau14582[],5,FALSE)*(1+$L$9)^$B46,0)</f>
        <v>19.375</v>
      </c>
      <c r="K46" s="209">
        <f>IFERROR(VLOOKUP($B$37,Tableau14582[],6,FALSE)*(1+$L$9)^$B46,0)</f>
        <v>10</v>
      </c>
      <c r="L46" s="260">
        <f t="shared" si="12"/>
        <v>3380.3218750000005</v>
      </c>
      <c r="N46" s="71">
        <v>25</v>
      </c>
      <c r="O46" s="236"/>
      <c r="P46" s="177"/>
      <c r="Q46" s="237">
        <f t="shared" si="11"/>
        <v>541.75</v>
      </c>
      <c r="R46" s="177">
        <f t="shared" si="5"/>
        <v>37.922500000000007</v>
      </c>
      <c r="S46" s="177">
        <f>$L$11*(1+$L$9)^N46*'Récapitulatif des résultats'!$I$11</f>
        <v>0</v>
      </c>
      <c r="T46" s="238"/>
      <c r="U46" s="177"/>
      <c r="V46" s="246">
        <f t="shared" si="7"/>
        <v>0</v>
      </c>
      <c r="W46" s="185">
        <f>SUM('Pin Laricio'!AQ30*'Pin Laricio'!$F$21,Douglas!AQ30*Douglas!$F$21,'Cedre de l''Atlas'!AQ30*'Cedre de l''Atlas'!$F$21,'Sequoia sempervirens'!AQ30*'Sequoia sempervirens'!$F$21,Chêne!AQ30*Chêne!$F$21,Charme!AQ30*Charme!$F$21)</f>
        <v>0</v>
      </c>
      <c r="X46" s="185">
        <f>SUM('Pin Laricio'!AR30*'Pin Laricio'!$F$21,Douglas!AR30*Douglas!$F$21,'Cedre de l''Atlas'!AR30*'Cedre de l''Atlas'!$F$21,'Sequoia sempervirens'!AR30*'Sequoia sempervirens'!$F$21,Chêne!AR30*Chêne!$F$21,Charme!AR30*Charme!$F$21)</f>
        <v>0</v>
      </c>
      <c r="Y46" s="185">
        <f>SUM('Pin Laricio'!AS30*'Pin Laricio'!$F$21,Douglas!AS30*Douglas!$F$21,'Cedre de l''Atlas'!AS30*'Cedre de l''Atlas'!$F$21,'Sequoia sempervirens'!AS30*'Sequoia sempervirens'!$F$21,Chêne!AS30*Chêne!$F$21,Charme!AS30*Charme!$F$21)</f>
        <v>0</v>
      </c>
      <c r="Z46" s="328">
        <f>SUM('Pin Laricio'!AT30*'Pin Laricio'!$F$21,Douglas!AT30*Douglas!$F$21,'Cedre de l''Atlas'!AT30*'Cedre de l''Atlas'!$F$21,'Sequoia sempervirens'!AT30*'Sequoia sempervirens'!$F$21,Chêne!AT30*Chêne!$F$21,Charme!AT30*Charme!$F$21)</f>
        <v>0</v>
      </c>
      <c r="AA46" s="175">
        <f t="shared" si="9"/>
        <v>0</v>
      </c>
      <c r="AB46" s="176">
        <f t="shared" si="8"/>
        <v>-192.87477680278806</v>
      </c>
      <c r="AC46" s="175"/>
      <c r="AD46" s="175"/>
    </row>
    <row r="47" spans="1:30">
      <c r="A47" s="410"/>
      <c r="B47" s="259">
        <f>Douglas!B90</f>
        <v>61</v>
      </c>
      <c r="C47" s="222">
        <f>Douglas!C90</f>
        <v>29</v>
      </c>
      <c r="D47" s="223">
        <f>Douglas!D90</f>
        <v>0.8</v>
      </c>
      <c r="E47" s="218">
        <f>Douglas!E90</f>
        <v>0.11199999999999999</v>
      </c>
      <c r="F47" s="218">
        <f>Douglas!F90</f>
        <v>8.7999999999999981E-2</v>
      </c>
      <c r="G47" s="224">
        <f>Douglas!G90</f>
        <v>0</v>
      </c>
      <c r="H47" s="207">
        <f>IFERROR(VLOOKUP($B$37,Tableau14582[],4,FALSE)*(1+$L$9)^$B47,0)</f>
        <v>59</v>
      </c>
      <c r="I47" s="208">
        <f>IFERROR(VLOOKUP($B$37,Tableau14582[],5,FALSE)*(1+$L$9)^$B47,0)</f>
        <v>19.375</v>
      </c>
      <c r="J47" s="208">
        <f>IFERROR(VLOOKUP($B$37,Tableau14582[],5,FALSE)*(1+$L$9)^$B47,0)</f>
        <v>19.375</v>
      </c>
      <c r="K47" s="209">
        <f>IFERROR(VLOOKUP($B$37,Tableau14582[],6,FALSE)*(1+$L$9)^$B47,0)</f>
        <v>10</v>
      </c>
      <c r="L47" s="260">
        <f t="shared" si="12"/>
        <v>3036.408750000001</v>
      </c>
      <c r="N47" s="71">
        <v>26</v>
      </c>
      <c r="O47" s="236"/>
      <c r="P47" s="177"/>
      <c r="Q47" s="237">
        <f t="shared" si="11"/>
        <v>541.75</v>
      </c>
      <c r="R47" s="177">
        <f t="shared" si="5"/>
        <v>37.922500000000007</v>
      </c>
      <c r="S47" s="177">
        <f>$L$11*(1+$L$9)^N47*'Récapitulatif des résultats'!$I$11</f>
        <v>0</v>
      </c>
      <c r="T47" s="238"/>
      <c r="U47" s="177"/>
      <c r="V47" s="246">
        <f t="shared" si="7"/>
        <v>550.36500000000001</v>
      </c>
      <c r="W47" s="185">
        <f>SUM('Pin Laricio'!AQ31*'Pin Laricio'!$F$21,Douglas!AQ31*Douglas!$F$21,'Cedre de l''Atlas'!AQ31*'Cedre de l''Atlas'!$F$21,'Sequoia sempervirens'!AQ31*'Sequoia sempervirens'!$F$21,Chêne!AQ31*Chêne!$F$21,Charme!AQ31*Charme!$F$21)</f>
        <v>0.78000000000000014</v>
      </c>
      <c r="X47" s="185">
        <f>SUM('Pin Laricio'!AR31*'Pin Laricio'!$F$21,Douglas!AR31*Douglas!$F$21,'Cedre de l''Atlas'!AR31*'Cedre de l''Atlas'!$F$21,'Sequoia sempervirens'!AR31*'Sequoia sempervirens'!$F$21,Chêne!AR31*Chêne!$F$21,Charme!AR31*Charme!$F$21)</f>
        <v>303.07200000000006</v>
      </c>
      <c r="Y47" s="185">
        <f>SUM('Pin Laricio'!AS31*'Pin Laricio'!$F$21,Douglas!AS31*Douglas!$F$21,'Cedre de l''Atlas'!AS31*'Cedre de l''Atlas'!$F$21,'Sequoia sempervirens'!AS31*'Sequoia sempervirens'!$F$21,Chêne!AS31*Chêne!$F$21,Charme!AS31*Charme!$F$21)</f>
        <v>238.12800000000004</v>
      </c>
      <c r="Z47" s="328">
        <f>SUM('Pin Laricio'!AT31*'Pin Laricio'!$F$21,Douglas!AT31*Douglas!$F$21,'Cedre de l''Atlas'!AT31*'Cedre de l''Atlas'!$F$21,'Sequoia sempervirens'!AT31*'Sequoia sempervirens'!$F$21,Chêne!AT31*Chêne!$F$21,Charme!AT31*Charme!$F$21)</f>
        <v>8.3849999999999998</v>
      </c>
      <c r="AA47" s="175">
        <f t="shared" si="9"/>
        <v>10686.6</v>
      </c>
      <c r="AB47" s="176">
        <f t="shared" si="8"/>
        <v>3218.0708302924327</v>
      </c>
      <c r="AC47" s="175"/>
      <c r="AD47" s="175"/>
    </row>
    <row r="48" spans="1:30">
      <c r="A48" s="410"/>
      <c r="B48" s="259">
        <f>Douglas!B91</f>
        <v>1</v>
      </c>
      <c r="C48" s="222">
        <f>Douglas!C91</f>
        <v>0</v>
      </c>
      <c r="D48" s="223">
        <f>Douglas!D91</f>
        <v>0.9</v>
      </c>
      <c r="E48" s="218">
        <f>Douglas!E91</f>
        <v>5.5999999999999994E-2</v>
      </c>
      <c r="F48" s="218">
        <f>Douglas!F91</f>
        <v>4.3999999999999991E-2</v>
      </c>
      <c r="G48" s="224">
        <f>Douglas!G91</f>
        <v>0</v>
      </c>
      <c r="H48" s="207">
        <f>IFERROR(VLOOKUP($B$37,Tableau14582[],4,FALSE)*(1+$L$9)^$B48,0)</f>
        <v>59</v>
      </c>
      <c r="I48" s="208">
        <f>IFERROR(VLOOKUP($B$37,Tableau14582[],5,FALSE)*(1+$L$9)^$B48,0)</f>
        <v>19.375</v>
      </c>
      <c r="J48" s="208">
        <f>IFERROR(VLOOKUP($B$37,Tableau14582[],5,FALSE)*(1+$L$9)^$B48,0)</f>
        <v>19.375</v>
      </c>
      <c r="K48" s="209">
        <f>IFERROR(VLOOKUP($B$37,Tableau14582[],6,FALSE)*(1+$L$9)^$B48,0)</f>
        <v>10</v>
      </c>
      <c r="L48" s="260">
        <f t="shared" si="12"/>
        <v>0</v>
      </c>
      <c r="N48" s="71">
        <v>27</v>
      </c>
      <c r="O48" s="236"/>
      <c r="P48" s="177"/>
      <c r="Q48" s="237">
        <f t="shared" si="11"/>
        <v>541.75</v>
      </c>
      <c r="R48" s="177">
        <f t="shared" si="5"/>
        <v>37.922500000000007</v>
      </c>
      <c r="S48" s="177">
        <f>$L$11*(1+$L$9)^N48*'Récapitulatif des résultats'!$I$11</f>
        <v>0</v>
      </c>
      <c r="T48" s="238"/>
      <c r="U48" s="177"/>
      <c r="V48" s="246">
        <f t="shared" si="7"/>
        <v>0</v>
      </c>
      <c r="W48" s="185">
        <f>SUM('Pin Laricio'!AQ32*'Pin Laricio'!$F$21,Douglas!AQ32*Douglas!$F$21,'Cedre de l''Atlas'!AQ32*'Cedre de l''Atlas'!$F$21,'Sequoia sempervirens'!AQ32*'Sequoia sempervirens'!$F$21,Chêne!AQ32*Chêne!$F$21,Charme!AQ32*Charme!$F$21)</f>
        <v>0</v>
      </c>
      <c r="X48" s="185">
        <f>SUM('Pin Laricio'!AR32*'Pin Laricio'!$F$21,Douglas!AR32*Douglas!$F$21,'Cedre de l''Atlas'!AR32*'Cedre de l''Atlas'!$F$21,'Sequoia sempervirens'!AR32*'Sequoia sempervirens'!$F$21,Chêne!AR32*Chêne!$F$21,Charme!AR32*Charme!$F$21)</f>
        <v>0</v>
      </c>
      <c r="Y48" s="185">
        <f>SUM('Pin Laricio'!AS32*'Pin Laricio'!$F$21,Douglas!AS32*Douglas!$F$21,'Cedre de l''Atlas'!AS32*'Cedre de l''Atlas'!$F$21,'Sequoia sempervirens'!AS32*'Sequoia sempervirens'!$F$21,Chêne!AS32*Chêne!$F$21,Charme!AS32*Charme!$F$21)</f>
        <v>0</v>
      </c>
      <c r="Z48" s="328">
        <f>SUM('Pin Laricio'!AT32*'Pin Laricio'!$F$21,Douglas!AT32*Douglas!$F$21,'Cedre de l''Atlas'!AT32*'Cedre de l''Atlas'!$F$21,'Sequoia sempervirens'!AT32*'Sequoia sempervirens'!$F$21,Chêne!AT32*Chêne!$F$21,Charme!AT32*Charme!$F$21)</f>
        <v>0</v>
      </c>
      <c r="AA48" s="175">
        <f t="shared" si="9"/>
        <v>0</v>
      </c>
      <c r="AB48" s="176">
        <f t="shared" si="8"/>
        <v>-176.62120995653774</v>
      </c>
      <c r="AC48" s="175"/>
      <c r="AD48" s="175"/>
    </row>
    <row r="49" spans="2:30">
      <c r="B49" s="259">
        <f>Douglas!B92</f>
        <v>1</v>
      </c>
      <c r="C49" s="222">
        <f>Douglas!C92</f>
        <v>0</v>
      </c>
      <c r="D49" s="223">
        <f>Douglas!D92</f>
        <v>0.9</v>
      </c>
      <c r="E49" s="218">
        <f>Douglas!E92</f>
        <v>5.5999999999999994E-2</v>
      </c>
      <c r="F49" s="218">
        <f>Douglas!F92</f>
        <v>4.3999999999999991E-2</v>
      </c>
      <c r="G49" s="224">
        <f>Douglas!G92</f>
        <v>0</v>
      </c>
      <c r="H49" s="207">
        <f>IFERROR(VLOOKUP($B$37,Tableau14582[],4,FALSE)*(1+$L$9)^$B49,0)</f>
        <v>59</v>
      </c>
      <c r="I49" s="208">
        <f>IFERROR(VLOOKUP($B$37,Tableau14582[],5,FALSE)*(1+$L$9)^$B49,0)</f>
        <v>19.375</v>
      </c>
      <c r="J49" s="208">
        <f>IFERROR(VLOOKUP($B$37,Tableau14582[],5,FALSE)*(1+$L$9)^$B49,0)</f>
        <v>19.375</v>
      </c>
      <c r="K49" s="209">
        <f>IFERROR(VLOOKUP($B$37,Tableau14582[],6,FALSE)*(1+$L$9)^$B49,0)</f>
        <v>10</v>
      </c>
      <c r="L49" s="260">
        <f t="shared" si="12"/>
        <v>0</v>
      </c>
      <c r="N49" s="71">
        <v>28</v>
      </c>
      <c r="O49" s="236"/>
      <c r="P49" s="177"/>
      <c r="Q49" s="237">
        <f t="shared" si="11"/>
        <v>541.75</v>
      </c>
      <c r="R49" s="177">
        <f t="shared" si="5"/>
        <v>37.922500000000007</v>
      </c>
      <c r="S49" s="177">
        <f>$L$11*(1+$L$9)^N49*'Récapitulatif des résultats'!$I$11</f>
        <v>0</v>
      </c>
      <c r="T49" s="238"/>
      <c r="U49" s="177"/>
      <c r="V49" s="246">
        <f t="shared" si="7"/>
        <v>0</v>
      </c>
      <c r="W49" s="185">
        <f>SUM('Pin Laricio'!AQ33*'Pin Laricio'!$F$21,Douglas!AQ33*Douglas!$F$21,'Cedre de l''Atlas'!AQ33*'Cedre de l''Atlas'!$F$21,'Sequoia sempervirens'!AQ33*'Sequoia sempervirens'!$F$21,Chêne!AQ33*Chêne!$F$21,Charme!AQ33*Charme!$F$21)</f>
        <v>0</v>
      </c>
      <c r="X49" s="185">
        <f>SUM('Pin Laricio'!AR33*'Pin Laricio'!$F$21,Douglas!AR33*Douglas!$F$21,'Cedre de l''Atlas'!AR33*'Cedre de l''Atlas'!$F$21,'Sequoia sempervirens'!AR33*'Sequoia sempervirens'!$F$21,Chêne!AR33*Chêne!$F$21,Charme!AR33*Charme!$F$21)</f>
        <v>0</v>
      </c>
      <c r="Y49" s="185">
        <f>SUM('Pin Laricio'!AS33*'Pin Laricio'!$F$21,Douglas!AS33*Douglas!$F$21,'Cedre de l''Atlas'!AS33*'Cedre de l''Atlas'!$F$21,'Sequoia sempervirens'!AS33*'Sequoia sempervirens'!$F$21,Chêne!AS33*Chêne!$F$21,Charme!AS33*Charme!$F$21)</f>
        <v>0</v>
      </c>
      <c r="Z49" s="328">
        <f>SUM('Pin Laricio'!AT33*'Pin Laricio'!$F$21,Douglas!AT33*Douglas!$F$21,'Cedre de l''Atlas'!AT33*'Cedre de l''Atlas'!$F$21,'Sequoia sempervirens'!AT33*'Sequoia sempervirens'!$F$21,Chêne!AT33*Chêne!$F$21,Charme!AT33*Charme!$F$21)</f>
        <v>0</v>
      </c>
      <c r="AA49" s="175">
        <f t="shared" si="9"/>
        <v>0</v>
      </c>
      <c r="AB49" s="176">
        <f t="shared" si="8"/>
        <v>-169.01551192013184</v>
      </c>
      <c r="AC49" s="175"/>
      <c r="AD49" s="175"/>
    </row>
    <row r="50" spans="2:30">
      <c r="B50" s="259">
        <f>Douglas!B93</f>
        <v>1</v>
      </c>
      <c r="C50" s="222">
        <f>Douglas!C93</f>
        <v>0</v>
      </c>
      <c r="D50" s="223">
        <f>Douglas!D93</f>
        <v>0.95</v>
      </c>
      <c r="E50" s="218">
        <f>Douglas!E93</f>
        <v>2.8000000000000028E-2</v>
      </c>
      <c r="F50" s="218">
        <f>Douglas!F93</f>
        <v>2.200000000000002E-2</v>
      </c>
      <c r="G50" s="224">
        <f>Douglas!G93</f>
        <v>0</v>
      </c>
      <c r="H50" s="207">
        <f>IFERROR(VLOOKUP($B$37,Tableau14582[],4,FALSE)*(1+$L$9)^$B50,0)</f>
        <v>59</v>
      </c>
      <c r="I50" s="208">
        <f>IFERROR(VLOOKUP($B$37,Tableau14582[],5,FALSE)*(1+$L$9)^$B50,0)</f>
        <v>19.375</v>
      </c>
      <c r="J50" s="208">
        <f>IFERROR(VLOOKUP($B$37,Tableau14582[],5,FALSE)*(1+$L$9)^$B50,0)</f>
        <v>19.375</v>
      </c>
      <c r="K50" s="209">
        <f>IFERROR(VLOOKUP($B$37,Tableau14582[],6,FALSE)*(1+$L$9)^$B50,0)</f>
        <v>10</v>
      </c>
      <c r="L50" s="260">
        <f t="shared" si="12"/>
        <v>0</v>
      </c>
      <c r="N50" s="71">
        <v>29</v>
      </c>
      <c r="O50" s="236"/>
      <c r="P50" s="177"/>
      <c r="Q50" s="237">
        <f t="shared" si="11"/>
        <v>541.75</v>
      </c>
      <c r="R50" s="177">
        <f t="shared" si="5"/>
        <v>37.922500000000007</v>
      </c>
      <c r="S50" s="177">
        <f>$L$11*(1+$L$9)^N50*'Récapitulatif des résultats'!$I$11</f>
        <v>0</v>
      </c>
      <c r="T50" s="238"/>
      <c r="U50" s="177"/>
      <c r="V50" s="246">
        <f t="shared" si="7"/>
        <v>0</v>
      </c>
      <c r="W50" s="185">
        <f>SUM('Pin Laricio'!AQ34*'Pin Laricio'!$F$21,Douglas!AQ34*Douglas!$F$21,'Cedre de l''Atlas'!AQ34*'Cedre de l''Atlas'!$F$21,'Sequoia sempervirens'!AQ34*'Sequoia sempervirens'!$F$21,Chêne!AQ34*Chêne!$F$21,Charme!AQ34*Charme!$F$21)</f>
        <v>0</v>
      </c>
      <c r="X50" s="185">
        <f>SUM('Pin Laricio'!AR34*'Pin Laricio'!$F$21,Douglas!AR34*Douglas!$F$21,'Cedre de l''Atlas'!AR34*'Cedre de l''Atlas'!$F$21,'Sequoia sempervirens'!AR34*'Sequoia sempervirens'!$F$21,Chêne!AR34*Chêne!$F$21,Charme!AR34*Charme!$F$21)</f>
        <v>0</v>
      </c>
      <c r="Y50" s="185">
        <f>SUM('Pin Laricio'!AS34*'Pin Laricio'!$F$21,Douglas!AS34*Douglas!$F$21,'Cedre de l''Atlas'!AS34*'Cedre de l''Atlas'!$F$21,'Sequoia sempervirens'!AS34*'Sequoia sempervirens'!$F$21,Chêne!AS34*Chêne!$F$21,Charme!AS34*Charme!$F$21)</f>
        <v>0</v>
      </c>
      <c r="Z50" s="328">
        <f>SUM('Pin Laricio'!AT34*'Pin Laricio'!$F$21,Douglas!AT34*Douglas!$F$21,'Cedre de l''Atlas'!AT34*'Cedre de l''Atlas'!$F$21,'Sequoia sempervirens'!AT34*'Sequoia sempervirens'!$F$21,Chêne!AT34*Chêne!$F$21,Charme!AT34*Charme!$F$21)</f>
        <v>0</v>
      </c>
      <c r="AA50" s="175">
        <f t="shared" si="9"/>
        <v>0</v>
      </c>
      <c r="AB50" s="176">
        <f t="shared" si="8"/>
        <v>-161.73733198098739</v>
      </c>
      <c r="AC50" s="175"/>
      <c r="AD50" s="175"/>
    </row>
    <row r="51" spans="2:30">
      <c r="B51" s="261">
        <f>Douglas!B94</f>
        <v>65</v>
      </c>
      <c r="C51" s="225">
        <f>Douglas!C94</f>
        <v>637</v>
      </c>
      <c r="D51" s="219">
        <f>Douglas!D94</f>
        <v>0.95</v>
      </c>
      <c r="E51" s="231">
        <f>Douglas!E94</f>
        <v>2.8000000000000028E-2</v>
      </c>
      <c r="F51" s="231">
        <f>Douglas!F94</f>
        <v>2.200000000000002E-2</v>
      </c>
      <c r="G51" s="226">
        <f>Douglas!G94</f>
        <v>0</v>
      </c>
      <c r="H51" s="210">
        <f>IFERROR(VLOOKUP($B$37,Tableau14582[],4,FALSE)*(1+$L$9)^$B51,0)</f>
        <v>59</v>
      </c>
      <c r="I51" s="211">
        <f>IFERROR(VLOOKUP($B$37,Tableau14582[],5,FALSE)*(1+$L$9)^$B51,0)</f>
        <v>19.375</v>
      </c>
      <c r="J51" s="211">
        <f>IFERROR(VLOOKUP($B$37,Tableau14582[],5,FALSE)*(1+$L$9)^$B51,0)</f>
        <v>19.375</v>
      </c>
      <c r="K51" s="212">
        <f>IFERROR(VLOOKUP($B$37,Tableau14582[],6,FALSE)*(1+$L$9)^$B51,0)</f>
        <v>10</v>
      </c>
      <c r="L51" s="262">
        <f t="shared" si="12"/>
        <v>74457.934687500005</v>
      </c>
      <c r="N51" s="71">
        <v>30</v>
      </c>
      <c r="O51" s="236"/>
      <c r="P51" s="177"/>
      <c r="Q51" s="237">
        <f t="shared" si="11"/>
        <v>541.75</v>
      </c>
      <c r="R51" s="177">
        <f t="shared" si="5"/>
        <v>37.922500000000007</v>
      </c>
      <c r="S51" s="177">
        <f>$L$11*(1+$L$9)^N51*'Récapitulatif des résultats'!$I$11</f>
        <v>0</v>
      </c>
      <c r="T51" s="238"/>
      <c r="U51" s="177"/>
      <c r="V51" s="246">
        <f t="shared" si="7"/>
        <v>0</v>
      </c>
      <c r="W51" s="185">
        <f>SUM('Pin Laricio'!AQ35*'Pin Laricio'!$F$21,Douglas!AQ35*Douglas!$F$21,'Cedre de l''Atlas'!AQ35*'Cedre de l''Atlas'!$F$21,'Sequoia sempervirens'!AQ35*'Sequoia sempervirens'!$F$21,Chêne!AQ35*Chêne!$F$21,Charme!AQ35*Charme!$F$21)</f>
        <v>0</v>
      </c>
      <c r="X51" s="185">
        <f>SUM('Pin Laricio'!AR35*'Pin Laricio'!$F$21,Douglas!AR35*Douglas!$F$21,'Cedre de l''Atlas'!AR35*'Cedre de l''Atlas'!$F$21,'Sequoia sempervirens'!AR35*'Sequoia sempervirens'!$F$21,Chêne!AR35*Chêne!$F$21,Charme!AR35*Charme!$F$21)</f>
        <v>0</v>
      </c>
      <c r="Y51" s="185">
        <f>SUM('Pin Laricio'!AS35*'Pin Laricio'!$F$21,Douglas!AS35*Douglas!$F$21,'Cedre de l''Atlas'!AS35*'Cedre de l''Atlas'!$F$21,'Sequoia sempervirens'!AS35*'Sequoia sempervirens'!$F$21,Chêne!AS35*Chêne!$F$21,Charme!AS35*Charme!$F$21)</f>
        <v>0</v>
      </c>
      <c r="Z51" s="328">
        <f>SUM('Pin Laricio'!AT35*'Pin Laricio'!$F$21,Douglas!AT35*Douglas!$F$21,'Cedre de l''Atlas'!AT35*'Cedre de l''Atlas'!$F$21,'Sequoia sempervirens'!AT35*'Sequoia sempervirens'!$F$21,Chêne!AT35*Chêne!$F$21,Charme!AT35*Charme!$F$21)</f>
        <v>0</v>
      </c>
      <c r="AA51" s="175">
        <f t="shared" si="9"/>
        <v>0</v>
      </c>
      <c r="AB51" s="176">
        <f t="shared" si="8"/>
        <v>-154.77256648898322</v>
      </c>
      <c r="AC51" s="175"/>
      <c r="AD51" s="175"/>
    </row>
    <row r="52" spans="2:30">
      <c r="B52" s="263"/>
      <c r="C52" s="264"/>
      <c r="D52" s="264"/>
      <c r="E52" s="264"/>
      <c r="F52" s="264"/>
      <c r="G52" s="264"/>
      <c r="H52" s="264"/>
      <c r="I52" s="264"/>
      <c r="J52" s="264"/>
      <c r="K52" s="264"/>
      <c r="L52" s="265"/>
      <c r="N52" s="71">
        <v>31</v>
      </c>
      <c r="O52" s="236"/>
      <c r="P52" s="177"/>
      <c r="Q52" s="237">
        <f t="shared" si="11"/>
        <v>541.75</v>
      </c>
      <c r="R52" s="177">
        <f t="shared" si="5"/>
        <v>37.922500000000007</v>
      </c>
      <c r="S52" s="177">
        <f>$L$11*(1+$L$9)^N52*'Récapitulatif des résultats'!$I$11</f>
        <v>0</v>
      </c>
      <c r="T52" s="238"/>
      <c r="U52" s="177"/>
      <c r="V52" s="246">
        <f t="shared" si="7"/>
        <v>701.10000000000014</v>
      </c>
      <c r="W52" s="185">
        <f>SUM('Pin Laricio'!AQ36*'Pin Laricio'!$F$21,Douglas!AQ36*Douglas!$F$21,'Cedre de l''Atlas'!AQ36*'Cedre de l''Atlas'!$F$21,'Sequoia sempervirens'!AQ36*'Sequoia sempervirens'!$F$21,Chêne!AQ36*Chêne!$F$21,Charme!AQ36*Charme!$F$21)</f>
        <v>140.22000000000003</v>
      </c>
      <c r="X52" s="185">
        <f>SUM('Pin Laricio'!AR36*'Pin Laricio'!$F$21,Douglas!AR36*Douglas!$F$21,'Cedre de l''Atlas'!AR36*'Cedre de l''Atlas'!$F$21,'Sequoia sempervirens'!AR36*'Sequoia sempervirens'!$F$21,Chêne!AR36*Chêne!$F$21,Charme!AR36*Charme!$F$21)</f>
        <v>314.09280000000007</v>
      </c>
      <c r="Y52" s="185">
        <f>SUM('Pin Laricio'!AS36*'Pin Laricio'!$F$21,Douglas!AS36*Douglas!$F$21,'Cedre de l''Atlas'!AS36*'Cedre de l''Atlas'!$F$21,'Sequoia sempervirens'!AS36*'Sequoia sempervirens'!$F$21,Chêne!AS36*Chêne!$F$21,Charme!AS36*Charme!$F$21)</f>
        <v>246.78720000000001</v>
      </c>
      <c r="Z52" s="328">
        <f>SUM('Pin Laricio'!AT36*'Pin Laricio'!$F$21,Douglas!AT36*Douglas!$F$21,'Cedre de l''Atlas'!AT36*'Cedre de l''Atlas'!$F$21,'Sequoia sempervirens'!AT36*'Sequoia sempervirens'!$F$21,Chêne!AT36*Chêne!$F$21,Charme!AT36*Charme!$F$21)</f>
        <v>0</v>
      </c>
      <c r="AA52" s="175">
        <f t="shared" si="9"/>
        <v>20842.195000000003</v>
      </c>
      <c r="AB52" s="176">
        <f t="shared" si="8"/>
        <v>5177.1232743645905</v>
      </c>
      <c r="AC52" s="175"/>
      <c r="AD52" s="175"/>
    </row>
    <row r="53" spans="2:30">
      <c r="B53" s="431" t="str">
        <f>'Cedre de l''Atlas'!F17</f>
        <v xml:space="preserve">Cèdre de l’Atlas </v>
      </c>
      <c r="C53" s="432">
        <f>'Cedre de l''Atlas'!C80</f>
        <v>0</v>
      </c>
      <c r="D53" s="432">
        <f>'Cedre de l''Atlas'!D80</f>
        <v>0</v>
      </c>
      <c r="E53" s="432">
        <f>'Cedre de l''Atlas'!E80</f>
        <v>0</v>
      </c>
      <c r="F53" s="432">
        <f>'Cedre de l''Atlas'!F80</f>
        <v>0</v>
      </c>
      <c r="G53" s="433">
        <f>'Cedre de l''Atlas'!G80</f>
        <v>0</v>
      </c>
      <c r="H53" s="417" t="s">
        <v>247</v>
      </c>
      <c r="I53" s="418"/>
      <c r="J53" s="418"/>
      <c r="K53" s="419"/>
      <c r="L53" s="254">
        <f>U5</f>
        <v>2.0500000000000003</v>
      </c>
      <c r="N53" s="71">
        <v>32</v>
      </c>
      <c r="O53" s="236"/>
      <c r="P53" s="177"/>
      <c r="Q53" s="237">
        <f t="shared" si="11"/>
        <v>541.75</v>
      </c>
      <c r="R53" s="177">
        <f t="shared" si="5"/>
        <v>37.922500000000007</v>
      </c>
      <c r="S53" s="177">
        <f>$L$11*(1+$L$9)^N53*'Récapitulatif des résultats'!$I$11</f>
        <v>0</v>
      </c>
      <c r="T53" s="238"/>
      <c r="U53" s="177"/>
      <c r="V53" s="246">
        <f t="shared" si="7"/>
        <v>0</v>
      </c>
      <c r="W53" s="185">
        <f>SUM('Pin Laricio'!AQ37*'Pin Laricio'!$F$21,Douglas!AQ37*Douglas!$F$21,'Cedre de l''Atlas'!AQ37*'Cedre de l''Atlas'!$F$21,'Sequoia sempervirens'!AQ37*'Sequoia sempervirens'!$F$21,Chêne!AQ37*Chêne!$F$21,Charme!AQ37*Charme!$F$21)</f>
        <v>0</v>
      </c>
      <c r="X53" s="185">
        <f>SUM('Pin Laricio'!AR37*'Pin Laricio'!$F$21,Douglas!AR37*Douglas!$F$21,'Cedre de l''Atlas'!AR37*'Cedre de l''Atlas'!$F$21,'Sequoia sempervirens'!AR37*'Sequoia sempervirens'!$F$21,Chêne!AR37*Chêne!$F$21,Charme!AR37*Charme!$F$21)</f>
        <v>0</v>
      </c>
      <c r="Y53" s="185">
        <f>SUM('Pin Laricio'!AS37*'Pin Laricio'!$F$21,Douglas!AS37*Douglas!$F$21,'Cedre de l''Atlas'!AS37*'Cedre de l''Atlas'!$F$21,'Sequoia sempervirens'!AS37*'Sequoia sempervirens'!$F$21,Chêne!AS37*Chêne!$F$21,Charme!AS37*Charme!$F$21)</f>
        <v>0</v>
      </c>
      <c r="Z53" s="328">
        <f>SUM('Pin Laricio'!AT37*'Pin Laricio'!$F$21,Douglas!AT37*Douglas!$F$21,'Cedre de l''Atlas'!AT37*'Cedre de l''Atlas'!$F$21,'Sequoia sempervirens'!AT37*'Sequoia sempervirens'!$F$21,Chêne!AT37*Chêne!$F$21,Charme!AT37*Charme!$F$21)</f>
        <v>0</v>
      </c>
      <c r="AA53" s="175">
        <f t="shared" si="9"/>
        <v>0</v>
      </c>
      <c r="AB53" s="176">
        <f t="shared" si="8"/>
        <v>-141.7298747638408</v>
      </c>
      <c r="AC53" s="175"/>
      <c r="AD53" s="175"/>
    </row>
    <row r="54" spans="2:30">
      <c r="B54" s="266" t="str">
        <f>'Cedre de l''Atlas'!B81</f>
        <v>Année</v>
      </c>
      <c r="C54" s="227" t="str">
        <f>'Cedre de l''Atlas'!C81</f>
        <v>Volume d'éclaircie</v>
      </c>
      <c r="D54" s="214" t="str">
        <f>'Cedre de l''Atlas'!D81</f>
        <v>BO</v>
      </c>
      <c r="E54" s="214" t="str">
        <f>'Cedre de l''Atlas'!E81</f>
        <v>BI - panneaux</v>
      </c>
      <c r="F54" s="214" t="str">
        <f>'Cedre de l''Atlas'!F81</f>
        <v>BI - papier</v>
      </c>
      <c r="G54" s="215" t="str">
        <f>'Cedre de l''Atlas'!G81</f>
        <v>BE</v>
      </c>
      <c r="H54" s="213" t="s">
        <v>78</v>
      </c>
      <c r="I54" s="214" t="s">
        <v>81</v>
      </c>
      <c r="J54" s="214" t="s">
        <v>80</v>
      </c>
      <c r="K54" s="215" t="s">
        <v>79</v>
      </c>
      <c r="L54" s="256" t="s">
        <v>251</v>
      </c>
      <c r="N54" s="71">
        <v>33</v>
      </c>
      <c r="O54" s="236"/>
      <c r="P54" s="177"/>
      <c r="Q54" s="237">
        <f t="shared" si="11"/>
        <v>541.75</v>
      </c>
      <c r="R54" s="177">
        <f t="shared" si="5"/>
        <v>37.922500000000007</v>
      </c>
      <c r="S54" s="177">
        <f>$L$11*(1+$L$9)^N54*'Récapitulatif des résultats'!$I$11</f>
        <v>0</v>
      </c>
      <c r="T54" s="238"/>
      <c r="U54" s="177"/>
      <c r="V54" s="246">
        <f t="shared" si="7"/>
        <v>0</v>
      </c>
      <c r="W54" s="185">
        <f>SUM('Pin Laricio'!AQ38*'Pin Laricio'!$F$21,Douglas!AQ38*Douglas!$F$21,'Cedre de l''Atlas'!AQ38*'Cedre de l''Atlas'!$F$21,'Sequoia sempervirens'!AQ38*'Sequoia sempervirens'!$F$21,Chêne!AQ38*Chêne!$F$21,Charme!AQ38*Charme!$F$21)</f>
        <v>0</v>
      </c>
      <c r="X54" s="185">
        <f>SUM('Pin Laricio'!AR38*'Pin Laricio'!$F$21,Douglas!AR38*Douglas!$F$21,'Cedre de l''Atlas'!AR38*'Cedre de l''Atlas'!$F$21,'Sequoia sempervirens'!AR38*'Sequoia sempervirens'!$F$21,Chêne!AR38*Chêne!$F$21,Charme!AR38*Charme!$F$21)</f>
        <v>0</v>
      </c>
      <c r="Y54" s="185">
        <f>SUM('Pin Laricio'!AS38*'Pin Laricio'!$F$21,Douglas!AS38*Douglas!$F$21,'Cedre de l''Atlas'!AS38*'Cedre de l''Atlas'!$F$21,'Sequoia sempervirens'!AS38*'Sequoia sempervirens'!$F$21,Chêne!AS38*Chêne!$F$21,Charme!AS38*Charme!$F$21)</f>
        <v>0</v>
      </c>
      <c r="Z54" s="328">
        <f>SUM('Pin Laricio'!AT38*'Pin Laricio'!$F$21,Douglas!AT38*Douglas!$F$21,'Cedre de l''Atlas'!AT38*'Cedre de l''Atlas'!$F$21,'Sequoia sempervirens'!AT38*'Sequoia sempervirens'!$F$21,Chêne!AT38*Chêne!$F$21,Charme!AT38*Charme!$F$21)</f>
        <v>0</v>
      </c>
      <c r="AA54" s="175">
        <f t="shared" si="9"/>
        <v>0</v>
      </c>
      <c r="AB54" s="176">
        <f t="shared" si="8"/>
        <v>-135.62667441515867</v>
      </c>
      <c r="AC54" s="175"/>
      <c r="AD54" s="175"/>
    </row>
    <row r="55" spans="2:30">
      <c r="B55" s="267">
        <f>'Cedre de l''Atlas'!B82</f>
        <v>21</v>
      </c>
      <c r="C55" s="220">
        <f>'Cedre de l''Atlas'!C82</f>
        <v>40</v>
      </c>
      <c r="D55" s="217">
        <f>'Cedre de l''Atlas'!D82</f>
        <v>0</v>
      </c>
      <c r="E55" s="217">
        <f>'Cedre de l''Atlas'!E82</f>
        <v>0.56000000000000005</v>
      </c>
      <c r="F55" s="217">
        <f>'Cedre de l''Atlas'!F82</f>
        <v>0.44</v>
      </c>
      <c r="G55" s="221">
        <f>'Cedre de l''Atlas'!G82</f>
        <v>0</v>
      </c>
      <c r="H55" s="228">
        <f>IFERROR(VLOOKUP($B$53,Tableau14582[],4,FALSE)*(1+$L$9)^$B55,0)</f>
        <v>30</v>
      </c>
      <c r="I55" s="229">
        <f>IFERROR(VLOOKUP($B$53,Tableau14582[],5,FALSE)*(1+$L$9)^$B55,0)</f>
        <v>19.375</v>
      </c>
      <c r="J55" s="229">
        <f>IFERROR(VLOOKUP($B$53,Tableau14582[],5,FALSE)*(1+$L$9)^$B55,0)</f>
        <v>19.375</v>
      </c>
      <c r="K55" s="230">
        <f>IFERROR(VLOOKUP($B$53,Tableau14582[],6,FALSE)*(1+$L$9)^$B55,0)</f>
        <v>10</v>
      </c>
      <c r="L55" s="258">
        <f>(C55*D55*H55+C55*E55*I55+C55*F55*J55+C55*G55*K55)*L$53</f>
        <v>1588.7500000000002</v>
      </c>
      <c r="N55" s="71">
        <v>34</v>
      </c>
      <c r="O55" s="236"/>
      <c r="P55" s="177"/>
      <c r="Q55" s="237">
        <f t="shared" si="11"/>
        <v>541.75</v>
      </c>
      <c r="R55" s="177">
        <f t="shared" si="5"/>
        <v>37.922500000000007</v>
      </c>
      <c r="S55" s="177">
        <f>$L$11*(1+$L$9)^N55*'Récapitulatif des résultats'!$I$11</f>
        <v>0</v>
      </c>
      <c r="T55" s="238"/>
      <c r="U55" s="177"/>
      <c r="V55" s="246">
        <f t="shared" si="7"/>
        <v>0</v>
      </c>
      <c r="W55" s="185">
        <f>SUM('Pin Laricio'!AQ39*'Pin Laricio'!$F$21,Douglas!AQ39*Douglas!$F$21,'Cedre de l''Atlas'!AQ39*'Cedre de l''Atlas'!$F$21,'Sequoia sempervirens'!AQ39*'Sequoia sempervirens'!$F$21,Chêne!AQ39*Chêne!$F$21,Charme!AQ39*Charme!$F$21)</f>
        <v>0</v>
      </c>
      <c r="X55" s="185">
        <f>SUM('Pin Laricio'!AR39*'Pin Laricio'!$F$21,Douglas!AR39*Douglas!$F$21,'Cedre de l''Atlas'!AR39*'Cedre de l''Atlas'!$F$21,'Sequoia sempervirens'!AR39*'Sequoia sempervirens'!$F$21,Chêne!AR39*Chêne!$F$21,Charme!AR39*Charme!$F$21)</f>
        <v>0</v>
      </c>
      <c r="Y55" s="185">
        <f>SUM('Pin Laricio'!AS39*'Pin Laricio'!$F$21,Douglas!AS39*Douglas!$F$21,'Cedre de l''Atlas'!AS39*'Cedre de l''Atlas'!$F$21,'Sequoia sempervirens'!AS39*'Sequoia sempervirens'!$F$21,Chêne!AS39*Chêne!$F$21,Charme!AS39*Charme!$F$21)</f>
        <v>0</v>
      </c>
      <c r="Z55" s="328">
        <f>SUM('Pin Laricio'!AT39*'Pin Laricio'!$F$21,Douglas!AT39*Douglas!$F$21,'Cedre de l''Atlas'!AT39*'Cedre de l''Atlas'!$F$21,'Sequoia sempervirens'!AT39*'Sequoia sempervirens'!$F$21,Chêne!AT39*Chêne!$F$21,Charme!AT39*Charme!$F$21)</f>
        <v>0</v>
      </c>
      <c r="AA55" s="175">
        <f t="shared" si="9"/>
        <v>0</v>
      </c>
      <c r="AB55" s="176">
        <f t="shared" si="8"/>
        <v>-129.78629130637196</v>
      </c>
      <c r="AC55" s="175"/>
      <c r="AD55" s="175"/>
    </row>
    <row r="56" spans="2:30">
      <c r="B56" s="268">
        <f>'Cedre de l''Atlas'!B83</f>
        <v>31</v>
      </c>
      <c r="C56" s="222">
        <f>'Cedre de l''Atlas'!C83</f>
        <v>50</v>
      </c>
      <c r="D56" s="223">
        <f>'Cedre de l''Atlas'!D83</f>
        <v>0.2</v>
      </c>
      <c r="E56" s="218">
        <f>'Cedre de l''Atlas'!E83</f>
        <v>0.44800000000000006</v>
      </c>
      <c r="F56" s="218">
        <f>'Cedre de l''Atlas'!F83</f>
        <v>0.35200000000000004</v>
      </c>
      <c r="G56" s="224">
        <f>'Cedre de l''Atlas'!G83</f>
        <v>0</v>
      </c>
      <c r="H56" s="207">
        <f>IFERROR(VLOOKUP($B$53,Tableau14582[],4,FALSE)*(1+$L$9)^$B56,0)</f>
        <v>30</v>
      </c>
      <c r="I56" s="208">
        <f>IFERROR(VLOOKUP($B$53,Tableau14582[],5,FALSE)*(1+$L$9)^$B56,0)</f>
        <v>19.375</v>
      </c>
      <c r="J56" s="208">
        <f>IFERROR(VLOOKUP($B$53,Tableau14582[],5,FALSE)*(1+$L$9)^$B56,0)</f>
        <v>19.375</v>
      </c>
      <c r="K56" s="209">
        <f>IFERROR(VLOOKUP($B$53,Tableau14582[],6,FALSE)*(1+$L$9)^$B56,0)</f>
        <v>10</v>
      </c>
      <c r="L56" s="260">
        <f t="shared" ref="L56:L67" si="13">(C56*D56*H56+C56*E56*I56+C56*F56*J56+C56*G56*K56)*L$53</f>
        <v>2203.7500000000005</v>
      </c>
      <c r="N56" s="71">
        <v>35</v>
      </c>
      <c r="O56" s="236"/>
      <c r="P56" s="177"/>
      <c r="Q56" s="237">
        <f t="shared" si="11"/>
        <v>541.75</v>
      </c>
      <c r="R56" s="177">
        <f t="shared" si="5"/>
        <v>37.922500000000007</v>
      </c>
      <c r="S56" s="177">
        <f>$L$11*(1+$L$9)^N56*'Récapitulatif des résultats'!$I$11</f>
        <v>0</v>
      </c>
      <c r="T56" s="238"/>
      <c r="U56" s="177"/>
      <c r="V56" s="246">
        <f t="shared" si="7"/>
        <v>0</v>
      </c>
      <c r="W56" s="185">
        <f>SUM('Pin Laricio'!AQ40*'Pin Laricio'!$F$21,Douglas!AQ40*Douglas!$F$21,'Cedre de l''Atlas'!AQ40*'Cedre de l''Atlas'!$F$21,'Sequoia sempervirens'!AQ40*'Sequoia sempervirens'!$F$21,Chêne!AQ40*Chêne!$F$21,Charme!AQ40*Charme!$F$21)</f>
        <v>0</v>
      </c>
      <c r="X56" s="185">
        <f>SUM('Pin Laricio'!AR40*'Pin Laricio'!$F$21,Douglas!AR40*Douglas!$F$21,'Cedre de l''Atlas'!AR40*'Cedre de l''Atlas'!$F$21,'Sequoia sempervirens'!AR40*'Sequoia sempervirens'!$F$21,Chêne!AR40*Chêne!$F$21,Charme!AR40*Charme!$F$21)</f>
        <v>0</v>
      </c>
      <c r="Y56" s="185">
        <f>SUM('Pin Laricio'!AS40*'Pin Laricio'!$F$21,Douglas!AS40*Douglas!$F$21,'Cedre de l''Atlas'!AS40*'Cedre de l''Atlas'!$F$21,'Sequoia sempervirens'!AS40*'Sequoia sempervirens'!$F$21,Chêne!AS40*Chêne!$F$21,Charme!AS40*Charme!$F$21)</f>
        <v>0</v>
      </c>
      <c r="Z56" s="328">
        <f>SUM('Pin Laricio'!AT40*'Pin Laricio'!$F$21,Douglas!AT40*Douglas!$F$21,'Cedre de l''Atlas'!AT40*'Cedre de l''Atlas'!$F$21,'Sequoia sempervirens'!AT40*'Sequoia sempervirens'!$F$21,Chêne!AT40*Chêne!$F$21,Charme!AT40*Charme!$F$21)</f>
        <v>0</v>
      </c>
      <c r="AA56" s="175">
        <f t="shared" si="9"/>
        <v>0</v>
      </c>
      <c r="AB56" s="176">
        <f t="shared" si="8"/>
        <v>-124.1974079486813</v>
      </c>
      <c r="AC56" s="175"/>
      <c r="AD56" s="175"/>
    </row>
    <row r="57" spans="2:30">
      <c r="B57" s="268">
        <f>'Cedre de l''Atlas'!B84</f>
        <v>41</v>
      </c>
      <c r="C57" s="222">
        <f>'Cedre de l''Atlas'!C84</f>
        <v>50</v>
      </c>
      <c r="D57" s="223">
        <f>'Cedre de l''Atlas'!D84</f>
        <v>0.4</v>
      </c>
      <c r="E57" s="218">
        <f>'Cedre de l''Atlas'!E84</f>
        <v>0.33600000000000002</v>
      </c>
      <c r="F57" s="218">
        <f>'Cedre de l''Atlas'!F84</f>
        <v>0.26400000000000001</v>
      </c>
      <c r="G57" s="224">
        <f>'Cedre de l''Atlas'!G84</f>
        <v>0</v>
      </c>
      <c r="H57" s="207">
        <f>IFERROR(VLOOKUP($B$53,Tableau14582[],4,FALSE)*(1+$L$9)^$B57,0)</f>
        <v>30</v>
      </c>
      <c r="I57" s="208">
        <f>IFERROR(VLOOKUP($B$53,Tableau14582[],5,FALSE)*(1+$L$9)^$B57,0)</f>
        <v>19.375</v>
      </c>
      <c r="J57" s="208">
        <f>IFERROR(VLOOKUP($B$53,Tableau14582[],5,FALSE)*(1+$L$9)^$B57,0)</f>
        <v>19.375</v>
      </c>
      <c r="K57" s="209">
        <f>IFERROR(VLOOKUP($B$53,Tableau14582[],6,FALSE)*(1+$L$9)^$B57,0)</f>
        <v>10</v>
      </c>
      <c r="L57" s="260">
        <f t="shared" si="13"/>
        <v>2421.5625000000005</v>
      </c>
      <c r="N57" s="71">
        <v>36</v>
      </c>
      <c r="O57" s="236"/>
      <c r="P57" s="177"/>
      <c r="Q57" s="237">
        <f t="shared" si="11"/>
        <v>541.75</v>
      </c>
      <c r="R57" s="177">
        <f t="shared" si="5"/>
        <v>37.922500000000007</v>
      </c>
      <c r="S57" s="177">
        <f>$L$11*(1+$L$9)^N57*'Récapitulatif des résultats'!$I$11</f>
        <v>0</v>
      </c>
      <c r="T57" s="238"/>
      <c r="U57" s="177"/>
      <c r="V57" s="246">
        <f t="shared" si="7"/>
        <v>729.8</v>
      </c>
      <c r="W57" s="185">
        <f>SUM('Pin Laricio'!AQ41*'Pin Laricio'!$F$21,Douglas!AQ41*Douglas!$F$21,'Cedre de l''Atlas'!AQ41*'Cedre de l''Atlas'!$F$21,'Sequoia sempervirens'!AQ41*'Sequoia sempervirens'!$F$21,Chêne!AQ41*Chêne!$F$21,Charme!AQ41*Charme!$F$21)</f>
        <v>218.93999999999997</v>
      </c>
      <c r="X57" s="185">
        <f>SUM('Pin Laricio'!AR41*'Pin Laricio'!$F$21,Douglas!AR41*Douglas!$F$21,'Cedre de l''Atlas'!AR41*'Cedre de l''Atlas'!$F$21,'Sequoia sempervirens'!AR41*'Sequoia sempervirens'!$F$21,Chêne!AR41*Chêne!$F$21,Charme!AR41*Charme!$F$21)</f>
        <v>286.08159999999998</v>
      </c>
      <c r="Y57" s="185">
        <f>SUM('Pin Laricio'!AS41*'Pin Laricio'!$F$21,Douglas!AS41*Douglas!$F$21,'Cedre de l''Atlas'!AS41*'Cedre de l''Atlas'!$F$21,'Sequoia sempervirens'!AS41*'Sequoia sempervirens'!$F$21,Chêne!AS41*Chêne!$F$21,Charme!AS41*Charme!$F$21)</f>
        <v>224.7784</v>
      </c>
      <c r="Z57" s="328">
        <f>SUM('Pin Laricio'!AT41*'Pin Laricio'!$F$21,Douglas!AT41*Douglas!$F$21,'Cedre de l''Atlas'!AT41*'Cedre de l''Atlas'!$F$21,'Sequoia sempervirens'!AT41*'Sequoia sempervirens'!$F$21,Chêne!AT41*Chêne!$F$21,Charme!AT41*Charme!$F$21)</f>
        <v>0</v>
      </c>
      <c r="AA57" s="175">
        <f t="shared" si="9"/>
        <v>23460.496875000001</v>
      </c>
      <c r="AB57" s="176">
        <f t="shared" si="8"/>
        <v>4691.2136418623386</v>
      </c>
      <c r="AC57" s="175"/>
      <c r="AD57" s="175"/>
    </row>
    <row r="58" spans="2:30">
      <c r="B58" s="268">
        <f>'Cedre de l''Atlas'!B85</f>
        <v>51</v>
      </c>
      <c r="C58" s="222">
        <f>'Cedre de l''Atlas'!C85</f>
        <v>50</v>
      </c>
      <c r="D58" s="223">
        <f>'Cedre de l''Atlas'!D85</f>
        <v>0.6</v>
      </c>
      <c r="E58" s="218">
        <f>'Cedre de l''Atlas'!E85</f>
        <v>0.22400000000000003</v>
      </c>
      <c r="F58" s="218">
        <f>'Cedre de l''Atlas'!F85</f>
        <v>0.17600000000000002</v>
      </c>
      <c r="G58" s="224">
        <f>'Cedre de l''Atlas'!G85</f>
        <v>0</v>
      </c>
      <c r="H58" s="207">
        <f>IFERROR(VLOOKUP($B$53,Tableau14582[],4,FALSE)*(1+$L$9)^$B58,0)</f>
        <v>30</v>
      </c>
      <c r="I58" s="208">
        <f>IFERROR(VLOOKUP($B$53,Tableau14582[],5,FALSE)*(1+$L$9)^$B58,0)</f>
        <v>19.375</v>
      </c>
      <c r="J58" s="208">
        <f>IFERROR(VLOOKUP($B$53,Tableau14582[],5,FALSE)*(1+$L$9)^$B58,0)</f>
        <v>19.375</v>
      </c>
      <c r="K58" s="209">
        <f>IFERROR(VLOOKUP($B$53,Tableau14582[],6,FALSE)*(1+$L$9)^$B58,0)</f>
        <v>10</v>
      </c>
      <c r="L58" s="260">
        <f t="shared" si="13"/>
        <v>2639.3750000000005</v>
      </c>
      <c r="N58" s="71">
        <v>37</v>
      </c>
      <c r="O58" s="236"/>
      <c r="P58" s="177"/>
      <c r="Q58" s="237">
        <f t="shared" si="11"/>
        <v>541.75</v>
      </c>
      <c r="R58" s="177">
        <f t="shared" si="5"/>
        <v>37.922500000000007</v>
      </c>
      <c r="S58" s="177">
        <f>$L$11*(1+$L$9)^N58*'Récapitulatif des résultats'!$I$11</f>
        <v>0</v>
      </c>
      <c r="T58" s="238"/>
      <c r="U58" s="177"/>
      <c r="V58" s="246">
        <f t="shared" si="7"/>
        <v>0</v>
      </c>
      <c r="W58" s="185">
        <f>SUM('Pin Laricio'!AQ42*'Pin Laricio'!$F$21,Douglas!AQ42*Douglas!$F$21,'Cedre de l''Atlas'!AQ42*'Cedre de l''Atlas'!$F$21,'Sequoia sempervirens'!AQ42*'Sequoia sempervirens'!$F$21,Chêne!AQ42*Chêne!$F$21,Charme!AQ42*Charme!$F$21)</f>
        <v>0</v>
      </c>
      <c r="X58" s="185">
        <f>SUM('Pin Laricio'!AR42*'Pin Laricio'!$F$21,Douglas!AR42*Douglas!$F$21,'Cedre de l''Atlas'!AR42*'Cedre de l''Atlas'!$F$21,'Sequoia sempervirens'!AR42*'Sequoia sempervirens'!$F$21,Chêne!AR42*Chêne!$F$21,Charme!AR42*Charme!$F$21)</f>
        <v>0</v>
      </c>
      <c r="Y58" s="185">
        <f>SUM('Pin Laricio'!AS42*'Pin Laricio'!$F$21,Douglas!AS42*Douglas!$F$21,'Cedre de l''Atlas'!AS42*'Cedre de l''Atlas'!$F$21,'Sequoia sempervirens'!AS42*'Sequoia sempervirens'!$F$21,Chêne!AS42*Chêne!$F$21,Charme!AS42*Charme!$F$21)</f>
        <v>0</v>
      </c>
      <c r="Z58" s="328">
        <f>SUM('Pin Laricio'!AT42*'Pin Laricio'!$F$21,Douglas!AT42*Douglas!$F$21,'Cedre de l''Atlas'!AT42*'Cedre de l''Atlas'!$F$21,'Sequoia sempervirens'!AT42*'Sequoia sempervirens'!$F$21,Chêne!AT42*Chêne!$F$21,Charme!AT42*Charme!$F$21)</f>
        <v>0</v>
      </c>
      <c r="AA58" s="175">
        <f t="shared" si="9"/>
        <v>0</v>
      </c>
      <c r="AB58" s="176">
        <f t="shared" si="8"/>
        <v>-113.73128632465496</v>
      </c>
      <c r="AC58" s="175"/>
      <c r="AD58" s="175"/>
    </row>
    <row r="59" spans="2:30">
      <c r="B59" s="268">
        <f>'Cedre de l''Atlas'!B86</f>
        <v>61</v>
      </c>
      <c r="C59" s="222">
        <f>'Cedre de l''Atlas'!C86</f>
        <v>40</v>
      </c>
      <c r="D59" s="223">
        <f>'Cedre de l''Atlas'!D86</f>
        <v>0.8</v>
      </c>
      <c r="E59" s="218">
        <f>'Cedre de l''Atlas'!E86</f>
        <v>0.11199999999999999</v>
      </c>
      <c r="F59" s="218">
        <f>'Cedre de l''Atlas'!F86</f>
        <v>8.7999999999999981E-2</v>
      </c>
      <c r="G59" s="224">
        <f>'Cedre de l''Atlas'!G86</f>
        <v>0</v>
      </c>
      <c r="H59" s="207">
        <f>IFERROR(VLOOKUP($B$53,Tableau14582[],4,FALSE)*(1+$L$9)^$B59,0)</f>
        <v>30</v>
      </c>
      <c r="I59" s="208">
        <f>IFERROR(VLOOKUP($B$53,Tableau14582[],5,FALSE)*(1+$L$9)^$B59,0)</f>
        <v>19.375</v>
      </c>
      <c r="J59" s="208">
        <f>IFERROR(VLOOKUP($B$53,Tableau14582[],5,FALSE)*(1+$L$9)^$B59,0)</f>
        <v>19.375</v>
      </c>
      <c r="K59" s="209">
        <f>IFERROR(VLOOKUP($B$53,Tableau14582[],6,FALSE)*(1+$L$9)^$B59,0)</f>
        <v>10</v>
      </c>
      <c r="L59" s="260">
        <f t="shared" si="13"/>
        <v>2285.7500000000005</v>
      </c>
      <c r="N59" s="71">
        <v>38</v>
      </c>
      <c r="O59" s="236"/>
      <c r="P59" s="177"/>
      <c r="Q59" s="237">
        <f t="shared" ref="Q59:Q90" si="14">$L$13*(1+$L$9)^N59*$L$5</f>
        <v>541.75</v>
      </c>
      <c r="R59" s="177">
        <f t="shared" si="5"/>
        <v>37.922500000000007</v>
      </c>
      <c r="S59" s="177">
        <f>$L$11*(1+$L$9)^N59*'Récapitulatif des résultats'!$I$11</f>
        <v>0</v>
      </c>
      <c r="T59" s="238"/>
      <c r="U59" s="177"/>
      <c r="V59" s="246">
        <f t="shared" si="7"/>
        <v>0</v>
      </c>
      <c r="W59" s="185">
        <f>SUM('Pin Laricio'!AQ43*'Pin Laricio'!$F$21,Douglas!AQ43*Douglas!$F$21,'Cedre de l''Atlas'!AQ43*'Cedre de l''Atlas'!$F$21,'Sequoia sempervirens'!AQ43*'Sequoia sempervirens'!$F$21,Chêne!AQ43*Chêne!$F$21,Charme!AQ43*Charme!$F$21)</f>
        <v>0</v>
      </c>
      <c r="X59" s="185">
        <f>SUM('Pin Laricio'!AR43*'Pin Laricio'!$F$21,Douglas!AR43*Douglas!$F$21,'Cedre de l''Atlas'!AR43*'Cedre de l''Atlas'!$F$21,'Sequoia sempervirens'!AR43*'Sequoia sempervirens'!$F$21,Chêne!AR43*Chêne!$F$21,Charme!AR43*Charme!$F$21)</f>
        <v>0</v>
      </c>
      <c r="Y59" s="185">
        <f>SUM('Pin Laricio'!AS43*'Pin Laricio'!$F$21,Douglas!AS43*Douglas!$F$21,'Cedre de l''Atlas'!AS43*'Cedre de l''Atlas'!$F$21,'Sequoia sempervirens'!AS43*'Sequoia sempervirens'!$F$21,Chêne!AS43*Chêne!$F$21,Charme!AS43*Charme!$F$21)</f>
        <v>0</v>
      </c>
      <c r="Z59" s="328">
        <f>SUM('Pin Laricio'!AT43*'Pin Laricio'!$F$21,Douglas!AT43*Douglas!$F$21,'Cedre de l''Atlas'!AT43*'Cedre de l''Atlas'!$F$21,'Sequoia sempervirens'!AT43*'Sequoia sempervirens'!$F$21,Chêne!AT43*Chêne!$F$21,Charme!AT43*Charme!$F$21)</f>
        <v>0</v>
      </c>
      <c r="AA59" s="175">
        <f t="shared" si="9"/>
        <v>0</v>
      </c>
      <c r="AB59" s="176">
        <f t="shared" si="8"/>
        <v>-108.83376681785165</v>
      </c>
      <c r="AC59" s="175"/>
      <c r="AD59" s="175"/>
    </row>
    <row r="60" spans="2:30">
      <c r="B60" s="268" t="str">
        <f>'Cedre de l''Atlas'!B87</f>
        <v>-</v>
      </c>
      <c r="C60" s="222">
        <f>'Cedre de l''Atlas'!C87</f>
        <v>40</v>
      </c>
      <c r="D60" s="223">
        <f>'Cedre de l''Atlas'!D87</f>
        <v>0.4</v>
      </c>
      <c r="E60" s="218">
        <f>'Cedre de l''Atlas'!E87</f>
        <v>0.33600000000000002</v>
      </c>
      <c r="F60" s="218">
        <f>'Cedre de l''Atlas'!F87</f>
        <v>0.26400000000000001</v>
      </c>
      <c r="G60" s="224">
        <f>'Cedre de l''Atlas'!G87</f>
        <v>0</v>
      </c>
      <c r="H60" s="207">
        <f>IFERROR(VLOOKUP($B$53,Tableau14582[],4,FALSE)*(1+$L$9)^$B60,0)</f>
        <v>0</v>
      </c>
      <c r="I60" s="208">
        <f>IFERROR(VLOOKUP($B$53,Tableau14582[],5,FALSE)*(1+$L$9)^$B60,0)</f>
        <v>0</v>
      </c>
      <c r="J60" s="208">
        <f>IFERROR(VLOOKUP($B$53,Tableau14582[],5,FALSE)*(1+$L$9)^$B60,0)</f>
        <v>0</v>
      </c>
      <c r="K60" s="209">
        <f>IFERROR(VLOOKUP($B$53,Tableau14582[],6,FALSE)*(1+$L$9)^$B60,0)</f>
        <v>0</v>
      </c>
      <c r="L60" s="260">
        <f t="shared" si="13"/>
        <v>0</v>
      </c>
      <c r="N60" s="71">
        <v>39</v>
      </c>
      <c r="O60" s="236"/>
      <c r="P60" s="177"/>
      <c r="Q60" s="237">
        <f t="shared" si="14"/>
        <v>541.75</v>
      </c>
      <c r="R60" s="177">
        <f t="shared" si="5"/>
        <v>37.922500000000007</v>
      </c>
      <c r="S60" s="177">
        <f>$L$11*(1+$L$9)^N60*'Récapitulatif des résultats'!$I$11</f>
        <v>0</v>
      </c>
      <c r="T60" s="238"/>
      <c r="U60" s="177"/>
      <c r="V60" s="246">
        <f t="shared" si="7"/>
        <v>0</v>
      </c>
      <c r="W60" s="185">
        <f>SUM('Pin Laricio'!AQ44*'Pin Laricio'!$F$21,Douglas!AQ44*Douglas!$F$21,'Cedre de l''Atlas'!AQ44*'Cedre de l''Atlas'!$F$21,'Sequoia sempervirens'!AQ44*'Sequoia sempervirens'!$F$21,Chêne!AQ44*Chêne!$F$21,Charme!AQ44*Charme!$F$21)</f>
        <v>0</v>
      </c>
      <c r="X60" s="185">
        <f>SUM('Pin Laricio'!AR44*'Pin Laricio'!$F$21,Douglas!AR44*Douglas!$F$21,'Cedre de l''Atlas'!AR44*'Cedre de l''Atlas'!$F$21,'Sequoia sempervirens'!AR44*'Sequoia sempervirens'!$F$21,Chêne!AR44*Chêne!$F$21,Charme!AR44*Charme!$F$21)</f>
        <v>0</v>
      </c>
      <c r="Y60" s="185">
        <f>SUM('Pin Laricio'!AS44*'Pin Laricio'!$F$21,Douglas!AS44*Douglas!$F$21,'Cedre de l''Atlas'!AS44*'Cedre de l''Atlas'!$F$21,'Sequoia sempervirens'!AS44*'Sequoia sempervirens'!$F$21,Chêne!AS44*Chêne!$F$21,Charme!AS44*Charme!$F$21)</f>
        <v>0</v>
      </c>
      <c r="Z60" s="328">
        <f>SUM('Pin Laricio'!AT44*'Pin Laricio'!$F$21,Douglas!AT44*Douglas!$F$21,'Cedre de l''Atlas'!AT44*'Cedre de l''Atlas'!$F$21,'Sequoia sempervirens'!AT44*'Sequoia sempervirens'!$F$21,Chêne!AT44*Chêne!$F$21,Charme!AT44*Charme!$F$21)</f>
        <v>0</v>
      </c>
      <c r="AA60" s="175">
        <f t="shared" si="9"/>
        <v>0</v>
      </c>
      <c r="AB60" s="176">
        <f t="shared" si="8"/>
        <v>-104.14714528024082</v>
      </c>
      <c r="AC60" s="175"/>
      <c r="AD60" s="175"/>
    </row>
    <row r="61" spans="2:30">
      <c r="B61" s="268" t="str">
        <f>'Cedre de l''Atlas'!B88</f>
        <v>-</v>
      </c>
      <c r="C61" s="222">
        <f>'Cedre de l''Atlas'!C88</f>
        <v>30</v>
      </c>
      <c r="D61" s="223">
        <f>'Cedre de l''Atlas'!D88</f>
        <v>0.5</v>
      </c>
      <c r="E61" s="218">
        <f>'Cedre de l''Atlas'!E88</f>
        <v>0.28000000000000003</v>
      </c>
      <c r="F61" s="218">
        <f>'Cedre de l''Atlas'!F88</f>
        <v>0.22</v>
      </c>
      <c r="G61" s="224">
        <f>'Cedre de l''Atlas'!G88</f>
        <v>0</v>
      </c>
      <c r="H61" s="207">
        <f>IFERROR(VLOOKUP($B$53,Tableau14582[],4,FALSE)*(1+$L$9)^$B61,0)</f>
        <v>0</v>
      </c>
      <c r="I61" s="208">
        <f>IFERROR(VLOOKUP($B$53,Tableau14582[],5,FALSE)*(1+$L$9)^$B61,0)</f>
        <v>0</v>
      </c>
      <c r="J61" s="208">
        <f>IFERROR(VLOOKUP($B$53,Tableau14582[],5,FALSE)*(1+$L$9)^$B61,0)</f>
        <v>0</v>
      </c>
      <c r="K61" s="209">
        <f>IFERROR(VLOOKUP($B$53,Tableau14582[],6,FALSE)*(1+$L$9)^$B61,0)</f>
        <v>0</v>
      </c>
      <c r="L61" s="260">
        <f t="shared" si="13"/>
        <v>0</v>
      </c>
      <c r="N61" s="71">
        <v>40</v>
      </c>
      <c r="O61" s="236"/>
      <c r="P61" s="177"/>
      <c r="Q61" s="237">
        <f t="shared" si="14"/>
        <v>541.75</v>
      </c>
      <c r="R61" s="177">
        <f t="shared" si="5"/>
        <v>37.922500000000007</v>
      </c>
      <c r="S61" s="177">
        <f>$L$11*(1+$L$9)^N61*'Récapitulatif des résultats'!$I$11</f>
        <v>0</v>
      </c>
      <c r="T61" s="238"/>
      <c r="U61" s="177"/>
      <c r="V61" s="246">
        <f t="shared" si="7"/>
        <v>0</v>
      </c>
      <c r="W61" s="185">
        <f>SUM('Pin Laricio'!AQ45*'Pin Laricio'!$F$21,Douglas!AQ45*Douglas!$F$21,'Cedre de l''Atlas'!AQ45*'Cedre de l''Atlas'!$F$21,'Sequoia sempervirens'!AQ45*'Sequoia sempervirens'!$F$21,Chêne!AQ45*Chêne!$F$21,Charme!AQ45*Charme!$F$21)</f>
        <v>0</v>
      </c>
      <c r="X61" s="185">
        <f>SUM('Pin Laricio'!AR45*'Pin Laricio'!$F$21,Douglas!AR45*Douglas!$F$21,'Cedre de l''Atlas'!AR45*'Cedre de l''Atlas'!$F$21,'Sequoia sempervirens'!AR45*'Sequoia sempervirens'!$F$21,Chêne!AR45*Chêne!$F$21,Charme!AR45*Charme!$F$21)</f>
        <v>0</v>
      </c>
      <c r="Y61" s="185">
        <f>SUM('Pin Laricio'!AS45*'Pin Laricio'!$F$21,Douglas!AS45*Douglas!$F$21,'Cedre de l''Atlas'!AS45*'Cedre de l''Atlas'!$F$21,'Sequoia sempervirens'!AS45*'Sequoia sempervirens'!$F$21,Chêne!AS45*Chêne!$F$21,Charme!AS45*Charme!$F$21)</f>
        <v>0</v>
      </c>
      <c r="Z61" s="328">
        <f>SUM('Pin Laricio'!AT45*'Pin Laricio'!$F$21,Douglas!AT45*Douglas!$F$21,'Cedre de l''Atlas'!AT45*'Cedre de l''Atlas'!$F$21,'Sequoia sempervirens'!AT45*'Sequoia sempervirens'!$F$21,Chêne!AT45*Chêne!$F$21,Charme!AT45*Charme!$F$21)</f>
        <v>0</v>
      </c>
      <c r="AA61" s="175">
        <f t="shared" si="9"/>
        <v>0</v>
      </c>
      <c r="AB61" s="176">
        <f t="shared" si="8"/>
        <v>-99.662339981091719</v>
      </c>
      <c r="AC61" s="175"/>
      <c r="AD61" s="175"/>
    </row>
    <row r="62" spans="2:30">
      <c r="B62" s="268" t="str">
        <f>'Cedre de l''Atlas'!B89</f>
        <v>-</v>
      </c>
      <c r="C62" s="222">
        <f>'Cedre de l''Atlas'!C89</f>
        <v>30</v>
      </c>
      <c r="D62" s="223">
        <f>'Cedre de l''Atlas'!D89</f>
        <v>0.6</v>
      </c>
      <c r="E62" s="218">
        <f>'Cedre de l''Atlas'!E89</f>
        <v>0.22400000000000003</v>
      </c>
      <c r="F62" s="218">
        <f>'Cedre de l''Atlas'!F89</f>
        <v>0.17600000000000002</v>
      </c>
      <c r="G62" s="224">
        <f>'Cedre de l''Atlas'!G89</f>
        <v>0</v>
      </c>
      <c r="H62" s="207">
        <f>IFERROR(VLOOKUP($B$53,Tableau14582[],4,FALSE)*(1+$L$9)^$B62,0)</f>
        <v>0</v>
      </c>
      <c r="I62" s="208">
        <f>IFERROR(VLOOKUP($B$53,Tableau14582[],5,FALSE)*(1+$L$9)^$B62,0)</f>
        <v>0</v>
      </c>
      <c r="J62" s="208">
        <f>IFERROR(VLOOKUP($B$53,Tableau14582[],5,FALSE)*(1+$L$9)^$B62,0)</f>
        <v>0</v>
      </c>
      <c r="K62" s="209">
        <f>IFERROR(VLOOKUP($B$53,Tableau14582[],6,FALSE)*(1+$L$9)^$B62,0)</f>
        <v>0</v>
      </c>
      <c r="L62" s="260">
        <f t="shared" si="13"/>
        <v>0</v>
      </c>
      <c r="N62" s="71">
        <v>41</v>
      </c>
      <c r="O62" s="236"/>
      <c r="P62" s="177"/>
      <c r="Q62" s="237">
        <f t="shared" si="14"/>
        <v>541.75</v>
      </c>
      <c r="R62" s="177">
        <f t="shared" si="5"/>
        <v>37.922500000000007</v>
      </c>
      <c r="S62" s="177">
        <f>$L$11*(1+$L$9)^N62*'Récapitulatif des résultats'!$I$11</f>
        <v>0</v>
      </c>
      <c r="T62" s="238"/>
      <c r="U62" s="177"/>
      <c r="V62" s="246">
        <f t="shared" si="7"/>
        <v>838.45</v>
      </c>
      <c r="W62" s="185">
        <f>SUM('Pin Laricio'!AQ46*'Pin Laricio'!$F$21,Douglas!AQ46*Douglas!$F$21,'Cedre de l''Atlas'!AQ46*'Cedre de l''Atlas'!$F$21,'Sequoia sempervirens'!AQ46*'Sequoia sempervirens'!$F$21,Chêne!AQ46*Chêne!$F$21,Charme!AQ46*Charme!$F$21)</f>
        <v>335.38000000000005</v>
      </c>
      <c r="X62" s="185">
        <f>SUM('Pin Laricio'!AR46*'Pin Laricio'!$F$21,Douglas!AR46*Douglas!$F$21,'Cedre de l''Atlas'!AR46*'Cedre de l''Atlas'!$F$21,'Sequoia sempervirens'!AR46*'Sequoia sempervirens'!$F$21,Chêne!AR46*Chêne!$F$21,Charme!AR46*Charme!$F$21)</f>
        <v>281.71920000000006</v>
      </c>
      <c r="Y62" s="185">
        <f>SUM('Pin Laricio'!AS46*'Pin Laricio'!$F$21,Douglas!AS46*Douglas!$F$21,'Cedre de l''Atlas'!AS46*'Cedre de l''Atlas'!$F$21,'Sequoia sempervirens'!AS46*'Sequoia sempervirens'!$F$21,Chêne!AS46*Chêne!$F$21,Charme!AS46*Charme!$F$21)</f>
        <v>221.35079999999999</v>
      </c>
      <c r="Z62" s="328">
        <f>SUM('Pin Laricio'!AT46*'Pin Laricio'!$F$21,Douglas!AT46*Douglas!$F$21,'Cedre de l''Atlas'!AT46*'Cedre de l''Atlas'!$F$21,'Sequoia sempervirens'!AT46*'Sequoia sempervirens'!$F$21,Chêne!AT46*Chêne!$F$21,Charme!AT46*Charme!$F$21)</f>
        <v>0</v>
      </c>
      <c r="AA62" s="175">
        <f t="shared" si="9"/>
        <v>27921.595000000001</v>
      </c>
      <c r="AB62" s="176">
        <f t="shared" si="8"/>
        <v>4498.4317901029981</v>
      </c>
      <c r="AC62" s="175"/>
      <c r="AD62" s="175"/>
    </row>
    <row r="63" spans="2:30">
      <c r="B63" s="268" t="str">
        <f>'Cedre de l''Atlas'!B90</f>
        <v>-</v>
      </c>
      <c r="C63" s="222">
        <f>'Cedre de l''Atlas'!C90</f>
        <v>20</v>
      </c>
      <c r="D63" s="223">
        <f>'Cedre de l''Atlas'!D90</f>
        <v>0.7</v>
      </c>
      <c r="E63" s="218">
        <f>'Cedre de l''Atlas'!E90</f>
        <v>0.16800000000000004</v>
      </c>
      <c r="F63" s="218">
        <f>'Cedre de l''Atlas'!F90</f>
        <v>0.13200000000000003</v>
      </c>
      <c r="G63" s="224">
        <f>'Cedre de l''Atlas'!G90</f>
        <v>0</v>
      </c>
      <c r="H63" s="207">
        <f>IFERROR(VLOOKUP($B$53,Tableau14582[],4,FALSE)*(1+$L$9)^$B63,0)</f>
        <v>0</v>
      </c>
      <c r="I63" s="208">
        <f>IFERROR(VLOOKUP($B$53,Tableau14582[],5,FALSE)*(1+$L$9)^$B63,0)</f>
        <v>0</v>
      </c>
      <c r="J63" s="208">
        <f>IFERROR(VLOOKUP($B$53,Tableau14582[],5,FALSE)*(1+$L$9)^$B63,0)</f>
        <v>0</v>
      </c>
      <c r="K63" s="209">
        <f>IFERROR(VLOOKUP($B$53,Tableau14582[],6,FALSE)*(1+$L$9)^$B63,0)</f>
        <v>0</v>
      </c>
      <c r="L63" s="260">
        <f t="shared" si="13"/>
        <v>0</v>
      </c>
      <c r="N63" s="71">
        <v>42</v>
      </c>
      <c r="O63" s="236"/>
      <c r="P63" s="177"/>
      <c r="Q63" s="237">
        <f t="shared" si="14"/>
        <v>541.75</v>
      </c>
      <c r="R63" s="177">
        <f t="shared" si="5"/>
        <v>37.922500000000007</v>
      </c>
      <c r="S63" s="177">
        <f>$L$11*(1+$L$9)^N63*'Récapitulatif des résultats'!$I$11</f>
        <v>0</v>
      </c>
      <c r="T63" s="238"/>
      <c r="U63" s="177"/>
      <c r="V63" s="246">
        <f t="shared" si="7"/>
        <v>0</v>
      </c>
      <c r="W63" s="185">
        <f>SUM('Pin Laricio'!AQ47*'Pin Laricio'!$F$21,Douglas!AQ47*Douglas!$F$21,'Cedre de l''Atlas'!AQ47*'Cedre de l''Atlas'!$F$21,'Sequoia sempervirens'!AQ47*'Sequoia sempervirens'!$F$21,Chêne!AQ47*Chêne!$F$21,Charme!AQ47*Charme!$F$21)</f>
        <v>0</v>
      </c>
      <c r="X63" s="185">
        <f>SUM('Pin Laricio'!AR47*'Pin Laricio'!$F$21,Douglas!AR47*Douglas!$F$21,'Cedre de l''Atlas'!AR47*'Cedre de l''Atlas'!$F$21,'Sequoia sempervirens'!AR47*'Sequoia sempervirens'!$F$21,Chêne!AR47*Chêne!$F$21,Charme!AR47*Charme!$F$21)</f>
        <v>0</v>
      </c>
      <c r="Y63" s="185">
        <f>SUM('Pin Laricio'!AS47*'Pin Laricio'!$F$21,Douglas!AS47*Douglas!$F$21,'Cedre de l''Atlas'!AS47*'Cedre de l''Atlas'!$F$21,'Sequoia sempervirens'!AS47*'Sequoia sempervirens'!$F$21,Chêne!AS47*Chêne!$F$21,Charme!AS47*Charme!$F$21)</f>
        <v>0</v>
      </c>
      <c r="Z63" s="328">
        <f>SUM('Pin Laricio'!AT47*'Pin Laricio'!$F$21,Douglas!AT47*Douglas!$F$21,'Cedre de l''Atlas'!AT47*'Cedre de l''Atlas'!$F$21,'Sequoia sempervirens'!AT47*'Sequoia sempervirens'!$F$21,Chêne!AT47*Chêne!$F$21,Charme!AT47*Charme!$F$21)</f>
        <v>0</v>
      </c>
      <c r="AA63" s="175">
        <f t="shared" si="9"/>
        <v>0</v>
      </c>
      <c r="AB63" s="176">
        <f t="shared" si="8"/>
        <v>-91.263789731088337</v>
      </c>
      <c r="AC63" s="175"/>
      <c r="AD63" s="175"/>
    </row>
    <row r="64" spans="2:30">
      <c r="B64" s="268" t="str">
        <f>'Cedre de l''Atlas'!B91</f>
        <v>-</v>
      </c>
      <c r="C64" s="222">
        <f>'Cedre de l''Atlas'!C91</f>
        <v>20</v>
      </c>
      <c r="D64" s="223">
        <f>'Cedre de l''Atlas'!D91</f>
        <v>0.8</v>
      </c>
      <c r="E64" s="218">
        <f>'Cedre de l''Atlas'!E91</f>
        <v>0.11199999999999999</v>
      </c>
      <c r="F64" s="218">
        <f>'Cedre de l''Atlas'!F91</f>
        <v>8.7999999999999981E-2</v>
      </c>
      <c r="G64" s="224">
        <f>'Cedre de l''Atlas'!G91</f>
        <v>0</v>
      </c>
      <c r="H64" s="207">
        <f>IFERROR(VLOOKUP($B$53,Tableau14582[],4,FALSE)*(1+$L$9)^$B64,0)</f>
        <v>0</v>
      </c>
      <c r="I64" s="208">
        <f>IFERROR(VLOOKUP($B$53,Tableau14582[],5,FALSE)*(1+$L$9)^$B64,0)</f>
        <v>0</v>
      </c>
      <c r="J64" s="208">
        <f>IFERROR(VLOOKUP($B$53,Tableau14582[],5,FALSE)*(1+$L$9)^$B64,0)</f>
        <v>0</v>
      </c>
      <c r="K64" s="209">
        <f>IFERROR(VLOOKUP($B$53,Tableau14582[],6,FALSE)*(1+$L$9)^$B64,0)</f>
        <v>0</v>
      </c>
      <c r="L64" s="260">
        <f t="shared" si="13"/>
        <v>0</v>
      </c>
      <c r="N64" s="71">
        <v>43</v>
      </c>
      <c r="O64" s="236"/>
      <c r="P64" s="177"/>
      <c r="Q64" s="237">
        <f t="shared" si="14"/>
        <v>541.75</v>
      </c>
      <c r="R64" s="177">
        <f t="shared" si="5"/>
        <v>37.922500000000007</v>
      </c>
      <c r="S64" s="177">
        <f>$L$11*(1+$L$9)^N64*'Récapitulatif des résultats'!$I$11</f>
        <v>0</v>
      </c>
      <c r="T64" s="238"/>
      <c r="U64" s="177"/>
      <c r="V64" s="246">
        <f t="shared" si="7"/>
        <v>0</v>
      </c>
      <c r="W64" s="185">
        <f>SUM('Pin Laricio'!AQ48*'Pin Laricio'!$F$21,Douglas!AQ48*Douglas!$F$21,'Cedre de l''Atlas'!AQ48*'Cedre de l''Atlas'!$F$21,'Sequoia sempervirens'!AQ48*'Sequoia sempervirens'!$F$21,Chêne!AQ48*Chêne!$F$21,Charme!AQ48*Charme!$F$21)</f>
        <v>0</v>
      </c>
      <c r="X64" s="185">
        <f>SUM('Pin Laricio'!AR48*'Pin Laricio'!$F$21,Douglas!AR48*Douglas!$F$21,'Cedre de l''Atlas'!AR48*'Cedre de l''Atlas'!$F$21,'Sequoia sempervirens'!AR48*'Sequoia sempervirens'!$F$21,Chêne!AR48*Chêne!$F$21,Charme!AR48*Charme!$F$21)</f>
        <v>0</v>
      </c>
      <c r="Y64" s="185">
        <f>SUM('Pin Laricio'!AS48*'Pin Laricio'!$F$21,Douglas!AS48*Douglas!$F$21,'Cedre de l''Atlas'!AS48*'Cedre de l''Atlas'!$F$21,'Sequoia sempervirens'!AS48*'Sequoia sempervirens'!$F$21,Chêne!AS48*Chêne!$F$21,Charme!AS48*Charme!$F$21)</f>
        <v>0</v>
      </c>
      <c r="Z64" s="328">
        <f>SUM('Pin Laricio'!AT48*'Pin Laricio'!$F$21,Douglas!AT48*Douglas!$F$21,'Cedre de l''Atlas'!AT48*'Cedre de l''Atlas'!$F$21,'Sequoia sempervirens'!AT48*'Sequoia sempervirens'!$F$21,Chêne!AT48*Chêne!$F$21,Charme!AT48*Charme!$F$21)</f>
        <v>0</v>
      </c>
      <c r="AA64" s="175">
        <f t="shared" si="9"/>
        <v>0</v>
      </c>
      <c r="AB64" s="176">
        <f t="shared" si="8"/>
        <v>-87.333770077596498</v>
      </c>
      <c r="AC64" s="175"/>
      <c r="AD64" s="175"/>
    </row>
    <row r="65" spans="2:30">
      <c r="B65" s="268">
        <f>'Cedre de l''Atlas'!B92</f>
        <v>1</v>
      </c>
      <c r="C65" s="222">
        <f>'Cedre de l''Atlas'!C92</f>
        <v>0</v>
      </c>
      <c r="D65" s="223">
        <f>'Cedre de l''Atlas'!D92</f>
        <v>0.9</v>
      </c>
      <c r="E65" s="218">
        <f>'Cedre de l''Atlas'!E92</f>
        <v>5.5999999999999994E-2</v>
      </c>
      <c r="F65" s="218">
        <f>'Cedre de l''Atlas'!F92</f>
        <v>4.3999999999999991E-2</v>
      </c>
      <c r="G65" s="224">
        <f>'Cedre de l''Atlas'!G92</f>
        <v>0</v>
      </c>
      <c r="H65" s="207">
        <f>IFERROR(VLOOKUP($B$53,Tableau14582[],4,FALSE)*(1+$L$9)^$B65,0)</f>
        <v>30</v>
      </c>
      <c r="I65" s="208">
        <f>IFERROR(VLOOKUP($B$53,Tableau14582[],5,FALSE)*(1+$L$9)^$B65,0)</f>
        <v>19.375</v>
      </c>
      <c r="J65" s="208">
        <f>IFERROR(VLOOKUP($B$53,Tableau14582[],5,FALSE)*(1+$L$9)^$B65,0)</f>
        <v>19.375</v>
      </c>
      <c r="K65" s="209">
        <f>IFERROR(VLOOKUP($B$53,Tableau14582[],6,FALSE)*(1+$L$9)^$B65,0)</f>
        <v>10</v>
      </c>
      <c r="L65" s="260">
        <f t="shared" si="13"/>
        <v>0</v>
      </c>
      <c r="N65" s="71">
        <v>44</v>
      </c>
      <c r="O65" s="236"/>
      <c r="P65" s="177"/>
      <c r="Q65" s="237">
        <f t="shared" si="14"/>
        <v>541.75</v>
      </c>
      <c r="R65" s="177">
        <f t="shared" si="5"/>
        <v>37.922500000000007</v>
      </c>
      <c r="S65" s="177">
        <f>$L$11*(1+$L$9)^N65*'Récapitulatif des résultats'!$I$11</f>
        <v>0</v>
      </c>
      <c r="T65" s="238"/>
      <c r="U65" s="177"/>
      <c r="V65" s="246">
        <f t="shared" si="7"/>
        <v>0</v>
      </c>
      <c r="W65" s="185">
        <f>SUM('Pin Laricio'!AQ49*'Pin Laricio'!$F$21,Douglas!AQ49*Douglas!$F$21,'Cedre de l''Atlas'!AQ49*'Cedre de l''Atlas'!$F$21,'Sequoia sempervirens'!AQ49*'Sequoia sempervirens'!$F$21,Chêne!AQ49*Chêne!$F$21,Charme!AQ49*Charme!$F$21)</f>
        <v>0</v>
      </c>
      <c r="X65" s="185">
        <f>SUM('Pin Laricio'!AR49*'Pin Laricio'!$F$21,Douglas!AR49*Douglas!$F$21,'Cedre de l''Atlas'!AR49*'Cedre de l''Atlas'!$F$21,'Sequoia sempervirens'!AR49*'Sequoia sempervirens'!$F$21,Chêne!AR49*Chêne!$F$21,Charme!AR49*Charme!$F$21)</f>
        <v>0</v>
      </c>
      <c r="Y65" s="185">
        <f>SUM('Pin Laricio'!AS49*'Pin Laricio'!$F$21,Douglas!AS49*Douglas!$F$21,'Cedre de l''Atlas'!AS49*'Cedre de l''Atlas'!$F$21,'Sequoia sempervirens'!AS49*'Sequoia sempervirens'!$F$21,Chêne!AS49*Chêne!$F$21,Charme!AS49*Charme!$F$21)</f>
        <v>0</v>
      </c>
      <c r="Z65" s="328">
        <f>SUM('Pin Laricio'!AT49*'Pin Laricio'!$F$21,Douglas!AT49*Douglas!$F$21,'Cedre de l''Atlas'!AT49*'Cedre de l''Atlas'!$F$21,'Sequoia sempervirens'!AT49*'Sequoia sempervirens'!$F$21,Chêne!AT49*Chêne!$F$21,Charme!AT49*Charme!$F$21)</f>
        <v>0</v>
      </c>
      <c r="AA65" s="175">
        <f t="shared" si="9"/>
        <v>0</v>
      </c>
      <c r="AB65" s="176">
        <f t="shared" si="8"/>
        <v>-83.572985720188044</v>
      </c>
      <c r="AC65" s="175"/>
      <c r="AD65" s="175"/>
    </row>
    <row r="66" spans="2:30">
      <c r="B66" s="268">
        <f>'Cedre de l''Atlas'!B93</f>
        <v>1</v>
      </c>
      <c r="C66" s="222">
        <f>'Cedre de l''Atlas'!C93</f>
        <v>0</v>
      </c>
      <c r="D66" s="223">
        <f>'Cedre de l''Atlas'!D93</f>
        <v>0.9</v>
      </c>
      <c r="E66" s="218">
        <f>'Cedre de l''Atlas'!E93</f>
        <v>5.5999999999999994E-2</v>
      </c>
      <c r="F66" s="218">
        <f>'Cedre de l''Atlas'!F93</f>
        <v>4.3999999999999991E-2</v>
      </c>
      <c r="G66" s="224">
        <f>'Cedre de l''Atlas'!G93</f>
        <v>0</v>
      </c>
      <c r="H66" s="207">
        <f>IFERROR(VLOOKUP($B$53,Tableau14582[],4,FALSE)*(1+$L$9)^$B66,0)</f>
        <v>30</v>
      </c>
      <c r="I66" s="208">
        <f>IFERROR(VLOOKUP($B$53,Tableau14582[],5,FALSE)*(1+$L$9)^$B66,0)</f>
        <v>19.375</v>
      </c>
      <c r="J66" s="208">
        <f>IFERROR(VLOOKUP($B$53,Tableau14582[],5,FALSE)*(1+$L$9)^$B66,0)</f>
        <v>19.375</v>
      </c>
      <c r="K66" s="209">
        <f>IFERROR(VLOOKUP($B$53,Tableau14582[],6,FALSE)*(1+$L$9)^$B66,0)</f>
        <v>10</v>
      </c>
      <c r="L66" s="260">
        <f t="shared" si="13"/>
        <v>0</v>
      </c>
      <c r="N66" s="71">
        <v>45</v>
      </c>
      <c r="O66" s="236"/>
      <c r="P66" s="177"/>
      <c r="Q66" s="237">
        <f t="shared" si="14"/>
        <v>541.75</v>
      </c>
      <c r="R66" s="177">
        <f t="shared" si="5"/>
        <v>37.922500000000007</v>
      </c>
      <c r="S66" s="177">
        <f>$L$11*(1+$L$9)^N66*'Récapitulatif des résultats'!$I$11</f>
        <v>0</v>
      </c>
      <c r="T66" s="238"/>
      <c r="U66" s="177"/>
      <c r="V66" s="246">
        <f t="shared" si="7"/>
        <v>0</v>
      </c>
      <c r="W66" s="185">
        <f>SUM('Pin Laricio'!AQ50*'Pin Laricio'!$F$21,Douglas!AQ50*Douglas!$F$21,'Cedre de l''Atlas'!AQ50*'Cedre de l''Atlas'!$F$21,'Sequoia sempervirens'!AQ50*'Sequoia sempervirens'!$F$21,Chêne!AQ50*Chêne!$F$21,Charme!AQ50*Charme!$F$21)</f>
        <v>0</v>
      </c>
      <c r="X66" s="185">
        <f>SUM('Pin Laricio'!AR50*'Pin Laricio'!$F$21,Douglas!AR50*Douglas!$F$21,'Cedre de l''Atlas'!AR50*'Cedre de l''Atlas'!$F$21,'Sequoia sempervirens'!AR50*'Sequoia sempervirens'!$F$21,Chêne!AR50*Chêne!$F$21,Charme!AR50*Charme!$F$21)</f>
        <v>0</v>
      </c>
      <c r="Y66" s="185">
        <f>SUM('Pin Laricio'!AS50*'Pin Laricio'!$F$21,Douglas!AS50*Douglas!$F$21,'Cedre de l''Atlas'!AS50*'Cedre de l''Atlas'!$F$21,'Sequoia sempervirens'!AS50*'Sequoia sempervirens'!$F$21,Chêne!AS50*Chêne!$F$21,Charme!AS50*Charme!$F$21)</f>
        <v>0</v>
      </c>
      <c r="Z66" s="328">
        <f>SUM('Pin Laricio'!AT50*'Pin Laricio'!$F$21,Douglas!AT50*Douglas!$F$21,'Cedre de l''Atlas'!AT50*'Cedre de l''Atlas'!$F$21,'Sequoia sempervirens'!AT50*'Sequoia sempervirens'!$F$21,Chêne!AT50*Chêne!$F$21,Charme!AT50*Charme!$F$21)</f>
        <v>0</v>
      </c>
      <c r="AA66" s="175">
        <f t="shared" si="9"/>
        <v>0</v>
      </c>
      <c r="AB66" s="176">
        <f t="shared" si="8"/>
        <v>-79.974149014534021</v>
      </c>
      <c r="AC66" s="175"/>
      <c r="AD66" s="175"/>
    </row>
    <row r="67" spans="2:30">
      <c r="B67" s="261">
        <f>'Cedre de l''Atlas'!B94</f>
        <v>65</v>
      </c>
      <c r="C67" s="225">
        <f>'Cedre de l''Atlas'!C94</f>
        <v>430</v>
      </c>
      <c r="D67" s="219">
        <f>'Cedre de l''Atlas'!D94</f>
        <v>0.95</v>
      </c>
      <c r="E67" s="231">
        <f>'Cedre de l''Atlas'!E94</f>
        <v>2.8000000000000028E-2</v>
      </c>
      <c r="F67" s="231">
        <f>'Cedre de l''Atlas'!F94</f>
        <v>2.200000000000002E-2</v>
      </c>
      <c r="G67" s="226">
        <f>'Cedre de l''Atlas'!G94</f>
        <v>0</v>
      </c>
      <c r="H67" s="210">
        <f>IFERROR(VLOOKUP($B$53,Tableau14582[],4,FALSE)*(1+$L$9)^$B67,0)</f>
        <v>30</v>
      </c>
      <c r="I67" s="211">
        <f>IFERROR(VLOOKUP($B$53,Tableau14582[],5,FALSE)*(1+$L$9)^$B67,0)</f>
        <v>19.375</v>
      </c>
      <c r="J67" s="211">
        <f>IFERROR(VLOOKUP($B$53,Tableau14582[],5,FALSE)*(1+$L$9)^$B67,0)</f>
        <v>19.375</v>
      </c>
      <c r="K67" s="212">
        <f>IFERROR(VLOOKUP($B$53,Tableau14582[],6,FALSE)*(1+$L$9)^$B67,0)</f>
        <v>10</v>
      </c>
      <c r="L67" s="262">
        <f t="shared" si="13"/>
        <v>25976.703125000004</v>
      </c>
      <c r="N67" s="71">
        <v>46</v>
      </c>
      <c r="O67" s="236"/>
      <c r="P67" s="177"/>
      <c r="Q67" s="237">
        <f t="shared" si="14"/>
        <v>541.75</v>
      </c>
      <c r="R67" s="177">
        <f t="shared" si="5"/>
        <v>37.922500000000007</v>
      </c>
      <c r="S67" s="177">
        <f>$L$11*(1+$L$9)^N67*'Récapitulatif des résultats'!$I$11</f>
        <v>0</v>
      </c>
      <c r="T67" s="238"/>
      <c r="U67" s="177"/>
      <c r="V67" s="246">
        <f t="shared" si="7"/>
        <v>895.84999999999991</v>
      </c>
      <c r="W67" s="185">
        <f>SUM('Pin Laricio'!AQ51*'Pin Laricio'!$F$21,Douglas!AQ51*Douglas!$F$21,'Cedre de l''Atlas'!AQ51*'Cedre de l''Atlas'!$F$21,'Sequoia sempervirens'!AQ51*'Sequoia sempervirens'!$F$21,Chêne!AQ51*Chêne!$F$21,Charme!AQ51*Charme!$F$21)</f>
        <v>447.92499999999995</v>
      </c>
      <c r="X67" s="185">
        <f>SUM('Pin Laricio'!AR51*'Pin Laricio'!$F$21,Douglas!AR51*Douglas!$F$21,'Cedre de l''Atlas'!AR51*'Cedre de l''Atlas'!$F$21,'Sequoia sempervirens'!AR51*'Sequoia sempervirens'!$F$21,Chêne!AR51*Chêne!$F$21,Charme!AR51*Charme!$F$21)</f>
        <v>250.83800000000002</v>
      </c>
      <c r="Y67" s="185">
        <f>SUM('Pin Laricio'!AS51*'Pin Laricio'!$F$21,Douglas!AS51*Douglas!$F$21,'Cedre de l''Atlas'!AS51*'Cedre de l''Atlas'!$F$21,'Sequoia sempervirens'!AS51*'Sequoia sempervirens'!$F$21,Chêne!AS51*Chêne!$F$21,Charme!AS51*Charme!$F$21)</f>
        <v>197.08699999999999</v>
      </c>
      <c r="Z67" s="328">
        <f>SUM('Pin Laricio'!AT51*'Pin Laricio'!$F$21,Douglas!AT51*Douglas!$F$21,'Cedre de l''Atlas'!AT51*'Cedre de l''Atlas'!$F$21,'Sequoia sempervirens'!AT51*'Sequoia sempervirens'!$F$21,Chêne!AT51*Chêne!$F$21,Charme!AT51*Charme!$F$21)</f>
        <v>0</v>
      </c>
      <c r="AA67" s="175">
        <f t="shared" si="9"/>
        <v>30134.150624999998</v>
      </c>
      <c r="AB67" s="176">
        <f t="shared" si="8"/>
        <v>3901.8802299137456</v>
      </c>
      <c r="AC67" s="175"/>
      <c r="AD67" s="175"/>
    </row>
    <row r="68" spans="2:30">
      <c r="B68" s="263"/>
      <c r="C68" s="264"/>
      <c r="D68" s="264"/>
      <c r="E68" s="264"/>
      <c r="F68" s="264"/>
      <c r="G68" s="264"/>
      <c r="H68" s="264"/>
      <c r="I68" s="264"/>
      <c r="J68" s="264"/>
      <c r="K68" s="264"/>
      <c r="L68" s="265"/>
      <c r="N68" s="71">
        <v>47</v>
      </c>
      <c r="O68" s="236"/>
      <c r="P68" s="177"/>
      <c r="Q68" s="237">
        <f t="shared" si="14"/>
        <v>541.75</v>
      </c>
      <c r="R68" s="177">
        <f t="shared" si="5"/>
        <v>37.922500000000007</v>
      </c>
      <c r="S68" s="177">
        <f>$L$11*(1+$L$9)^N68*'Récapitulatif des résultats'!$I$11</f>
        <v>0</v>
      </c>
      <c r="T68" s="238"/>
      <c r="U68" s="177"/>
      <c r="V68" s="246">
        <f t="shared" si="7"/>
        <v>0</v>
      </c>
      <c r="W68" s="185">
        <f>SUM('Pin Laricio'!AQ52*'Pin Laricio'!$F$21,Douglas!AQ52*Douglas!$F$21,'Cedre de l''Atlas'!AQ52*'Cedre de l''Atlas'!$F$21,'Sequoia sempervirens'!AQ52*'Sequoia sempervirens'!$F$21,Chêne!AQ52*Chêne!$F$21,Charme!AQ52*Charme!$F$21)</f>
        <v>0</v>
      </c>
      <c r="X68" s="185">
        <f>SUM('Pin Laricio'!AR52*'Pin Laricio'!$F$21,Douglas!AR52*Douglas!$F$21,'Cedre de l''Atlas'!AR52*'Cedre de l''Atlas'!$F$21,'Sequoia sempervirens'!AR52*'Sequoia sempervirens'!$F$21,Chêne!AR52*Chêne!$F$21,Charme!AR52*Charme!$F$21)</f>
        <v>0</v>
      </c>
      <c r="Y68" s="185">
        <f>SUM('Pin Laricio'!AS52*'Pin Laricio'!$F$21,Douglas!AS52*Douglas!$F$21,'Cedre de l''Atlas'!AS52*'Cedre de l''Atlas'!$F$21,'Sequoia sempervirens'!AS52*'Sequoia sempervirens'!$F$21,Chêne!AS52*Chêne!$F$21,Charme!AS52*Charme!$F$21)</f>
        <v>0</v>
      </c>
      <c r="Z68" s="328">
        <f>SUM('Pin Laricio'!AT52*'Pin Laricio'!$F$21,Douglas!AT52*Douglas!$F$21,'Cedre de l''Atlas'!AT52*'Cedre de l''Atlas'!$F$21,'Sequoia sempervirens'!AT52*'Sequoia sempervirens'!$F$21,Chêne!AT52*Chêne!$F$21,Charme!AT52*Charme!$F$21)</f>
        <v>0</v>
      </c>
      <c r="AA68" s="175">
        <f t="shared" si="9"/>
        <v>0</v>
      </c>
      <c r="AB68" s="176">
        <f t="shared" si="8"/>
        <v>-73.234723577330215</v>
      </c>
      <c r="AC68" s="175"/>
      <c r="AD68" s="175"/>
    </row>
    <row r="69" spans="2:30">
      <c r="B69" s="431" t="str">
        <f>'Sequoia sempervirens'!F17</f>
        <v xml:space="preserve">Sapin pectiné </v>
      </c>
      <c r="C69" s="432">
        <f>'Sequoia sempervirens'!C80</f>
        <v>0</v>
      </c>
      <c r="D69" s="432">
        <f>'Sequoia sempervirens'!D80</f>
        <v>0</v>
      </c>
      <c r="E69" s="432">
        <f>'Sequoia sempervirens'!E80</f>
        <v>0</v>
      </c>
      <c r="F69" s="432">
        <f>'Sequoia sempervirens'!F80</f>
        <v>0</v>
      </c>
      <c r="G69" s="433">
        <f>'Sequoia sempervirens'!G80</f>
        <v>0</v>
      </c>
      <c r="H69" s="417" t="s">
        <v>247</v>
      </c>
      <c r="I69" s="418"/>
      <c r="J69" s="418"/>
      <c r="K69" s="419"/>
      <c r="L69" s="254">
        <f>X5</f>
        <v>2.0500000000000003</v>
      </c>
      <c r="N69" s="71">
        <v>48</v>
      </c>
      <c r="O69" s="236"/>
      <c r="P69" s="177"/>
      <c r="Q69" s="237">
        <f t="shared" si="14"/>
        <v>541.75</v>
      </c>
      <c r="R69" s="177">
        <f t="shared" si="5"/>
        <v>37.922500000000007</v>
      </c>
      <c r="S69" s="177">
        <f>$L$11*(1+$L$9)^N69*'Récapitulatif des résultats'!$I$11</f>
        <v>0</v>
      </c>
      <c r="T69" s="238"/>
      <c r="U69" s="177"/>
      <c r="V69" s="246">
        <f t="shared" si="7"/>
        <v>0</v>
      </c>
      <c r="W69" s="185">
        <f>SUM('Pin Laricio'!AQ53*'Pin Laricio'!$F$21,Douglas!AQ53*Douglas!$F$21,'Cedre de l''Atlas'!AQ53*'Cedre de l''Atlas'!$F$21,'Sequoia sempervirens'!AQ53*'Sequoia sempervirens'!$F$21,Chêne!AQ53*Chêne!$F$21,Charme!AQ53*Charme!$F$21)</f>
        <v>0</v>
      </c>
      <c r="X69" s="185">
        <f>SUM('Pin Laricio'!AR53*'Pin Laricio'!$F$21,Douglas!AR53*Douglas!$F$21,'Cedre de l''Atlas'!AR53*'Cedre de l''Atlas'!$F$21,'Sequoia sempervirens'!AR53*'Sequoia sempervirens'!$F$21,Chêne!AR53*Chêne!$F$21,Charme!AR53*Charme!$F$21)</f>
        <v>0</v>
      </c>
      <c r="Y69" s="185">
        <f>SUM('Pin Laricio'!AS53*'Pin Laricio'!$F$21,Douglas!AS53*Douglas!$F$21,'Cedre de l''Atlas'!AS53*'Cedre de l''Atlas'!$F$21,'Sequoia sempervirens'!AS53*'Sequoia sempervirens'!$F$21,Chêne!AS53*Chêne!$F$21,Charme!AS53*Charme!$F$21)</f>
        <v>0</v>
      </c>
      <c r="Z69" s="328">
        <f>SUM('Pin Laricio'!AT53*'Pin Laricio'!$F$21,Douglas!AT53*Douglas!$F$21,'Cedre de l''Atlas'!AT53*'Cedre de l''Atlas'!$F$21,'Sequoia sempervirens'!AT53*'Sequoia sempervirens'!$F$21,Chêne!AT53*Chêne!$F$21,Charme!AT53*Charme!$F$21)</f>
        <v>0</v>
      </c>
      <c r="AA69" s="175">
        <f t="shared" si="9"/>
        <v>0</v>
      </c>
      <c r="AB69" s="176">
        <f t="shared" si="8"/>
        <v>-70.081075193617465</v>
      </c>
      <c r="AC69" s="175"/>
      <c r="AD69" s="175"/>
    </row>
    <row r="70" spans="2:30">
      <c r="B70" s="266" t="str">
        <f>'Sequoia sempervirens'!B81</f>
        <v>Année</v>
      </c>
      <c r="C70" s="227" t="str">
        <f>'Sequoia sempervirens'!C81</f>
        <v>Volume d'éclaircie</v>
      </c>
      <c r="D70" s="214" t="str">
        <f>'Sequoia sempervirens'!D81</f>
        <v>BO</v>
      </c>
      <c r="E70" s="214" t="str">
        <f>'Sequoia sempervirens'!E81</f>
        <v>BI - panneaux</v>
      </c>
      <c r="F70" s="214" t="str">
        <f>'Sequoia sempervirens'!F81</f>
        <v>BI - papier</v>
      </c>
      <c r="G70" s="215" t="str">
        <f>'Sequoia sempervirens'!G81</f>
        <v>BE</v>
      </c>
      <c r="H70" s="213" t="s">
        <v>78</v>
      </c>
      <c r="I70" s="214" t="s">
        <v>81</v>
      </c>
      <c r="J70" s="214" t="s">
        <v>80</v>
      </c>
      <c r="K70" s="215" t="s">
        <v>79</v>
      </c>
      <c r="L70" s="256" t="s">
        <v>251</v>
      </c>
      <c r="N70" s="71">
        <v>49</v>
      </c>
      <c r="O70" s="236"/>
      <c r="P70" s="177"/>
      <c r="Q70" s="237">
        <f t="shared" si="14"/>
        <v>541.75</v>
      </c>
      <c r="R70" s="177">
        <f t="shared" si="5"/>
        <v>37.922500000000007</v>
      </c>
      <c r="S70" s="177">
        <f>$L$11*(1+$L$9)^N70*'Récapitulatif des résultats'!$I$11</f>
        <v>0</v>
      </c>
      <c r="T70" s="238"/>
      <c r="U70" s="177"/>
      <c r="V70" s="246">
        <f t="shared" si="7"/>
        <v>0</v>
      </c>
      <c r="W70" s="185">
        <f>SUM('Pin Laricio'!AQ54*'Pin Laricio'!$F$21,Douglas!AQ54*Douglas!$F$21,'Cedre de l''Atlas'!AQ54*'Cedre de l''Atlas'!$F$21,'Sequoia sempervirens'!AQ54*'Sequoia sempervirens'!$F$21,Chêne!AQ54*Chêne!$F$21,Charme!AQ54*Charme!$F$21)</f>
        <v>0</v>
      </c>
      <c r="X70" s="185">
        <f>SUM('Pin Laricio'!AR54*'Pin Laricio'!$F$21,Douglas!AR54*Douglas!$F$21,'Cedre de l''Atlas'!AR54*'Cedre de l''Atlas'!$F$21,'Sequoia sempervirens'!AR54*'Sequoia sempervirens'!$F$21,Chêne!AR54*Chêne!$F$21,Charme!AR54*Charme!$F$21)</f>
        <v>0</v>
      </c>
      <c r="Y70" s="185">
        <f>SUM('Pin Laricio'!AS54*'Pin Laricio'!$F$21,Douglas!AS54*Douglas!$F$21,'Cedre de l''Atlas'!AS54*'Cedre de l''Atlas'!$F$21,'Sequoia sempervirens'!AS54*'Sequoia sempervirens'!$F$21,Chêne!AS54*Chêne!$F$21,Charme!AS54*Charme!$F$21)</f>
        <v>0</v>
      </c>
      <c r="Z70" s="328">
        <f>SUM('Pin Laricio'!AT54*'Pin Laricio'!$F$21,Douglas!AT54*Douglas!$F$21,'Cedre de l''Atlas'!AT54*'Cedre de l''Atlas'!$F$21,'Sequoia sempervirens'!AT54*'Sequoia sempervirens'!$F$21,Chêne!AT54*Chêne!$F$21,Charme!AT54*Charme!$F$21)</f>
        <v>0</v>
      </c>
      <c r="AA70" s="175">
        <f t="shared" si="9"/>
        <v>0</v>
      </c>
      <c r="AB70" s="176">
        <f t="shared" si="8"/>
        <v>-67.063229850351632</v>
      </c>
      <c r="AC70" s="175"/>
      <c r="AD70" s="175"/>
    </row>
    <row r="71" spans="2:30">
      <c r="B71" s="267">
        <f>'Sequoia sempervirens'!B82</f>
        <v>16</v>
      </c>
      <c r="C71" s="220">
        <f>'Sequoia sempervirens'!C82</f>
        <v>0</v>
      </c>
      <c r="D71" s="217">
        <f>'Sequoia sempervirens'!D82</f>
        <v>0</v>
      </c>
      <c r="E71" s="217">
        <f>'Sequoia sempervirens'!E82</f>
        <v>0.56000000000000005</v>
      </c>
      <c r="F71" s="217">
        <f>'Sequoia sempervirens'!F82</f>
        <v>0.44</v>
      </c>
      <c r="G71" s="221">
        <f>'Sequoia sempervirens'!G82</f>
        <v>0</v>
      </c>
      <c r="H71" s="207">
        <f>IFERROR(VLOOKUP($B$69,Tableau14582[],4,FALSE)*(1+$L$9)^$B71,0)</f>
        <v>37</v>
      </c>
      <c r="I71" s="208">
        <f>IFERROR(VLOOKUP($B$69,Tableau14582[],5,FALSE)*(1+$L$9)^$B71,0)</f>
        <v>19.375</v>
      </c>
      <c r="J71" s="208">
        <f>IFERROR(VLOOKUP($B$69,Tableau14582[],5,FALSE)*(1+$L$9)^$B71,0)</f>
        <v>19.375</v>
      </c>
      <c r="K71" s="209">
        <f>IFERROR(VLOOKUP($B$69,Tableau14582[],6,FALSE)*(1+$L$9)^$B71,0)</f>
        <v>10</v>
      </c>
      <c r="L71" s="258">
        <f>(C71*D71*H71+C71*E71*I71+C71*F71*J71+C71*G71*K71)*L$69</f>
        <v>0</v>
      </c>
      <c r="N71" s="71">
        <v>50</v>
      </c>
      <c r="O71" s="236"/>
      <c r="P71" s="177"/>
      <c r="Q71" s="237">
        <f t="shared" si="14"/>
        <v>541.75</v>
      </c>
      <c r="R71" s="177">
        <f t="shared" si="5"/>
        <v>37.922500000000007</v>
      </c>
      <c r="S71" s="177">
        <f>$L$11*(1+$L$9)^N71*'Récapitulatif des résultats'!$I$11</f>
        <v>0</v>
      </c>
      <c r="T71" s="238"/>
      <c r="U71" s="177"/>
      <c r="V71" s="246">
        <f t="shared" si="7"/>
        <v>0</v>
      </c>
      <c r="W71" s="185">
        <f>SUM('Pin Laricio'!AQ55*'Pin Laricio'!$F$21,Douglas!AQ55*Douglas!$F$21,'Cedre de l''Atlas'!AQ55*'Cedre de l''Atlas'!$F$21,'Sequoia sempervirens'!AQ55*'Sequoia sempervirens'!$F$21,Chêne!AQ55*Chêne!$F$21,Charme!AQ55*Charme!$F$21)</f>
        <v>0</v>
      </c>
      <c r="X71" s="185">
        <f>SUM('Pin Laricio'!AR55*'Pin Laricio'!$F$21,Douglas!AR55*Douglas!$F$21,'Cedre de l''Atlas'!AR55*'Cedre de l''Atlas'!$F$21,'Sequoia sempervirens'!AR55*'Sequoia sempervirens'!$F$21,Chêne!AR55*Chêne!$F$21,Charme!AR55*Charme!$F$21)</f>
        <v>0</v>
      </c>
      <c r="Y71" s="185">
        <f>SUM('Pin Laricio'!AS55*'Pin Laricio'!$F$21,Douglas!AS55*Douglas!$F$21,'Cedre de l''Atlas'!AS55*'Cedre de l''Atlas'!$F$21,'Sequoia sempervirens'!AS55*'Sequoia sempervirens'!$F$21,Chêne!AS55*Chêne!$F$21,Charme!AS55*Charme!$F$21)</f>
        <v>0</v>
      </c>
      <c r="Z71" s="328">
        <f>SUM('Pin Laricio'!AT55*'Pin Laricio'!$F$21,Douglas!AT55*Douglas!$F$21,'Cedre de l''Atlas'!AT55*'Cedre de l''Atlas'!$F$21,'Sequoia sempervirens'!AT55*'Sequoia sempervirens'!$F$21,Chêne!AT55*Chêne!$F$21,Charme!AT55*Charme!$F$21)</f>
        <v>0</v>
      </c>
      <c r="AA71" s="175">
        <f t="shared" si="9"/>
        <v>0</v>
      </c>
      <c r="AB71" s="176">
        <f t="shared" si="8"/>
        <v>-64.175339569714495</v>
      </c>
      <c r="AC71" s="175"/>
      <c r="AD71" s="175"/>
    </row>
    <row r="72" spans="2:30">
      <c r="B72" s="268">
        <f>'Sequoia sempervirens'!B83</f>
        <v>21</v>
      </c>
      <c r="C72" s="222">
        <f>'Sequoia sempervirens'!C83</f>
        <v>88</v>
      </c>
      <c r="D72" s="223">
        <f>'Sequoia sempervirens'!D83</f>
        <v>0</v>
      </c>
      <c r="E72" s="218">
        <f>'Sequoia sempervirens'!E83</f>
        <v>0.56000000000000005</v>
      </c>
      <c r="F72" s="218">
        <f>'Sequoia sempervirens'!F83</f>
        <v>0.44</v>
      </c>
      <c r="G72" s="224">
        <f>'Sequoia sempervirens'!G83</f>
        <v>0</v>
      </c>
      <c r="H72" s="207">
        <f>IFERROR(VLOOKUP($B$69,Tableau14582[],4,FALSE)*(1+$L$9)^$B72,0)</f>
        <v>37</v>
      </c>
      <c r="I72" s="208">
        <f>IFERROR(VLOOKUP($B$69,Tableau14582[],5,FALSE)*(1+$L$9)^$B72,0)</f>
        <v>19.375</v>
      </c>
      <c r="J72" s="208">
        <f>IFERROR(VLOOKUP($B$69,Tableau14582[],5,FALSE)*(1+$L$9)^$B72,0)</f>
        <v>19.375</v>
      </c>
      <c r="K72" s="209">
        <f>IFERROR(VLOOKUP($B$69,Tableau14582[],6,FALSE)*(1+$L$9)^$B72,0)</f>
        <v>10</v>
      </c>
      <c r="L72" s="260">
        <f t="shared" ref="L72:L83" si="15">(C72*D72*H72+C72*E72*I72+C72*F72*J72+C72*G72*K72)*L$69</f>
        <v>3495.2500000000005</v>
      </c>
      <c r="N72" s="71">
        <v>51</v>
      </c>
      <c r="O72" s="236"/>
      <c r="P72" s="177"/>
      <c r="Q72" s="237">
        <f t="shared" si="14"/>
        <v>541.75</v>
      </c>
      <c r="R72" s="177">
        <f t="shared" si="5"/>
        <v>37.922500000000007</v>
      </c>
      <c r="S72" s="177">
        <f>$L$11*(1+$L$9)^N72*'Récapitulatif des résultats'!$I$11</f>
        <v>0</v>
      </c>
      <c r="T72" s="238"/>
      <c r="U72" s="177"/>
      <c r="V72" s="246">
        <f t="shared" si="7"/>
        <v>961.44999999999993</v>
      </c>
      <c r="W72" s="185">
        <f>SUM('Pin Laricio'!AQ56*'Pin Laricio'!$F$21,Douglas!AQ56*Douglas!$F$21,'Cedre de l''Atlas'!AQ56*'Cedre de l''Atlas'!$F$21,'Sequoia sempervirens'!AQ56*'Sequoia sempervirens'!$F$21,Chêne!AQ56*Chêne!$F$21,Charme!AQ56*Charme!$F$21)</f>
        <v>576.86999999999989</v>
      </c>
      <c r="X72" s="185">
        <f>SUM('Pin Laricio'!AR56*'Pin Laricio'!$F$21,Douglas!AR56*Douglas!$F$21,'Cedre de l''Atlas'!AR56*'Cedre de l''Atlas'!$F$21,'Sequoia sempervirens'!AR56*'Sequoia sempervirens'!$F$21,Chêne!AR56*Chêne!$F$21,Charme!AR56*Charme!$F$21)</f>
        <v>215.36480000000003</v>
      </c>
      <c r="Y72" s="185">
        <f>SUM('Pin Laricio'!AS56*'Pin Laricio'!$F$21,Douglas!AS56*Douglas!$F$21,'Cedre de l''Atlas'!AS56*'Cedre de l''Atlas'!$F$21,'Sequoia sempervirens'!AS56*'Sequoia sempervirens'!$F$21,Chêne!AS56*Chêne!$F$21,Charme!AS56*Charme!$F$21)</f>
        <v>169.21520000000001</v>
      </c>
      <c r="Z72" s="328">
        <f>SUM('Pin Laricio'!AT56*'Pin Laricio'!$F$21,Douglas!AT56*Douglas!$F$21,'Cedre de l''Atlas'!AT56*'Cedre de l''Atlas'!$F$21,'Sequoia sempervirens'!AT56*'Sequoia sempervirens'!$F$21,Chêne!AT56*Chêne!$F$21,Charme!AT56*Charme!$F$21)</f>
        <v>0</v>
      </c>
      <c r="AA72" s="175">
        <f t="shared" si="9"/>
        <v>32425.989999999998</v>
      </c>
      <c r="AB72" s="176">
        <f t="shared" si="8"/>
        <v>3373.8704910239449</v>
      </c>
      <c r="AC72" s="175"/>
      <c r="AD72" s="175"/>
    </row>
    <row r="73" spans="2:30">
      <c r="B73" s="268">
        <f>'Sequoia sempervirens'!B84</f>
        <v>26</v>
      </c>
      <c r="C73" s="222">
        <f>'Sequoia sempervirens'!C84</f>
        <v>91</v>
      </c>
      <c r="D73" s="223">
        <f>'Sequoia sempervirens'!D84</f>
        <v>0</v>
      </c>
      <c r="E73" s="218">
        <f>'Sequoia sempervirens'!E84</f>
        <v>0.56000000000000005</v>
      </c>
      <c r="F73" s="218">
        <f>'Sequoia sempervirens'!F84</f>
        <v>0.44</v>
      </c>
      <c r="G73" s="224">
        <f>'Sequoia sempervirens'!G84</f>
        <v>0</v>
      </c>
      <c r="H73" s="207">
        <f>IFERROR(VLOOKUP($B$69,Tableau14582[],4,FALSE)*(1+$L$9)^$B73,0)</f>
        <v>37</v>
      </c>
      <c r="I73" s="208">
        <f>IFERROR(VLOOKUP($B$69,Tableau14582[],5,FALSE)*(1+$L$9)^$B73,0)</f>
        <v>19.375</v>
      </c>
      <c r="J73" s="208">
        <f>IFERROR(VLOOKUP($B$69,Tableau14582[],5,FALSE)*(1+$L$9)^$B73,0)</f>
        <v>19.375</v>
      </c>
      <c r="K73" s="209">
        <f>IFERROR(VLOOKUP($B$69,Tableau14582[],6,FALSE)*(1+$L$9)^$B73,0)</f>
        <v>10</v>
      </c>
      <c r="L73" s="260">
        <f t="shared" si="15"/>
        <v>3614.4062500000005</v>
      </c>
      <c r="N73" s="71">
        <v>52</v>
      </c>
      <c r="O73" s="236"/>
      <c r="P73" s="177"/>
      <c r="Q73" s="237">
        <f t="shared" si="14"/>
        <v>541.75</v>
      </c>
      <c r="R73" s="177">
        <f t="shared" si="5"/>
        <v>37.922500000000007</v>
      </c>
      <c r="S73" s="177">
        <f>$L$11*(1+$L$9)^N73*'Récapitulatif des résultats'!$I$11</f>
        <v>0</v>
      </c>
      <c r="T73" s="238"/>
      <c r="U73" s="177"/>
      <c r="V73" s="246">
        <f t="shared" si="7"/>
        <v>0</v>
      </c>
      <c r="W73" s="185">
        <f>SUM('Pin Laricio'!AQ57*'Pin Laricio'!$F$21,Douglas!AQ57*Douglas!$F$21,'Cedre de l''Atlas'!AQ57*'Cedre de l''Atlas'!$F$21,'Sequoia sempervirens'!AQ57*'Sequoia sempervirens'!$F$21,Chêne!AQ57*Chêne!$F$21,Charme!AQ57*Charme!$F$21)</f>
        <v>0</v>
      </c>
      <c r="X73" s="185">
        <f>SUM('Pin Laricio'!AR57*'Pin Laricio'!$F$21,Douglas!AR57*Douglas!$F$21,'Cedre de l''Atlas'!AR57*'Cedre de l''Atlas'!$F$21,'Sequoia sempervirens'!AR57*'Sequoia sempervirens'!$F$21,Chêne!AR57*Chêne!$F$21,Charme!AR57*Charme!$F$21)</f>
        <v>0</v>
      </c>
      <c r="Y73" s="185">
        <f>SUM('Pin Laricio'!AS57*'Pin Laricio'!$F$21,Douglas!AS57*Douglas!$F$21,'Cedre de l''Atlas'!AS57*'Cedre de l''Atlas'!$F$21,'Sequoia sempervirens'!AS57*'Sequoia sempervirens'!$F$21,Chêne!AS57*Chêne!$F$21,Charme!AS57*Charme!$F$21)</f>
        <v>0</v>
      </c>
      <c r="Z73" s="328">
        <f>SUM('Pin Laricio'!AT57*'Pin Laricio'!$F$21,Douglas!AT57*Douglas!$F$21,'Cedre de l''Atlas'!AT57*'Cedre de l''Atlas'!$F$21,'Sequoia sempervirens'!AT57*'Sequoia sempervirens'!$F$21,Chêne!AT57*Chêne!$F$21,Charme!AT57*Charme!$F$21)</f>
        <v>0</v>
      </c>
      <c r="AA73" s="175">
        <f t="shared" si="9"/>
        <v>0</v>
      </c>
      <c r="AB73" s="176">
        <f t="shared" si="8"/>
        <v>-58.767280574816979</v>
      </c>
      <c r="AC73" s="175"/>
      <c r="AD73" s="175"/>
    </row>
    <row r="74" spans="2:30">
      <c r="B74" s="268">
        <f>'Sequoia sempervirens'!B85</f>
        <v>31</v>
      </c>
      <c r="C74" s="222">
        <f>'Sequoia sempervirens'!C85</f>
        <v>91</v>
      </c>
      <c r="D74" s="223">
        <f>'Sequoia sempervirens'!D85</f>
        <v>0.2</v>
      </c>
      <c r="E74" s="218">
        <f>'Sequoia sempervirens'!E85</f>
        <v>0.44800000000000006</v>
      </c>
      <c r="F74" s="218">
        <f>'Sequoia sempervirens'!F85</f>
        <v>0.35200000000000004</v>
      </c>
      <c r="G74" s="224">
        <f>'Sequoia sempervirens'!G85</f>
        <v>0</v>
      </c>
      <c r="H74" s="207">
        <f>IFERROR(VLOOKUP($B$69,Tableau14582[],4,FALSE)*(1+$L$9)^$B74,0)</f>
        <v>37</v>
      </c>
      <c r="I74" s="208">
        <f>IFERROR(VLOOKUP($B$69,Tableau14582[],5,FALSE)*(1+$L$9)^$B74,0)</f>
        <v>19.375</v>
      </c>
      <c r="J74" s="208">
        <f>IFERROR(VLOOKUP($B$69,Tableau14582[],5,FALSE)*(1+$L$9)^$B74,0)</f>
        <v>19.375</v>
      </c>
      <c r="K74" s="209">
        <f>IFERROR(VLOOKUP($B$69,Tableau14582[],6,FALSE)*(1+$L$9)^$B74,0)</f>
        <v>10</v>
      </c>
      <c r="L74" s="260">
        <f t="shared" si="15"/>
        <v>4271.9950000000017</v>
      </c>
      <c r="N74" s="71">
        <v>53</v>
      </c>
      <c r="O74" s="236"/>
      <c r="P74" s="177"/>
      <c r="Q74" s="237">
        <f t="shared" si="14"/>
        <v>541.75</v>
      </c>
      <c r="R74" s="177">
        <f t="shared" si="5"/>
        <v>37.922500000000007</v>
      </c>
      <c r="S74" s="177">
        <f>$L$11*(1+$L$9)^N74*'Récapitulatif des résultats'!$I$11</f>
        <v>0</v>
      </c>
      <c r="T74" s="238"/>
      <c r="U74" s="177"/>
      <c r="V74" s="246">
        <f t="shared" si="7"/>
        <v>0</v>
      </c>
      <c r="W74" s="185">
        <f>SUM('Pin Laricio'!AQ58*'Pin Laricio'!$F$21,Douglas!AQ58*Douglas!$F$21,'Cedre de l''Atlas'!AQ58*'Cedre de l''Atlas'!$F$21,'Sequoia sempervirens'!AQ58*'Sequoia sempervirens'!$F$21,Chêne!AQ58*Chêne!$F$21,Charme!AQ58*Charme!$F$21)</f>
        <v>0</v>
      </c>
      <c r="X74" s="185">
        <f>SUM('Pin Laricio'!AR58*'Pin Laricio'!$F$21,Douglas!AR58*Douglas!$F$21,'Cedre de l''Atlas'!AR58*'Cedre de l''Atlas'!$F$21,'Sequoia sempervirens'!AR58*'Sequoia sempervirens'!$F$21,Chêne!AR58*Chêne!$F$21,Charme!AR58*Charme!$F$21)</f>
        <v>0</v>
      </c>
      <c r="Y74" s="185">
        <f>SUM('Pin Laricio'!AS58*'Pin Laricio'!$F$21,Douglas!AS58*Douglas!$F$21,'Cedre de l''Atlas'!AS58*'Cedre de l''Atlas'!$F$21,'Sequoia sempervirens'!AS58*'Sequoia sempervirens'!$F$21,Chêne!AS58*Chêne!$F$21,Charme!AS58*Charme!$F$21)</f>
        <v>0</v>
      </c>
      <c r="Z74" s="328">
        <f>SUM('Pin Laricio'!AT58*'Pin Laricio'!$F$21,Douglas!AT58*Douglas!$F$21,'Cedre de l''Atlas'!AT58*'Cedre de l''Atlas'!$F$21,'Sequoia sempervirens'!AT58*'Sequoia sempervirens'!$F$21,Chêne!AT58*Chêne!$F$21,Charme!AT58*Charme!$F$21)</f>
        <v>0</v>
      </c>
      <c r="AA74" s="175">
        <f t="shared" si="9"/>
        <v>0</v>
      </c>
      <c r="AB74" s="176">
        <f t="shared" si="8"/>
        <v>-56.236632129011461</v>
      </c>
      <c r="AC74" s="175"/>
      <c r="AD74" s="175"/>
    </row>
    <row r="75" spans="2:30">
      <c r="B75" s="268">
        <f>'Sequoia sempervirens'!B86</f>
        <v>36</v>
      </c>
      <c r="C75" s="222">
        <f>'Sequoia sempervirens'!C86</f>
        <v>91</v>
      </c>
      <c r="D75" s="223">
        <f>'Sequoia sempervirens'!D86</f>
        <v>0.3</v>
      </c>
      <c r="E75" s="218">
        <f>'Sequoia sempervirens'!E86</f>
        <v>0.39200000000000002</v>
      </c>
      <c r="F75" s="218">
        <f>'Sequoia sempervirens'!F86</f>
        <v>0.308</v>
      </c>
      <c r="G75" s="224">
        <f>'Sequoia sempervirens'!G86</f>
        <v>0</v>
      </c>
      <c r="H75" s="207">
        <f>IFERROR(VLOOKUP($B$69,Tableau14582[],4,FALSE)*(1+$L$9)^$B75,0)</f>
        <v>37</v>
      </c>
      <c r="I75" s="208">
        <f>IFERROR(VLOOKUP($B$69,Tableau14582[],5,FALSE)*(1+$L$9)^$B75,0)</f>
        <v>19.375</v>
      </c>
      <c r="J75" s="208">
        <f>IFERROR(VLOOKUP($B$69,Tableau14582[],5,FALSE)*(1+$L$9)^$B75,0)</f>
        <v>19.375</v>
      </c>
      <c r="K75" s="209">
        <f>IFERROR(VLOOKUP($B$69,Tableau14582[],6,FALSE)*(1+$L$9)^$B75,0)</f>
        <v>10</v>
      </c>
      <c r="L75" s="260">
        <f t="shared" si="15"/>
        <v>4600.7893750000012</v>
      </c>
      <c r="N75" s="71">
        <v>54</v>
      </c>
      <c r="O75" s="236"/>
      <c r="P75" s="177"/>
      <c r="Q75" s="237">
        <f t="shared" si="14"/>
        <v>541.75</v>
      </c>
      <c r="R75" s="177">
        <f t="shared" si="5"/>
        <v>37.922500000000007</v>
      </c>
      <c r="S75" s="177">
        <f>$L$11*(1+$L$9)^N75*'Récapitulatif des résultats'!$I$11</f>
        <v>0</v>
      </c>
      <c r="T75" s="238"/>
      <c r="U75" s="177"/>
      <c r="V75" s="246">
        <f t="shared" si="7"/>
        <v>0</v>
      </c>
      <c r="W75" s="185">
        <f>SUM('Pin Laricio'!AQ59*'Pin Laricio'!$F$21,Douglas!AQ59*Douglas!$F$21,'Cedre de l''Atlas'!AQ59*'Cedre de l''Atlas'!$F$21,'Sequoia sempervirens'!AQ59*'Sequoia sempervirens'!$F$21,Chêne!AQ59*Chêne!$F$21,Charme!AQ59*Charme!$F$21)</f>
        <v>0</v>
      </c>
      <c r="X75" s="185">
        <f>SUM('Pin Laricio'!AR59*'Pin Laricio'!$F$21,Douglas!AR59*Douglas!$F$21,'Cedre de l''Atlas'!AR59*'Cedre de l''Atlas'!$F$21,'Sequoia sempervirens'!AR59*'Sequoia sempervirens'!$F$21,Chêne!AR59*Chêne!$F$21,Charme!AR59*Charme!$F$21)</f>
        <v>0</v>
      </c>
      <c r="Y75" s="185">
        <f>SUM('Pin Laricio'!AS59*'Pin Laricio'!$F$21,Douglas!AS59*Douglas!$F$21,'Cedre de l''Atlas'!AS59*'Cedre de l''Atlas'!$F$21,'Sequoia sempervirens'!AS59*'Sequoia sempervirens'!$F$21,Chêne!AS59*Chêne!$F$21,Charme!AS59*Charme!$F$21)</f>
        <v>0</v>
      </c>
      <c r="Z75" s="328">
        <f>SUM('Pin Laricio'!AT59*'Pin Laricio'!$F$21,Douglas!AT59*Douglas!$F$21,'Cedre de l''Atlas'!AT59*'Cedre de l''Atlas'!$F$21,'Sequoia sempervirens'!AT59*'Sequoia sempervirens'!$F$21,Chêne!AT59*Chêne!$F$21,Charme!AT59*Charme!$F$21)</f>
        <v>0</v>
      </c>
      <c r="AA75" s="175">
        <f t="shared" si="9"/>
        <v>0</v>
      </c>
      <c r="AB75" s="176">
        <f t="shared" si="8"/>
        <v>-53.814958975130608</v>
      </c>
      <c r="AC75" s="175"/>
      <c r="AD75" s="175"/>
    </row>
    <row r="76" spans="2:30">
      <c r="B76" s="268">
        <f>'Sequoia sempervirens'!B87</f>
        <v>41</v>
      </c>
      <c r="C76" s="222">
        <f>'Sequoia sempervirens'!C87</f>
        <v>91</v>
      </c>
      <c r="D76" s="223">
        <f>'Sequoia sempervirens'!D87</f>
        <v>0.4</v>
      </c>
      <c r="E76" s="218">
        <f>'Sequoia sempervirens'!E87</f>
        <v>0.33600000000000002</v>
      </c>
      <c r="F76" s="218">
        <f>'Sequoia sempervirens'!F87</f>
        <v>0.26400000000000001</v>
      </c>
      <c r="G76" s="224">
        <f>'Sequoia sempervirens'!G87</f>
        <v>0</v>
      </c>
      <c r="H76" s="207">
        <f>IFERROR(VLOOKUP($B$69,Tableau14582[],4,FALSE)*(1+$L$9)^$B76,0)</f>
        <v>37</v>
      </c>
      <c r="I76" s="208">
        <f>IFERROR(VLOOKUP($B$69,Tableau14582[],5,FALSE)*(1+$L$9)^$B76,0)</f>
        <v>19.375</v>
      </c>
      <c r="J76" s="208">
        <f>IFERROR(VLOOKUP($B$69,Tableau14582[],5,FALSE)*(1+$L$9)^$B76,0)</f>
        <v>19.375</v>
      </c>
      <c r="K76" s="209">
        <f>IFERROR(VLOOKUP($B$69,Tableau14582[],6,FALSE)*(1+$L$9)^$B76,0)</f>
        <v>10</v>
      </c>
      <c r="L76" s="260">
        <f t="shared" si="15"/>
        <v>4929.5837500000007</v>
      </c>
      <c r="N76" s="71">
        <v>55</v>
      </c>
      <c r="O76" s="236"/>
      <c r="P76" s="177"/>
      <c r="Q76" s="237">
        <f t="shared" si="14"/>
        <v>541.75</v>
      </c>
      <c r="R76" s="177">
        <f t="shared" si="5"/>
        <v>37.922500000000007</v>
      </c>
      <c r="S76" s="177">
        <f>$L$11*(1+$L$9)^N76*'Récapitulatif des résultats'!$I$11</f>
        <v>0</v>
      </c>
      <c r="T76" s="238"/>
      <c r="U76" s="177"/>
      <c r="V76" s="246">
        <f t="shared" si="7"/>
        <v>0</v>
      </c>
      <c r="W76" s="185">
        <f>SUM('Pin Laricio'!AQ60*'Pin Laricio'!$F$21,Douglas!AQ60*Douglas!$F$21,'Cedre de l''Atlas'!AQ60*'Cedre de l''Atlas'!$F$21,'Sequoia sempervirens'!AQ60*'Sequoia sempervirens'!$F$21,Chêne!AQ60*Chêne!$F$21,Charme!AQ60*Charme!$F$21)</f>
        <v>0</v>
      </c>
      <c r="X76" s="185">
        <f>SUM('Pin Laricio'!AR60*'Pin Laricio'!$F$21,Douglas!AR60*Douglas!$F$21,'Cedre de l''Atlas'!AR60*'Cedre de l''Atlas'!$F$21,'Sequoia sempervirens'!AR60*'Sequoia sempervirens'!$F$21,Chêne!AR60*Chêne!$F$21,Charme!AR60*Charme!$F$21)</f>
        <v>0</v>
      </c>
      <c r="Y76" s="185">
        <f>SUM('Pin Laricio'!AS60*'Pin Laricio'!$F$21,Douglas!AS60*Douglas!$F$21,'Cedre de l''Atlas'!AS60*'Cedre de l''Atlas'!$F$21,'Sequoia sempervirens'!AS60*'Sequoia sempervirens'!$F$21,Chêne!AS60*Chêne!$F$21,Charme!AS60*Charme!$F$21)</f>
        <v>0</v>
      </c>
      <c r="Z76" s="328">
        <f>SUM('Pin Laricio'!AT60*'Pin Laricio'!$F$21,Douglas!AT60*Douglas!$F$21,'Cedre de l''Atlas'!AT60*'Cedre de l''Atlas'!$F$21,'Sequoia sempervirens'!AT60*'Sequoia sempervirens'!$F$21,Chêne!AT60*Chêne!$F$21,Charme!AT60*Charme!$F$21)</f>
        <v>0</v>
      </c>
      <c r="AA76" s="175">
        <f t="shared" si="9"/>
        <v>0</v>
      </c>
      <c r="AB76" s="176">
        <f t="shared" si="8"/>
        <v>-51.497568397254163</v>
      </c>
      <c r="AC76" s="175"/>
      <c r="AD76" s="175"/>
    </row>
    <row r="77" spans="2:30">
      <c r="B77" s="268">
        <f>'Sequoia sempervirens'!B88</f>
        <v>46</v>
      </c>
      <c r="C77" s="222">
        <f>'Sequoia sempervirens'!C88</f>
        <v>74</v>
      </c>
      <c r="D77" s="223">
        <f>'Sequoia sempervirens'!D88</f>
        <v>0.5</v>
      </c>
      <c r="E77" s="218">
        <f>'Sequoia sempervirens'!E88</f>
        <v>0.28000000000000003</v>
      </c>
      <c r="F77" s="218">
        <f>'Sequoia sempervirens'!F88</f>
        <v>0.22</v>
      </c>
      <c r="G77" s="224">
        <f>'Sequoia sempervirens'!G88</f>
        <v>0</v>
      </c>
      <c r="H77" s="207">
        <f>IFERROR(VLOOKUP($B$69,Tableau14582[],4,FALSE)*(1+$L$9)^$B77,0)</f>
        <v>37</v>
      </c>
      <c r="I77" s="208">
        <f>IFERROR(VLOOKUP($B$69,Tableau14582[],5,FALSE)*(1+$L$9)^$B77,0)</f>
        <v>19.375</v>
      </c>
      <c r="J77" s="208">
        <f>IFERROR(VLOOKUP($B$69,Tableau14582[],5,FALSE)*(1+$L$9)^$B77,0)</f>
        <v>19.375</v>
      </c>
      <c r="K77" s="209">
        <f>IFERROR(VLOOKUP($B$69,Tableau14582[],6,FALSE)*(1+$L$9)^$B77,0)</f>
        <v>10</v>
      </c>
      <c r="L77" s="260">
        <f t="shared" si="15"/>
        <v>4276.0437500000007</v>
      </c>
      <c r="N77" s="71">
        <v>56</v>
      </c>
      <c r="O77" s="236"/>
      <c r="P77" s="177"/>
      <c r="Q77" s="237">
        <f t="shared" si="14"/>
        <v>541.75</v>
      </c>
      <c r="R77" s="177">
        <f t="shared" si="5"/>
        <v>37.922500000000007</v>
      </c>
      <c r="S77" s="177">
        <f>$L$11*(1+$L$9)^N77*'Récapitulatif des résultats'!$I$11</f>
        <v>0</v>
      </c>
      <c r="T77" s="238"/>
      <c r="U77" s="177"/>
      <c r="V77" s="246">
        <f t="shared" si="7"/>
        <v>71.750000000000014</v>
      </c>
      <c r="W77" s="185">
        <f>SUM('Pin Laricio'!AQ61*'Pin Laricio'!$F$21,Douglas!AQ61*Douglas!$F$21,'Cedre de l''Atlas'!AQ61*'Cedre de l''Atlas'!$F$21,'Sequoia sempervirens'!AQ61*'Sequoia sempervirens'!$F$21,Chêne!AQ61*Chêne!$F$21,Charme!AQ61*Charme!$F$21)</f>
        <v>50.225000000000009</v>
      </c>
      <c r="X77" s="185">
        <f>SUM('Pin Laricio'!AR61*'Pin Laricio'!$F$21,Douglas!AR61*Douglas!$F$21,'Cedre de l''Atlas'!AR61*'Cedre de l''Atlas'!$F$21,'Sequoia sempervirens'!AR61*'Sequoia sempervirens'!$F$21,Chêne!AR61*Chêne!$F$21,Charme!AR61*Charme!$F$21)</f>
        <v>12.054000000000006</v>
      </c>
      <c r="Y77" s="185">
        <f>SUM('Pin Laricio'!AS61*'Pin Laricio'!$F$21,Douglas!AS61*Douglas!$F$21,'Cedre de l''Atlas'!AS61*'Cedre de l''Atlas'!$F$21,'Sequoia sempervirens'!AS61*'Sequoia sempervirens'!$F$21,Chêne!AS61*Chêne!$F$21,Charme!AS61*Charme!$F$21)</f>
        <v>9.4710000000000036</v>
      </c>
      <c r="Z77" s="328">
        <f>SUM('Pin Laricio'!AT61*'Pin Laricio'!$F$21,Douglas!AT61*Douglas!$F$21,'Cedre de l''Atlas'!AT61*'Cedre de l''Atlas'!$F$21,'Sequoia sempervirens'!AT61*'Sequoia sempervirens'!$F$21,Chêne!AT61*Chêne!$F$21,Charme!AT61*Charme!$F$21)</f>
        <v>0</v>
      </c>
      <c r="AA77" s="175">
        <f t="shared" si="9"/>
        <v>9352.8462500000005</v>
      </c>
      <c r="AB77" s="176">
        <f t="shared" si="8"/>
        <v>745.83792931852008</v>
      </c>
      <c r="AC77" s="175"/>
      <c r="AD77" s="175"/>
    </row>
    <row r="78" spans="2:30">
      <c r="B78" s="268">
        <f>'Sequoia sempervirens'!B89</f>
        <v>51</v>
      </c>
      <c r="C78" s="222">
        <f>'Sequoia sempervirens'!C89</f>
        <v>63</v>
      </c>
      <c r="D78" s="223">
        <f>'Sequoia sempervirens'!D89</f>
        <v>0.6</v>
      </c>
      <c r="E78" s="218">
        <f>'Sequoia sempervirens'!E89</f>
        <v>0.22400000000000003</v>
      </c>
      <c r="F78" s="218">
        <f>'Sequoia sempervirens'!F89</f>
        <v>0.17600000000000002</v>
      </c>
      <c r="G78" s="224">
        <f>'Sequoia sempervirens'!G89</f>
        <v>0</v>
      </c>
      <c r="H78" s="207">
        <f>IFERROR(VLOOKUP($B$69,Tableau14582[],4,FALSE)*(1+$L$9)^$B78,0)</f>
        <v>37</v>
      </c>
      <c r="I78" s="208">
        <f>IFERROR(VLOOKUP($B$69,Tableau14582[],5,FALSE)*(1+$L$9)^$B78,0)</f>
        <v>19.375</v>
      </c>
      <c r="J78" s="208">
        <f>IFERROR(VLOOKUP($B$69,Tableau14582[],5,FALSE)*(1+$L$9)^$B78,0)</f>
        <v>19.375</v>
      </c>
      <c r="K78" s="209">
        <f>IFERROR(VLOOKUP($B$69,Tableau14582[],6,FALSE)*(1+$L$9)^$B78,0)</f>
        <v>10</v>
      </c>
      <c r="L78" s="260">
        <f t="shared" si="15"/>
        <v>3868.0425000000005</v>
      </c>
      <c r="N78" s="71">
        <v>57</v>
      </c>
      <c r="O78" s="236"/>
      <c r="P78" s="177"/>
      <c r="Q78" s="237">
        <f t="shared" si="14"/>
        <v>541.75</v>
      </c>
      <c r="R78" s="177">
        <f t="shared" si="5"/>
        <v>37.922500000000007</v>
      </c>
      <c r="S78" s="177">
        <f>$L$11*(1+$L$9)^N78*'Récapitulatif des résultats'!$I$11</f>
        <v>0</v>
      </c>
      <c r="T78" s="238"/>
      <c r="U78" s="177"/>
      <c r="V78" s="246">
        <f t="shared" si="7"/>
        <v>0</v>
      </c>
      <c r="W78" s="185">
        <f>SUM('Pin Laricio'!AQ62*'Pin Laricio'!$F$21,Douglas!AQ62*Douglas!$F$21,'Cedre de l''Atlas'!AQ62*'Cedre de l''Atlas'!$F$21,'Sequoia sempervirens'!AQ62*'Sequoia sempervirens'!$F$21,Chêne!AQ62*Chêne!$F$21,Charme!AQ62*Charme!$F$21)</f>
        <v>0</v>
      </c>
      <c r="X78" s="185">
        <f>SUM('Pin Laricio'!AR62*'Pin Laricio'!$F$21,Douglas!AR62*Douglas!$F$21,'Cedre de l''Atlas'!AR62*'Cedre de l''Atlas'!$F$21,'Sequoia sempervirens'!AR62*'Sequoia sempervirens'!$F$21,Chêne!AR62*Chêne!$F$21,Charme!AR62*Charme!$F$21)</f>
        <v>0</v>
      </c>
      <c r="Y78" s="185">
        <f>SUM('Pin Laricio'!AS62*'Pin Laricio'!$F$21,Douglas!AS62*Douglas!$F$21,'Cedre de l''Atlas'!AS62*'Cedre de l''Atlas'!$F$21,'Sequoia sempervirens'!AS62*'Sequoia sempervirens'!$F$21,Chêne!AS62*Chêne!$F$21,Charme!AS62*Charme!$F$21)</f>
        <v>0</v>
      </c>
      <c r="Z78" s="328">
        <f>SUM('Pin Laricio'!AT62*'Pin Laricio'!$F$21,Douglas!AT62*Douglas!$F$21,'Cedre de l''Atlas'!AT62*'Cedre de l''Atlas'!$F$21,'Sequoia sempervirens'!AT62*'Sequoia sempervirens'!$F$21,Chêne!AT62*Chêne!$F$21,Charme!AT62*Charme!$F$21)</f>
        <v>0</v>
      </c>
      <c r="AA78" s="175">
        <f t="shared" si="9"/>
        <v>0</v>
      </c>
      <c r="AB78" s="176">
        <f t="shared" si="8"/>
        <v>-47.157865797261216</v>
      </c>
      <c r="AC78" s="175"/>
      <c r="AD78" s="175"/>
    </row>
    <row r="79" spans="2:30">
      <c r="B79" s="268">
        <f>'Sequoia sempervirens'!B90</f>
        <v>56</v>
      </c>
      <c r="C79" s="222">
        <f>'Sequoia sempervirens'!C90</f>
        <v>55</v>
      </c>
      <c r="D79" s="223">
        <f>'Sequoia sempervirens'!D90</f>
        <v>0.7</v>
      </c>
      <c r="E79" s="218">
        <f>'Sequoia sempervirens'!E90</f>
        <v>0.16800000000000004</v>
      </c>
      <c r="F79" s="218">
        <f>'Sequoia sempervirens'!F90</f>
        <v>0.13200000000000003</v>
      </c>
      <c r="G79" s="224">
        <f>'Sequoia sempervirens'!G90</f>
        <v>0</v>
      </c>
      <c r="H79" s="207">
        <f>IFERROR(VLOOKUP($B$69,Tableau14582[],4,FALSE)*(1+$L$9)^$B79,0)</f>
        <v>37</v>
      </c>
      <c r="I79" s="208">
        <f>IFERROR(VLOOKUP($B$69,Tableau14582[],5,FALSE)*(1+$L$9)^$B79,0)</f>
        <v>19.375</v>
      </c>
      <c r="J79" s="208">
        <f>IFERROR(VLOOKUP($B$69,Tableau14582[],5,FALSE)*(1+$L$9)^$B79,0)</f>
        <v>19.375</v>
      </c>
      <c r="K79" s="209">
        <f>IFERROR(VLOOKUP($B$69,Tableau14582[],6,FALSE)*(1+$L$9)^$B79,0)</f>
        <v>10</v>
      </c>
      <c r="L79" s="260">
        <f t="shared" si="15"/>
        <v>3575.5843750000004</v>
      </c>
      <c r="N79" s="71">
        <v>58</v>
      </c>
      <c r="O79" s="236"/>
      <c r="P79" s="177"/>
      <c r="Q79" s="237">
        <f t="shared" si="14"/>
        <v>541.75</v>
      </c>
      <c r="R79" s="177">
        <f t="shared" si="5"/>
        <v>37.922500000000007</v>
      </c>
      <c r="S79" s="177">
        <f>$L$11*(1+$L$9)^N79*'Récapitulatif des résultats'!$I$11</f>
        <v>0</v>
      </c>
      <c r="T79" s="238"/>
      <c r="U79" s="177"/>
      <c r="V79" s="246">
        <f t="shared" si="7"/>
        <v>0</v>
      </c>
      <c r="W79" s="185">
        <f>SUM('Pin Laricio'!AQ63*'Pin Laricio'!$F$21,Douglas!AQ63*Douglas!$F$21,'Cedre de l''Atlas'!AQ63*'Cedre de l''Atlas'!$F$21,'Sequoia sempervirens'!AQ63*'Sequoia sempervirens'!$F$21,Chêne!AQ63*Chêne!$F$21,Charme!AQ63*Charme!$F$21)</f>
        <v>0</v>
      </c>
      <c r="X79" s="185">
        <f>SUM('Pin Laricio'!AR63*'Pin Laricio'!$F$21,Douglas!AR63*Douglas!$F$21,'Cedre de l''Atlas'!AR63*'Cedre de l''Atlas'!$F$21,'Sequoia sempervirens'!AR63*'Sequoia sempervirens'!$F$21,Chêne!AR63*Chêne!$F$21,Charme!AR63*Charme!$F$21)</f>
        <v>0</v>
      </c>
      <c r="Y79" s="185">
        <f>SUM('Pin Laricio'!AS63*'Pin Laricio'!$F$21,Douglas!AS63*Douglas!$F$21,'Cedre de l''Atlas'!AS63*'Cedre de l''Atlas'!$F$21,'Sequoia sempervirens'!AS63*'Sequoia sempervirens'!$F$21,Chêne!AS63*Chêne!$F$21,Charme!AS63*Charme!$F$21)</f>
        <v>0</v>
      </c>
      <c r="Z79" s="328">
        <f>SUM('Pin Laricio'!AT63*'Pin Laricio'!$F$21,Douglas!AT63*Douglas!$F$21,'Cedre de l''Atlas'!AT63*'Cedre de l''Atlas'!$F$21,'Sequoia sempervirens'!AT63*'Sequoia sempervirens'!$F$21,Chêne!AT63*Chêne!$F$21,Charme!AT63*Charme!$F$21)</f>
        <v>0</v>
      </c>
      <c r="AA79" s="175">
        <f t="shared" si="9"/>
        <v>0</v>
      </c>
      <c r="AB79" s="176">
        <f t="shared" si="8"/>
        <v>-45.127144303599259</v>
      </c>
      <c r="AC79" s="175"/>
      <c r="AD79" s="175"/>
    </row>
    <row r="80" spans="2:30">
      <c r="B80" s="268">
        <f>'Sequoia sempervirens'!B91</f>
        <v>61</v>
      </c>
      <c r="C80" s="222">
        <f>'Sequoia sempervirens'!C91</f>
        <v>48</v>
      </c>
      <c r="D80" s="223">
        <f>'Sequoia sempervirens'!D91</f>
        <v>0.8</v>
      </c>
      <c r="E80" s="218">
        <f>'Sequoia sempervirens'!E91</f>
        <v>0.11199999999999999</v>
      </c>
      <c r="F80" s="218">
        <f>'Sequoia sempervirens'!F91</f>
        <v>8.7999999999999981E-2</v>
      </c>
      <c r="G80" s="224">
        <f>'Sequoia sempervirens'!G91</f>
        <v>0</v>
      </c>
      <c r="H80" s="207">
        <f>IFERROR(VLOOKUP($B$69,Tableau14582[],4,FALSE)*(1+$L$9)^$B80,0)</f>
        <v>37</v>
      </c>
      <c r="I80" s="208">
        <f>IFERROR(VLOOKUP($B$69,Tableau14582[],5,FALSE)*(1+$L$9)^$B80,0)</f>
        <v>19.375</v>
      </c>
      <c r="J80" s="208">
        <f>IFERROR(VLOOKUP($B$69,Tableau14582[],5,FALSE)*(1+$L$9)^$B80,0)</f>
        <v>19.375</v>
      </c>
      <c r="K80" s="209">
        <f>IFERROR(VLOOKUP($B$69,Tableau14582[],6,FALSE)*(1+$L$9)^$B80,0)</f>
        <v>10</v>
      </c>
      <c r="L80" s="260">
        <f t="shared" si="15"/>
        <v>3293.940000000001</v>
      </c>
      <c r="N80" s="71">
        <v>59</v>
      </c>
      <c r="O80" s="236"/>
      <c r="P80" s="177"/>
      <c r="Q80" s="237">
        <f t="shared" si="14"/>
        <v>541.75</v>
      </c>
      <c r="R80" s="177">
        <f t="shared" si="5"/>
        <v>37.922500000000007</v>
      </c>
      <c r="S80" s="177">
        <f>$L$11*(1+$L$9)^N80*'Récapitulatif des résultats'!$I$11</f>
        <v>0</v>
      </c>
      <c r="T80" s="238"/>
      <c r="U80" s="177"/>
      <c r="V80" s="246">
        <f t="shared" si="7"/>
        <v>1119.3</v>
      </c>
      <c r="W80" s="185">
        <f>SUM('Pin Laricio'!AQ64*'Pin Laricio'!$F$21,Douglas!AQ64*Douglas!$F$21,'Cedre de l''Atlas'!AQ64*'Cedre de l''Atlas'!$F$21,'Sequoia sempervirens'!AQ64*'Sequoia sempervirens'!$F$21,Chêne!AQ64*Chêne!$F$21,Charme!AQ64*Charme!$F$21)</f>
        <v>783.50999999999988</v>
      </c>
      <c r="X80" s="185">
        <f>SUM('Pin Laricio'!AR64*'Pin Laricio'!$F$21,Douglas!AR64*Douglas!$F$21,'Cedre de l''Atlas'!AR64*'Cedre de l''Atlas'!$F$21,'Sequoia sempervirens'!AR64*'Sequoia sempervirens'!$F$21,Chêne!AR64*Chêne!$F$21,Charme!AR64*Charme!$F$21)</f>
        <v>188.04240000000004</v>
      </c>
      <c r="Y80" s="185">
        <f>SUM('Pin Laricio'!AS64*'Pin Laricio'!$F$21,Douglas!AS64*Douglas!$F$21,'Cedre de l''Atlas'!AS64*'Cedre de l''Atlas'!$F$21,'Sequoia sempervirens'!AS64*'Sequoia sempervirens'!$F$21,Chêne!AS64*Chêne!$F$21,Charme!AS64*Charme!$F$21)</f>
        <v>147.74760000000003</v>
      </c>
      <c r="Z80" s="328">
        <f>SUM('Pin Laricio'!AT64*'Pin Laricio'!$F$21,Douglas!AT64*Douglas!$F$21,'Cedre de l''Atlas'!AT64*'Cedre de l''Atlas'!$F$21,'Sequoia sempervirens'!AT64*'Sequoia sempervirens'!$F$21,Chêne!AT64*Chêne!$F$21,Charme!AT64*Charme!$F$21)</f>
        <v>0</v>
      </c>
      <c r="AA80" s="175">
        <f t="shared" si="9"/>
        <v>30011.231250000001</v>
      </c>
      <c r="AB80" s="176">
        <f t="shared" si="8"/>
        <v>2192.5632340388033</v>
      </c>
      <c r="AC80" s="175"/>
      <c r="AD80" s="175"/>
    </row>
    <row r="81" spans="2:30">
      <c r="B81" s="268">
        <f>'Sequoia sempervirens'!B92</f>
        <v>66</v>
      </c>
      <c r="C81" s="222">
        <f>'Sequoia sempervirens'!C92</f>
        <v>43</v>
      </c>
      <c r="D81" s="223">
        <f>'Sequoia sempervirens'!D92</f>
        <v>0.9</v>
      </c>
      <c r="E81" s="218">
        <f>'Sequoia sempervirens'!E92</f>
        <v>5.5999999999999994E-2</v>
      </c>
      <c r="F81" s="218">
        <f>'Sequoia sempervirens'!F92</f>
        <v>4.3999999999999991E-2</v>
      </c>
      <c r="G81" s="224">
        <f>'Sequoia sempervirens'!G92</f>
        <v>0</v>
      </c>
      <c r="H81" s="207">
        <f>IFERROR(VLOOKUP($B$69,Tableau14582[],4,FALSE)*(1+$L$9)^$B81,0)</f>
        <v>37</v>
      </c>
      <c r="I81" s="208">
        <f>IFERROR(VLOOKUP($B$69,Tableau14582[],5,FALSE)*(1+$L$9)^$B81,0)</f>
        <v>19.375</v>
      </c>
      <c r="J81" s="208">
        <f>IFERROR(VLOOKUP($B$69,Tableau14582[],5,FALSE)*(1+$L$9)^$B81,0)</f>
        <v>19.375</v>
      </c>
      <c r="K81" s="209">
        <f>IFERROR(VLOOKUP($B$69,Tableau14582[],6,FALSE)*(1+$L$9)^$B81,0)</f>
        <v>10</v>
      </c>
      <c r="L81" s="260">
        <f t="shared" si="15"/>
        <v>3106.1856250000005</v>
      </c>
      <c r="N81" s="71">
        <v>60</v>
      </c>
      <c r="O81" s="236"/>
      <c r="P81" s="177"/>
      <c r="Q81" s="237">
        <f t="shared" si="14"/>
        <v>541.75</v>
      </c>
      <c r="R81" s="177">
        <f t="shared" si="5"/>
        <v>37.922500000000007</v>
      </c>
      <c r="S81" s="177">
        <f>$L$11*(1+$L$9)^N81*'Récapitulatif des résultats'!$I$11</f>
        <v>0</v>
      </c>
      <c r="T81" s="238"/>
      <c r="U81" s="177"/>
      <c r="V81" s="246">
        <f t="shared" si="7"/>
        <v>0</v>
      </c>
      <c r="W81" s="185">
        <f>SUM('Pin Laricio'!AQ65*'Pin Laricio'!$F$21,Douglas!AQ65*Douglas!$F$21,'Cedre de l''Atlas'!AQ65*'Cedre de l''Atlas'!$F$21,'Sequoia sempervirens'!AQ65*'Sequoia sempervirens'!$F$21,Chêne!AQ65*Chêne!$F$21,Charme!AQ65*Charme!$F$21)</f>
        <v>0</v>
      </c>
      <c r="X81" s="185">
        <f>SUM('Pin Laricio'!AR65*'Pin Laricio'!$F$21,Douglas!AR65*Douglas!$F$21,'Cedre de l''Atlas'!AR65*'Cedre de l''Atlas'!$F$21,'Sequoia sempervirens'!AR65*'Sequoia sempervirens'!$F$21,Chêne!AR65*Chêne!$F$21,Charme!AR65*Charme!$F$21)</f>
        <v>0</v>
      </c>
      <c r="Y81" s="185">
        <f>SUM('Pin Laricio'!AS65*'Pin Laricio'!$F$21,Douglas!AS65*Douglas!$F$21,'Cedre de l''Atlas'!AS65*'Cedre de l''Atlas'!$F$21,'Sequoia sempervirens'!AS65*'Sequoia sempervirens'!$F$21,Chêne!AS65*Chêne!$F$21,Charme!AS65*Charme!$F$21)</f>
        <v>0</v>
      </c>
      <c r="Z81" s="328">
        <f>SUM('Pin Laricio'!AT65*'Pin Laricio'!$F$21,Douglas!AT65*Douglas!$F$21,'Cedre de l''Atlas'!AT65*'Cedre de l''Atlas'!$F$21,'Sequoia sempervirens'!AT65*'Sequoia sempervirens'!$F$21,Chêne!AT65*Chêne!$F$21,Charme!AT65*Charme!$F$21)</f>
        <v>0</v>
      </c>
      <c r="AA81" s="175">
        <f t="shared" si="9"/>
        <v>0</v>
      </c>
      <c r="AB81" s="176">
        <f t="shared" si="8"/>
        <v>-41.32427765261717</v>
      </c>
      <c r="AC81" s="175"/>
      <c r="AD81" s="175"/>
    </row>
    <row r="82" spans="2:30">
      <c r="B82" s="268" t="str">
        <f>'Sequoia sempervirens'!B93</f>
        <v>-</v>
      </c>
      <c r="C82" s="222">
        <f>'Sequoia sempervirens'!C93</f>
        <v>38</v>
      </c>
      <c r="D82" s="223">
        <f>'Sequoia sempervirens'!D93</f>
        <v>0.9</v>
      </c>
      <c r="E82" s="218">
        <f>'Sequoia sempervirens'!E93</f>
        <v>5.5999999999999994E-2</v>
      </c>
      <c r="F82" s="218">
        <f>'Sequoia sempervirens'!F93</f>
        <v>4.3999999999999991E-2</v>
      </c>
      <c r="G82" s="224">
        <f>'Sequoia sempervirens'!G93</f>
        <v>0</v>
      </c>
      <c r="H82" s="207">
        <f>IFERROR(VLOOKUP($B$69,Tableau14582[],4,FALSE)*(1+$L$9)^$B82,0)</f>
        <v>0</v>
      </c>
      <c r="I82" s="208">
        <f>IFERROR(VLOOKUP($B$69,Tableau14582[],5,FALSE)*(1+$L$9)^$B82,0)</f>
        <v>0</v>
      </c>
      <c r="J82" s="208">
        <f>IFERROR(VLOOKUP($B$69,Tableau14582[],5,FALSE)*(1+$L$9)^$B82,0)</f>
        <v>0</v>
      </c>
      <c r="K82" s="209">
        <f>IFERROR(VLOOKUP($B$69,Tableau14582[],6,FALSE)*(1+$L$9)^$B82,0)</f>
        <v>0</v>
      </c>
      <c r="L82" s="260">
        <f t="shared" si="15"/>
        <v>0</v>
      </c>
      <c r="N82" s="71">
        <v>61</v>
      </c>
      <c r="O82" s="236"/>
      <c r="P82" s="177"/>
      <c r="Q82" s="237">
        <f t="shared" si="14"/>
        <v>541.75</v>
      </c>
      <c r="R82" s="177">
        <f t="shared" si="5"/>
        <v>37.922500000000007</v>
      </c>
      <c r="S82" s="177">
        <f>$L$11*(1+$L$9)^N82*'Récapitulatif des résultats'!$I$11</f>
        <v>0</v>
      </c>
      <c r="T82" s="238"/>
      <c r="U82" s="177"/>
      <c r="V82" s="246">
        <f t="shared" si="7"/>
        <v>141.45000000000002</v>
      </c>
      <c r="W82" s="185">
        <f>SUM('Pin Laricio'!AQ66*'Pin Laricio'!$F$21,Douglas!AQ66*Douglas!$F$21,'Cedre de l''Atlas'!AQ66*'Cedre de l''Atlas'!$F$21,'Sequoia sempervirens'!AQ66*'Sequoia sempervirens'!$F$21,Chêne!AQ66*Chêne!$F$21,Charme!AQ66*Charme!$F$21)</f>
        <v>113.16000000000003</v>
      </c>
      <c r="X82" s="185">
        <f>SUM('Pin Laricio'!AR66*'Pin Laricio'!$F$21,Douglas!AR66*Douglas!$F$21,'Cedre de l''Atlas'!AR66*'Cedre de l''Atlas'!$F$21,'Sequoia sempervirens'!AR66*'Sequoia sempervirens'!$F$21,Chêne!AR66*Chêne!$F$21,Charme!AR66*Charme!$F$21)</f>
        <v>15.842400000000001</v>
      </c>
      <c r="Y82" s="185">
        <f>SUM('Pin Laricio'!AS66*'Pin Laricio'!$F$21,Douglas!AS66*Douglas!$F$21,'Cedre de l''Atlas'!AS66*'Cedre de l''Atlas'!$F$21,'Sequoia sempervirens'!AS66*'Sequoia sempervirens'!$F$21,Chêne!AS66*Chêne!$F$21,Charme!AS66*Charme!$F$21)</f>
        <v>12.4476</v>
      </c>
      <c r="Z82" s="328">
        <f>SUM('Pin Laricio'!AT66*'Pin Laricio'!$F$21,Douglas!AT66*Douglas!$F$21,'Cedre de l''Atlas'!AT66*'Cedre de l''Atlas'!$F$21,'Sequoia sempervirens'!AT66*'Sequoia sempervirens'!$F$21,Chêne!AT66*Chêne!$F$21,Charme!AT66*Charme!$F$21)</f>
        <v>0</v>
      </c>
      <c r="AA82" s="175">
        <f t="shared" si="9"/>
        <v>11321.528750000003</v>
      </c>
      <c r="AB82" s="176">
        <f t="shared" si="8"/>
        <v>732.80026713566235</v>
      </c>
      <c r="AC82" s="175"/>
      <c r="AD82" s="175"/>
    </row>
    <row r="83" spans="2:30">
      <c r="B83" s="261">
        <f>'Sequoia sempervirens'!B94</f>
        <v>65</v>
      </c>
      <c r="C83" s="225">
        <f>'Sequoia sempervirens'!C94</f>
        <v>942</v>
      </c>
      <c r="D83" s="219">
        <f>'Sequoia sempervirens'!D94</f>
        <v>0.95</v>
      </c>
      <c r="E83" s="231">
        <f>'Sequoia sempervirens'!E94</f>
        <v>2.8000000000000028E-2</v>
      </c>
      <c r="F83" s="231">
        <f>'Sequoia sempervirens'!F94</f>
        <v>2.200000000000002E-2</v>
      </c>
      <c r="G83" s="226">
        <f>'Sequoia sempervirens'!G94</f>
        <v>0</v>
      </c>
      <c r="H83" s="210">
        <f>IFERROR(VLOOKUP($B$69,Tableau14582[],4,FALSE)*(1+$L$9)^$B83,0)</f>
        <v>37</v>
      </c>
      <c r="I83" s="211">
        <f>IFERROR(VLOOKUP($B$69,Tableau14582[],5,FALSE)*(1+$L$9)^$B83,0)</f>
        <v>19.375</v>
      </c>
      <c r="J83" s="211">
        <f>IFERROR(VLOOKUP($B$69,Tableau14582[],5,FALSE)*(1+$L$9)^$B83,0)</f>
        <v>19.375</v>
      </c>
      <c r="K83" s="212">
        <f>IFERROR(VLOOKUP($B$69,Tableau14582[],6,FALSE)*(1+$L$9)^$B83,0)</f>
        <v>10</v>
      </c>
      <c r="L83" s="262">
        <f t="shared" si="15"/>
        <v>69748.918125000011</v>
      </c>
      <c r="N83" s="71">
        <v>62</v>
      </c>
      <c r="O83" s="236"/>
      <c r="P83" s="177"/>
      <c r="Q83" s="237">
        <f t="shared" si="14"/>
        <v>541.75</v>
      </c>
      <c r="R83" s="177">
        <f t="shared" si="5"/>
        <v>37.922500000000007</v>
      </c>
      <c r="S83" s="177">
        <f>$L$11*(1+$L$9)^N83*'Récapitulatif des résultats'!$I$11</f>
        <v>0</v>
      </c>
      <c r="T83" s="238"/>
      <c r="U83" s="177"/>
      <c r="V83" s="246">
        <f t="shared" si="7"/>
        <v>0</v>
      </c>
      <c r="W83" s="185">
        <f>SUM('Pin Laricio'!AQ67*'Pin Laricio'!$F$21,Douglas!AQ67*Douglas!$F$21,'Cedre de l''Atlas'!AQ67*'Cedre de l''Atlas'!$F$21,'Sequoia sempervirens'!AQ67*'Sequoia sempervirens'!$F$21,Chêne!AQ67*Chêne!$F$21,Charme!AQ67*Charme!$F$21)</f>
        <v>0</v>
      </c>
      <c r="X83" s="185">
        <f>SUM('Pin Laricio'!AR67*'Pin Laricio'!$F$21,Douglas!AR67*Douglas!$F$21,'Cedre de l''Atlas'!AR67*'Cedre de l''Atlas'!$F$21,'Sequoia sempervirens'!AR67*'Sequoia sempervirens'!$F$21,Chêne!AR67*Chêne!$F$21,Charme!AR67*Charme!$F$21)</f>
        <v>0</v>
      </c>
      <c r="Y83" s="185">
        <f>SUM('Pin Laricio'!AS67*'Pin Laricio'!$F$21,Douglas!AS67*Douglas!$F$21,'Cedre de l''Atlas'!AS67*'Cedre de l''Atlas'!$F$21,'Sequoia sempervirens'!AS67*'Sequoia sempervirens'!$F$21,Chêne!AS67*Chêne!$F$21,Charme!AS67*Charme!$F$21)</f>
        <v>0</v>
      </c>
      <c r="Z83" s="328">
        <f>SUM('Pin Laricio'!AT67*'Pin Laricio'!$F$21,Douglas!AT67*Douglas!$F$21,'Cedre de l''Atlas'!AT67*'Cedre de l''Atlas'!$F$21,'Sequoia sempervirens'!AT67*'Sequoia sempervirens'!$F$21,Chêne!AT67*Chêne!$F$21,Charme!AT67*Charme!$F$21)</f>
        <v>0</v>
      </c>
      <c r="AA83" s="175">
        <f t="shared" si="9"/>
        <v>0</v>
      </c>
      <c r="AB83" s="176">
        <f t="shared" si="8"/>
        <v>-37.84187875975109</v>
      </c>
      <c r="AC83" s="175"/>
      <c r="AD83" s="175"/>
    </row>
    <row r="84" spans="2:30">
      <c r="B84" s="263"/>
      <c r="C84" s="264"/>
      <c r="D84" s="264"/>
      <c r="E84" s="264"/>
      <c r="F84" s="264"/>
      <c r="G84" s="264"/>
      <c r="H84" s="264"/>
      <c r="I84" s="264"/>
      <c r="J84" s="264"/>
      <c r="K84" s="264"/>
      <c r="L84" s="265"/>
      <c r="N84" s="71">
        <v>63</v>
      </c>
      <c r="O84" s="236"/>
      <c r="P84" s="177"/>
      <c r="Q84" s="237">
        <f t="shared" si="14"/>
        <v>541.75</v>
      </c>
      <c r="R84" s="177">
        <f t="shared" si="5"/>
        <v>37.922500000000007</v>
      </c>
      <c r="S84" s="177">
        <f>$L$11*(1+$L$9)^N84*'Récapitulatif des résultats'!$I$11</f>
        <v>0</v>
      </c>
      <c r="T84" s="238"/>
      <c r="U84" s="177"/>
      <c r="V84" s="246">
        <f t="shared" si="7"/>
        <v>0</v>
      </c>
      <c r="W84" s="185">
        <f>SUM('Pin Laricio'!AQ68*'Pin Laricio'!$F$21,Douglas!AQ68*Douglas!$F$21,'Cedre de l''Atlas'!AQ68*'Cedre de l''Atlas'!$F$21,'Sequoia sempervirens'!AQ68*'Sequoia sempervirens'!$F$21,Chêne!AQ68*Chêne!$F$21,Charme!AQ68*Charme!$F$21)</f>
        <v>0</v>
      </c>
      <c r="X84" s="185">
        <f>SUM('Pin Laricio'!AR68*'Pin Laricio'!$F$21,Douglas!AR68*Douglas!$F$21,'Cedre de l''Atlas'!AR68*'Cedre de l''Atlas'!$F$21,'Sequoia sempervirens'!AR68*'Sequoia sempervirens'!$F$21,Chêne!AR68*Chêne!$F$21,Charme!AR68*Charme!$F$21)</f>
        <v>0</v>
      </c>
      <c r="Y84" s="185">
        <f>SUM('Pin Laricio'!AS68*'Pin Laricio'!$F$21,Douglas!AS68*Douglas!$F$21,'Cedre de l''Atlas'!AS68*'Cedre de l''Atlas'!$F$21,'Sequoia sempervirens'!AS68*'Sequoia sempervirens'!$F$21,Chêne!AS68*Chêne!$F$21,Charme!AS68*Charme!$F$21)</f>
        <v>0</v>
      </c>
      <c r="Z84" s="328">
        <f>SUM('Pin Laricio'!AT68*'Pin Laricio'!$F$21,Douglas!AT68*Douglas!$F$21,'Cedre de l''Atlas'!AT68*'Cedre de l''Atlas'!$F$21,'Sequoia sempervirens'!AT68*'Sequoia sempervirens'!$F$21,Chêne!AT68*Chêne!$F$21,Charme!AT68*Charme!$F$21)</f>
        <v>0</v>
      </c>
      <c r="AA84" s="175">
        <f t="shared" si="9"/>
        <v>0</v>
      </c>
      <c r="AB84" s="176">
        <f t="shared" si="8"/>
        <v>-36.212324172010604</v>
      </c>
      <c r="AC84" s="175"/>
      <c r="AD84" s="175"/>
    </row>
    <row r="85" spans="2:30">
      <c r="B85" s="431" t="str">
        <f>Chêne!F17</f>
        <v xml:space="preserve">Chêne rouvre (sessile) </v>
      </c>
      <c r="C85" s="432">
        <f>Chêne!C80</f>
        <v>0</v>
      </c>
      <c r="D85" s="432">
        <f>Chêne!D80</f>
        <v>0</v>
      </c>
      <c r="E85" s="432">
        <f>Chêne!E80</f>
        <v>0</v>
      </c>
      <c r="F85" s="432">
        <f>Chêne!F80</f>
        <v>0</v>
      </c>
      <c r="G85" s="433">
        <f>Chêne!G80</f>
        <v>0</v>
      </c>
      <c r="H85" s="417" t="s">
        <v>247</v>
      </c>
      <c r="I85" s="418"/>
      <c r="J85" s="418"/>
      <c r="K85" s="419"/>
      <c r="L85" s="254">
        <f>AA5</f>
        <v>0.97500000000000009</v>
      </c>
      <c r="N85" s="71">
        <v>64</v>
      </c>
      <c r="O85" s="236"/>
      <c r="P85" s="177"/>
      <c r="Q85" s="237">
        <f t="shared" si="14"/>
        <v>541.75</v>
      </c>
      <c r="R85" s="177">
        <f t="shared" ref="R85:R148" si="16">$L$10*SUM(O85:Q85)</f>
        <v>37.922500000000007</v>
      </c>
      <c r="S85" s="177">
        <f>$L$11*(1+$L$9)^N85*'Récapitulatif des résultats'!$I$11</f>
        <v>0</v>
      </c>
      <c r="T85" s="238"/>
      <c r="U85" s="177"/>
      <c r="V85" s="246">
        <f t="shared" ref="V85:V148" si="17">SUM(W85:Z85)</f>
        <v>0</v>
      </c>
      <c r="W85" s="185">
        <f>SUM('Pin Laricio'!AQ69*'Pin Laricio'!$F$21,Douglas!AQ69*Douglas!$F$21,'Cedre de l''Atlas'!AQ69*'Cedre de l''Atlas'!$F$21,'Sequoia sempervirens'!AQ69*'Sequoia sempervirens'!$F$21,Chêne!AQ69*Chêne!$F$21,Charme!AQ69*Charme!$F$21)</f>
        <v>0</v>
      </c>
      <c r="X85" s="185">
        <f>SUM('Pin Laricio'!AR69*'Pin Laricio'!$F$21,Douglas!AR69*Douglas!$F$21,'Cedre de l''Atlas'!AR69*'Cedre de l''Atlas'!$F$21,'Sequoia sempervirens'!AR69*'Sequoia sempervirens'!$F$21,Chêne!AR69*Chêne!$F$21,Charme!AR69*Charme!$F$21)</f>
        <v>0</v>
      </c>
      <c r="Y85" s="185">
        <f>SUM('Pin Laricio'!AS69*'Pin Laricio'!$F$21,Douglas!AS69*Douglas!$F$21,'Cedre de l''Atlas'!AS69*'Cedre de l''Atlas'!$F$21,'Sequoia sempervirens'!AS69*'Sequoia sempervirens'!$F$21,Chêne!AS69*Chêne!$F$21,Charme!AS69*Charme!$F$21)</f>
        <v>0</v>
      </c>
      <c r="Z85" s="328">
        <f>SUM('Pin Laricio'!AT69*'Pin Laricio'!$F$21,Douglas!AT69*Douglas!$F$21,'Cedre de l''Atlas'!AT69*'Cedre de l''Atlas'!$F$21,'Sequoia sempervirens'!AT69*'Sequoia sempervirens'!$F$21,Chêne!AT69*Chêne!$F$21,Charme!AT69*Charme!$F$21)</f>
        <v>0</v>
      </c>
      <c r="AA85" s="175">
        <f t="shared" si="9"/>
        <v>0</v>
      </c>
      <c r="AB85" s="176">
        <f t="shared" ref="AB85:AB148" si="18">IF(N85&lt;=$L$4,(AA85-SUM(O85:T85))/((1+4.5%)^N85),)</f>
        <v>-34.65294179139773</v>
      </c>
      <c r="AC85" s="175"/>
      <c r="AD85" s="175"/>
    </row>
    <row r="86" spans="2:30">
      <c r="B86" s="266" t="str">
        <f>Chêne!B81</f>
        <v>Année</v>
      </c>
      <c r="C86" s="227" t="str">
        <f>Chêne!C81</f>
        <v>Volume d'éclaircie</v>
      </c>
      <c r="D86" s="214" t="str">
        <f>Chêne!D81</f>
        <v>BO</v>
      </c>
      <c r="E86" s="214" t="str">
        <f>Chêne!E81</f>
        <v>BI - panneaux</v>
      </c>
      <c r="F86" s="214" t="str">
        <f>Chêne!F81</f>
        <v>BI - papier</v>
      </c>
      <c r="G86" s="215" t="str">
        <f>Chêne!G81</f>
        <v>BE</v>
      </c>
      <c r="H86" s="213" t="s">
        <v>78</v>
      </c>
      <c r="I86" s="214" t="s">
        <v>81</v>
      </c>
      <c r="J86" s="214" t="s">
        <v>80</v>
      </c>
      <c r="K86" s="215" t="s">
        <v>79</v>
      </c>
      <c r="L86" s="256" t="s">
        <v>251</v>
      </c>
      <c r="N86" s="71">
        <v>65</v>
      </c>
      <c r="O86" s="236"/>
      <c r="P86" s="177"/>
      <c r="Q86" s="237">
        <f t="shared" si="14"/>
        <v>541.75</v>
      </c>
      <c r="R86" s="177">
        <f t="shared" si="16"/>
        <v>37.922500000000007</v>
      </c>
      <c r="S86" s="177">
        <f>$L$11*(1+$L$9)^N86*'Récapitulatif des résultats'!$I$11</f>
        <v>0</v>
      </c>
      <c r="T86" s="238"/>
      <c r="U86" s="177"/>
      <c r="V86" s="246">
        <f t="shared" si="17"/>
        <v>7382.0500000000011</v>
      </c>
      <c r="W86" s="185">
        <f>SUM('Pin Laricio'!AQ70*'Pin Laricio'!$F$21,Douglas!AQ70*Douglas!$F$21,'Cedre de l''Atlas'!AQ70*'Cedre de l''Atlas'!$F$21,'Sequoia sempervirens'!AQ70*'Sequoia sempervirens'!$F$21,Chêne!AQ70*Chêne!$F$21,Charme!AQ70*Charme!$F$21)</f>
        <v>6753.2125000000005</v>
      </c>
      <c r="X86" s="185">
        <f>SUM('Pin Laricio'!AR70*'Pin Laricio'!$F$21,Douglas!AR70*Douglas!$F$21,'Cedre de l''Atlas'!AR70*'Cedre de l''Atlas'!$F$21,'Sequoia sempervirens'!AR70*'Sequoia sempervirens'!$F$21,Chêne!AR70*Chêne!$F$21,Charme!AR70*Charme!$F$21)</f>
        <v>352.149</v>
      </c>
      <c r="Y86" s="185">
        <f>SUM('Pin Laricio'!AS70*'Pin Laricio'!$F$21,Douglas!AS70*Douglas!$F$21,'Cedre de l''Atlas'!AS70*'Cedre de l''Atlas'!$F$21,'Sequoia sempervirens'!AS70*'Sequoia sempervirens'!$F$21,Chêne!AS70*Chêne!$F$21,Charme!AS70*Charme!$F$21)</f>
        <v>276.68849999999998</v>
      </c>
      <c r="Z86" s="328">
        <f>SUM('Pin Laricio'!AT70*'Pin Laricio'!$F$21,Douglas!AT70*Douglas!$F$21,'Cedre de l''Atlas'!AT70*'Cedre de l''Atlas'!$F$21,'Sequoia sempervirens'!AT70*'Sequoia sempervirens'!$F$21,Chêne!AT70*Chêne!$F$21,Charme!AT70*Charme!$F$21)</f>
        <v>0</v>
      </c>
      <c r="AA86" s="175">
        <f t="shared" ref="AA86:AA149" si="19">SUMIF(B$23:B$115,N86,L$23:L$115)+U86</f>
        <v>320505.18718750001</v>
      </c>
      <c r="AB86" s="176">
        <f t="shared" si="18"/>
        <v>18301.639573374672</v>
      </c>
      <c r="AC86" s="175"/>
      <c r="AD86" s="175"/>
    </row>
    <row r="87" spans="2:30">
      <c r="B87" s="257">
        <f>Chêne!B82</f>
        <v>21</v>
      </c>
      <c r="C87" s="220">
        <f>Chêne!C82</f>
        <v>0</v>
      </c>
      <c r="D87" s="217">
        <f>Chêne!D82</f>
        <v>0</v>
      </c>
      <c r="E87" s="217">
        <f>Chêne!E82</f>
        <v>0</v>
      </c>
      <c r="F87" s="217">
        <f>Chêne!F82</f>
        <v>0</v>
      </c>
      <c r="G87" s="221">
        <f>Chêne!G82</f>
        <v>1</v>
      </c>
      <c r="H87" s="207">
        <f>IFERROR(VLOOKUP($B$85,Tableau14582[],4,FALSE)*(1+$L$9)^$B87,0)</f>
        <v>150</v>
      </c>
      <c r="I87" s="208">
        <f>IFERROR(VLOOKUP($B$85,Tableau14582[],5,FALSE)*(1+$L$9)^$B87,0)</f>
        <v>13.75</v>
      </c>
      <c r="J87" s="208">
        <f>IFERROR(VLOOKUP($B$85,Tableau14582[],5,FALSE)*(1+$L$9)^$B87,0)</f>
        <v>13.75</v>
      </c>
      <c r="K87" s="209">
        <f>IFERROR(VLOOKUP($B$85,Tableau14582[],6,FALSE)*(1+$L$9)^$B87,0)</f>
        <v>10</v>
      </c>
      <c r="L87" s="258">
        <f>(C87*D87*H87+C87*E87*I87+C87*F87*J87+C87*G87*K87)*L$85</f>
        <v>0</v>
      </c>
      <c r="N87" s="71">
        <v>66</v>
      </c>
      <c r="O87" s="236"/>
      <c r="P87" s="177"/>
      <c r="Q87" s="237">
        <f t="shared" si="14"/>
        <v>541.75</v>
      </c>
      <c r="R87" s="177">
        <f t="shared" si="16"/>
        <v>37.922500000000007</v>
      </c>
      <c r="S87" s="177">
        <f>$L$11*(1+$L$9)^N87*'Récapitulatif des résultats'!$I$11</f>
        <v>0</v>
      </c>
      <c r="T87" s="238"/>
      <c r="U87" s="177"/>
      <c r="V87" s="246">
        <f t="shared" si="17"/>
        <v>0</v>
      </c>
      <c r="W87" s="185">
        <f>SUM('Pin Laricio'!AQ71*'Pin Laricio'!$F$21,Douglas!AQ71*Douglas!$F$21,'Cedre de l''Atlas'!AQ71*'Cedre de l''Atlas'!$F$21,'Sequoia sempervirens'!AQ71*'Sequoia sempervirens'!$F$21,Chêne!AQ71*Chêne!$F$21,Charme!AQ71*Charme!$F$21)</f>
        <v>0</v>
      </c>
      <c r="X87" s="185">
        <f>SUM('Pin Laricio'!AR71*'Pin Laricio'!$F$21,Douglas!AR71*Douglas!$F$21,'Cedre de l''Atlas'!AR71*'Cedre de l''Atlas'!$F$21,'Sequoia sempervirens'!AR71*'Sequoia sempervirens'!$F$21,Chêne!AR71*Chêne!$F$21,Charme!AR71*Charme!$F$21)</f>
        <v>0</v>
      </c>
      <c r="Y87" s="185">
        <f>SUM('Pin Laricio'!AS71*'Pin Laricio'!$F$21,Douglas!AS71*Douglas!$F$21,'Cedre de l''Atlas'!AS71*'Cedre de l''Atlas'!$F$21,'Sequoia sempervirens'!AS71*'Sequoia sempervirens'!$F$21,Chêne!AS71*Chêne!$F$21,Charme!AS71*Charme!$F$21)</f>
        <v>0</v>
      </c>
      <c r="Z87" s="328">
        <f>SUM('Pin Laricio'!AT71*'Pin Laricio'!$F$21,Douglas!AT71*Douglas!$F$21,'Cedre de l''Atlas'!AT71*'Cedre de l''Atlas'!$F$21,'Sequoia sempervirens'!AT71*'Sequoia sempervirens'!$F$21,Chêne!AT71*Chêne!$F$21,Charme!AT71*Charme!$F$21)</f>
        <v>0</v>
      </c>
      <c r="AA87" s="175">
        <f t="shared" si="19"/>
        <v>5546.8056250000009</v>
      </c>
      <c r="AB87" s="176">
        <f t="shared" si="18"/>
        <v>271.91341247673171</v>
      </c>
      <c r="AC87" s="175"/>
      <c r="AD87" s="175"/>
    </row>
    <row r="88" spans="2:30">
      <c r="B88" s="259">
        <f>Chêne!B83</f>
        <v>26</v>
      </c>
      <c r="C88" s="222">
        <f>Chêne!C83</f>
        <v>8</v>
      </c>
      <c r="D88" s="223">
        <f>Chêne!D83</f>
        <v>0.1</v>
      </c>
      <c r="E88" s="218">
        <f>Chêne!E83</f>
        <v>0</v>
      </c>
      <c r="F88" s="218">
        <f>Chêne!F83</f>
        <v>0</v>
      </c>
      <c r="G88" s="224">
        <f>Chêne!G83</f>
        <v>0.9</v>
      </c>
      <c r="H88" s="207">
        <f>IFERROR(VLOOKUP($B$85,Tableau14582[],4,FALSE)*(1+$L$9)^$B88,0)</f>
        <v>150</v>
      </c>
      <c r="I88" s="208">
        <f>IFERROR(VLOOKUP($B$85,Tableau14582[],5,FALSE)*(1+$L$9)^$B88,0)</f>
        <v>13.75</v>
      </c>
      <c r="J88" s="208">
        <f>IFERROR(VLOOKUP($B$85,Tableau14582[],5,FALSE)*(1+$L$9)^$B88,0)</f>
        <v>13.75</v>
      </c>
      <c r="K88" s="209">
        <f>IFERROR(VLOOKUP($B$85,Tableau14582[],6,FALSE)*(1+$L$9)^$B88,0)</f>
        <v>10</v>
      </c>
      <c r="L88" s="260">
        <f t="shared" ref="L88:L99" si="20">(C88*D88*H88+C88*E88*I88+C88*F88*J88+C88*G88*K88)*L$85</f>
        <v>187.20000000000002</v>
      </c>
      <c r="N88" s="71">
        <v>67</v>
      </c>
      <c r="O88" s="236"/>
      <c r="P88" s="177"/>
      <c r="Q88" s="237">
        <f t="shared" si="14"/>
        <v>541.75</v>
      </c>
      <c r="R88" s="177">
        <f t="shared" si="16"/>
        <v>37.922500000000007</v>
      </c>
      <c r="S88" s="177">
        <f>$L$11*(1+$L$9)^N88*'Récapitulatif des résultats'!$I$11</f>
        <v>0</v>
      </c>
      <c r="T88" s="238"/>
      <c r="U88" s="177"/>
      <c r="V88" s="246">
        <f t="shared" si="17"/>
        <v>0</v>
      </c>
      <c r="W88" s="185">
        <f>SUM('Pin Laricio'!AQ72*'Pin Laricio'!$F$21,Douglas!AQ72*Douglas!$F$21,'Cedre de l''Atlas'!AQ72*'Cedre de l''Atlas'!$F$21,'Sequoia sempervirens'!AQ72*'Sequoia sempervirens'!$F$21,Chêne!AQ72*Chêne!$F$21,Charme!AQ72*Charme!$F$21)</f>
        <v>0</v>
      </c>
      <c r="X88" s="185">
        <f>SUM('Pin Laricio'!AR72*'Pin Laricio'!$F$21,Douglas!AR72*Douglas!$F$21,'Cedre de l''Atlas'!AR72*'Cedre de l''Atlas'!$F$21,'Sequoia sempervirens'!AR72*'Sequoia sempervirens'!$F$21,Chêne!AR72*Chêne!$F$21,Charme!AR72*Charme!$F$21)</f>
        <v>0</v>
      </c>
      <c r="Y88" s="185">
        <f>SUM('Pin Laricio'!AS72*'Pin Laricio'!$F$21,Douglas!AS72*Douglas!$F$21,'Cedre de l''Atlas'!AS72*'Cedre de l''Atlas'!$F$21,'Sequoia sempervirens'!AS72*'Sequoia sempervirens'!$F$21,Chêne!AS72*Chêne!$F$21,Charme!AS72*Charme!$F$21)</f>
        <v>0</v>
      </c>
      <c r="Z88" s="328">
        <f>SUM('Pin Laricio'!AT72*'Pin Laricio'!$F$21,Douglas!AT72*Douglas!$F$21,'Cedre de l''Atlas'!AT72*'Cedre de l''Atlas'!$F$21,'Sequoia sempervirens'!AT72*'Sequoia sempervirens'!$F$21,Chêne!AT72*Chêne!$F$21,Charme!AT72*Charme!$F$21)</f>
        <v>0</v>
      </c>
      <c r="AA88" s="175">
        <f t="shared" si="19"/>
        <v>0</v>
      </c>
      <c r="AB88" s="176">
        <f t="shared" si="18"/>
        <v>-30.366255212314275</v>
      </c>
      <c r="AC88" s="175"/>
      <c r="AD88" s="175"/>
    </row>
    <row r="89" spans="2:30">
      <c r="B89" s="259">
        <f>Chêne!B84</f>
        <v>31</v>
      </c>
      <c r="C89" s="222">
        <f>Chêne!C84</f>
        <v>21</v>
      </c>
      <c r="D89" s="223">
        <f>Chêne!D84</f>
        <v>0.2</v>
      </c>
      <c r="E89" s="218">
        <f>Chêne!E84</f>
        <v>0</v>
      </c>
      <c r="F89" s="218">
        <f>Chêne!F84</f>
        <v>0</v>
      </c>
      <c r="G89" s="224">
        <f>Chêne!G84</f>
        <v>0.8</v>
      </c>
      <c r="H89" s="207">
        <f>IFERROR(VLOOKUP($B$85,Tableau14582[],4,FALSE)*(1+$L$9)^$B89,0)</f>
        <v>150</v>
      </c>
      <c r="I89" s="208">
        <f>IFERROR(VLOOKUP($B$85,Tableau14582[],5,FALSE)*(1+$L$9)^$B89,0)</f>
        <v>13.75</v>
      </c>
      <c r="J89" s="208">
        <f>IFERROR(VLOOKUP($B$85,Tableau14582[],5,FALSE)*(1+$L$9)^$B89,0)</f>
        <v>13.75</v>
      </c>
      <c r="K89" s="209">
        <f>IFERROR(VLOOKUP($B$85,Tableau14582[],6,FALSE)*(1+$L$9)^$B89,0)</f>
        <v>10</v>
      </c>
      <c r="L89" s="260">
        <f t="shared" si="20"/>
        <v>778.05000000000007</v>
      </c>
      <c r="N89" s="71">
        <v>68</v>
      </c>
      <c r="O89" s="236"/>
      <c r="P89" s="177"/>
      <c r="Q89" s="237">
        <f t="shared" si="14"/>
        <v>541.75</v>
      </c>
      <c r="R89" s="177">
        <f t="shared" si="16"/>
        <v>37.922500000000007</v>
      </c>
      <c r="S89" s="177">
        <f>$L$11*(1+$L$9)^N89*'Récapitulatif des résultats'!$I$11</f>
        <v>0</v>
      </c>
      <c r="T89" s="238"/>
      <c r="U89" s="177"/>
      <c r="V89" s="246">
        <f t="shared" si="17"/>
        <v>0</v>
      </c>
      <c r="W89" s="185">
        <f>SUM('Pin Laricio'!AQ73*'Pin Laricio'!$F$21,Douglas!AQ73*Douglas!$F$21,'Cedre de l''Atlas'!AQ73*'Cedre de l''Atlas'!$F$21,'Sequoia sempervirens'!AQ73*'Sequoia sempervirens'!$F$21,Chêne!AQ73*Chêne!$F$21,Charme!AQ73*Charme!$F$21)</f>
        <v>0</v>
      </c>
      <c r="X89" s="185">
        <f>SUM('Pin Laricio'!AR73*'Pin Laricio'!$F$21,Douglas!AR73*Douglas!$F$21,'Cedre de l''Atlas'!AR73*'Cedre de l''Atlas'!$F$21,'Sequoia sempervirens'!AR73*'Sequoia sempervirens'!$F$21,Chêne!AR73*Chêne!$F$21,Charme!AR73*Charme!$F$21)</f>
        <v>0</v>
      </c>
      <c r="Y89" s="185">
        <f>SUM('Pin Laricio'!AS73*'Pin Laricio'!$F$21,Douglas!AS73*Douglas!$F$21,'Cedre de l''Atlas'!AS73*'Cedre de l''Atlas'!$F$21,'Sequoia sempervirens'!AS73*'Sequoia sempervirens'!$F$21,Chêne!AS73*Chêne!$F$21,Charme!AS73*Charme!$F$21)</f>
        <v>0</v>
      </c>
      <c r="Z89" s="328">
        <f>SUM('Pin Laricio'!AT73*'Pin Laricio'!$F$21,Douglas!AT73*Douglas!$F$21,'Cedre de l''Atlas'!AT73*'Cedre de l''Atlas'!$F$21,'Sequoia sempervirens'!AT73*'Sequoia sempervirens'!$F$21,Chêne!AT73*Chêne!$F$21,Charme!AT73*Charme!$F$21)</f>
        <v>0</v>
      </c>
      <c r="AA89" s="175">
        <f t="shared" si="19"/>
        <v>0</v>
      </c>
      <c r="AB89" s="176">
        <f t="shared" si="18"/>
        <v>-29.058617428051942</v>
      </c>
      <c r="AC89" s="175"/>
      <c r="AD89" s="175"/>
    </row>
    <row r="90" spans="2:30">
      <c r="B90" s="259">
        <f>Chêne!B85</f>
        <v>36</v>
      </c>
      <c r="C90" s="222">
        <f>Chêne!C85</f>
        <v>21</v>
      </c>
      <c r="D90" s="223">
        <f>Chêne!D85</f>
        <v>0.3</v>
      </c>
      <c r="E90" s="218">
        <f>Chêne!E85</f>
        <v>0</v>
      </c>
      <c r="F90" s="218">
        <f>Chêne!F85</f>
        <v>0</v>
      </c>
      <c r="G90" s="224">
        <f>Chêne!G85</f>
        <v>0.7</v>
      </c>
      <c r="H90" s="207">
        <f>IFERROR(VLOOKUP($B$85,Tableau14582[],4,FALSE)*(1+$L$9)^$B90,0)</f>
        <v>150</v>
      </c>
      <c r="I90" s="208">
        <f>IFERROR(VLOOKUP($B$85,Tableau14582[],5,FALSE)*(1+$L$9)^$B90,0)</f>
        <v>13.75</v>
      </c>
      <c r="J90" s="208">
        <f>IFERROR(VLOOKUP($B$85,Tableau14582[],5,FALSE)*(1+$L$9)^$B90,0)</f>
        <v>13.75</v>
      </c>
      <c r="K90" s="209">
        <f>IFERROR(VLOOKUP($B$85,Tableau14582[],6,FALSE)*(1+$L$9)^$B90,0)</f>
        <v>10</v>
      </c>
      <c r="L90" s="260">
        <f t="shared" si="20"/>
        <v>1064.7</v>
      </c>
      <c r="N90" s="71">
        <v>69</v>
      </c>
      <c r="O90" s="236"/>
      <c r="P90" s="177"/>
      <c r="Q90" s="237">
        <f t="shared" si="14"/>
        <v>541.75</v>
      </c>
      <c r="R90" s="177">
        <f t="shared" si="16"/>
        <v>37.922500000000007</v>
      </c>
      <c r="S90" s="177">
        <f>$L$11*(1+$L$9)^N90*'Récapitulatif des résultats'!$I$11</f>
        <v>0</v>
      </c>
      <c r="T90" s="238"/>
      <c r="U90" s="177"/>
      <c r="V90" s="246">
        <f t="shared" si="17"/>
        <v>0</v>
      </c>
      <c r="W90" s="185">
        <f>SUM('Pin Laricio'!AQ74*'Pin Laricio'!$F$21,Douglas!AQ74*Douglas!$F$21,'Cedre de l''Atlas'!AQ74*'Cedre de l''Atlas'!$F$21,'Sequoia sempervirens'!AQ74*'Sequoia sempervirens'!$F$21,Chêne!AQ74*Chêne!$F$21,Charme!AQ74*Charme!$F$21)</f>
        <v>0</v>
      </c>
      <c r="X90" s="185">
        <f>SUM('Pin Laricio'!AR74*'Pin Laricio'!$F$21,Douglas!AR74*Douglas!$F$21,'Cedre de l''Atlas'!AR74*'Cedre de l''Atlas'!$F$21,'Sequoia sempervirens'!AR74*'Sequoia sempervirens'!$F$21,Chêne!AR74*Chêne!$F$21,Charme!AR74*Charme!$F$21)</f>
        <v>0</v>
      </c>
      <c r="Y90" s="185">
        <f>SUM('Pin Laricio'!AS74*'Pin Laricio'!$F$21,Douglas!AS74*Douglas!$F$21,'Cedre de l''Atlas'!AS74*'Cedre de l''Atlas'!$F$21,'Sequoia sempervirens'!AS74*'Sequoia sempervirens'!$F$21,Chêne!AS74*Chêne!$F$21,Charme!AS74*Charme!$F$21)</f>
        <v>0</v>
      </c>
      <c r="Z90" s="328">
        <f>SUM('Pin Laricio'!AT74*'Pin Laricio'!$F$21,Douglas!AT74*Douglas!$F$21,'Cedre de l''Atlas'!AT74*'Cedre de l''Atlas'!$F$21,'Sequoia sempervirens'!AT74*'Sequoia sempervirens'!$F$21,Chêne!AT74*Chêne!$F$21,Charme!AT74*Charme!$F$21)</f>
        <v>0</v>
      </c>
      <c r="AA90" s="175">
        <f t="shared" si="19"/>
        <v>0</v>
      </c>
      <c r="AB90" s="176">
        <f t="shared" si="18"/>
        <v>-27.807289404834396</v>
      </c>
      <c r="AC90" s="175"/>
      <c r="AD90" s="175"/>
    </row>
    <row r="91" spans="2:30">
      <c r="B91" s="259">
        <f>Chêne!B86</f>
        <v>41</v>
      </c>
      <c r="C91" s="222">
        <f>Chêne!C86</f>
        <v>21</v>
      </c>
      <c r="D91" s="223">
        <f>Chêne!D86</f>
        <v>0.4</v>
      </c>
      <c r="E91" s="218">
        <f>Chêne!E86</f>
        <v>0</v>
      </c>
      <c r="F91" s="218">
        <f>Chêne!F86</f>
        <v>0</v>
      </c>
      <c r="G91" s="224">
        <f>Chêne!G86</f>
        <v>0.6</v>
      </c>
      <c r="H91" s="207">
        <f>IFERROR(VLOOKUP($B$85,Tableau14582[],4,FALSE)*(1+$L$9)^$B91,0)</f>
        <v>150</v>
      </c>
      <c r="I91" s="208">
        <f>IFERROR(VLOOKUP($B$85,Tableau14582[],5,FALSE)*(1+$L$9)^$B91,0)</f>
        <v>13.75</v>
      </c>
      <c r="J91" s="208">
        <f>IFERROR(VLOOKUP($B$85,Tableau14582[],5,FALSE)*(1+$L$9)^$B91,0)</f>
        <v>13.75</v>
      </c>
      <c r="K91" s="209">
        <f>IFERROR(VLOOKUP($B$85,Tableau14582[],6,FALSE)*(1+$L$9)^$B91,0)</f>
        <v>10</v>
      </c>
      <c r="L91" s="260">
        <f t="shared" si="20"/>
        <v>1351.3500000000001</v>
      </c>
      <c r="N91" s="71">
        <v>70</v>
      </c>
      <c r="O91" s="236"/>
      <c r="P91" s="177"/>
      <c r="Q91" s="237">
        <f t="shared" ref="Q91:Q122" si="21">$L$13*(1+$L$9)^N91*$L$5</f>
        <v>541.75</v>
      </c>
      <c r="R91" s="177">
        <f t="shared" si="16"/>
        <v>37.922500000000007</v>
      </c>
      <c r="S91" s="177">
        <f>$L$11*(1+$L$9)^N91*'Récapitulatif des résultats'!$I$11</f>
        <v>0</v>
      </c>
      <c r="T91" s="238"/>
      <c r="U91" s="177"/>
      <c r="V91" s="246">
        <f t="shared" si="17"/>
        <v>0</v>
      </c>
      <c r="W91" s="185">
        <f>SUM('Pin Laricio'!AQ75*'Pin Laricio'!$F$21,Douglas!AQ75*Douglas!$F$21,'Cedre de l''Atlas'!AQ75*'Cedre de l''Atlas'!$F$21,'Sequoia sempervirens'!AQ75*'Sequoia sempervirens'!$F$21,Chêne!AQ75*Chêne!$F$21,Charme!AQ75*Charme!$F$21)</f>
        <v>0</v>
      </c>
      <c r="X91" s="185">
        <f>SUM('Pin Laricio'!AR75*'Pin Laricio'!$F$21,Douglas!AR75*Douglas!$F$21,'Cedre de l''Atlas'!AR75*'Cedre de l''Atlas'!$F$21,'Sequoia sempervirens'!AR75*'Sequoia sempervirens'!$F$21,Chêne!AR75*Chêne!$F$21,Charme!AR75*Charme!$F$21)</f>
        <v>0</v>
      </c>
      <c r="Y91" s="185">
        <f>SUM('Pin Laricio'!AS75*'Pin Laricio'!$F$21,Douglas!AS75*Douglas!$F$21,'Cedre de l''Atlas'!AS75*'Cedre de l''Atlas'!$F$21,'Sequoia sempervirens'!AS75*'Sequoia sempervirens'!$F$21,Chêne!AS75*Chêne!$F$21,Charme!AS75*Charme!$F$21)</f>
        <v>0</v>
      </c>
      <c r="Z91" s="328">
        <f>SUM('Pin Laricio'!AT75*'Pin Laricio'!$F$21,Douglas!AT75*Douglas!$F$21,'Cedre de l''Atlas'!AT75*'Cedre de l''Atlas'!$F$21,'Sequoia sempervirens'!AT75*'Sequoia sempervirens'!$F$21,Chêne!AT75*Chêne!$F$21,Charme!AT75*Charme!$F$21)</f>
        <v>0</v>
      </c>
      <c r="AA91" s="175">
        <f t="shared" si="19"/>
        <v>0</v>
      </c>
      <c r="AB91" s="176">
        <f t="shared" si="18"/>
        <v>-26.609846320415699</v>
      </c>
      <c r="AC91" s="175"/>
      <c r="AD91" s="175"/>
    </row>
    <row r="92" spans="2:30">
      <c r="B92" s="259">
        <f>Chêne!B87</f>
        <v>46</v>
      </c>
      <c r="C92" s="222">
        <f>Chêne!C87</f>
        <v>21</v>
      </c>
      <c r="D92" s="223">
        <f>Chêne!D87</f>
        <v>0.5</v>
      </c>
      <c r="E92" s="218">
        <f>Chêne!E87</f>
        <v>0</v>
      </c>
      <c r="F92" s="218">
        <f>Chêne!F87</f>
        <v>0</v>
      </c>
      <c r="G92" s="224">
        <f>Chêne!G87</f>
        <v>0.5</v>
      </c>
      <c r="H92" s="207">
        <f>IFERROR(VLOOKUP($B$85,Tableau14582[],4,FALSE)*(1+$L$9)^$B92,0)</f>
        <v>150</v>
      </c>
      <c r="I92" s="208">
        <f>IFERROR(VLOOKUP($B$85,Tableau14582[],5,FALSE)*(1+$L$9)^$B92,0)</f>
        <v>13.75</v>
      </c>
      <c r="J92" s="208">
        <f>IFERROR(VLOOKUP($B$85,Tableau14582[],5,FALSE)*(1+$L$9)^$B92,0)</f>
        <v>13.75</v>
      </c>
      <c r="K92" s="209">
        <f>IFERROR(VLOOKUP($B$85,Tableau14582[],6,FALSE)*(1+$L$9)^$B92,0)</f>
        <v>10</v>
      </c>
      <c r="L92" s="260">
        <f t="shared" si="20"/>
        <v>1638.0000000000002</v>
      </c>
      <c r="N92" s="71">
        <v>71</v>
      </c>
      <c r="O92" s="236"/>
      <c r="P92" s="177"/>
      <c r="Q92" s="237">
        <f t="shared" si="21"/>
        <v>541.75</v>
      </c>
      <c r="R92" s="177">
        <f t="shared" si="16"/>
        <v>37.922500000000007</v>
      </c>
      <c r="S92" s="177">
        <f>$L$11*(1+$L$9)^N92*'Récapitulatif des résultats'!$I$11</f>
        <v>0</v>
      </c>
      <c r="T92" s="238"/>
      <c r="U92" s="177"/>
      <c r="V92" s="246">
        <f t="shared" si="17"/>
        <v>0</v>
      </c>
      <c r="W92" s="185">
        <f>SUM('Pin Laricio'!AQ76*'Pin Laricio'!$F$21,Douglas!AQ76*Douglas!$F$21,'Cedre de l''Atlas'!AQ76*'Cedre de l''Atlas'!$F$21,'Sequoia sempervirens'!AQ76*'Sequoia sempervirens'!$F$21,Chêne!AQ76*Chêne!$F$21,Charme!AQ76*Charme!$F$21)</f>
        <v>0</v>
      </c>
      <c r="X92" s="185">
        <f>SUM('Pin Laricio'!AR76*'Pin Laricio'!$F$21,Douglas!AR76*Douglas!$F$21,'Cedre de l''Atlas'!AR76*'Cedre de l''Atlas'!$F$21,'Sequoia sempervirens'!AR76*'Sequoia sempervirens'!$F$21,Chêne!AR76*Chêne!$F$21,Charme!AR76*Charme!$F$21)</f>
        <v>0</v>
      </c>
      <c r="Y92" s="185">
        <f>SUM('Pin Laricio'!AS76*'Pin Laricio'!$F$21,Douglas!AS76*Douglas!$F$21,'Cedre de l''Atlas'!AS76*'Cedre de l''Atlas'!$F$21,'Sequoia sempervirens'!AS76*'Sequoia sempervirens'!$F$21,Chêne!AS76*Chêne!$F$21,Charme!AS76*Charme!$F$21)</f>
        <v>0</v>
      </c>
      <c r="Z92" s="328">
        <f>SUM('Pin Laricio'!AT76*'Pin Laricio'!$F$21,Douglas!AT76*Douglas!$F$21,'Cedre de l''Atlas'!AT76*'Cedre de l''Atlas'!$F$21,'Sequoia sempervirens'!AT76*'Sequoia sempervirens'!$F$21,Chêne!AT76*Chêne!$F$21,Charme!AT76*Charme!$F$21)</f>
        <v>0</v>
      </c>
      <c r="AA92" s="175">
        <f t="shared" si="19"/>
        <v>2749.11</v>
      </c>
      <c r="AB92" s="176">
        <f t="shared" si="18"/>
        <v>95.299477861411361</v>
      </c>
      <c r="AC92" s="175"/>
      <c r="AD92" s="175"/>
    </row>
    <row r="93" spans="2:30">
      <c r="B93" s="259">
        <f>Chêne!B88</f>
        <v>51</v>
      </c>
      <c r="C93" s="222">
        <f>Chêne!C88</f>
        <v>21</v>
      </c>
      <c r="D93" s="223">
        <f>Chêne!D88</f>
        <v>0.6</v>
      </c>
      <c r="E93" s="218">
        <f>Chêne!E88</f>
        <v>0</v>
      </c>
      <c r="F93" s="218">
        <f>Chêne!F88</f>
        <v>0</v>
      </c>
      <c r="G93" s="224">
        <f>Chêne!G88</f>
        <v>0.4</v>
      </c>
      <c r="H93" s="207">
        <f>IFERROR(VLOOKUP($B$85,Tableau14582[],4,FALSE)*(1+$L$9)^$B93,0)</f>
        <v>150</v>
      </c>
      <c r="I93" s="208">
        <f>IFERROR(VLOOKUP($B$85,Tableau14582[],5,FALSE)*(1+$L$9)^$B93,0)</f>
        <v>13.75</v>
      </c>
      <c r="J93" s="208">
        <f>IFERROR(VLOOKUP($B$85,Tableau14582[],5,FALSE)*(1+$L$9)^$B93,0)</f>
        <v>13.75</v>
      </c>
      <c r="K93" s="209">
        <f>IFERROR(VLOOKUP($B$85,Tableau14582[],6,FALSE)*(1+$L$9)^$B93,0)</f>
        <v>10</v>
      </c>
      <c r="L93" s="260">
        <f t="shared" si="20"/>
        <v>1924.65</v>
      </c>
      <c r="N93" s="71">
        <v>72</v>
      </c>
      <c r="O93" s="236"/>
      <c r="P93" s="177"/>
      <c r="Q93" s="237">
        <f t="shared" si="21"/>
        <v>541.75</v>
      </c>
      <c r="R93" s="177">
        <f t="shared" si="16"/>
        <v>37.922500000000007</v>
      </c>
      <c r="S93" s="177">
        <f>$L$11*(1+$L$9)^N93*'Récapitulatif des résultats'!$I$11</f>
        <v>0</v>
      </c>
      <c r="T93" s="238"/>
      <c r="U93" s="177"/>
      <c r="V93" s="246">
        <f t="shared" si="17"/>
        <v>0</v>
      </c>
      <c r="W93" s="185">
        <f>SUM('Pin Laricio'!AQ77*'Pin Laricio'!$F$21,Douglas!AQ77*Douglas!$F$21,'Cedre de l''Atlas'!AQ77*'Cedre de l''Atlas'!$F$21,'Sequoia sempervirens'!AQ77*'Sequoia sempervirens'!$F$21,Chêne!AQ77*Chêne!$F$21,Charme!AQ77*Charme!$F$21)</f>
        <v>0</v>
      </c>
      <c r="X93" s="185">
        <f>SUM('Pin Laricio'!AR77*'Pin Laricio'!$F$21,Douglas!AR77*Douglas!$F$21,'Cedre de l''Atlas'!AR77*'Cedre de l''Atlas'!$F$21,'Sequoia sempervirens'!AR77*'Sequoia sempervirens'!$F$21,Chêne!AR77*Chêne!$F$21,Charme!AR77*Charme!$F$21)</f>
        <v>0</v>
      </c>
      <c r="Y93" s="185">
        <f>SUM('Pin Laricio'!AS77*'Pin Laricio'!$F$21,Douglas!AS77*Douglas!$F$21,'Cedre de l''Atlas'!AS77*'Cedre de l''Atlas'!$F$21,'Sequoia sempervirens'!AS77*'Sequoia sempervirens'!$F$21,Chêne!AS77*Chêne!$F$21,Charme!AS77*Charme!$F$21)</f>
        <v>0</v>
      </c>
      <c r="Z93" s="328">
        <f>SUM('Pin Laricio'!AT77*'Pin Laricio'!$F$21,Douglas!AT77*Douglas!$F$21,'Cedre de l''Atlas'!AT77*'Cedre de l''Atlas'!$F$21,'Sequoia sempervirens'!AT77*'Sequoia sempervirens'!$F$21,Chêne!AT77*Chêne!$F$21,Charme!AT77*Charme!$F$21)</f>
        <v>0</v>
      </c>
      <c r="AA93" s="175">
        <f t="shared" si="19"/>
        <v>0</v>
      </c>
      <c r="AB93" s="176">
        <f t="shared" si="18"/>
        <v>-24.367433273428453</v>
      </c>
      <c r="AC93" s="175"/>
      <c r="AD93" s="175"/>
    </row>
    <row r="94" spans="2:30">
      <c r="B94" s="259">
        <f>Chêne!B89</f>
        <v>56</v>
      </c>
      <c r="C94" s="222">
        <f>Chêne!C89</f>
        <v>21</v>
      </c>
      <c r="D94" s="223">
        <f>Chêne!D89</f>
        <v>0.7</v>
      </c>
      <c r="E94" s="218">
        <f>Chêne!E89</f>
        <v>0</v>
      </c>
      <c r="F94" s="218">
        <f>Chêne!F89</f>
        <v>0</v>
      </c>
      <c r="G94" s="224">
        <f>Chêne!G89</f>
        <v>0.30000000000000004</v>
      </c>
      <c r="H94" s="207">
        <f>IFERROR(VLOOKUP($B$85,Tableau14582[],4,FALSE)*(1+$L$9)^$B94,0)</f>
        <v>150</v>
      </c>
      <c r="I94" s="208">
        <f>IFERROR(VLOOKUP($B$85,Tableau14582[],5,FALSE)*(1+$L$9)^$B94,0)</f>
        <v>13.75</v>
      </c>
      <c r="J94" s="208">
        <f>IFERROR(VLOOKUP($B$85,Tableau14582[],5,FALSE)*(1+$L$9)^$B94,0)</f>
        <v>13.75</v>
      </c>
      <c r="K94" s="209">
        <f>IFERROR(VLOOKUP($B$85,Tableau14582[],6,FALSE)*(1+$L$9)^$B94,0)</f>
        <v>10</v>
      </c>
      <c r="L94" s="260">
        <f t="shared" si="20"/>
        <v>2211.3000000000002</v>
      </c>
      <c r="N94" s="71">
        <v>73</v>
      </c>
      <c r="O94" s="236"/>
      <c r="P94" s="177"/>
      <c r="Q94" s="237">
        <f t="shared" si="21"/>
        <v>541.75</v>
      </c>
      <c r="R94" s="177">
        <f t="shared" si="16"/>
        <v>37.922500000000007</v>
      </c>
      <c r="S94" s="177">
        <f>$L$11*(1+$L$9)^N94*'Récapitulatif des résultats'!$I$11</f>
        <v>0</v>
      </c>
      <c r="T94" s="238"/>
      <c r="U94" s="177"/>
      <c r="V94" s="246">
        <f t="shared" si="17"/>
        <v>0</v>
      </c>
      <c r="W94" s="185">
        <f>SUM('Pin Laricio'!AQ78*'Pin Laricio'!$F$21,Douglas!AQ78*Douglas!$F$21,'Cedre de l''Atlas'!AQ78*'Cedre de l''Atlas'!$F$21,'Sequoia sempervirens'!AQ78*'Sequoia sempervirens'!$F$21,Chêne!AQ78*Chêne!$F$21,Charme!AQ78*Charme!$F$21)</f>
        <v>0</v>
      </c>
      <c r="X94" s="185">
        <f>SUM('Pin Laricio'!AR78*'Pin Laricio'!$F$21,Douglas!AR78*Douglas!$F$21,'Cedre de l''Atlas'!AR78*'Cedre de l''Atlas'!$F$21,'Sequoia sempervirens'!AR78*'Sequoia sempervirens'!$F$21,Chêne!AR78*Chêne!$F$21,Charme!AR78*Charme!$F$21)</f>
        <v>0</v>
      </c>
      <c r="Y94" s="185">
        <f>SUM('Pin Laricio'!AS78*'Pin Laricio'!$F$21,Douglas!AS78*Douglas!$F$21,'Cedre de l''Atlas'!AS78*'Cedre de l''Atlas'!$F$21,'Sequoia sempervirens'!AS78*'Sequoia sempervirens'!$F$21,Chêne!AS78*Chêne!$F$21,Charme!AS78*Charme!$F$21)</f>
        <v>0</v>
      </c>
      <c r="Z94" s="328">
        <f>SUM('Pin Laricio'!AT78*'Pin Laricio'!$F$21,Douglas!AT78*Douglas!$F$21,'Cedre de l''Atlas'!AT78*'Cedre de l''Atlas'!$F$21,'Sequoia sempervirens'!AT78*'Sequoia sempervirens'!$F$21,Chêne!AT78*Chêne!$F$21,Charme!AT78*Charme!$F$21)</f>
        <v>0</v>
      </c>
      <c r="AA94" s="175">
        <f t="shared" si="19"/>
        <v>0</v>
      </c>
      <c r="AB94" s="176">
        <f t="shared" si="18"/>
        <v>-23.318117965003307</v>
      </c>
      <c r="AC94" s="175"/>
      <c r="AD94" s="175"/>
    </row>
    <row r="95" spans="2:30">
      <c r="B95" s="259">
        <f>Chêne!B90</f>
        <v>61</v>
      </c>
      <c r="C95" s="222">
        <f>Chêne!C90</f>
        <v>21</v>
      </c>
      <c r="D95" s="223">
        <f>Chêne!D90</f>
        <v>0.8</v>
      </c>
      <c r="E95" s="218">
        <f>Chêne!E90</f>
        <v>0</v>
      </c>
      <c r="F95" s="218">
        <f>Chêne!F90</f>
        <v>0</v>
      </c>
      <c r="G95" s="224">
        <f>Chêne!G90</f>
        <v>0.19999999999999996</v>
      </c>
      <c r="H95" s="207">
        <f>IFERROR(VLOOKUP($B$85,Tableau14582[],4,FALSE)*(1+$L$9)^$B95,0)</f>
        <v>150</v>
      </c>
      <c r="I95" s="208">
        <f>IFERROR(VLOOKUP($B$85,Tableau14582[],5,FALSE)*(1+$L$9)^$B95,0)</f>
        <v>13.75</v>
      </c>
      <c r="J95" s="208">
        <f>IFERROR(VLOOKUP($B$85,Tableau14582[],5,FALSE)*(1+$L$9)^$B95,0)</f>
        <v>13.75</v>
      </c>
      <c r="K95" s="209">
        <f>IFERROR(VLOOKUP($B$85,Tableau14582[],6,FALSE)*(1+$L$9)^$B95,0)</f>
        <v>10</v>
      </c>
      <c r="L95" s="260">
        <f t="shared" si="20"/>
        <v>2497.9500000000003</v>
      </c>
      <c r="N95" s="71">
        <v>74</v>
      </c>
      <c r="O95" s="236"/>
      <c r="P95" s="177"/>
      <c r="Q95" s="237">
        <f t="shared" si="21"/>
        <v>541.75</v>
      </c>
      <c r="R95" s="177">
        <f t="shared" si="16"/>
        <v>37.922500000000007</v>
      </c>
      <c r="S95" s="177">
        <f>$L$11*(1+$L$9)^N95*'Récapitulatif des résultats'!$I$11</f>
        <v>0</v>
      </c>
      <c r="T95" s="238"/>
      <c r="U95" s="177"/>
      <c r="V95" s="246">
        <f t="shared" si="17"/>
        <v>0</v>
      </c>
      <c r="W95" s="185">
        <f>SUM('Pin Laricio'!AQ79*'Pin Laricio'!$F$21,Douglas!AQ79*Douglas!$F$21,'Cedre de l''Atlas'!AQ79*'Cedre de l''Atlas'!$F$21,'Sequoia sempervirens'!AQ79*'Sequoia sempervirens'!$F$21,Chêne!AQ79*Chêne!$F$21,Charme!AQ79*Charme!$F$21)</f>
        <v>0</v>
      </c>
      <c r="X95" s="185">
        <f>SUM('Pin Laricio'!AR79*'Pin Laricio'!$F$21,Douglas!AR79*Douglas!$F$21,'Cedre de l''Atlas'!AR79*'Cedre de l''Atlas'!$F$21,'Sequoia sempervirens'!AR79*'Sequoia sempervirens'!$F$21,Chêne!AR79*Chêne!$F$21,Charme!AR79*Charme!$F$21)</f>
        <v>0</v>
      </c>
      <c r="Y95" s="185">
        <f>SUM('Pin Laricio'!AS79*'Pin Laricio'!$F$21,Douglas!AS79*Douglas!$F$21,'Cedre de l''Atlas'!AS79*'Cedre de l''Atlas'!$F$21,'Sequoia sempervirens'!AS79*'Sequoia sempervirens'!$F$21,Chêne!AS79*Chêne!$F$21,Charme!AS79*Charme!$F$21)</f>
        <v>0</v>
      </c>
      <c r="Z95" s="328">
        <f>SUM('Pin Laricio'!AT79*'Pin Laricio'!$F$21,Douglas!AT79*Douglas!$F$21,'Cedre de l''Atlas'!AT79*'Cedre de l''Atlas'!$F$21,'Sequoia sempervirens'!AT79*'Sequoia sempervirens'!$F$21,Chêne!AT79*Chêne!$F$21,Charme!AT79*Charme!$F$21)</f>
        <v>0</v>
      </c>
      <c r="AA95" s="175">
        <f t="shared" si="19"/>
        <v>0</v>
      </c>
      <c r="AB95" s="176">
        <f t="shared" si="18"/>
        <v>-22.313988483256754</v>
      </c>
      <c r="AC95" s="175"/>
      <c r="AD95" s="175"/>
    </row>
    <row r="96" spans="2:30">
      <c r="B96" s="259">
        <f>Chêne!B91</f>
        <v>66</v>
      </c>
      <c r="C96" s="222">
        <f>Chêne!C91</f>
        <v>21</v>
      </c>
      <c r="D96" s="223">
        <f>Chêne!D91</f>
        <v>0.7</v>
      </c>
      <c r="E96" s="218">
        <f>Chêne!E91</f>
        <v>0</v>
      </c>
      <c r="F96" s="218">
        <f>Chêne!F91</f>
        <v>0</v>
      </c>
      <c r="G96" s="224">
        <f>Chêne!G91</f>
        <v>0.30000000000000004</v>
      </c>
      <c r="H96" s="207">
        <f>IFERROR(VLOOKUP($B$85,Tableau14582[],4,FALSE)*(1+$L$9)^$B96,0)</f>
        <v>150</v>
      </c>
      <c r="I96" s="208">
        <f>IFERROR(VLOOKUP($B$85,Tableau14582[],5,FALSE)*(1+$L$9)^$B96,0)</f>
        <v>13.75</v>
      </c>
      <c r="J96" s="208">
        <f>IFERROR(VLOOKUP($B$85,Tableau14582[],5,FALSE)*(1+$L$9)^$B96,0)</f>
        <v>13.75</v>
      </c>
      <c r="K96" s="209">
        <f>IFERROR(VLOOKUP($B$85,Tableau14582[],6,FALSE)*(1+$L$9)^$B96,0)</f>
        <v>10</v>
      </c>
      <c r="L96" s="260">
        <f t="shared" si="20"/>
        <v>2211.3000000000002</v>
      </c>
      <c r="N96" s="71">
        <v>75</v>
      </c>
      <c r="O96" s="236"/>
      <c r="P96" s="177"/>
      <c r="Q96" s="237">
        <f t="shared" si="21"/>
        <v>541.75</v>
      </c>
      <c r="R96" s="177">
        <f t="shared" si="16"/>
        <v>37.922500000000007</v>
      </c>
      <c r="S96" s="177">
        <f>$L$11*(1+$L$9)^N96*'Récapitulatif des résultats'!$I$11</f>
        <v>0</v>
      </c>
      <c r="T96" s="238"/>
      <c r="U96" s="177"/>
      <c r="V96" s="246">
        <f t="shared" si="17"/>
        <v>0</v>
      </c>
      <c r="W96" s="185">
        <f>SUM('Pin Laricio'!AQ80*'Pin Laricio'!$F$21,Douglas!AQ80*Douglas!$F$21,'Cedre de l''Atlas'!AQ80*'Cedre de l''Atlas'!$F$21,'Sequoia sempervirens'!AQ80*'Sequoia sempervirens'!$F$21,Chêne!AQ80*Chêne!$F$21,Charme!AQ80*Charme!$F$21)</f>
        <v>0</v>
      </c>
      <c r="X96" s="185">
        <f>SUM('Pin Laricio'!AR80*'Pin Laricio'!$F$21,Douglas!AR80*Douglas!$F$21,'Cedre de l''Atlas'!AR80*'Cedre de l''Atlas'!$F$21,'Sequoia sempervirens'!AR80*'Sequoia sempervirens'!$F$21,Chêne!AR80*Chêne!$F$21,Charme!AR80*Charme!$F$21)</f>
        <v>0</v>
      </c>
      <c r="Y96" s="185">
        <f>SUM('Pin Laricio'!AS80*'Pin Laricio'!$F$21,Douglas!AS80*Douglas!$F$21,'Cedre de l''Atlas'!AS80*'Cedre de l''Atlas'!$F$21,'Sequoia sempervirens'!AS80*'Sequoia sempervirens'!$F$21,Chêne!AS80*Chêne!$F$21,Charme!AS80*Charme!$F$21)</f>
        <v>0</v>
      </c>
      <c r="Z96" s="328">
        <f>SUM('Pin Laricio'!AT80*'Pin Laricio'!$F$21,Douglas!AT80*Douglas!$F$21,'Cedre de l''Atlas'!AT80*'Cedre de l''Atlas'!$F$21,'Sequoia sempervirens'!AT80*'Sequoia sempervirens'!$F$21,Chêne!AT80*Chêne!$F$21,Charme!AT80*Charme!$F$21)</f>
        <v>0</v>
      </c>
      <c r="AA96" s="175">
        <f t="shared" si="19"/>
        <v>0</v>
      </c>
      <c r="AB96" s="176">
        <f t="shared" si="18"/>
        <v>-21.353099027039956</v>
      </c>
      <c r="AC96" s="175"/>
      <c r="AD96" s="175"/>
    </row>
    <row r="97" spans="2:30">
      <c r="B97" s="259">
        <f>Chêne!B92</f>
        <v>71</v>
      </c>
      <c r="C97" s="222">
        <f>Chêne!C92</f>
        <v>21</v>
      </c>
      <c r="D97" s="223">
        <f>Chêne!D92</f>
        <v>0.8</v>
      </c>
      <c r="E97" s="218">
        <f>Chêne!E92</f>
        <v>0</v>
      </c>
      <c r="F97" s="218">
        <f>Chêne!F92</f>
        <v>0</v>
      </c>
      <c r="G97" s="224">
        <f>Chêne!G92</f>
        <v>0.19999999999999996</v>
      </c>
      <c r="H97" s="207">
        <f>IFERROR(VLOOKUP($B$85,Tableau14582[],4,FALSE)*(1+$L$9)^$B97,0)</f>
        <v>150</v>
      </c>
      <c r="I97" s="208">
        <f>IFERROR(VLOOKUP($B$85,Tableau14582[],5,FALSE)*(1+$L$9)^$B97,0)</f>
        <v>13.75</v>
      </c>
      <c r="J97" s="208">
        <f>IFERROR(VLOOKUP($B$85,Tableau14582[],5,FALSE)*(1+$L$9)^$B97,0)</f>
        <v>13.75</v>
      </c>
      <c r="K97" s="209">
        <f>IFERROR(VLOOKUP($B$85,Tableau14582[],6,FALSE)*(1+$L$9)^$B97,0)</f>
        <v>10</v>
      </c>
      <c r="L97" s="260">
        <f t="shared" si="20"/>
        <v>2497.9500000000003</v>
      </c>
      <c r="N97" s="71">
        <v>76</v>
      </c>
      <c r="O97" s="236"/>
      <c r="P97" s="177"/>
      <c r="Q97" s="237">
        <f t="shared" si="21"/>
        <v>541.75</v>
      </c>
      <c r="R97" s="177">
        <f t="shared" si="16"/>
        <v>37.922500000000007</v>
      </c>
      <c r="S97" s="177">
        <f>$L$11*(1+$L$9)^N97*'Récapitulatif des résultats'!$I$11</f>
        <v>0</v>
      </c>
      <c r="T97" s="238"/>
      <c r="U97" s="177"/>
      <c r="V97" s="246">
        <f t="shared" si="17"/>
        <v>0</v>
      </c>
      <c r="W97" s="185">
        <f>SUM('Pin Laricio'!AQ81*'Pin Laricio'!$F$21,Douglas!AQ81*Douglas!$F$21,'Cedre de l''Atlas'!AQ81*'Cedre de l''Atlas'!$F$21,'Sequoia sempervirens'!AQ81*'Sequoia sempervirens'!$F$21,Chêne!AQ81*Chêne!$F$21,Charme!AQ81*Charme!$F$21)</f>
        <v>0</v>
      </c>
      <c r="X97" s="185">
        <f>SUM('Pin Laricio'!AR81*'Pin Laricio'!$F$21,Douglas!AR81*Douglas!$F$21,'Cedre de l''Atlas'!AR81*'Cedre de l''Atlas'!$F$21,'Sequoia sempervirens'!AR81*'Sequoia sempervirens'!$F$21,Chêne!AR81*Chêne!$F$21,Charme!AR81*Charme!$F$21)</f>
        <v>0</v>
      </c>
      <c r="Y97" s="185">
        <f>SUM('Pin Laricio'!AS81*'Pin Laricio'!$F$21,Douglas!AS81*Douglas!$F$21,'Cedre de l''Atlas'!AS81*'Cedre de l''Atlas'!$F$21,'Sequoia sempervirens'!AS81*'Sequoia sempervirens'!$F$21,Chêne!AS81*Chêne!$F$21,Charme!AS81*Charme!$F$21)</f>
        <v>0</v>
      </c>
      <c r="Z97" s="328">
        <f>SUM('Pin Laricio'!AT81*'Pin Laricio'!$F$21,Douglas!AT81*Douglas!$F$21,'Cedre de l''Atlas'!AT81*'Cedre de l''Atlas'!$F$21,'Sequoia sempervirens'!AT81*'Sequoia sempervirens'!$F$21,Chêne!AT81*Chêne!$F$21,Charme!AT81*Charme!$F$21)</f>
        <v>0</v>
      </c>
      <c r="AA97" s="175">
        <f t="shared" si="19"/>
        <v>3035.7600000000007</v>
      </c>
      <c r="AB97" s="176">
        <f t="shared" si="18"/>
        <v>86.577643495860315</v>
      </c>
      <c r="AC97" s="175"/>
      <c r="AD97" s="175"/>
    </row>
    <row r="98" spans="2:30">
      <c r="B98" s="259">
        <f>Chêne!B93</f>
        <v>76</v>
      </c>
      <c r="C98" s="222">
        <f>Chêne!C93</f>
        <v>21</v>
      </c>
      <c r="D98" s="223">
        <f>Chêne!D93</f>
        <v>0.9</v>
      </c>
      <c r="E98" s="218">
        <f>Chêne!E93</f>
        <v>0</v>
      </c>
      <c r="F98" s="218">
        <f>Chêne!F93</f>
        <v>0</v>
      </c>
      <c r="G98" s="224">
        <f>Chêne!G93</f>
        <v>9.9999999999999978E-2</v>
      </c>
      <c r="H98" s="207">
        <f>IFERROR(VLOOKUP($B$85,Tableau14582[],4,FALSE)*(1+$L$9)^$B98,0)</f>
        <v>150</v>
      </c>
      <c r="I98" s="208">
        <f>IFERROR(VLOOKUP($B$85,Tableau14582[],5,FALSE)*(1+$L$9)^$B98,0)</f>
        <v>13.75</v>
      </c>
      <c r="J98" s="208">
        <f>IFERROR(VLOOKUP($B$85,Tableau14582[],5,FALSE)*(1+$L$9)^$B98,0)</f>
        <v>13.75</v>
      </c>
      <c r="K98" s="209">
        <f>IFERROR(VLOOKUP($B$85,Tableau14582[],6,FALSE)*(1+$L$9)^$B98,0)</f>
        <v>10</v>
      </c>
      <c r="L98" s="260">
        <f t="shared" si="20"/>
        <v>2784.6000000000008</v>
      </c>
      <c r="N98" s="71">
        <v>77</v>
      </c>
      <c r="O98" s="236"/>
      <c r="P98" s="177"/>
      <c r="Q98" s="237">
        <f t="shared" si="21"/>
        <v>541.75</v>
      </c>
      <c r="R98" s="177">
        <f t="shared" si="16"/>
        <v>37.922500000000007</v>
      </c>
      <c r="S98" s="177">
        <f>$L$11*(1+$L$9)^N98*'Récapitulatif des résultats'!$I$11</f>
        <v>0</v>
      </c>
      <c r="T98" s="238"/>
      <c r="U98" s="177"/>
      <c r="V98" s="246">
        <f t="shared" si="17"/>
        <v>0</v>
      </c>
      <c r="W98" s="185">
        <f>SUM('Pin Laricio'!AQ82*'Pin Laricio'!$F$21,Douglas!AQ82*Douglas!$F$21,'Cedre de l''Atlas'!AQ82*'Cedre de l''Atlas'!$F$21,'Sequoia sempervirens'!AQ82*'Sequoia sempervirens'!$F$21,Chêne!AQ82*Chêne!$F$21,Charme!AQ82*Charme!$F$21)</f>
        <v>0</v>
      </c>
      <c r="X98" s="185">
        <f>SUM('Pin Laricio'!AR82*'Pin Laricio'!$F$21,Douglas!AR82*Douglas!$F$21,'Cedre de l''Atlas'!AR82*'Cedre de l''Atlas'!$F$21,'Sequoia sempervirens'!AR82*'Sequoia sempervirens'!$F$21,Chêne!AR82*Chêne!$F$21,Charme!AR82*Charme!$F$21)</f>
        <v>0</v>
      </c>
      <c r="Y98" s="185">
        <f>SUM('Pin Laricio'!AS82*'Pin Laricio'!$F$21,Douglas!AS82*Douglas!$F$21,'Cedre de l''Atlas'!AS82*'Cedre de l''Atlas'!$F$21,'Sequoia sempervirens'!AS82*'Sequoia sempervirens'!$F$21,Chêne!AS82*Chêne!$F$21,Charme!AS82*Charme!$F$21)</f>
        <v>0</v>
      </c>
      <c r="Z98" s="328">
        <f>SUM('Pin Laricio'!AT82*'Pin Laricio'!$F$21,Douglas!AT82*Douglas!$F$21,'Cedre de l''Atlas'!AT82*'Cedre de l''Atlas'!$F$21,'Sequoia sempervirens'!AT82*'Sequoia sempervirens'!$F$21,Chêne!AT82*Chêne!$F$21,Charme!AT82*Charme!$F$21)</f>
        <v>0</v>
      </c>
      <c r="AA98" s="175">
        <f t="shared" si="19"/>
        <v>0</v>
      </c>
      <c r="AB98" s="176">
        <f t="shared" si="18"/>
        <v>-19.55367233079825</v>
      </c>
      <c r="AC98" s="175"/>
      <c r="AD98" s="175"/>
    </row>
    <row r="99" spans="2:30">
      <c r="B99" s="261">
        <f>Chêne!B94</f>
        <v>135</v>
      </c>
      <c r="C99" s="225">
        <f>Chêne!C94</f>
        <v>283</v>
      </c>
      <c r="D99" s="219">
        <f>Chêne!D94</f>
        <v>0.95</v>
      </c>
      <c r="E99" s="231">
        <f>Chêne!E94</f>
        <v>0</v>
      </c>
      <c r="F99" s="231">
        <f>Chêne!F94</f>
        <v>0</v>
      </c>
      <c r="G99" s="226">
        <f>Chêne!G94</f>
        <v>5.0000000000000044E-2</v>
      </c>
      <c r="H99" s="210">
        <f>IFERROR(VLOOKUP($B$85,Tableau14582[],4,FALSE)*(1+$L$9)^$B99,0)</f>
        <v>150</v>
      </c>
      <c r="I99" s="211">
        <f>IFERROR(VLOOKUP($B$85,Tableau14582[],5,FALSE)*(1+$L$9)^$B99,0)</f>
        <v>13.75</v>
      </c>
      <c r="J99" s="211">
        <f>IFERROR(VLOOKUP($B$85,Tableau14582[],5,FALSE)*(1+$L$9)^$B99,0)</f>
        <v>13.75</v>
      </c>
      <c r="K99" s="212">
        <f>IFERROR(VLOOKUP($B$85,Tableau14582[],6,FALSE)*(1+$L$9)^$B99,0)</f>
        <v>10</v>
      </c>
      <c r="L99" s="262">
        <f t="shared" si="20"/>
        <v>39457.274999999994</v>
      </c>
      <c r="N99" s="71">
        <v>78</v>
      </c>
      <c r="O99" s="236"/>
      <c r="P99" s="177"/>
      <c r="Q99" s="237">
        <f t="shared" si="21"/>
        <v>541.75</v>
      </c>
      <c r="R99" s="177">
        <f t="shared" si="16"/>
        <v>37.922500000000007</v>
      </c>
      <c r="S99" s="177">
        <f>$L$11*(1+$L$9)^N99*'Récapitulatif des résultats'!$I$11</f>
        <v>0</v>
      </c>
      <c r="T99" s="238"/>
      <c r="U99" s="177"/>
      <c r="V99" s="246">
        <f t="shared" si="17"/>
        <v>0</v>
      </c>
      <c r="W99" s="185">
        <f>SUM('Pin Laricio'!AQ83*'Pin Laricio'!$F$21,Douglas!AQ83*Douglas!$F$21,'Cedre de l''Atlas'!AQ83*'Cedre de l''Atlas'!$F$21,'Sequoia sempervirens'!AQ83*'Sequoia sempervirens'!$F$21,Chêne!AQ83*Chêne!$F$21,Charme!AQ83*Charme!$F$21)</f>
        <v>0</v>
      </c>
      <c r="X99" s="185">
        <f>SUM('Pin Laricio'!AR83*'Pin Laricio'!$F$21,Douglas!AR83*Douglas!$F$21,'Cedre de l''Atlas'!AR83*'Cedre de l''Atlas'!$F$21,'Sequoia sempervirens'!AR83*'Sequoia sempervirens'!$F$21,Chêne!AR83*Chêne!$F$21,Charme!AR83*Charme!$F$21)</f>
        <v>0</v>
      </c>
      <c r="Y99" s="185">
        <f>SUM('Pin Laricio'!AS83*'Pin Laricio'!$F$21,Douglas!AS83*Douglas!$F$21,'Cedre de l''Atlas'!AS83*'Cedre de l''Atlas'!$F$21,'Sequoia sempervirens'!AS83*'Sequoia sempervirens'!$F$21,Chêne!AS83*Chêne!$F$21,Charme!AS83*Charme!$F$21)</f>
        <v>0</v>
      </c>
      <c r="Z99" s="328">
        <f>SUM('Pin Laricio'!AT83*'Pin Laricio'!$F$21,Douglas!AT83*Douglas!$F$21,'Cedre de l''Atlas'!AT83*'Cedre de l''Atlas'!$F$21,'Sequoia sempervirens'!AT83*'Sequoia sempervirens'!$F$21,Chêne!AT83*Chêne!$F$21,Charme!AT83*Charme!$F$21)</f>
        <v>0</v>
      </c>
      <c r="AA99" s="175">
        <f t="shared" si="19"/>
        <v>0</v>
      </c>
      <c r="AB99" s="176">
        <f t="shared" si="18"/>
        <v>-18.711648163443307</v>
      </c>
      <c r="AC99" s="175"/>
      <c r="AD99" s="175"/>
    </row>
    <row r="100" spans="2:30">
      <c r="B100" s="263"/>
      <c r="C100" s="264"/>
      <c r="D100" s="264"/>
      <c r="E100" s="264"/>
      <c r="F100" s="264"/>
      <c r="G100" s="264"/>
      <c r="H100" s="264"/>
      <c r="I100" s="264"/>
      <c r="J100" s="264"/>
      <c r="K100" s="264"/>
      <c r="L100" s="265"/>
      <c r="N100" s="71">
        <v>79</v>
      </c>
      <c r="O100" s="236"/>
      <c r="P100" s="177"/>
      <c r="Q100" s="237">
        <f t="shared" si="21"/>
        <v>541.75</v>
      </c>
      <c r="R100" s="177">
        <f t="shared" si="16"/>
        <v>37.922500000000007</v>
      </c>
      <c r="S100" s="177">
        <f>$L$11*(1+$L$9)^N100*'Récapitulatif des résultats'!$I$11</f>
        <v>0</v>
      </c>
      <c r="T100" s="238"/>
      <c r="U100" s="177"/>
      <c r="V100" s="246">
        <f t="shared" si="17"/>
        <v>0</v>
      </c>
      <c r="W100" s="185">
        <f>SUM('Pin Laricio'!AQ84*'Pin Laricio'!$F$21,Douglas!AQ84*Douglas!$F$21,'Cedre de l''Atlas'!AQ84*'Cedre de l''Atlas'!$F$21,'Sequoia sempervirens'!AQ84*'Sequoia sempervirens'!$F$21,Chêne!AQ84*Chêne!$F$21,Charme!AQ84*Charme!$F$21)</f>
        <v>0</v>
      </c>
      <c r="X100" s="185">
        <f>SUM('Pin Laricio'!AR84*'Pin Laricio'!$F$21,Douglas!AR84*Douglas!$F$21,'Cedre de l''Atlas'!AR84*'Cedre de l''Atlas'!$F$21,'Sequoia sempervirens'!AR84*'Sequoia sempervirens'!$F$21,Chêne!AR84*Chêne!$F$21,Charme!AR84*Charme!$F$21)</f>
        <v>0</v>
      </c>
      <c r="Y100" s="185">
        <f>SUM('Pin Laricio'!AS84*'Pin Laricio'!$F$21,Douglas!AS84*Douglas!$F$21,'Cedre de l''Atlas'!AS84*'Cedre de l''Atlas'!$F$21,'Sequoia sempervirens'!AS84*'Sequoia sempervirens'!$F$21,Chêne!AS84*Chêne!$F$21,Charme!AS84*Charme!$F$21)</f>
        <v>0</v>
      </c>
      <c r="Z100" s="328">
        <f>SUM('Pin Laricio'!AT84*'Pin Laricio'!$F$21,Douglas!AT84*Douglas!$F$21,'Cedre de l''Atlas'!AT84*'Cedre de l''Atlas'!$F$21,'Sequoia sempervirens'!AT84*'Sequoia sempervirens'!$F$21,Chêne!AT84*Chêne!$F$21,Charme!AT84*Charme!$F$21)</f>
        <v>0</v>
      </c>
      <c r="AA100" s="175">
        <f t="shared" si="19"/>
        <v>0</v>
      </c>
      <c r="AB100" s="176">
        <f t="shared" si="18"/>
        <v>-17.905883409993596</v>
      </c>
      <c r="AC100" s="175"/>
      <c r="AD100" s="175"/>
    </row>
    <row r="101" spans="2:30">
      <c r="B101" s="431" t="str">
        <f>Charme!F17</f>
        <v xml:space="preserve">Charme </v>
      </c>
      <c r="C101" s="432">
        <f>Charme!C80</f>
        <v>0</v>
      </c>
      <c r="D101" s="432">
        <f>Charme!D80</f>
        <v>0</v>
      </c>
      <c r="E101" s="432">
        <f>Charme!E80</f>
        <v>0</v>
      </c>
      <c r="F101" s="432">
        <f>Charme!F80</f>
        <v>0</v>
      </c>
      <c r="G101" s="433">
        <f>Charme!G80</f>
        <v>0</v>
      </c>
      <c r="H101" s="417" t="s">
        <v>247</v>
      </c>
      <c r="I101" s="418"/>
      <c r="J101" s="418"/>
      <c r="K101" s="419"/>
      <c r="L101" s="254">
        <f>AD5</f>
        <v>0.19500000000000001</v>
      </c>
      <c r="N101" s="71">
        <v>80</v>
      </c>
      <c r="O101" s="236"/>
      <c r="P101" s="177"/>
      <c r="Q101" s="237">
        <f t="shared" si="21"/>
        <v>541.75</v>
      </c>
      <c r="R101" s="177">
        <f t="shared" si="16"/>
        <v>37.922500000000007</v>
      </c>
      <c r="S101" s="177">
        <f>$L$11*(1+$L$9)^N101*'Récapitulatif des résultats'!$I$11</f>
        <v>0</v>
      </c>
      <c r="T101" s="238"/>
      <c r="U101" s="177"/>
      <c r="V101" s="246">
        <f t="shared" si="17"/>
        <v>0</v>
      </c>
      <c r="W101" s="185">
        <f>SUM('Pin Laricio'!AQ85*'Pin Laricio'!$F$21,Douglas!AQ85*Douglas!$F$21,'Cedre de l''Atlas'!AQ85*'Cedre de l''Atlas'!$F$21,'Sequoia sempervirens'!AQ85*'Sequoia sempervirens'!$F$21,Chêne!AQ85*Chêne!$F$21,Charme!AQ85*Charme!$F$21)</f>
        <v>0</v>
      </c>
      <c r="X101" s="185">
        <f>SUM('Pin Laricio'!AR85*'Pin Laricio'!$F$21,Douglas!AR85*Douglas!$F$21,'Cedre de l''Atlas'!AR85*'Cedre de l''Atlas'!$F$21,'Sequoia sempervirens'!AR85*'Sequoia sempervirens'!$F$21,Chêne!AR85*Chêne!$F$21,Charme!AR85*Charme!$F$21)</f>
        <v>0</v>
      </c>
      <c r="Y101" s="185">
        <f>SUM('Pin Laricio'!AS85*'Pin Laricio'!$F$21,Douglas!AS85*Douglas!$F$21,'Cedre de l''Atlas'!AS85*'Cedre de l''Atlas'!$F$21,'Sequoia sempervirens'!AS85*'Sequoia sempervirens'!$F$21,Chêne!AS85*Chêne!$F$21,Charme!AS85*Charme!$F$21)</f>
        <v>0</v>
      </c>
      <c r="Z101" s="328">
        <f>SUM('Pin Laricio'!AT85*'Pin Laricio'!$F$21,Douglas!AT85*Douglas!$F$21,'Cedre de l''Atlas'!AT85*'Cedre de l''Atlas'!$F$21,'Sequoia sempervirens'!AT85*'Sequoia sempervirens'!$F$21,Chêne!AT85*Chêne!$F$21,Charme!AT85*Charme!$F$21)</f>
        <v>0</v>
      </c>
      <c r="AA101" s="175">
        <f t="shared" si="19"/>
        <v>0</v>
      </c>
      <c r="AB101" s="176">
        <f t="shared" si="18"/>
        <v>-17.134816660280958</v>
      </c>
      <c r="AC101" s="175"/>
      <c r="AD101" s="175"/>
    </row>
    <row r="102" spans="2:30">
      <c r="B102" s="266" t="str">
        <f>Charme!B81</f>
        <v>Année</v>
      </c>
      <c r="C102" s="227" t="str">
        <f>Charme!C81</f>
        <v>Volume d'éclaircie</v>
      </c>
      <c r="D102" s="214" t="str">
        <f>Charme!D81</f>
        <v>BO</v>
      </c>
      <c r="E102" s="214" t="str">
        <f>Charme!E81</f>
        <v>BI - panneaux</v>
      </c>
      <c r="F102" s="214" t="str">
        <f>Charme!F81</f>
        <v>BI - papier</v>
      </c>
      <c r="G102" s="215" t="str">
        <f>Charme!G81</f>
        <v>BE</v>
      </c>
      <c r="H102" s="213" t="s">
        <v>78</v>
      </c>
      <c r="I102" s="214" t="s">
        <v>81</v>
      </c>
      <c r="J102" s="214" t="s">
        <v>80</v>
      </c>
      <c r="K102" s="215" t="s">
        <v>79</v>
      </c>
      <c r="L102" s="256" t="s">
        <v>251</v>
      </c>
      <c r="N102" s="71">
        <v>81</v>
      </c>
      <c r="O102" s="236"/>
      <c r="P102" s="177"/>
      <c r="Q102" s="237">
        <f t="shared" si="21"/>
        <v>541.75</v>
      </c>
      <c r="R102" s="177">
        <f t="shared" si="16"/>
        <v>37.922500000000007</v>
      </c>
      <c r="S102" s="177">
        <f>$L$11*(1+$L$9)^N102*'Récapitulatif des résultats'!$I$11</f>
        <v>0</v>
      </c>
      <c r="T102" s="238"/>
      <c r="U102" s="177"/>
      <c r="V102" s="246">
        <f t="shared" si="17"/>
        <v>0</v>
      </c>
      <c r="W102" s="185">
        <f>SUM('Pin Laricio'!AQ86*'Pin Laricio'!$F$21,Douglas!AQ86*Douglas!$F$21,'Cedre de l''Atlas'!AQ86*'Cedre de l''Atlas'!$F$21,'Sequoia sempervirens'!AQ86*'Sequoia sempervirens'!$F$21,Chêne!AQ86*Chêne!$F$21,Charme!AQ86*Charme!$F$21)</f>
        <v>0</v>
      </c>
      <c r="X102" s="185">
        <f>SUM('Pin Laricio'!AR86*'Pin Laricio'!$F$21,Douglas!AR86*Douglas!$F$21,'Cedre de l''Atlas'!AR86*'Cedre de l''Atlas'!$F$21,'Sequoia sempervirens'!AR86*'Sequoia sempervirens'!$F$21,Chêne!AR86*Chêne!$F$21,Charme!AR86*Charme!$F$21)</f>
        <v>0</v>
      </c>
      <c r="Y102" s="185">
        <f>SUM('Pin Laricio'!AS86*'Pin Laricio'!$F$21,Douglas!AS86*Douglas!$F$21,'Cedre de l''Atlas'!AS86*'Cedre de l''Atlas'!$F$21,'Sequoia sempervirens'!AS86*'Sequoia sempervirens'!$F$21,Chêne!AS86*Chêne!$F$21,Charme!AS86*Charme!$F$21)</f>
        <v>0</v>
      </c>
      <c r="Z102" s="328">
        <f>SUM('Pin Laricio'!AT86*'Pin Laricio'!$F$21,Douglas!AT86*Douglas!$F$21,'Cedre de l''Atlas'!AT86*'Cedre de l''Atlas'!$F$21,'Sequoia sempervirens'!AT86*'Sequoia sempervirens'!$F$21,Chêne!AT86*Chêne!$F$21,Charme!AT86*Charme!$F$21)</f>
        <v>0</v>
      </c>
      <c r="AA102" s="175">
        <f t="shared" si="19"/>
        <v>0</v>
      </c>
      <c r="AB102" s="176">
        <f t="shared" si="18"/>
        <v>-16.396953741895654</v>
      </c>
      <c r="AC102" s="175"/>
      <c r="AD102" s="175"/>
    </row>
    <row r="103" spans="2:30">
      <c r="B103" s="267">
        <f>Charme!B82</f>
        <v>21</v>
      </c>
      <c r="C103" s="220">
        <f>Charme!C82</f>
        <v>0</v>
      </c>
      <c r="D103" s="217">
        <f>Charme!D82</f>
        <v>0</v>
      </c>
      <c r="E103" s="217">
        <f>Charme!E82</f>
        <v>0</v>
      </c>
      <c r="F103" s="217">
        <f>Charme!F82</f>
        <v>0</v>
      </c>
      <c r="G103" s="221">
        <f>Charme!G82</f>
        <v>1</v>
      </c>
      <c r="H103" s="207">
        <f>IFERROR(VLOOKUP($B$101,Tableau14582[],4,FALSE)*(1+$L$9)^$B103,0)</f>
        <v>50</v>
      </c>
      <c r="I103" s="208">
        <f>IFERROR(VLOOKUP($B$101,Tableau14582[],5,FALSE)*(1+$L$9)^$B103,0)</f>
        <v>13.75</v>
      </c>
      <c r="J103" s="208">
        <f>IFERROR(VLOOKUP($B$101,Tableau14582[],5,FALSE)*(1+$L$9)^$B103,0)</f>
        <v>13.75</v>
      </c>
      <c r="K103" s="209">
        <f>IFERROR(VLOOKUP($B$101,Tableau14582[],6,FALSE)*(1+$L$9)^$B103,0)</f>
        <v>10</v>
      </c>
      <c r="L103" s="258">
        <f>(C103*D103*H103+C103*E103*I103+C103*F103*J103+C103*G103*K103)*L$101</f>
        <v>0</v>
      </c>
      <c r="N103" s="71">
        <v>82</v>
      </c>
      <c r="O103" s="236"/>
      <c r="P103" s="177"/>
      <c r="Q103" s="237">
        <f t="shared" si="21"/>
        <v>541.75</v>
      </c>
      <c r="R103" s="177">
        <f t="shared" si="16"/>
        <v>37.922500000000007</v>
      </c>
      <c r="S103" s="177">
        <f>$L$11*(1+$L$9)^N103*'Récapitulatif des résultats'!$I$11</f>
        <v>0</v>
      </c>
      <c r="T103" s="238"/>
      <c r="U103" s="177"/>
      <c r="V103" s="246">
        <f t="shared" si="17"/>
        <v>0</v>
      </c>
      <c r="W103" s="185">
        <f>SUM('Pin Laricio'!AQ87*'Pin Laricio'!$F$21,Douglas!AQ87*Douglas!$F$21,'Cedre de l''Atlas'!AQ87*'Cedre de l''Atlas'!$F$21,'Sequoia sempervirens'!AQ87*'Sequoia sempervirens'!$F$21,Chêne!AQ87*Chêne!$F$21,Charme!AQ87*Charme!$F$21)</f>
        <v>0</v>
      </c>
      <c r="X103" s="185">
        <f>SUM('Pin Laricio'!AR87*'Pin Laricio'!$F$21,Douglas!AR87*Douglas!$F$21,'Cedre de l''Atlas'!AR87*'Cedre de l''Atlas'!$F$21,'Sequoia sempervirens'!AR87*'Sequoia sempervirens'!$F$21,Chêne!AR87*Chêne!$F$21,Charme!AR87*Charme!$F$21)</f>
        <v>0</v>
      </c>
      <c r="Y103" s="185">
        <f>SUM('Pin Laricio'!AS87*'Pin Laricio'!$F$21,Douglas!AS87*Douglas!$F$21,'Cedre de l''Atlas'!AS87*'Cedre de l''Atlas'!$F$21,'Sequoia sempervirens'!AS87*'Sequoia sempervirens'!$F$21,Chêne!AS87*Chêne!$F$21,Charme!AS87*Charme!$F$21)</f>
        <v>0</v>
      </c>
      <c r="Z103" s="328">
        <f>SUM('Pin Laricio'!AT87*'Pin Laricio'!$F$21,Douglas!AT87*Douglas!$F$21,'Cedre de l''Atlas'!AT87*'Cedre de l''Atlas'!$F$21,'Sequoia sempervirens'!AT87*'Sequoia sempervirens'!$F$21,Chêne!AT87*Chêne!$F$21,Charme!AT87*Charme!$F$21)</f>
        <v>0</v>
      </c>
      <c r="AA103" s="175">
        <f t="shared" si="19"/>
        <v>0</v>
      </c>
      <c r="AB103" s="176">
        <f t="shared" si="18"/>
        <v>-15.690864824780531</v>
      </c>
      <c r="AC103" s="175"/>
      <c r="AD103" s="175"/>
    </row>
    <row r="104" spans="2:30">
      <c r="B104" s="268">
        <f>Charme!B83</f>
        <v>26</v>
      </c>
      <c r="C104" s="222">
        <f>Charme!C83</f>
        <v>7</v>
      </c>
      <c r="D104" s="223">
        <f>Charme!D83</f>
        <v>0</v>
      </c>
      <c r="E104" s="218">
        <f>Charme!E83</f>
        <v>0</v>
      </c>
      <c r="F104" s="218">
        <f>Charme!F83</f>
        <v>0</v>
      </c>
      <c r="G104" s="224">
        <f>Charme!G83</f>
        <v>1</v>
      </c>
      <c r="H104" s="207">
        <f>IFERROR(VLOOKUP($B$101,Tableau14582[],4,FALSE)*(1+$L$9)^$B104,0)</f>
        <v>50</v>
      </c>
      <c r="I104" s="208">
        <f>IFERROR(VLOOKUP($B$101,Tableau14582[],5,FALSE)*(1+$L$9)^$B104,0)</f>
        <v>13.75</v>
      </c>
      <c r="J104" s="208">
        <f>IFERROR(VLOOKUP($B$101,Tableau14582[],5,FALSE)*(1+$L$9)^$B104,0)</f>
        <v>13.75</v>
      </c>
      <c r="K104" s="209">
        <f>IFERROR(VLOOKUP($B$101,Tableau14582[],6,FALSE)*(1+$L$9)^$B104,0)</f>
        <v>10</v>
      </c>
      <c r="L104" s="260">
        <f t="shared" ref="L104:L115" si="22">(C104*D104*H104+C104*E104*I104+C104*F104*J104+C104*G104*K104)*L$101</f>
        <v>13.65</v>
      </c>
      <c r="N104" s="71">
        <v>83</v>
      </c>
      <c r="O104" s="236"/>
      <c r="P104" s="177"/>
      <c r="Q104" s="237">
        <f t="shared" si="21"/>
        <v>541.75</v>
      </c>
      <c r="R104" s="177">
        <f t="shared" si="16"/>
        <v>37.922500000000007</v>
      </c>
      <c r="S104" s="177">
        <f>$L$11*(1+$L$9)^N104*'Récapitulatif des résultats'!$I$11</f>
        <v>0</v>
      </c>
      <c r="T104" s="238"/>
      <c r="U104" s="177"/>
      <c r="V104" s="246">
        <f t="shared" si="17"/>
        <v>0</v>
      </c>
      <c r="W104" s="185">
        <f>SUM('Pin Laricio'!AQ88*'Pin Laricio'!$F$21,Douglas!AQ88*Douglas!$F$21,'Cedre de l''Atlas'!AQ88*'Cedre de l''Atlas'!$F$21,'Sequoia sempervirens'!AQ88*'Sequoia sempervirens'!$F$21,Chêne!AQ88*Chêne!$F$21,Charme!AQ88*Charme!$F$21)</f>
        <v>0</v>
      </c>
      <c r="X104" s="185">
        <f>SUM('Pin Laricio'!AR88*'Pin Laricio'!$F$21,Douglas!AR88*Douglas!$F$21,'Cedre de l''Atlas'!AR88*'Cedre de l''Atlas'!$F$21,'Sequoia sempervirens'!AR88*'Sequoia sempervirens'!$F$21,Chêne!AR88*Chêne!$F$21,Charme!AR88*Charme!$F$21)</f>
        <v>0</v>
      </c>
      <c r="Y104" s="185">
        <f>SUM('Pin Laricio'!AS88*'Pin Laricio'!$F$21,Douglas!AS88*Douglas!$F$21,'Cedre de l''Atlas'!AS88*'Cedre de l''Atlas'!$F$21,'Sequoia sempervirens'!AS88*'Sequoia sempervirens'!$F$21,Chêne!AS88*Chêne!$F$21,Charme!AS88*Charme!$F$21)</f>
        <v>0</v>
      </c>
      <c r="Z104" s="328">
        <f>SUM('Pin Laricio'!AT88*'Pin Laricio'!$F$21,Douglas!AT88*Douglas!$F$21,'Cedre de l''Atlas'!AT88*'Cedre de l''Atlas'!$F$21,'Sequoia sempervirens'!AT88*'Sequoia sempervirens'!$F$21,Chêne!AT88*Chêne!$F$21,Charme!AT88*Charme!$F$21)</f>
        <v>0</v>
      </c>
      <c r="AA104" s="175">
        <f t="shared" si="19"/>
        <v>0</v>
      </c>
      <c r="AB104" s="176">
        <f t="shared" si="18"/>
        <v>-15.015181650507689</v>
      </c>
      <c r="AC104" s="175"/>
      <c r="AD104" s="175"/>
    </row>
    <row r="105" spans="2:30">
      <c r="B105" s="268">
        <f>Charme!B84</f>
        <v>31</v>
      </c>
      <c r="C105" s="222">
        <f>Charme!C84</f>
        <v>28</v>
      </c>
      <c r="D105" s="223">
        <f>Charme!D84</f>
        <v>0.1</v>
      </c>
      <c r="E105" s="218">
        <f>Charme!E84</f>
        <v>0</v>
      </c>
      <c r="F105" s="218">
        <f>Charme!F84</f>
        <v>0</v>
      </c>
      <c r="G105" s="224">
        <f>Charme!G84</f>
        <v>0.9</v>
      </c>
      <c r="H105" s="207">
        <f>IFERROR(VLOOKUP($B$101,Tableau14582[],4,FALSE)*(1+$L$9)^$B105,0)</f>
        <v>50</v>
      </c>
      <c r="I105" s="208">
        <f>IFERROR(VLOOKUP($B$101,Tableau14582[],5,FALSE)*(1+$L$9)^$B105,0)</f>
        <v>13.75</v>
      </c>
      <c r="J105" s="208">
        <f>IFERROR(VLOOKUP($B$101,Tableau14582[],5,FALSE)*(1+$L$9)^$B105,0)</f>
        <v>13.75</v>
      </c>
      <c r="K105" s="209">
        <f>IFERROR(VLOOKUP($B$101,Tableau14582[],6,FALSE)*(1+$L$9)^$B105,0)</f>
        <v>10</v>
      </c>
      <c r="L105" s="260">
        <f t="shared" si="22"/>
        <v>76.44</v>
      </c>
      <c r="N105" s="71">
        <v>84</v>
      </c>
      <c r="O105" s="236"/>
      <c r="P105" s="177"/>
      <c r="Q105" s="237">
        <f t="shared" si="21"/>
        <v>541.75</v>
      </c>
      <c r="R105" s="177">
        <f t="shared" si="16"/>
        <v>37.922500000000007</v>
      </c>
      <c r="S105" s="177">
        <f>$L$11*(1+$L$9)^N105*'Récapitulatif des résultats'!$I$11</f>
        <v>0</v>
      </c>
      <c r="T105" s="238"/>
      <c r="U105" s="177"/>
      <c r="V105" s="246">
        <f t="shared" si="17"/>
        <v>0</v>
      </c>
      <c r="W105" s="185">
        <f>SUM('Pin Laricio'!AQ89*'Pin Laricio'!$F$21,Douglas!AQ89*Douglas!$F$21,'Cedre de l''Atlas'!AQ89*'Cedre de l''Atlas'!$F$21,'Sequoia sempervirens'!AQ89*'Sequoia sempervirens'!$F$21,Chêne!AQ89*Chêne!$F$21,Charme!AQ89*Charme!$F$21)</f>
        <v>0</v>
      </c>
      <c r="X105" s="185">
        <f>SUM('Pin Laricio'!AR89*'Pin Laricio'!$F$21,Douglas!AR89*Douglas!$F$21,'Cedre de l''Atlas'!AR89*'Cedre de l''Atlas'!$F$21,'Sequoia sempervirens'!AR89*'Sequoia sempervirens'!$F$21,Chêne!AR89*Chêne!$F$21,Charme!AR89*Charme!$F$21)</f>
        <v>0</v>
      </c>
      <c r="Y105" s="185">
        <f>SUM('Pin Laricio'!AS89*'Pin Laricio'!$F$21,Douglas!AS89*Douglas!$F$21,'Cedre de l''Atlas'!AS89*'Cedre de l''Atlas'!$F$21,'Sequoia sempervirens'!AS89*'Sequoia sempervirens'!$F$21,Chêne!AS89*Chêne!$F$21,Charme!AS89*Charme!$F$21)</f>
        <v>0</v>
      </c>
      <c r="Z105" s="328">
        <f>SUM('Pin Laricio'!AT89*'Pin Laricio'!$F$21,Douglas!AT89*Douglas!$F$21,'Cedre de l''Atlas'!AT89*'Cedre de l''Atlas'!$F$21,'Sequoia sempervirens'!AT89*'Sequoia sempervirens'!$F$21,Chêne!AT89*Chêne!$F$21,Charme!AT89*Charme!$F$21)</f>
        <v>0</v>
      </c>
      <c r="AA105" s="175">
        <f t="shared" si="19"/>
        <v>0</v>
      </c>
      <c r="AB105" s="176">
        <f t="shared" si="18"/>
        <v>-14.368594880868605</v>
      </c>
      <c r="AC105" s="175"/>
      <c r="AD105" s="175"/>
    </row>
    <row r="106" spans="2:30">
      <c r="B106" s="268">
        <f>Charme!B85</f>
        <v>36</v>
      </c>
      <c r="C106" s="222">
        <f>Charme!C85</f>
        <v>28</v>
      </c>
      <c r="D106" s="223">
        <f>Charme!D85</f>
        <v>0.2</v>
      </c>
      <c r="E106" s="218">
        <f>Charme!E85</f>
        <v>0</v>
      </c>
      <c r="F106" s="218">
        <f>Charme!F85</f>
        <v>0</v>
      </c>
      <c r="G106" s="224">
        <f>Charme!G85</f>
        <v>0.8</v>
      </c>
      <c r="H106" s="207">
        <f>IFERROR(VLOOKUP($B$101,Tableau14582[],4,FALSE)*(1+$L$9)^$B106,0)</f>
        <v>50</v>
      </c>
      <c r="I106" s="208">
        <f>IFERROR(VLOOKUP($B$101,Tableau14582[],5,FALSE)*(1+$L$9)^$B106,0)</f>
        <v>13.75</v>
      </c>
      <c r="J106" s="208">
        <f>IFERROR(VLOOKUP($B$101,Tableau14582[],5,FALSE)*(1+$L$9)^$B106,0)</f>
        <v>13.75</v>
      </c>
      <c r="K106" s="209">
        <f>IFERROR(VLOOKUP($B$101,Tableau14582[],6,FALSE)*(1+$L$9)^$B106,0)</f>
        <v>10</v>
      </c>
      <c r="L106" s="260">
        <f t="shared" si="22"/>
        <v>98.28</v>
      </c>
      <c r="N106" s="71">
        <v>85</v>
      </c>
      <c r="O106" s="236"/>
      <c r="P106" s="177"/>
      <c r="Q106" s="237">
        <f t="shared" si="21"/>
        <v>541.75</v>
      </c>
      <c r="R106" s="177">
        <f t="shared" si="16"/>
        <v>37.922500000000007</v>
      </c>
      <c r="S106" s="177">
        <f>$L$11*(1+$L$9)^N106*'Récapitulatif des résultats'!$I$11</f>
        <v>0</v>
      </c>
      <c r="T106" s="238"/>
      <c r="U106" s="177"/>
      <c r="V106" s="246">
        <f t="shared" si="17"/>
        <v>0</v>
      </c>
      <c r="W106" s="185">
        <f>SUM('Pin Laricio'!AQ90*'Pin Laricio'!$F$21,Douglas!AQ90*Douglas!$F$21,'Cedre de l''Atlas'!AQ90*'Cedre de l''Atlas'!$F$21,'Sequoia sempervirens'!AQ90*'Sequoia sempervirens'!$F$21,Chêne!AQ90*Chêne!$F$21,Charme!AQ90*Charme!$F$21)</f>
        <v>0</v>
      </c>
      <c r="X106" s="185">
        <f>SUM('Pin Laricio'!AR90*'Pin Laricio'!$F$21,Douglas!AR90*Douglas!$F$21,'Cedre de l''Atlas'!AR90*'Cedre de l''Atlas'!$F$21,'Sequoia sempervirens'!AR90*'Sequoia sempervirens'!$F$21,Chêne!AR90*Chêne!$F$21,Charme!AR90*Charme!$F$21)</f>
        <v>0</v>
      </c>
      <c r="Y106" s="185">
        <f>SUM('Pin Laricio'!AS90*'Pin Laricio'!$F$21,Douglas!AS90*Douglas!$F$21,'Cedre de l''Atlas'!AS90*'Cedre de l''Atlas'!$F$21,'Sequoia sempervirens'!AS90*'Sequoia sempervirens'!$F$21,Chêne!AS90*Chêne!$F$21,Charme!AS90*Charme!$F$21)</f>
        <v>0</v>
      </c>
      <c r="Z106" s="328">
        <f>SUM('Pin Laricio'!AT90*'Pin Laricio'!$F$21,Douglas!AT90*Douglas!$F$21,'Cedre de l''Atlas'!AT90*'Cedre de l''Atlas'!$F$21,'Sequoia sempervirens'!AT90*'Sequoia sempervirens'!$F$21,Chêne!AT90*Chêne!$F$21,Charme!AT90*Charme!$F$21)</f>
        <v>0</v>
      </c>
      <c r="AA106" s="175">
        <f t="shared" si="19"/>
        <v>0</v>
      </c>
      <c r="AB106" s="176">
        <f t="shared" si="18"/>
        <v>-13.749851560639812</v>
      </c>
      <c r="AC106" s="175"/>
      <c r="AD106" s="175"/>
    </row>
    <row r="107" spans="2:30">
      <c r="B107" s="268">
        <f>Charme!B86</f>
        <v>41</v>
      </c>
      <c r="C107" s="222">
        <f>Charme!C86</f>
        <v>28</v>
      </c>
      <c r="D107" s="223">
        <f>Charme!D86</f>
        <v>0.3</v>
      </c>
      <c r="E107" s="218">
        <f>Charme!E86</f>
        <v>0</v>
      </c>
      <c r="F107" s="218">
        <f>Charme!F86</f>
        <v>0</v>
      </c>
      <c r="G107" s="224">
        <f>Charme!G86</f>
        <v>0.7</v>
      </c>
      <c r="H107" s="207">
        <f>IFERROR(VLOOKUP($B$101,Tableau14582[],4,FALSE)*(1+$L$9)^$B107,0)</f>
        <v>50</v>
      </c>
      <c r="I107" s="208">
        <f>IFERROR(VLOOKUP($B$101,Tableau14582[],5,FALSE)*(1+$L$9)^$B107,0)</f>
        <v>13.75</v>
      </c>
      <c r="J107" s="208">
        <f>IFERROR(VLOOKUP($B$101,Tableau14582[],5,FALSE)*(1+$L$9)^$B107,0)</f>
        <v>13.75</v>
      </c>
      <c r="K107" s="209">
        <f>IFERROR(VLOOKUP($B$101,Tableau14582[],6,FALSE)*(1+$L$9)^$B107,0)</f>
        <v>10</v>
      </c>
      <c r="L107" s="260">
        <f t="shared" si="22"/>
        <v>120.12</v>
      </c>
      <c r="N107" s="71">
        <v>86</v>
      </c>
      <c r="O107" s="236"/>
      <c r="P107" s="177"/>
      <c r="Q107" s="237">
        <f t="shared" si="21"/>
        <v>541.75</v>
      </c>
      <c r="R107" s="177">
        <f t="shared" si="16"/>
        <v>37.922500000000007</v>
      </c>
      <c r="S107" s="177">
        <f>$L$11*(1+$L$9)^N107*'Récapitulatif des résultats'!$I$11</f>
        <v>0</v>
      </c>
      <c r="T107" s="238"/>
      <c r="U107" s="177"/>
      <c r="V107" s="246">
        <f t="shared" si="17"/>
        <v>0</v>
      </c>
      <c r="W107" s="185">
        <f>SUM('Pin Laricio'!AQ91*'Pin Laricio'!$F$21,Douglas!AQ91*Douglas!$F$21,'Cedre de l''Atlas'!AQ91*'Cedre de l''Atlas'!$F$21,'Sequoia sempervirens'!AQ91*'Sequoia sempervirens'!$F$21,Chêne!AQ91*Chêne!$F$21,Charme!AQ91*Charme!$F$21)</f>
        <v>0</v>
      </c>
      <c r="X107" s="185">
        <f>SUM('Pin Laricio'!AR91*'Pin Laricio'!$F$21,Douglas!AR91*Douglas!$F$21,'Cedre de l''Atlas'!AR91*'Cedre de l''Atlas'!$F$21,'Sequoia sempervirens'!AR91*'Sequoia sempervirens'!$F$21,Chêne!AR91*Chêne!$F$21,Charme!AR91*Charme!$F$21)</f>
        <v>0</v>
      </c>
      <c r="Y107" s="185">
        <f>SUM('Pin Laricio'!AS91*'Pin Laricio'!$F$21,Douglas!AS91*Douglas!$F$21,'Cedre de l''Atlas'!AS91*'Cedre de l''Atlas'!$F$21,'Sequoia sempervirens'!AS91*'Sequoia sempervirens'!$F$21,Chêne!AS91*Chêne!$F$21,Charme!AS91*Charme!$F$21)</f>
        <v>0</v>
      </c>
      <c r="Z107" s="328">
        <f>SUM('Pin Laricio'!AT91*'Pin Laricio'!$F$21,Douglas!AT91*Douglas!$F$21,'Cedre de l''Atlas'!AT91*'Cedre de l''Atlas'!$F$21,'Sequoia sempervirens'!AT91*'Sequoia sempervirens'!$F$21,Chêne!AT91*Chêne!$F$21,Charme!AT91*Charme!$F$21)</f>
        <v>0</v>
      </c>
      <c r="AA107" s="175">
        <f t="shared" si="19"/>
        <v>0</v>
      </c>
      <c r="AB107" s="176">
        <f t="shared" si="18"/>
        <v>-13.157752689607479</v>
      </c>
      <c r="AC107" s="175"/>
      <c r="AD107" s="175"/>
    </row>
    <row r="108" spans="2:30">
      <c r="B108" s="268">
        <f>Charme!B87</f>
        <v>46</v>
      </c>
      <c r="C108" s="222">
        <f>Charme!C87</f>
        <v>28</v>
      </c>
      <c r="D108" s="223">
        <f>Charme!D87</f>
        <v>0.4</v>
      </c>
      <c r="E108" s="218">
        <f>Charme!E87</f>
        <v>0</v>
      </c>
      <c r="F108" s="218">
        <f>Charme!F87</f>
        <v>0</v>
      </c>
      <c r="G108" s="224">
        <f>Charme!G87</f>
        <v>0.6</v>
      </c>
      <c r="H108" s="207">
        <f>IFERROR(VLOOKUP($B$101,Tableau14582[],4,FALSE)*(1+$L$9)^$B108,0)</f>
        <v>50</v>
      </c>
      <c r="I108" s="208">
        <f>IFERROR(VLOOKUP($B$101,Tableau14582[],5,FALSE)*(1+$L$9)^$B108,0)</f>
        <v>13.75</v>
      </c>
      <c r="J108" s="208">
        <f>IFERROR(VLOOKUP($B$101,Tableau14582[],5,FALSE)*(1+$L$9)^$B108,0)</f>
        <v>13.75</v>
      </c>
      <c r="K108" s="209">
        <f>IFERROR(VLOOKUP($B$101,Tableau14582[],6,FALSE)*(1+$L$9)^$B108,0)</f>
        <v>10</v>
      </c>
      <c r="L108" s="260">
        <f t="shared" si="22"/>
        <v>141.96</v>
      </c>
      <c r="N108" s="71">
        <v>87</v>
      </c>
      <c r="O108" s="236"/>
      <c r="P108" s="177"/>
      <c r="Q108" s="237">
        <f t="shared" si="21"/>
        <v>541.75</v>
      </c>
      <c r="R108" s="177">
        <f t="shared" si="16"/>
        <v>37.922500000000007</v>
      </c>
      <c r="S108" s="177">
        <f>$L$11*(1+$L$9)^N108*'Récapitulatif des résultats'!$I$11</f>
        <v>0</v>
      </c>
      <c r="T108" s="238"/>
      <c r="U108" s="177"/>
      <c r="V108" s="246">
        <f t="shared" si="17"/>
        <v>0</v>
      </c>
      <c r="W108" s="185">
        <f>SUM('Pin Laricio'!AQ92*'Pin Laricio'!$F$21,Douglas!AQ92*Douglas!$F$21,'Cedre de l''Atlas'!AQ92*'Cedre de l''Atlas'!$F$21,'Sequoia sempervirens'!AQ92*'Sequoia sempervirens'!$F$21,Chêne!AQ92*Chêne!$F$21,Charme!AQ92*Charme!$F$21)</f>
        <v>0</v>
      </c>
      <c r="X108" s="185">
        <f>SUM('Pin Laricio'!AR92*'Pin Laricio'!$F$21,Douglas!AR92*Douglas!$F$21,'Cedre de l''Atlas'!AR92*'Cedre de l''Atlas'!$F$21,'Sequoia sempervirens'!AR92*'Sequoia sempervirens'!$F$21,Chêne!AR92*Chêne!$F$21,Charme!AR92*Charme!$F$21)</f>
        <v>0</v>
      </c>
      <c r="Y108" s="185">
        <f>SUM('Pin Laricio'!AS92*'Pin Laricio'!$F$21,Douglas!AS92*Douglas!$F$21,'Cedre de l''Atlas'!AS92*'Cedre de l''Atlas'!$F$21,'Sequoia sempervirens'!AS92*'Sequoia sempervirens'!$F$21,Chêne!AS92*Chêne!$F$21,Charme!AS92*Charme!$F$21)</f>
        <v>0</v>
      </c>
      <c r="Z108" s="328">
        <f>SUM('Pin Laricio'!AT92*'Pin Laricio'!$F$21,Douglas!AT92*Douglas!$F$21,'Cedre de l''Atlas'!AT92*'Cedre de l''Atlas'!$F$21,'Sequoia sempervirens'!AT92*'Sequoia sempervirens'!$F$21,Chêne!AT92*Chêne!$F$21,Charme!AT92*Charme!$F$21)</f>
        <v>0</v>
      </c>
      <c r="AA108" s="175">
        <f t="shared" si="19"/>
        <v>0</v>
      </c>
      <c r="AB108" s="176">
        <f t="shared" si="18"/>
        <v>-12.591150899145912</v>
      </c>
      <c r="AC108" s="175"/>
      <c r="AD108" s="175"/>
    </row>
    <row r="109" spans="2:30">
      <c r="B109" s="268">
        <f>Charme!B88</f>
        <v>51</v>
      </c>
      <c r="C109" s="222">
        <f>Charme!C88</f>
        <v>28</v>
      </c>
      <c r="D109" s="223">
        <f>Charme!D88</f>
        <v>0.5</v>
      </c>
      <c r="E109" s="218">
        <f>Charme!E88</f>
        <v>0</v>
      </c>
      <c r="F109" s="218">
        <f>Charme!F88</f>
        <v>0</v>
      </c>
      <c r="G109" s="224">
        <f>Charme!G88</f>
        <v>0.5</v>
      </c>
      <c r="H109" s="207">
        <f>IFERROR(VLOOKUP($B$101,Tableau14582[],4,FALSE)*(1+$L$9)^$B109,0)</f>
        <v>50</v>
      </c>
      <c r="I109" s="208">
        <f>IFERROR(VLOOKUP($B$101,Tableau14582[],5,FALSE)*(1+$L$9)^$B109,0)</f>
        <v>13.75</v>
      </c>
      <c r="J109" s="208">
        <f>IFERROR(VLOOKUP($B$101,Tableau14582[],5,FALSE)*(1+$L$9)^$B109,0)</f>
        <v>13.75</v>
      </c>
      <c r="K109" s="209">
        <f>IFERROR(VLOOKUP($B$101,Tableau14582[],6,FALSE)*(1+$L$9)^$B109,0)</f>
        <v>10</v>
      </c>
      <c r="L109" s="260">
        <f t="shared" si="22"/>
        <v>163.80000000000001</v>
      </c>
      <c r="N109" s="71">
        <v>88</v>
      </c>
      <c r="O109" s="236"/>
      <c r="P109" s="177"/>
      <c r="Q109" s="237">
        <f t="shared" si="21"/>
        <v>541.75</v>
      </c>
      <c r="R109" s="177">
        <f t="shared" si="16"/>
        <v>37.922500000000007</v>
      </c>
      <c r="S109" s="177">
        <f>$L$11*(1+$L$9)^N109*'Récapitulatif des résultats'!$I$11</f>
        <v>0</v>
      </c>
      <c r="T109" s="238"/>
      <c r="U109" s="177"/>
      <c r="V109" s="246">
        <f t="shared" si="17"/>
        <v>0</v>
      </c>
      <c r="W109" s="185">
        <f>SUM('Pin Laricio'!AQ93*'Pin Laricio'!$F$21,Douglas!AQ93*Douglas!$F$21,'Cedre de l''Atlas'!AQ93*'Cedre de l''Atlas'!$F$21,'Sequoia sempervirens'!AQ93*'Sequoia sempervirens'!$F$21,Chêne!AQ93*Chêne!$F$21,Charme!AQ93*Charme!$F$21)</f>
        <v>0</v>
      </c>
      <c r="X109" s="185">
        <f>SUM('Pin Laricio'!AR93*'Pin Laricio'!$F$21,Douglas!AR93*Douglas!$F$21,'Cedre de l''Atlas'!AR93*'Cedre de l''Atlas'!$F$21,'Sequoia sempervirens'!AR93*'Sequoia sempervirens'!$F$21,Chêne!AR93*Chêne!$F$21,Charme!AR93*Charme!$F$21)</f>
        <v>0</v>
      </c>
      <c r="Y109" s="185">
        <f>SUM('Pin Laricio'!AS93*'Pin Laricio'!$F$21,Douglas!AS93*Douglas!$F$21,'Cedre de l''Atlas'!AS93*'Cedre de l''Atlas'!$F$21,'Sequoia sempervirens'!AS93*'Sequoia sempervirens'!$F$21,Chêne!AS93*Chêne!$F$21,Charme!AS93*Charme!$F$21)</f>
        <v>0</v>
      </c>
      <c r="Z109" s="328">
        <f>SUM('Pin Laricio'!AT93*'Pin Laricio'!$F$21,Douglas!AT93*Douglas!$F$21,'Cedre de l''Atlas'!AT93*'Cedre de l''Atlas'!$F$21,'Sequoia sempervirens'!AT93*'Sequoia sempervirens'!$F$21,Chêne!AT93*Chêne!$F$21,Charme!AT93*Charme!$F$21)</f>
        <v>0</v>
      </c>
      <c r="AA109" s="175">
        <f t="shared" si="19"/>
        <v>0</v>
      </c>
      <c r="AB109" s="176">
        <f t="shared" si="18"/>
        <v>-12.048948228847765</v>
      </c>
      <c r="AC109" s="175"/>
      <c r="AD109" s="175"/>
    </row>
    <row r="110" spans="2:30">
      <c r="B110" s="268">
        <f>Charme!B89</f>
        <v>56</v>
      </c>
      <c r="C110" s="222">
        <f>Charme!C89</f>
        <v>28</v>
      </c>
      <c r="D110" s="223">
        <f>Charme!D89</f>
        <v>0.6</v>
      </c>
      <c r="E110" s="218">
        <f>Charme!E89</f>
        <v>0</v>
      </c>
      <c r="F110" s="218">
        <f>Charme!F89</f>
        <v>0</v>
      </c>
      <c r="G110" s="224">
        <f>Charme!G89</f>
        <v>0.4</v>
      </c>
      <c r="H110" s="207">
        <f>IFERROR(VLOOKUP($B$101,Tableau14582[],4,FALSE)*(1+$L$9)^$B110,0)</f>
        <v>50</v>
      </c>
      <c r="I110" s="208">
        <f>IFERROR(VLOOKUP($B$101,Tableau14582[],5,FALSE)*(1+$L$9)^$B110,0)</f>
        <v>13.75</v>
      </c>
      <c r="J110" s="208">
        <f>IFERROR(VLOOKUP($B$101,Tableau14582[],5,FALSE)*(1+$L$9)^$B110,0)</f>
        <v>13.75</v>
      </c>
      <c r="K110" s="209">
        <f>IFERROR(VLOOKUP($B$101,Tableau14582[],6,FALSE)*(1+$L$9)^$B110,0)</f>
        <v>10</v>
      </c>
      <c r="L110" s="260">
        <f t="shared" si="22"/>
        <v>185.64000000000001</v>
      </c>
      <c r="N110" s="71">
        <v>89</v>
      </c>
      <c r="O110" s="236"/>
      <c r="P110" s="177"/>
      <c r="Q110" s="237">
        <f t="shared" si="21"/>
        <v>541.75</v>
      </c>
      <c r="R110" s="177">
        <f t="shared" si="16"/>
        <v>37.922500000000007</v>
      </c>
      <c r="S110" s="177">
        <f>$L$11*(1+$L$9)^N110*'Récapitulatif des résultats'!$I$11</f>
        <v>0</v>
      </c>
      <c r="T110" s="238"/>
      <c r="U110" s="177"/>
      <c r="V110" s="246">
        <f t="shared" si="17"/>
        <v>0</v>
      </c>
      <c r="W110" s="185">
        <f>SUM('Pin Laricio'!AQ94*'Pin Laricio'!$F$21,Douglas!AQ94*Douglas!$F$21,'Cedre de l''Atlas'!AQ94*'Cedre de l''Atlas'!$F$21,'Sequoia sempervirens'!AQ94*'Sequoia sempervirens'!$F$21,Chêne!AQ94*Chêne!$F$21,Charme!AQ94*Charme!$F$21)</f>
        <v>0</v>
      </c>
      <c r="X110" s="185">
        <f>SUM('Pin Laricio'!AR94*'Pin Laricio'!$F$21,Douglas!AR94*Douglas!$F$21,'Cedre de l''Atlas'!AR94*'Cedre de l''Atlas'!$F$21,'Sequoia sempervirens'!AR94*'Sequoia sempervirens'!$F$21,Chêne!AR94*Chêne!$F$21,Charme!AR94*Charme!$F$21)</f>
        <v>0</v>
      </c>
      <c r="Y110" s="185">
        <f>SUM('Pin Laricio'!AS94*'Pin Laricio'!$F$21,Douglas!AS94*Douglas!$F$21,'Cedre de l''Atlas'!AS94*'Cedre de l''Atlas'!$F$21,'Sequoia sempervirens'!AS94*'Sequoia sempervirens'!$F$21,Chêne!AS94*Chêne!$F$21,Charme!AS94*Charme!$F$21)</f>
        <v>0</v>
      </c>
      <c r="Z110" s="328">
        <f>SUM('Pin Laricio'!AT94*'Pin Laricio'!$F$21,Douglas!AT94*Douglas!$F$21,'Cedre de l''Atlas'!AT94*'Cedre de l''Atlas'!$F$21,'Sequoia sempervirens'!AT94*'Sequoia sempervirens'!$F$21,Chêne!AT94*Chêne!$F$21,Charme!AT94*Charme!$F$21)</f>
        <v>0</v>
      </c>
      <c r="AA110" s="175">
        <f t="shared" si="19"/>
        <v>0</v>
      </c>
      <c r="AB110" s="176">
        <f t="shared" si="18"/>
        <v>-11.530093998897383</v>
      </c>
      <c r="AC110" s="175"/>
      <c r="AD110" s="175"/>
    </row>
    <row r="111" spans="2:30">
      <c r="B111" s="268">
        <f>Charme!B90</f>
        <v>61</v>
      </c>
      <c r="C111" s="222">
        <f>Charme!C90</f>
        <v>28</v>
      </c>
      <c r="D111" s="223">
        <f>Charme!D90</f>
        <v>0.7</v>
      </c>
      <c r="E111" s="218">
        <f>Charme!E90</f>
        <v>0</v>
      </c>
      <c r="F111" s="218">
        <f>Charme!F90</f>
        <v>0</v>
      </c>
      <c r="G111" s="224">
        <f>Charme!G90</f>
        <v>0.30000000000000004</v>
      </c>
      <c r="H111" s="207">
        <f>IFERROR(VLOOKUP($B$101,Tableau14582[],4,FALSE)*(1+$L$9)^$B111,0)</f>
        <v>50</v>
      </c>
      <c r="I111" s="208">
        <f>IFERROR(VLOOKUP($B$101,Tableau14582[],5,FALSE)*(1+$L$9)^$B111,0)</f>
        <v>13.75</v>
      </c>
      <c r="J111" s="208">
        <f>IFERROR(VLOOKUP($B$101,Tableau14582[],5,FALSE)*(1+$L$9)^$B111,0)</f>
        <v>13.75</v>
      </c>
      <c r="K111" s="209">
        <f>IFERROR(VLOOKUP($B$101,Tableau14582[],6,FALSE)*(1+$L$9)^$B111,0)</f>
        <v>10</v>
      </c>
      <c r="L111" s="260">
        <f t="shared" si="22"/>
        <v>207.48000000000002</v>
      </c>
      <c r="N111" s="71">
        <v>90</v>
      </c>
      <c r="O111" s="236"/>
      <c r="P111" s="177"/>
      <c r="Q111" s="237">
        <f t="shared" si="21"/>
        <v>541.75</v>
      </c>
      <c r="R111" s="177">
        <f t="shared" si="16"/>
        <v>37.922500000000007</v>
      </c>
      <c r="S111" s="177">
        <f>$L$11*(1+$L$9)^N111*'Récapitulatif des résultats'!$I$11</f>
        <v>0</v>
      </c>
      <c r="T111" s="238"/>
      <c r="U111" s="177"/>
      <c r="V111" s="246">
        <f t="shared" si="17"/>
        <v>0</v>
      </c>
      <c r="W111" s="185">
        <f>SUM('Pin Laricio'!AQ95*'Pin Laricio'!$F$21,Douglas!AQ95*Douglas!$F$21,'Cedre de l''Atlas'!AQ95*'Cedre de l''Atlas'!$F$21,'Sequoia sempervirens'!AQ95*'Sequoia sempervirens'!$F$21,Chêne!AQ95*Chêne!$F$21,Charme!AQ95*Charme!$F$21)</f>
        <v>0</v>
      </c>
      <c r="X111" s="185">
        <f>SUM('Pin Laricio'!AR95*'Pin Laricio'!$F$21,Douglas!AR95*Douglas!$F$21,'Cedre de l''Atlas'!AR95*'Cedre de l''Atlas'!$F$21,'Sequoia sempervirens'!AR95*'Sequoia sempervirens'!$F$21,Chêne!AR95*Chêne!$F$21,Charme!AR95*Charme!$F$21)</f>
        <v>0</v>
      </c>
      <c r="Y111" s="185">
        <f>SUM('Pin Laricio'!AS95*'Pin Laricio'!$F$21,Douglas!AS95*Douglas!$F$21,'Cedre de l''Atlas'!AS95*'Cedre de l''Atlas'!$F$21,'Sequoia sempervirens'!AS95*'Sequoia sempervirens'!$F$21,Chêne!AS95*Chêne!$F$21,Charme!AS95*Charme!$F$21)</f>
        <v>0</v>
      </c>
      <c r="Z111" s="328">
        <f>SUM('Pin Laricio'!AT95*'Pin Laricio'!$F$21,Douglas!AT95*Douglas!$F$21,'Cedre de l''Atlas'!AT95*'Cedre de l''Atlas'!$F$21,'Sequoia sempervirens'!AT95*'Sequoia sempervirens'!$F$21,Chêne!AT95*Chêne!$F$21,Charme!AT95*Charme!$F$21)</f>
        <v>0</v>
      </c>
      <c r="AA111" s="175">
        <f t="shared" si="19"/>
        <v>0</v>
      </c>
      <c r="AB111" s="176">
        <f t="shared" si="18"/>
        <v>-11.033582774064485</v>
      </c>
      <c r="AC111" s="175"/>
      <c r="AD111" s="175"/>
    </row>
    <row r="112" spans="2:30">
      <c r="B112" s="268">
        <f>Charme!B91</f>
        <v>66</v>
      </c>
      <c r="C112" s="222">
        <f>Charme!C91</f>
        <v>28</v>
      </c>
      <c r="D112" s="223">
        <f>Charme!D91</f>
        <v>0.8</v>
      </c>
      <c r="E112" s="218">
        <f>Charme!E91</f>
        <v>0</v>
      </c>
      <c r="F112" s="218">
        <f>Charme!F91</f>
        <v>0</v>
      </c>
      <c r="G112" s="224">
        <f>Charme!G91</f>
        <v>0.19999999999999996</v>
      </c>
      <c r="H112" s="207">
        <f>IFERROR(VLOOKUP($B$101,Tableau14582[],4,FALSE)*(1+$L$9)^$B112,0)</f>
        <v>50</v>
      </c>
      <c r="I112" s="208">
        <f>IFERROR(VLOOKUP($B$101,Tableau14582[],5,FALSE)*(1+$L$9)^$B112,0)</f>
        <v>13.75</v>
      </c>
      <c r="J112" s="208">
        <f>IFERROR(VLOOKUP($B$101,Tableau14582[],5,FALSE)*(1+$L$9)^$B112,0)</f>
        <v>13.75</v>
      </c>
      <c r="K112" s="209">
        <f>IFERROR(VLOOKUP($B$101,Tableau14582[],6,FALSE)*(1+$L$9)^$B112,0)</f>
        <v>10</v>
      </c>
      <c r="L112" s="260">
        <f t="shared" si="22"/>
        <v>229.32000000000002</v>
      </c>
      <c r="N112" s="71">
        <v>91</v>
      </c>
      <c r="O112" s="236"/>
      <c r="P112" s="177"/>
      <c r="Q112" s="237">
        <f t="shared" si="21"/>
        <v>541.75</v>
      </c>
      <c r="R112" s="177">
        <f t="shared" si="16"/>
        <v>37.922500000000007</v>
      </c>
      <c r="S112" s="177">
        <f>$L$11*(1+$L$9)^N112*'Récapitulatif des résultats'!$I$11</f>
        <v>0</v>
      </c>
      <c r="T112" s="238"/>
      <c r="U112" s="177"/>
      <c r="V112" s="246">
        <f t="shared" si="17"/>
        <v>0</v>
      </c>
      <c r="W112" s="185">
        <f>SUM('Pin Laricio'!AQ96*'Pin Laricio'!$F$21,Douglas!AQ96*Douglas!$F$21,'Cedre de l''Atlas'!AQ96*'Cedre de l''Atlas'!$F$21,'Sequoia sempervirens'!AQ96*'Sequoia sempervirens'!$F$21,Chêne!AQ96*Chêne!$F$21,Charme!AQ96*Charme!$F$21)</f>
        <v>0</v>
      </c>
      <c r="X112" s="185">
        <f>SUM('Pin Laricio'!AR96*'Pin Laricio'!$F$21,Douglas!AR96*Douglas!$F$21,'Cedre de l''Atlas'!AR96*'Cedre de l''Atlas'!$F$21,'Sequoia sempervirens'!AR96*'Sequoia sempervirens'!$F$21,Chêne!AR96*Chêne!$F$21,Charme!AR96*Charme!$F$21)</f>
        <v>0</v>
      </c>
      <c r="Y112" s="185">
        <f>SUM('Pin Laricio'!AS96*'Pin Laricio'!$F$21,Douglas!AS96*Douglas!$F$21,'Cedre de l''Atlas'!AS96*'Cedre de l''Atlas'!$F$21,'Sequoia sempervirens'!AS96*'Sequoia sempervirens'!$F$21,Chêne!AS96*Chêne!$F$21,Charme!AS96*Charme!$F$21)</f>
        <v>0</v>
      </c>
      <c r="Z112" s="328">
        <f>SUM('Pin Laricio'!AT96*'Pin Laricio'!$F$21,Douglas!AT96*Douglas!$F$21,'Cedre de l''Atlas'!AT96*'Cedre de l''Atlas'!$F$21,'Sequoia sempervirens'!AT96*'Sequoia sempervirens'!$F$21,Chêne!AT96*Chêne!$F$21,Charme!AT96*Charme!$F$21)</f>
        <v>0</v>
      </c>
      <c r="AA112" s="175">
        <f t="shared" si="19"/>
        <v>0</v>
      </c>
      <c r="AB112" s="176">
        <f t="shared" si="18"/>
        <v>-10.558452415372713</v>
      </c>
      <c r="AC112" s="175"/>
      <c r="AD112" s="175"/>
    </row>
    <row r="113" spans="2:30">
      <c r="B113" s="268">
        <f>Charme!B92</f>
        <v>71</v>
      </c>
      <c r="C113" s="222">
        <f>Charme!C92</f>
        <v>28</v>
      </c>
      <c r="D113" s="223">
        <f>Charme!D92</f>
        <v>0.9</v>
      </c>
      <c r="E113" s="218">
        <f>Charme!E92</f>
        <v>0</v>
      </c>
      <c r="F113" s="218">
        <f>Charme!F92</f>
        <v>0</v>
      </c>
      <c r="G113" s="224">
        <f>Charme!G92</f>
        <v>9.9999999999999978E-2</v>
      </c>
      <c r="H113" s="207">
        <f>IFERROR(VLOOKUP($B$101,Tableau14582[],4,FALSE)*(1+$L$9)^$B113,0)</f>
        <v>50</v>
      </c>
      <c r="I113" s="208">
        <f>IFERROR(VLOOKUP($B$101,Tableau14582[],5,FALSE)*(1+$L$9)^$B113,0)</f>
        <v>13.75</v>
      </c>
      <c r="J113" s="208">
        <f>IFERROR(VLOOKUP($B$101,Tableau14582[],5,FALSE)*(1+$L$9)^$B113,0)</f>
        <v>13.75</v>
      </c>
      <c r="K113" s="209">
        <f>IFERROR(VLOOKUP($B$101,Tableau14582[],6,FALSE)*(1+$L$9)^$B113,0)</f>
        <v>10</v>
      </c>
      <c r="L113" s="260">
        <f t="shared" si="22"/>
        <v>251.16</v>
      </c>
      <c r="N113" s="71">
        <v>92</v>
      </c>
      <c r="O113" s="236"/>
      <c r="P113" s="177"/>
      <c r="Q113" s="237">
        <f t="shared" si="21"/>
        <v>541.75</v>
      </c>
      <c r="R113" s="177">
        <f t="shared" si="16"/>
        <v>37.922500000000007</v>
      </c>
      <c r="S113" s="177">
        <f>$L$11*(1+$L$9)^N113*'Récapitulatif des résultats'!$I$11</f>
        <v>0</v>
      </c>
      <c r="T113" s="238"/>
      <c r="U113" s="177"/>
      <c r="V113" s="246">
        <f t="shared" si="17"/>
        <v>0</v>
      </c>
      <c r="W113" s="185">
        <f>SUM('Pin Laricio'!AQ97*'Pin Laricio'!$F$21,Douglas!AQ97*Douglas!$F$21,'Cedre de l''Atlas'!AQ97*'Cedre de l''Atlas'!$F$21,'Sequoia sempervirens'!AQ97*'Sequoia sempervirens'!$F$21,Chêne!AQ97*Chêne!$F$21,Charme!AQ97*Charme!$F$21)</f>
        <v>0</v>
      </c>
      <c r="X113" s="185">
        <f>SUM('Pin Laricio'!AR97*'Pin Laricio'!$F$21,Douglas!AR97*Douglas!$F$21,'Cedre de l''Atlas'!AR97*'Cedre de l''Atlas'!$F$21,'Sequoia sempervirens'!AR97*'Sequoia sempervirens'!$F$21,Chêne!AR97*Chêne!$F$21,Charme!AR97*Charme!$F$21)</f>
        <v>0</v>
      </c>
      <c r="Y113" s="185">
        <f>SUM('Pin Laricio'!AS97*'Pin Laricio'!$F$21,Douglas!AS97*Douglas!$F$21,'Cedre de l''Atlas'!AS97*'Cedre de l''Atlas'!$F$21,'Sequoia sempervirens'!AS97*'Sequoia sempervirens'!$F$21,Chêne!AS97*Chêne!$F$21,Charme!AS97*Charme!$F$21)</f>
        <v>0</v>
      </c>
      <c r="Z113" s="328">
        <f>SUM('Pin Laricio'!AT97*'Pin Laricio'!$F$21,Douglas!AT97*Douglas!$F$21,'Cedre de l''Atlas'!AT97*'Cedre de l''Atlas'!$F$21,'Sequoia sempervirens'!AT97*'Sequoia sempervirens'!$F$21,Chêne!AT97*Chêne!$F$21,Charme!AT97*Charme!$F$21)</f>
        <v>0</v>
      </c>
      <c r="AA113" s="175">
        <f t="shared" si="19"/>
        <v>0</v>
      </c>
      <c r="AB113" s="176">
        <f t="shared" si="18"/>
        <v>-10.103782215667671</v>
      </c>
      <c r="AC113" s="175"/>
      <c r="AD113" s="175"/>
    </row>
    <row r="114" spans="2:30">
      <c r="B114" s="268">
        <f>Charme!B93</f>
        <v>76</v>
      </c>
      <c r="C114" s="222">
        <f>Charme!C93</f>
        <v>28</v>
      </c>
      <c r="D114" s="223">
        <f>Charme!D93</f>
        <v>0.9</v>
      </c>
      <c r="E114" s="218">
        <f>Charme!E93</f>
        <v>0</v>
      </c>
      <c r="F114" s="218">
        <f>Charme!F93</f>
        <v>0</v>
      </c>
      <c r="G114" s="224">
        <f>Charme!G93</f>
        <v>9.9999999999999978E-2</v>
      </c>
      <c r="H114" s="207">
        <f>IFERROR(VLOOKUP($B$101,Tableau14582[],4,FALSE)*(1+$L$9)^$B114,0)</f>
        <v>50</v>
      </c>
      <c r="I114" s="208">
        <f>IFERROR(VLOOKUP($B$101,Tableau14582[],5,FALSE)*(1+$L$9)^$B114,0)</f>
        <v>13.75</v>
      </c>
      <c r="J114" s="208">
        <f>IFERROR(VLOOKUP($B$101,Tableau14582[],5,FALSE)*(1+$L$9)^$B114,0)</f>
        <v>13.75</v>
      </c>
      <c r="K114" s="209">
        <f>IFERROR(VLOOKUP($B$101,Tableau14582[],6,FALSE)*(1+$L$9)^$B114,0)</f>
        <v>10</v>
      </c>
      <c r="L114" s="260">
        <f t="shared" si="22"/>
        <v>251.16</v>
      </c>
      <c r="N114" s="71">
        <v>93</v>
      </c>
      <c r="O114" s="236"/>
      <c r="P114" s="177"/>
      <c r="Q114" s="237">
        <f t="shared" si="21"/>
        <v>541.75</v>
      </c>
      <c r="R114" s="177">
        <f t="shared" si="16"/>
        <v>37.922500000000007</v>
      </c>
      <c r="S114" s="177">
        <f>$L$11*(1+$L$9)^N114*'Récapitulatif des résultats'!$I$11</f>
        <v>0</v>
      </c>
      <c r="T114" s="238"/>
      <c r="U114" s="177"/>
      <c r="V114" s="246">
        <f t="shared" si="17"/>
        <v>0</v>
      </c>
      <c r="W114" s="185">
        <f>SUM('Pin Laricio'!AQ98*'Pin Laricio'!$F$21,Douglas!AQ98*Douglas!$F$21,'Cedre de l''Atlas'!AQ98*'Cedre de l''Atlas'!$F$21,'Sequoia sempervirens'!AQ98*'Sequoia sempervirens'!$F$21,Chêne!AQ98*Chêne!$F$21,Charme!AQ98*Charme!$F$21)</f>
        <v>0</v>
      </c>
      <c r="X114" s="185">
        <f>SUM('Pin Laricio'!AR98*'Pin Laricio'!$F$21,Douglas!AR98*Douglas!$F$21,'Cedre de l''Atlas'!AR98*'Cedre de l''Atlas'!$F$21,'Sequoia sempervirens'!AR98*'Sequoia sempervirens'!$F$21,Chêne!AR98*Chêne!$F$21,Charme!AR98*Charme!$F$21)</f>
        <v>0</v>
      </c>
      <c r="Y114" s="185">
        <f>SUM('Pin Laricio'!AS98*'Pin Laricio'!$F$21,Douglas!AS98*Douglas!$F$21,'Cedre de l''Atlas'!AS98*'Cedre de l''Atlas'!$F$21,'Sequoia sempervirens'!AS98*'Sequoia sempervirens'!$F$21,Chêne!AS98*Chêne!$F$21,Charme!AS98*Charme!$F$21)</f>
        <v>0</v>
      </c>
      <c r="Z114" s="328">
        <f>SUM('Pin Laricio'!AT98*'Pin Laricio'!$F$21,Douglas!AT98*Douglas!$F$21,'Cedre de l''Atlas'!AT98*'Cedre de l''Atlas'!$F$21,'Sequoia sempervirens'!AT98*'Sequoia sempervirens'!$F$21,Chêne!AT98*Chêne!$F$21,Charme!AT98*Charme!$F$21)</f>
        <v>0</v>
      </c>
      <c r="AA114" s="175">
        <f t="shared" si="19"/>
        <v>0</v>
      </c>
      <c r="AB114" s="176">
        <f t="shared" si="18"/>
        <v>-9.6686911154714537</v>
      </c>
      <c r="AC114" s="175"/>
      <c r="AD114" s="175"/>
    </row>
    <row r="115" spans="2:30" ht="16" thickBot="1">
      <c r="B115" s="269">
        <f>Charme!B94</f>
        <v>135</v>
      </c>
      <c r="C115" s="270">
        <f>Charme!C94</f>
        <v>444</v>
      </c>
      <c r="D115" s="271">
        <f>Charme!D94</f>
        <v>0.95</v>
      </c>
      <c r="E115" s="271">
        <f>Charme!E94</f>
        <v>0</v>
      </c>
      <c r="F115" s="272">
        <f>Charme!F94</f>
        <v>0</v>
      </c>
      <c r="G115" s="273">
        <f>Charme!G94</f>
        <v>5.0000000000000044E-2</v>
      </c>
      <c r="H115" s="274">
        <f>IFERROR(VLOOKUP($B$101,Tableau14582[],4,FALSE)*(1+$L$9)^$B115,0)</f>
        <v>50</v>
      </c>
      <c r="I115" s="275">
        <f>IFERROR(VLOOKUP($B$101,Tableau14582[],5,FALSE)*(1+$L$9)^$B115,0)</f>
        <v>13.75</v>
      </c>
      <c r="J115" s="275">
        <f>IFERROR(VLOOKUP($B$101,Tableau14582[],5,FALSE)*(1+$L$9)^$B115,0)</f>
        <v>13.75</v>
      </c>
      <c r="K115" s="276">
        <f>IFERROR(VLOOKUP($B$101,Tableau14582[],6,FALSE)*(1+$L$9)^$B115,0)</f>
        <v>10</v>
      </c>
      <c r="L115" s="277">
        <f t="shared" si="22"/>
        <v>4155.8399999999992</v>
      </c>
      <c r="N115" s="71">
        <v>94</v>
      </c>
      <c r="O115" s="236"/>
      <c r="P115" s="177"/>
      <c r="Q115" s="237">
        <f t="shared" si="21"/>
        <v>541.75</v>
      </c>
      <c r="R115" s="177">
        <f t="shared" si="16"/>
        <v>37.922500000000007</v>
      </c>
      <c r="S115" s="177">
        <f>$L$11*(1+$L$9)^N115*'Récapitulatif des résultats'!$I$11</f>
        <v>0</v>
      </c>
      <c r="T115" s="238"/>
      <c r="U115" s="177"/>
      <c r="V115" s="246">
        <f t="shared" si="17"/>
        <v>0</v>
      </c>
      <c r="W115" s="185">
        <f>SUM('Pin Laricio'!AQ99*'Pin Laricio'!$F$21,Douglas!AQ99*Douglas!$F$21,'Cedre de l''Atlas'!AQ99*'Cedre de l''Atlas'!$F$21,'Sequoia sempervirens'!AQ99*'Sequoia sempervirens'!$F$21,Chêne!AQ99*Chêne!$F$21,Charme!AQ99*Charme!$F$21)</f>
        <v>0</v>
      </c>
      <c r="X115" s="185">
        <f>SUM('Pin Laricio'!AR99*'Pin Laricio'!$F$21,Douglas!AR99*Douglas!$F$21,'Cedre de l''Atlas'!AR99*'Cedre de l''Atlas'!$F$21,'Sequoia sempervirens'!AR99*'Sequoia sempervirens'!$F$21,Chêne!AR99*Chêne!$F$21,Charme!AR99*Charme!$F$21)</f>
        <v>0</v>
      </c>
      <c r="Y115" s="185">
        <f>SUM('Pin Laricio'!AS99*'Pin Laricio'!$F$21,Douglas!AS99*Douglas!$F$21,'Cedre de l''Atlas'!AS99*'Cedre de l''Atlas'!$F$21,'Sequoia sempervirens'!AS99*'Sequoia sempervirens'!$F$21,Chêne!AS99*Chêne!$F$21,Charme!AS99*Charme!$F$21)</f>
        <v>0</v>
      </c>
      <c r="Z115" s="328">
        <f>SUM('Pin Laricio'!AT99*'Pin Laricio'!$F$21,Douglas!AT99*Douglas!$F$21,'Cedre de l''Atlas'!AT99*'Cedre de l''Atlas'!$F$21,'Sequoia sempervirens'!AT99*'Sequoia sempervirens'!$F$21,Chêne!AT99*Chêne!$F$21,Charme!AT99*Charme!$F$21)</f>
        <v>0</v>
      </c>
      <c r="AA115" s="175">
        <f t="shared" si="19"/>
        <v>0</v>
      </c>
      <c r="AB115" s="176">
        <f t="shared" si="18"/>
        <v>-9.2523359956664653</v>
      </c>
      <c r="AC115" s="175"/>
      <c r="AD115" s="175"/>
    </row>
    <row r="116" spans="2:30">
      <c r="N116" s="71">
        <v>95</v>
      </c>
      <c r="O116" s="236"/>
      <c r="P116" s="177"/>
      <c r="Q116" s="237">
        <f t="shared" si="21"/>
        <v>541.75</v>
      </c>
      <c r="R116" s="177">
        <f t="shared" si="16"/>
        <v>37.922500000000007</v>
      </c>
      <c r="S116" s="177">
        <f>$L$11*(1+$L$9)^N116*'Récapitulatif des résultats'!$I$11</f>
        <v>0</v>
      </c>
      <c r="T116" s="238"/>
      <c r="U116" s="177"/>
      <c r="V116" s="246">
        <f t="shared" si="17"/>
        <v>0</v>
      </c>
      <c r="W116" s="185">
        <f>SUM('Pin Laricio'!AQ100*'Pin Laricio'!$F$21,Douglas!AQ100*Douglas!$F$21,'Cedre de l''Atlas'!AQ100*'Cedre de l''Atlas'!$F$21,'Sequoia sempervirens'!AQ100*'Sequoia sempervirens'!$F$21,Chêne!AQ100*Chêne!$F$21,Charme!AQ100*Charme!$F$21)</f>
        <v>0</v>
      </c>
      <c r="X116" s="185">
        <f>SUM('Pin Laricio'!AR100*'Pin Laricio'!$F$21,Douglas!AR100*Douglas!$F$21,'Cedre de l''Atlas'!AR100*'Cedre de l''Atlas'!$F$21,'Sequoia sempervirens'!AR100*'Sequoia sempervirens'!$F$21,Chêne!AR100*Chêne!$F$21,Charme!AR100*Charme!$F$21)</f>
        <v>0</v>
      </c>
      <c r="Y116" s="185">
        <f>SUM('Pin Laricio'!AS100*'Pin Laricio'!$F$21,Douglas!AS100*Douglas!$F$21,'Cedre de l''Atlas'!AS100*'Cedre de l''Atlas'!$F$21,'Sequoia sempervirens'!AS100*'Sequoia sempervirens'!$F$21,Chêne!AS100*Chêne!$F$21,Charme!AS100*Charme!$F$21)</f>
        <v>0</v>
      </c>
      <c r="Z116" s="328">
        <f>SUM('Pin Laricio'!AT100*'Pin Laricio'!$F$21,Douglas!AT100*Douglas!$F$21,'Cedre de l''Atlas'!AT100*'Cedre de l''Atlas'!$F$21,'Sequoia sempervirens'!AT100*'Sequoia sempervirens'!$F$21,Chêne!AT100*Chêne!$F$21,Charme!AT100*Charme!$F$21)</f>
        <v>0</v>
      </c>
      <c r="AA116" s="175">
        <f t="shared" si="19"/>
        <v>0</v>
      </c>
      <c r="AB116" s="176">
        <f t="shared" si="18"/>
        <v>-8.8539100436999654</v>
      </c>
      <c r="AC116" s="175"/>
      <c r="AD116" s="175"/>
    </row>
    <row r="117" spans="2:30">
      <c r="M117"/>
      <c r="N117" s="71">
        <v>96</v>
      </c>
      <c r="O117" s="236"/>
      <c r="P117" s="177"/>
      <c r="Q117" s="237">
        <f t="shared" si="21"/>
        <v>541.75</v>
      </c>
      <c r="R117" s="177">
        <f t="shared" si="16"/>
        <v>37.922500000000007</v>
      </c>
      <c r="S117" s="177">
        <f>$L$11*(1+$L$9)^N117*'Récapitulatif des résultats'!$I$11</f>
        <v>0</v>
      </c>
      <c r="T117" s="238"/>
      <c r="U117" s="177"/>
      <c r="V117" s="246">
        <f t="shared" si="17"/>
        <v>0</v>
      </c>
      <c r="W117" s="185">
        <f>SUM('Pin Laricio'!AQ101*'Pin Laricio'!$F$21,Douglas!AQ101*Douglas!$F$21,'Cedre de l''Atlas'!AQ101*'Cedre de l''Atlas'!$F$21,'Sequoia sempervirens'!AQ101*'Sequoia sempervirens'!$F$21,Chêne!AQ101*Chêne!$F$21,Charme!AQ101*Charme!$F$21)</f>
        <v>0</v>
      </c>
      <c r="X117" s="185">
        <f>SUM('Pin Laricio'!AR101*'Pin Laricio'!$F$21,Douglas!AR101*Douglas!$F$21,'Cedre de l''Atlas'!AR101*'Cedre de l''Atlas'!$F$21,'Sequoia sempervirens'!AR101*'Sequoia sempervirens'!$F$21,Chêne!AR101*Chêne!$F$21,Charme!AR101*Charme!$F$21)</f>
        <v>0</v>
      </c>
      <c r="Y117" s="185">
        <f>SUM('Pin Laricio'!AS101*'Pin Laricio'!$F$21,Douglas!AS101*Douglas!$F$21,'Cedre de l''Atlas'!AS101*'Cedre de l''Atlas'!$F$21,'Sequoia sempervirens'!AS101*'Sequoia sempervirens'!$F$21,Chêne!AS101*Chêne!$F$21,Charme!AS101*Charme!$F$21)</f>
        <v>0</v>
      </c>
      <c r="Z117" s="328">
        <f>SUM('Pin Laricio'!AT101*'Pin Laricio'!$F$21,Douglas!AT101*Douglas!$F$21,'Cedre de l''Atlas'!AT101*'Cedre de l''Atlas'!$F$21,'Sequoia sempervirens'!AT101*'Sequoia sempervirens'!$F$21,Chêne!AT101*Chêne!$F$21,Charme!AT101*Charme!$F$21)</f>
        <v>0</v>
      </c>
      <c r="AA117" s="175">
        <f t="shared" si="19"/>
        <v>0</v>
      </c>
      <c r="AB117" s="176">
        <f t="shared" si="18"/>
        <v>-8.472641190143511</v>
      </c>
      <c r="AC117" s="175"/>
      <c r="AD117" s="175"/>
    </row>
    <row r="118" spans="2:30">
      <c r="B118" s="3" t="s">
        <v>5</v>
      </c>
      <c r="C118" s="3" t="s">
        <v>6</v>
      </c>
      <c r="D118" s="188" t="s">
        <v>226</v>
      </c>
      <c r="E118" s="204" t="s">
        <v>233</v>
      </c>
      <c r="F118" s="204" t="s">
        <v>234</v>
      </c>
      <c r="G118" s="204" t="s">
        <v>235</v>
      </c>
      <c r="H118" t="s">
        <v>238</v>
      </c>
      <c r="I118" t="s">
        <v>244</v>
      </c>
      <c r="J118" t="s">
        <v>245</v>
      </c>
      <c r="K118" t="s">
        <v>246</v>
      </c>
      <c r="L118" s="253" t="s">
        <v>250</v>
      </c>
      <c r="M118" t="s">
        <v>248</v>
      </c>
      <c r="N118" s="71">
        <v>97</v>
      </c>
      <c r="O118" s="236"/>
      <c r="P118" s="177"/>
      <c r="Q118" s="237">
        <f t="shared" si="21"/>
        <v>541.75</v>
      </c>
      <c r="R118" s="177">
        <f t="shared" si="16"/>
        <v>37.922500000000007</v>
      </c>
      <c r="S118" s="177">
        <f>$L$11*(1+$L$9)^N118*'Récapitulatif des résultats'!$I$11</f>
        <v>0</v>
      </c>
      <c r="T118" s="238"/>
      <c r="U118" s="177"/>
      <c r="V118" s="246">
        <f t="shared" si="17"/>
        <v>0</v>
      </c>
      <c r="W118" s="185">
        <f>SUM('Pin Laricio'!AQ102*'Pin Laricio'!$F$21,Douglas!AQ102*Douglas!$F$21,'Cedre de l''Atlas'!AQ102*'Cedre de l''Atlas'!$F$21,'Sequoia sempervirens'!AQ102*'Sequoia sempervirens'!$F$21,Chêne!AQ102*Chêne!$F$21,Charme!AQ102*Charme!$F$21)</f>
        <v>0</v>
      </c>
      <c r="X118" s="185">
        <f>SUM('Pin Laricio'!AR102*'Pin Laricio'!$F$21,Douglas!AR102*Douglas!$F$21,'Cedre de l''Atlas'!AR102*'Cedre de l''Atlas'!$F$21,'Sequoia sempervirens'!AR102*'Sequoia sempervirens'!$F$21,Chêne!AR102*Chêne!$F$21,Charme!AR102*Charme!$F$21)</f>
        <v>0</v>
      </c>
      <c r="Y118" s="185">
        <f>SUM('Pin Laricio'!AS102*'Pin Laricio'!$F$21,Douglas!AS102*Douglas!$F$21,'Cedre de l''Atlas'!AS102*'Cedre de l''Atlas'!$F$21,'Sequoia sempervirens'!AS102*'Sequoia sempervirens'!$F$21,Chêne!AS102*Chêne!$F$21,Charme!AS102*Charme!$F$21)</f>
        <v>0</v>
      </c>
      <c r="Z118" s="328">
        <f>SUM('Pin Laricio'!AT102*'Pin Laricio'!$F$21,Douglas!AT102*Douglas!$F$21,'Cedre de l''Atlas'!AT102*'Cedre de l''Atlas'!$F$21,'Sequoia sempervirens'!AT102*'Sequoia sempervirens'!$F$21,Chêne!AT102*Chêne!$F$21,Charme!AT102*Charme!$F$21)</f>
        <v>0</v>
      </c>
      <c r="AA118" s="175">
        <f t="shared" si="19"/>
        <v>0</v>
      </c>
      <c r="AB118" s="176">
        <f t="shared" si="18"/>
        <v>-8.1077906125775261</v>
      </c>
      <c r="AC118" s="175"/>
      <c r="AD118" s="175"/>
    </row>
    <row r="119" spans="2:30">
      <c r="B119" s="166" t="s">
        <v>7</v>
      </c>
      <c r="C119" s="4">
        <v>0.62</v>
      </c>
      <c r="D119" s="188" t="s">
        <v>227</v>
      </c>
      <c r="E119" s="205">
        <v>300</v>
      </c>
      <c r="F119" s="251">
        <f>IF(Tableau14582[[#This Row],[Type]]="Feuillus",11*1.25,15.5*1.25)</f>
        <v>13.75</v>
      </c>
      <c r="G119" s="205">
        <v>10</v>
      </c>
      <c r="M119"/>
      <c r="N119" s="71">
        <v>98</v>
      </c>
      <c r="O119" s="236"/>
      <c r="P119" s="177"/>
      <c r="Q119" s="237">
        <f t="shared" si="21"/>
        <v>541.75</v>
      </c>
      <c r="R119" s="177">
        <f t="shared" si="16"/>
        <v>37.922500000000007</v>
      </c>
      <c r="S119" s="177">
        <f>$L$11*(1+$L$9)^N119*'Récapitulatif des résultats'!$I$11</f>
        <v>0</v>
      </c>
      <c r="T119" s="238"/>
      <c r="U119" s="177"/>
      <c r="V119" s="246">
        <f t="shared" si="17"/>
        <v>0</v>
      </c>
      <c r="W119" s="185">
        <f>SUM('Pin Laricio'!AQ103*'Pin Laricio'!$F$21,Douglas!AQ103*Douglas!$F$21,'Cedre de l''Atlas'!AQ103*'Cedre de l''Atlas'!$F$21,'Sequoia sempervirens'!AQ103*'Sequoia sempervirens'!$F$21,Chêne!AQ103*Chêne!$F$21,Charme!AQ103*Charme!$F$21)</f>
        <v>0</v>
      </c>
      <c r="X119" s="185">
        <f>SUM('Pin Laricio'!AR103*'Pin Laricio'!$F$21,Douglas!AR103*Douglas!$F$21,'Cedre de l''Atlas'!AR103*'Cedre de l''Atlas'!$F$21,'Sequoia sempervirens'!AR103*'Sequoia sempervirens'!$F$21,Chêne!AR103*Chêne!$F$21,Charme!AR103*Charme!$F$21)</f>
        <v>0</v>
      </c>
      <c r="Y119" s="185">
        <f>SUM('Pin Laricio'!AS103*'Pin Laricio'!$F$21,Douglas!AS103*Douglas!$F$21,'Cedre de l''Atlas'!AS103*'Cedre de l''Atlas'!$F$21,'Sequoia sempervirens'!AS103*'Sequoia sempervirens'!$F$21,Chêne!AS103*Chêne!$F$21,Charme!AS103*Charme!$F$21)</f>
        <v>0</v>
      </c>
      <c r="Z119" s="328">
        <f>SUM('Pin Laricio'!AT103*'Pin Laricio'!$F$21,Douglas!AT103*Douglas!$F$21,'Cedre de l''Atlas'!AT103*'Cedre de l''Atlas'!$F$21,'Sequoia sempervirens'!AT103*'Sequoia sempervirens'!$F$21,Chêne!AT103*Chêne!$F$21,Charme!AT103*Charme!$F$21)</f>
        <v>0</v>
      </c>
      <c r="AA119" s="175">
        <f t="shared" si="19"/>
        <v>0</v>
      </c>
      <c r="AB119" s="176">
        <f t="shared" si="18"/>
        <v>-7.7586513039019387</v>
      </c>
      <c r="AC119" s="175"/>
      <c r="AD119" s="175"/>
    </row>
    <row r="120" spans="2:30">
      <c r="B120" s="166" t="s">
        <v>4</v>
      </c>
      <c r="C120" s="4">
        <v>0.64</v>
      </c>
      <c r="D120" s="188" t="s">
        <v>227</v>
      </c>
      <c r="E120" s="252" t="s">
        <v>249</v>
      </c>
      <c r="F120" s="251">
        <f>IF(Tableau14582[[#This Row],[Type]]="Feuillus",11*1.25,15.5*1.25)</f>
        <v>13.75</v>
      </c>
      <c r="G120" s="205">
        <v>10</v>
      </c>
      <c r="M120"/>
      <c r="N120" s="71">
        <v>99</v>
      </c>
      <c r="O120" s="236"/>
      <c r="P120" s="177"/>
      <c r="Q120" s="237">
        <f t="shared" si="21"/>
        <v>541.75</v>
      </c>
      <c r="R120" s="177">
        <f t="shared" si="16"/>
        <v>37.922500000000007</v>
      </c>
      <c r="S120" s="177">
        <f>$L$11*(1+$L$9)^N120*'Récapitulatif des résultats'!$I$11</f>
        <v>0</v>
      </c>
      <c r="T120" s="238"/>
      <c r="U120" s="177"/>
      <c r="V120" s="246">
        <f t="shared" si="17"/>
        <v>0</v>
      </c>
      <c r="W120" s="185">
        <f>SUM('Pin Laricio'!AQ104*'Pin Laricio'!$F$21,Douglas!AQ104*Douglas!$F$21,'Cedre de l''Atlas'!AQ104*'Cedre de l''Atlas'!$F$21,'Sequoia sempervirens'!AQ104*'Sequoia sempervirens'!$F$21,Chêne!AQ104*Chêne!$F$21,Charme!AQ104*Charme!$F$21)</f>
        <v>0</v>
      </c>
      <c r="X120" s="185">
        <f>SUM('Pin Laricio'!AR104*'Pin Laricio'!$F$21,Douglas!AR104*Douglas!$F$21,'Cedre de l''Atlas'!AR104*'Cedre de l''Atlas'!$F$21,'Sequoia sempervirens'!AR104*'Sequoia sempervirens'!$F$21,Chêne!AR104*Chêne!$F$21,Charme!AR104*Charme!$F$21)</f>
        <v>0</v>
      </c>
      <c r="Y120" s="185">
        <f>SUM('Pin Laricio'!AS104*'Pin Laricio'!$F$21,Douglas!AS104*Douglas!$F$21,'Cedre de l''Atlas'!AS104*'Cedre de l''Atlas'!$F$21,'Sequoia sempervirens'!AS104*'Sequoia sempervirens'!$F$21,Chêne!AS104*Chêne!$F$21,Charme!AS104*Charme!$F$21)</f>
        <v>0</v>
      </c>
      <c r="Z120" s="328">
        <f>SUM('Pin Laricio'!AT104*'Pin Laricio'!$F$21,Douglas!AT104*Douglas!$F$21,'Cedre de l''Atlas'!AT104*'Cedre de l''Atlas'!$F$21,'Sequoia sempervirens'!AT104*'Sequoia sempervirens'!$F$21,Chêne!AT104*Chêne!$F$21,Charme!AT104*Charme!$F$21)</f>
        <v>0</v>
      </c>
      <c r="AA120" s="175">
        <f t="shared" si="19"/>
        <v>0</v>
      </c>
      <c r="AB120" s="176">
        <f t="shared" si="18"/>
        <v>-7.424546702298505</v>
      </c>
      <c r="AC120" s="175"/>
      <c r="AD120" s="175"/>
    </row>
    <row r="121" spans="2:30">
      <c r="B121" s="166" t="s">
        <v>8</v>
      </c>
      <c r="C121" s="4">
        <v>0.42</v>
      </c>
      <c r="D121" s="188" t="s">
        <v>227</v>
      </c>
      <c r="E121" s="205">
        <v>40</v>
      </c>
      <c r="F121" s="251">
        <f>IF(Tableau14582[[#This Row],[Type]]="Feuillus",11*1.25,15.5*1.25)</f>
        <v>13.75</v>
      </c>
      <c r="G121" s="205">
        <v>10</v>
      </c>
      <c r="M121"/>
      <c r="N121" s="71">
        <v>100</v>
      </c>
      <c r="O121" s="236"/>
      <c r="P121" s="177"/>
      <c r="Q121" s="237">
        <f t="shared" si="21"/>
        <v>541.75</v>
      </c>
      <c r="R121" s="177">
        <f t="shared" si="16"/>
        <v>37.922500000000007</v>
      </c>
      <c r="S121" s="177">
        <f>$L$11*(1+$L$9)^N121*'Récapitulatif des résultats'!$I$11</f>
        <v>0</v>
      </c>
      <c r="T121" s="238"/>
      <c r="U121" s="177"/>
      <c r="V121" s="246">
        <f t="shared" si="17"/>
        <v>0</v>
      </c>
      <c r="W121" s="185">
        <f>SUM('Pin Laricio'!AQ105*'Pin Laricio'!$F$21,Douglas!AQ105*Douglas!$F$21,'Cedre de l''Atlas'!AQ105*'Cedre de l''Atlas'!$F$21,'Sequoia sempervirens'!AQ105*'Sequoia sempervirens'!$F$21,Chêne!AQ105*Chêne!$F$21,Charme!AQ105*Charme!$F$21)</f>
        <v>0</v>
      </c>
      <c r="X121" s="185">
        <f>SUM('Pin Laricio'!AR105*'Pin Laricio'!$F$21,Douglas!AR105*Douglas!$F$21,'Cedre de l''Atlas'!AR105*'Cedre de l''Atlas'!$F$21,'Sequoia sempervirens'!AR105*'Sequoia sempervirens'!$F$21,Chêne!AR105*Chêne!$F$21,Charme!AR105*Charme!$F$21)</f>
        <v>0</v>
      </c>
      <c r="Y121" s="185">
        <f>SUM('Pin Laricio'!AS105*'Pin Laricio'!$F$21,Douglas!AS105*Douglas!$F$21,'Cedre de l''Atlas'!AS105*'Cedre de l''Atlas'!$F$21,'Sequoia sempervirens'!AS105*'Sequoia sempervirens'!$F$21,Chêne!AS105*Chêne!$F$21,Charme!AS105*Charme!$F$21)</f>
        <v>0</v>
      </c>
      <c r="Z121" s="328">
        <f>SUM('Pin Laricio'!AT105*'Pin Laricio'!$F$21,Douglas!AT105*Douglas!$F$21,'Cedre de l''Atlas'!AT105*'Cedre de l''Atlas'!$F$21,'Sequoia sempervirens'!AT105*'Sequoia sempervirens'!$F$21,Chêne!AT105*Chêne!$F$21,Charme!AT105*Charme!$F$21)</f>
        <v>0</v>
      </c>
      <c r="AA121" s="175">
        <f t="shared" si="19"/>
        <v>0</v>
      </c>
      <c r="AB121" s="176">
        <f t="shared" si="18"/>
        <v>-7.1048293801899591</v>
      </c>
      <c r="AC121" s="175"/>
      <c r="AD121" s="175"/>
    </row>
    <row r="122" spans="2:30">
      <c r="B122" s="166" t="s">
        <v>9</v>
      </c>
      <c r="C122" s="4">
        <v>0.42</v>
      </c>
      <c r="D122" s="188" t="s">
        <v>227</v>
      </c>
      <c r="E122" s="205">
        <v>40</v>
      </c>
      <c r="F122" s="251">
        <f>IF(Tableau14582[[#This Row],[Type]]="Feuillus",11*1.25,15.5*1.25)</f>
        <v>13.75</v>
      </c>
      <c r="G122" s="205">
        <v>10</v>
      </c>
      <c r="M122"/>
      <c r="N122" s="71">
        <v>101</v>
      </c>
      <c r="O122" s="236"/>
      <c r="P122" s="177"/>
      <c r="Q122" s="237">
        <f t="shared" si="21"/>
        <v>541.75</v>
      </c>
      <c r="R122" s="177">
        <f t="shared" si="16"/>
        <v>37.922500000000007</v>
      </c>
      <c r="S122" s="177">
        <f>$L$11*(1+$L$9)^N122*'Récapitulatif des résultats'!$I$11</f>
        <v>0</v>
      </c>
      <c r="T122" s="238"/>
      <c r="U122" s="177"/>
      <c r="V122" s="246">
        <f t="shared" si="17"/>
        <v>0</v>
      </c>
      <c r="W122" s="185">
        <f>SUM('Pin Laricio'!AQ106*'Pin Laricio'!$F$21,Douglas!AQ106*Douglas!$F$21,'Cedre de l''Atlas'!AQ106*'Cedre de l''Atlas'!$F$21,'Sequoia sempervirens'!AQ106*'Sequoia sempervirens'!$F$21,Chêne!AQ106*Chêne!$F$21,Charme!AQ106*Charme!$F$21)</f>
        <v>0</v>
      </c>
      <c r="X122" s="185">
        <f>SUM('Pin Laricio'!AR106*'Pin Laricio'!$F$21,Douglas!AR106*Douglas!$F$21,'Cedre de l''Atlas'!AR106*'Cedre de l''Atlas'!$F$21,'Sequoia sempervirens'!AR106*'Sequoia sempervirens'!$F$21,Chêne!AR106*Chêne!$F$21,Charme!AR106*Charme!$F$21)</f>
        <v>0</v>
      </c>
      <c r="Y122" s="185">
        <f>SUM('Pin Laricio'!AS106*'Pin Laricio'!$F$21,Douglas!AS106*Douglas!$F$21,'Cedre de l''Atlas'!AS106*'Cedre de l''Atlas'!$F$21,'Sequoia sempervirens'!AS106*'Sequoia sempervirens'!$F$21,Chêne!AS106*Chêne!$F$21,Charme!AS106*Charme!$F$21)</f>
        <v>0</v>
      </c>
      <c r="Z122" s="328">
        <f>SUM('Pin Laricio'!AT106*'Pin Laricio'!$F$21,Douglas!AT106*Douglas!$F$21,'Cedre de l''Atlas'!AT106*'Cedre de l''Atlas'!$F$21,'Sequoia sempervirens'!AT106*'Sequoia sempervirens'!$F$21,Chêne!AT106*Chêne!$F$21,Charme!AT106*Charme!$F$21)</f>
        <v>0</v>
      </c>
      <c r="AA122" s="175">
        <f t="shared" si="19"/>
        <v>0</v>
      </c>
      <c r="AB122" s="176">
        <f t="shared" si="18"/>
        <v>-6.798879789655464</v>
      </c>
      <c r="AC122" s="175"/>
      <c r="AD122" s="175"/>
    </row>
    <row r="123" spans="2:30">
      <c r="B123" s="166" t="s">
        <v>10</v>
      </c>
      <c r="C123" s="4">
        <v>0.52</v>
      </c>
      <c r="D123" s="188" t="s">
        <v>227</v>
      </c>
      <c r="E123" s="205">
        <v>40</v>
      </c>
      <c r="F123" s="251">
        <f>IF(Tableau14582[[#This Row],[Type]]="Feuillus",11*1.25,15.5*1.25)</f>
        <v>13.75</v>
      </c>
      <c r="G123" s="205">
        <v>10</v>
      </c>
      <c r="M123"/>
      <c r="N123" s="71">
        <v>102</v>
      </c>
      <c r="O123" s="236"/>
      <c r="P123" s="177"/>
      <c r="Q123" s="237">
        <f t="shared" ref="Q123:Q154" si="23">$L$13*(1+$L$9)^N123*$L$5</f>
        <v>541.75</v>
      </c>
      <c r="R123" s="177">
        <f t="shared" si="16"/>
        <v>37.922500000000007</v>
      </c>
      <c r="S123" s="177">
        <f>$L$11*(1+$L$9)^N123*'Récapitulatif des résultats'!$I$11</f>
        <v>0</v>
      </c>
      <c r="T123" s="238"/>
      <c r="U123" s="177"/>
      <c r="V123" s="246">
        <f t="shared" si="17"/>
        <v>0</v>
      </c>
      <c r="W123" s="185">
        <f>SUM('Pin Laricio'!AQ107*'Pin Laricio'!$F$21,Douglas!AQ107*Douglas!$F$21,'Cedre de l''Atlas'!AQ107*'Cedre de l''Atlas'!$F$21,'Sequoia sempervirens'!AQ107*'Sequoia sempervirens'!$F$21,Chêne!AQ107*Chêne!$F$21,Charme!AQ107*Charme!$F$21)</f>
        <v>0</v>
      </c>
      <c r="X123" s="185">
        <f>SUM('Pin Laricio'!AR107*'Pin Laricio'!$F$21,Douglas!AR107*Douglas!$F$21,'Cedre de l''Atlas'!AR107*'Cedre de l''Atlas'!$F$21,'Sequoia sempervirens'!AR107*'Sequoia sempervirens'!$F$21,Chêne!AR107*Chêne!$F$21,Charme!AR107*Charme!$F$21)</f>
        <v>0</v>
      </c>
      <c r="Y123" s="185">
        <f>SUM('Pin Laricio'!AS107*'Pin Laricio'!$F$21,Douglas!AS107*Douglas!$F$21,'Cedre de l''Atlas'!AS107*'Cedre de l''Atlas'!$F$21,'Sequoia sempervirens'!AS107*'Sequoia sempervirens'!$F$21,Chêne!AS107*Chêne!$F$21,Charme!AS107*Charme!$F$21)</f>
        <v>0</v>
      </c>
      <c r="Z123" s="328">
        <f>SUM('Pin Laricio'!AT107*'Pin Laricio'!$F$21,Douglas!AT107*Douglas!$F$21,'Cedre de l''Atlas'!AT107*'Cedre de l''Atlas'!$F$21,'Sequoia sempervirens'!AT107*'Sequoia sempervirens'!$F$21,Chêne!AT107*Chêne!$F$21,Charme!AT107*Charme!$F$21)</f>
        <v>0</v>
      </c>
      <c r="AA123" s="175">
        <f t="shared" si="19"/>
        <v>0</v>
      </c>
      <c r="AB123" s="176">
        <f t="shared" si="18"/>
        <v>-6.5061050618712581</v>
      </c>
      <c r="AC123" s="175"/>
      <c r="AD123" s="175"/>
    </row>
    <row r="124" spans="2:30">
      <c r="B124" s="166" t="s">
        <v>11</v>
      </c>
      <c r="C124" s="4">
        <v>0.36</v>
      </c>
      <c r="D124" s="188" t="s">
        <v>228</v>
      </c>
      <c r="E124" s="252">
        <v>30</v>
      </c>
      <c r="F124" s="251">
        <f>IF(Tableau14582[[#This Row],[Type]]="Feuillus",11*1.25,15.5*1.25)</f>
        <v>19.375</v>
      </c>
      <c r="G124" s="205">
        <v>10</v>
      </c>
      <c r="M124"/>
      <c r="N124" s="71">
        <v>103</v>
      </c>
      <c r="O124" s="236"/>
      <c r="P124" s="177"/>
      <c r="Q124" s="237">
        <f t="shared" si="23"/>
        <v>541.75</v>
      </c>
      <c r="R124" s="177">
        <f t="shared" si="16"/>
        <v>37.922500000000007</v>
      </c>
      <c r="S124" s="177">
        <f>$L$11*(1+$L$9)^N124*'Récapitulatif des résultats'!$I$11</f>
        <v>0</v>
      </c>
      <c r="T124" s="238"/>
      <c r="U124" s="177"/>
      <c r="V124" s="246">
        <f t="shared" si="17"/>
        <v>0</v>
      </c>
      <c r="W124" s="185">
        <f>SUM('Pin Laricio'!AQ108*'Pin Laricio'!$F$21,Douglas!AQ108*Douglas!$F$21,'Cedre de l''Atlas'!AQ108*'Cedre de l''Atlas'!$F$21,'Sequoia sempervirens'!AQ108*'Sequoia sempervirens'!$F$21,Chêne!AQ108*Chêne!$F$21,Charme!AQ108*Charme!$F$21)</f>
        <v>0</v>
      </c>
      <c r="X124" s="185">
        <f>SUM('Pin Laricio'!AR108*'Pin Laricio'!$F$21,Douglas!AR108*Douglas!$F$21,'Cedre de l''Atlas'!AR108*'Cedre de l''Atlas'!$F$21,'Sequoia sempervirens'!AR108*'Sequoia sempervirens'!$F$21,Chêne!AR108*Chêne!$F$21,Charme!AR108*Charme!$F$21)</f>
        <v>0</v>
      </c>
      <c r="Y124" s="185">
        <f>SUM('Pin Laricio'!AS108*'Pin Laricio'!$F$21,Douglas!AS108*Douglas!$F$21,'Cedre de l''Atlas'!AS108*'Cedre de l''Atlas'!$F$21,'Sequoia sempervirens'!AS108*'Sequoia sempervirens'!$F$21,Chêne!AS108*Chêne!$F$21,Charme!AS108*Charme!$F$21)</f>
        <v>0</v>
      </c>
      <c r="Z124" s="328">
        <f>SUM('Pin Laricio'!AT108*'Pin Laricio'!$F$21,Douglas!AT108*Douglas!$F$21,'Cedre de l''Atlas'!AT108*'Cedre de l''Atlas'!$F$21,'Sequoia sempervirens'!AT108*'Sequoia sempervirens'!$F$21,Chêne!AT108*Chêne!$F$21,Charme!AT108*Charme!$F$21)</f>
        <v>0</v>
      </c>
      <c r="AA124" s="175">
        <f t="shared" si="19"/>
        <v>0</v>
      </c>
      <c r="AB124" s="176">
        <f t="shared" si="18"/>
        <v>-6.2259378582500071</v>
      </c>
      <c r="AC124" s="175"/>
      <c r="AD124" s="175"/>
    </row>
    <row r="125" spans="2:30">
      <c r="B125" s="166" t="s">
        <v>12</v>
      </c>
      <c r="C125" s="4">
        <v>0.61</v>
      </c>
      <c r="D125" s="188" t="s">
        <v>227</v>
      </c>
      <c r="E125" s="205">
        <v>50</v>
      </c>
      <c r="F125" s="251">
        <f>IF(Tableau14582[[#This Row],[Type]]="Feuillus",11*1.25,15.5*1.25)</f>
        <v>13.75</v>
      </c>
      <c r="G125" s="205">
        <v>10</v>
      </c>
      <c r="M125"/>
      <c r="N125" s="71">
        <v>104</v>
      </c>
      <c r="O125" s="236"/>
      <c r="P125" s="177"/>
      <c r="Q125" s="237">
        <f t="shared" si="23"/>
        <v>541.75</v>
      </c>
      <c r="R125" s="177">
        <f t="shared" si="16"/>
        <v>37.922500000000007</v>
      </c>
      <c r="S125" s="177">
        <f>$L$11*(1+$L$9)^N125*'Récapitulatif des résultats'!$I$11</f>
        <v>0</v>
      </c>
      <c r="T125" s="238"/>
      <c r="U125" s="177"/>
      <c r="V125" s="246">
        <f t="shared" si="17"/>
        <v>0</v>
      </c>
      <c r="W125" s="185">
        <f>SUM('Pin Laricio'!AQ109*'Pin Laricio'!$F$21,Douglas!AQ109*Douglas!$F$21,'Cedre de l''Atlas'!AQ109*'Cedre de l''Atlas'!$F$21,'Sequoia sempervirens'!AQ109*'Sequoia sempervirens'!$F$21,Chêne!AQ109*Chêne!$F$21,Charme!AQ109*Charme!$F$21)</f>
        <v>0</v>
      </c>
      <c r="X125" s="185">
        <f>SUM('Pin Laricio'!AR109*'Pin Laricio'!$F$21,Douglas!AR109*Douglas!$F$21,'Cedre de l''Atlas'!AR109*'Cedre de l''Atlas'!$F$21,'Sequoia sempervirens'!AR109*'Sequoia sempervirens'!$F$21,Chêne!AR109*Chêne!$F$21,Charme!AR109*Charme!$F$21)</f>
        <v>0</v>
      </c>
      <c r="Y125" s="185">
        <f>SUM('Pin Laricio'!AS109*'Pin Laricio'!$F$21,Douglas!AS109*Douglas!$F$21,'Cedre de l''Atlas'!AS109*'Cedre de l''Atlas'!$F$21,'Sequoia sempervirens'!AS109*'Sequoia sempervirens'!$F$21,Chêne!AS109*Chêne!$F$21,Charme!AS109*Charme!$F$21)</f>
        <v>0</v>
      </c>
      <c r="Z125" s="328">
        <f>SUM('Pin Laricio'!AT109*'Pin Laricio'!$F$21,Douglas!AT109*Douglas!$F$21,'Cedre de l''Atlas'!AT109*'Cedre de l''Atlas'!$F$21,'Sequoia sempervirens'!AT109*'Sequoia sempervirens'!$F$21,Chêne!AT109*Chêne!$F$21,Charme!AT109*Charme!$F$21)</f>
        <v>0</v>
      </c>
      <c r="AA125" s="175">
        <f t="shared" si="19"/>
        <v>0</v>
      </c>
      <c r="AB125" s="176">
        <f t="shared" si="18"/>
        <v>-5.957835271052641</v>
      </c>
      <c r="AC125" s="175"/>
      <c r="AD125" s="175"/>
    </row>
    <row r="126" spans="2:30">
      <c r="B126" s="166" t="s">
        <v>13</v>
      </c>
      <c r="C126" s="4">
        <v>0.66</v>
      </c>
      <c r="D126" s="188" t="s">
        <v>227</v>
      </c>
      <c r="E126" s="205">
        <v>50</v>
      </c>
      <c r="F126" s="251">
        <f>IF(Tableau14582[[#This Row],[Type]]="Feuillus",11*1.25,15.5*1.25)</f>
        <v>13.75</v>
      </c>
      <c r="G126" s="205">
        <v>10</v>
      </c>
      <c r="M126"/>
      <c r="N126" s="71">
        <v>105</v>
      </c>
      <c r="O126" s="236"/>
      <c r="P126" s="177"/>
      <c r="Q126" s="237">
        <f t="shared" si="23"/>
        <v>541.75</v>
      </c>
      <c r="R126" s="177">
        <f t="shared" si="16"/>
        <v>37.922500000000007</v>
      </c>
      <c r="S126" s="177">
        <f>$L$11*(1+$L$9)^N126*'Récapitulatif des résultats'!$I$11</f>
        <v>0</v>
      </c>
      <c r="T126" s="238"/>
      <c r="U126" s="177"/>
      <c r="V126" s="246">
        <f t="shared" si="17"/>
        <v>0</v>
      </c>
      <c r="W126" s="185">
        <f>SUM('Pin Laricio'!AQ110*'Pin Laricio'!$F$21,Douglas!AQ110*Douglas!$F$21,'Cedre de l''Atlas'!AQ110*'Cedre de l''Atlas'!$F$21,'Sequoia sempervirens'!AQ110*'Sequoia sempervirens'!$F$21,Chêne!AQ110*Chêne!$F$21,Charme!AQ110*Charme!$F$21)</f>
        <v>0</v>
      </c>
      <c r="X126" s="185">
        <f>SUM('Pin Laricio'!AR110*'Pin Laricio'!$F$21,Douglas!AR110*Douglas!$F$21,'Cedre de l''Atlas'!AR110*'Cedre de l''Atlas'!$F$21,'Sequoia sempervirens'!AR110*'Sequoia sempervirens'!$F$21,Chêne!AR110*Chêne!$F$21,Charme!AR110*Charme!$F$21)</f>
        <v>0</v>
      </c>
      <c r="Y126" s="185">
        <f>SUM('Pin Laricio'!AS110*'Pin Laricio'!$F$21,Douglas!AS110*Douglas!$F$21,'Cedre de l''Atlas'!AS110*'Cedre de l''Atlas'!$F$21,'Sequoia sempervirens'!AS110*'Sequoia sempervirens'!$F$21,Chêne!AS110*Chêne!$F$21,Charme!AS110*Charme!$F$21)</f>
        <v>0</v>
      </c>
      <c r="Z126" s="328">
        <f>SUM('Pin Laricio'!AT110*'Pin Laricio'!$F$21,Douglas!AT110*Douglas!$F$21,'Cedre de l''Atlas'!AT110*'Cedre de l''Atlas'!$F$21,'Sequoia sempervirens'!AT110*'Sequoia sempervirens'!$F$21,Chêne!AT110*Chêne!$F$21,Charme!AT110*Charme!$F$21)</f>
        <v>0</v>
      </c>
      <c r="AA126" s="175">
        <f t="shared" si="19"/>
        <v>0</v>
      </c>
      <c r="AB126" s="176">
        <f t="shared" si="18"/>
        <v>-5.70127777134224</v>
      </c>
      <c r="AC126" s="175"/>
      <c r="AD126" s="175"/>
    </row>
    <row r="127" spans="2:30">
      <c r="B127" s="167" t="s">
        <v>14</v>
      </c>
      <c r="C127" s="134">
        <v>0.47</v>
      </c>
      <c r="D127" s="188" t="s">
        <v>227</v>
      </c>
      <c r="E127" s="205">
        <v>100</v>
      </c>
      <c r="F127" s="251">
        <f>IF(Tableau14582[[#This Row],[Type]]="Feuillus",11*1.25,15.5*1.25)</f>
        <v>13.75</v>
      </c>
      <c r="G127" s="205">
        <v>10</v>
      </c>
      <c r="M127"/>
      <c r="N127" s="71">
        <v>106</v>
      </c>
      <c r="O127" s="236"/>
      <c r="P127" s="177"/>
      <c r="Q127" s="237">
        <f t="shared" si="23"/>
        <v>541.75</v>
      </c>
      <c r="R127" s="177">
        <f t="shared" si="16"/>
        <v>37.922500000000007</v>
      </c>
      <c r="S127" s="177">
        <f>$L$11*(1+$L$9)^N127*'Récapitulatif des résultats'!$I$11</f>
        <v>0</v>
      </c>
      <c r="T127" s="238"/>
      <c r="U127" s="177"/>
      <c r="V127" s="246">
        <f t="shared" si="17"/>
        <v>0</v>
      </c>
      <c r="W127" s="185">
        <f>SUM('Pin Laricio'!AQ111*'Pin Laricio'!$F$21,Douglas!AQ111*Douglas!$F$21,'Cedre de l''Atlas'!AQ111*'Cedre de l''Atlas'!$F$21,'Sequoia sempervirens'!AQ111*'Sequoia sempervirens'!$F$21,Chêne!AQ111*Chêne!$F$21,Charme!AQ111*Charme!$F$21)</f>
        <v>0</v>
      </c>
      <c r="X127" s="185">
        <f>SUM('Pin Laricio'!AR111*'Pin Laricio'!$F$21,Douglas!AR111*Douglas!$F$21,'Cedre de l''Atlas'!AR111*'Cedre de l''Atlas'!$F$21,'Sequoia sempervirens'!AR111*'Sequoia sempervirens'!$F$21,Chêne!AR111*Chêne!$F$21,Charme!AR111*Charme!$F$21)</f>
        <v>0</v>
      </c>
      <c r="Y127" s="185">
        <f>SUM('Pin Laricio'!AS111*'Pin Laricio'!$F$21,Douglas!AS111*Douglas!$F$21,'Cedre de l''Atlas'!AS111*'Cedre de l''Atlas'!$F$21,'Sequoia sempervirens'!AS111*'Sequoia sempervirens'!$F$21,Chêne!AS111*Chêne!$F$21,Charme!AS111*Charme!$F$21)</f>
        <v>0</v>
      </c>
      <c r="Z127" s="328">
        <f>SUM('Pin Laricio'!AT111*'Pin Laricio'!$F$21,Douglas!AT111*Douglas!$F$21,'Cedre de l''Atlas'!AT111*'Cedre de l''Atlas'!$F$21,'Sequoia sempervirens'!AT111*'Sequoia sempervirens'!$F$21,Chêne!AT111*Chêne!$F$21,Charme!AT111*Charme!$F$21)</f>
        <v>0</v>
      </c>
      <c r="AA127" s="175">
        <f t="shared" si="19"/>
        <v>0</v>
      </c>
      <c r="AB127" s="176">
        <f t="shared" si="18"/>
        <v>-5.4557682022413792</v>
      </c>
      <c r="AC127" s="175"/>
      <c r="AD127" s="175"/>
    </row>
    <row r="128" spans="2:30">
      <c r="B128" s="166" t="s">
        <v>15</v>
      </c>
      <c r="C128" s="4">
        <v>0.67</v>
      </c>
      <c r="D128" s="188" t="s">
        <v>227</v>
      </c>
      <c r="E128" s="205">
        <v>150</v>
      </c>
      <c r="F128" s="251">
        <f>IF(Tableau14582[[#This Row],[Type]]="Feuillus",11*1.25,15.5*1.25)</f>
        <v>13.75</v>
      </c>
      <c r="G128" s="205">
        <v>10</v>
      </c>
      <c r="M128"/>
      <c r="N128" s="71">
        <v>107</v>
      </c>
      <c r="O128" s="236"/>
      <c r="P128" s="177"/>
      <c r="Q128" s="237">
        <f t="shared" si="23"/>
        <v>541.75</v>
      </c>
      <c r="R128" s="177">
        <f t="shared" si="16"/>
        <v>37.922500000000007</v>
      </c>
      <c r="S128" s="177">
        <f>$L$11*(1+$L$9)^N128*'Récapitulatif des résultats'!$I$11</f>
        <v>0</v>
      </c>
      <c r="T128" s="238"/>
      <c r="U128" s="177"/>
      <c r="V128" s="246">
        <f t="shared" si="17"/>
        <v>0</v>
      </c>
      <c r="W128" s="185">
        <f>SUM('Pin Laricio'!AQ112*'Pin Laricio'!$F$21,Douglas!AQ112*Douglas!$F$21,'Cedre de l''Atlas'!AQ112*'Cedre de l''Atlas'!$F$21,'Sequoia sempervirens'!AQ112*'Sequoia sempervirens'!$F$21,Chêne!AQ112*Chêne!$F$21,Charme!AQ112*Charme!$F$21)</f>
        <v>0</v>
      </c>
      <c r="X128" s="185">
        <f>SUM('Pin Laricio'!AR112*'Pin Laricio'!$F$21,Douglas!AR112*Douglas!$F$21,'Cedre de l''Atlas'!AR112*'Cedre de l''Atlas'!$F$21,'Sequoia sempervirens'!AR112*'Sequoia sempervirens'!$F$21,Chêne!AR112*Chêne!$F$21,Charme!AR112*Charme!$F$21)</f>
        <v>0</v>
      </c>
      <c r="Y128" s="185">
        <f>SUM('Pin Laricio'!AS112*'Pin Laricio'!$F$21,Douglas!AS112*Douglas!$F$21,'Cedre de l''Atlas'!AS112*'Cedre de l''Atlas'!$F$21,'Sequoia sempervirens'!AS112*'Sequoia sempervirens'!$F$21,Chêne!AS112*Chêne!$F$21,Charme!AS112*Charme!$F$21)</f>
        <v>0</v>
      </c>
      <c r="Z128" s="328">
        <f>SUM('Pin Laricio'!AT112*'Pin Laricio'!$F$21,Douglas!AT112*Douglas!$F$21,'Cedre de l''Atlas'!AT112*'Cedre de l''Atlas'!$F$21,'Sequoia sempervirens'!AT112*'Sequoia sempervirens'!$F$21,Chêne!AT112*Chêne!$F$21,Charme!AT112*Charme!$F$21)</f>
        <v>0</v>
      </c>
      <c r="AA128" s="175">
        <f t="shared" si="19"/>
        <v>0</v>
      </c>
      <c r="AB128" s="176">
        <f t="shared" si="18"/>
        <v>-5.2208308155419898</v>
      </c>
      <c r="AC128" s="175"/>
      <c r="AD128" s="175"/>
    </row>
    <row r="129" spans="2:30">
      <c r="B129" s="166" t="s">
        <v>16</v>
      </c>
      <c r="C129" s="4">
        <v>0.7</v>
      </c>
      <c r="D129" s="188" t="s">
        <v>227</v>
      </c>
      <c r="E129" s="205">
        <v>150</v>
      </c>
      <c r="F129" s="251">
        <f>IF(Tableau14582[[#This Row],[Type]]="Feuillus",11*1.25,15.5*1.25)</f>
        <v>13.75</v>
      </c>
      <c r="G129" s="205">
        <v>10</v>
      </c>
      <c r="M129"/>
      <c r="N129" s="71">
        <v>108</v>
      </c>
      <c r="O129" s="236"/>
      <c r="P129" s="177"/>
      <c r="Q129" s="237">
        <f t="shared" si="23"/>
        <v>541.75</v>
      </c>
      <c r="R129" s="177">
        <f t="shared" si="16"/>
        <v>37.922500000000007</v>
      </c>
      <c r="S129" s="177">
        <f>$L$11*(1+$L$9)^N129*'Récapitulatif des résultats'!$I$11</f>
        <v>0</v>
      </c>
      <c r="T129" s="238"/>
      <c r="U129" s="177"/>
      <c r="V129" s="246">
        <f t="shared" si="17"/>
        <v>0</v>
      </c>
      <c r="W129" s="185">
        <f>SUM('Pin Laricio'!AQ113*'Pin Laricio'!$F$21,Douglas!AQ113*Douglas!$F$21,'Cedre de l''Atlas'!AQ113*'Cedre de l''Atlas'!$F$21,'Sequoia sempervirens'!AQ113*'Sequoia sempervirens'!$F$21,Chêne!AQ113*Chêne!$F$21,Charme!AQ113*Charme!$F$21)</f>
        <v>0</v>
      </c>
      <c r="X129" s="185">
        <f>SUM('Pin Laricio'!AR113*'Pin Laricio'!$F$21,Douglas!AR113*Douglas!$F$21,'Cedre de l''Atlas'!AR113*'Cedre de l''Atlas'!$F$21,'Sequoia sempervirens'!AR113*'Sequoia sempervirens'!$F$21,Chêne!AR113*Chêne!$F$21,Charme!AR113*Charme!$F$21)</f>
        <v>0</v>
      </c>
      <c r="Y129" s="185">
        <f>SUM('Pin Laricio'!AS113*'Pin Laricio'!$F$21,Douglas!AS113*Douglas!$F$21,'Cedre de l''Atlas'!AS113*'Cedre de l''Atlas'!$F$21,'Sequoia sempervirens'!AS113*'Sequoia sempervirens'!$F$21,Chêne!AS113*Chêne!$F$21,Charme!AS113*Charme!$F$21)</f>
        <v>0</v>
      </c>
      <c r="Z129" s="328">
        <f>SUM('Pin Laricio'!AT113*'Pin Laricio'!$F$21,Douglas!AT113*Douglas!$F$21,'Cedre de l''Atlas'!AT113*'Cedre de l''Atlas'!$F$21,'Sequoia sempervirens'!AT113*'Sequoia sempervirens'!$F$21,Chêne!AT113*Chêne!$F$21,Charme!AT113*Charme!$F$21)</f>
        <v>0</v>
      </c>
      <c r="AA129" s="175">
        <f t="shared" si="19"/>
        <v>0</v>
      </c>
      <c r="AB129" s="176">
        <f t="shared" si="18"/>
        <v>-4.9960103498009474</v>
      </c>
      <c r="AC129" s="175"/>
      <c r="AD129" s="175"/>
    </row>
    <row r="130" spans="2:30">
      <c r="B130" s="166" t="s">
        <v>17</v>
      </c>
      <c r="C130" s="4">
        <v>0.54</v>
      </c>
      <c r="D130" s="188" t="s">
        <v>227</v>
      </c>
      <c r="E130" s="205">
        <v>150</v>
      </c>
      <c r="F130" s="251">
        <f>IF(Tableau14582[[#This Row],[Type]]="Feuillus",11*1.25,15.5*1.25)</f>
        <v>13.75</v>
      </c>
      <c r="G130" s="205">
        <v>10</v>
      </c>
      <c r="M130"/>
      <c r="N130" s="71">
        <v>109</v>
      </c>
      <c r="O130" s="236"/>
      <c r="P130" s="177"/>
      <c r="Q130" s="237">
        <f t="shared" si="23"/>
        <v>541.75</v>
      </c>
      <c r="R130" s="177">
        <f t="shared" si="16"/>
        <v>37.922500000000007</v>
      </c>
      <c r="S130" s="177">
        <f>$L$11*(1+$L$9)^N130*'Récapitulatif des résultats'!$I$11</f>
        <v>0</v>
      </c>
      <c r="T130" s="238"/>
      <c r="U130" s="177"/>
      <c r="V130" s="246">
        <f t="shared" si="17"/>
        <v>0</v>
      </c>
      <c r="W130" s="185">
        <f>SUM('Pin Laricio'!AQ114*'Pin Laricio'!$F$21,Douglas!AQ114*Douglas!$F$21,'Cedre de l''Atlas'!AQ114*'Cedre de l''Atlas'!$F$21,'Sequoia sempervirens'!AQ114*'Sequoia sempervirens'!$F$21,Chêne!AQ114*Chêne!$F$21,Charme!AQ114*Charme!$F$21)</f>
        <v>0</v>
      </c>
      <c r="X130" s="185">
        <f>SUM('Pin Laricio'!AR114*'Pin Laricio'!$F$21,Douglas!AR114*Douglas!$F$21,'Cedre de l''Atlas'!AR114*'Cedre de l''Atlas'!$F$21,'Sequoia sempervirens'!AR114*'Sequoia sempervirens'!$F$21,Chêne!AR114*Chêne!$F$21,Charme!AR114*Charme!$F$21)</f>
        <v>0</v>
      </c>
      <c r="Y130" s="185">
        <f>SUM('Pin Laricio'!AS114*'Pin Laricio'!$F$21,Douglas!AS114*Douglas!$F$21,'Cedre de l''Atlas'!AS114*'Cedre de l''Atlas'!$F$21,'Sequoia sempervirens'!AS114*'Sequoia sempervirens'!$F$21,Chêne!AS114*Chêne!$F$21,Charme!AS114*Charme!$F$21)</f>
        <v>0</v>
      </c>
      <c r="Z130" s="328">
        <f>SUM('Pin Laricio'!AT114*'Pin Laricio'!$F$21,Douglas!AT114*Douglas!$F$21,'Cedre de l''Atlas'!AT114*'Cedre de l''Atlas'!$F$21,'Sequoia sempervirens'!AT114*'Sequoia sempervirens'!$F$21,Chêne!AT114*Chêne!$F$21,Charme!AT114*Charme!$F$21)</f>
        <v>0</v>
      </c>
      <c r="AA130" s="175">
        <f t="shared" si="19"/>
        <v>0</v>
      </c>
      <c r="AB130" s="176">
        <f t="shared" si="18"/>
        <v>-4.780871148134878</v>
      </c>
      <c r="AC130" s="175"/>
      <c r="AD130" s="175"/>
    </row>
    <row r="131" spans="2:30">
      <c r="B131" s="166" t="s">
        <v>18</v>
      </c>
      <c r="C131" s="4">
        <v>0.65</v>
      </c>
      <c r="D131" s="188" t="s">
        <v>227</v>
      </c>
      <c r="E131" s="205">
        <v>150</v>
      </c>
      <c r="F131" s="251">
        <f>IF(Tableau14582[[#This Row],[Type]]="Feuillus",11*1.25,15.5*1.25)</f>
        <v>13.75</v>
      </c>
      <c r="G131" s="205">
        <v>10</v>
      </c>
      <c r="M131"/>
      <c r="N131" s="71">
        <v>110</v>
      </c>
      <c r="O131" s="236"/>
      <c r="P131" s="177"/>
      <c r="Q131" s="237">
        <f t="shared" si="23"/>
        <v>541.75</v>
      </c>
      <c r="R131" s="177">
        <f t="shared" si="16"/>
        <v>37.922500000000007</v>
      </c>
      <c r="S131" s="177">
        <f>$L$11*(1+$L$9)^N131*'Récapitulatif des résultats'!$I$11</f>
        <v>0</v>
      </c>
      <c r="T131" s="238"/>
      <c r="U131" s="177"/>
      <c r="V131" s="246">
        <f t="shared" si="17"/>
        <v>0</v>
      </c>
      <c r="W131" s="185">
        <f>SUM('Pin Laricio'!AQ115*'Pin Laricio'!$F$21,Douglas!AQ115*Douglas!$F$21,'Cedre de l''Atlas'!AQ115*'Cedre de l''Atlas'!$F$21,'Sequoia sempervirens'!AQ115*'Sequoia sempervirens'!$F$21,Chêne!AQ115*Chêne!$F$21,Charme!AQ115*Charme!$F$21)</f>
        <v>0</v>
      </c>
      <c r="X131" s="185">
        <f>SUM('Pin Laricio'!AR115*'Pin Laricio'!$F$21,Douglas!AR115*Douglas!$F$21,'Cedre de l''Atlas'!AR115*'Cedre de l''Atlas'!$F$21,'Sequoia sempervirens'!AR115*'Sequoia sempervirens'!$F$21,Chêne!AR115*Chêne!$F$21,Charme!AR115*Charme!$F$21)</f>
        <v>0</v>
      </c>
      <c r="Y131" s="185">
        <f>SUM('Pin Laricio'!AS115*'Pin Laricio'!$F$21,Douglas!AS115*Douglas!$F$21,'Cedre de l''Atlas'!AS115*'Cedre de l''Atlas'!$F$21,'Sequoia sempervirens'!AS115*'Sequoia sempervirens'!$F$21,Chêne!AS115*Chêne!$F$21,Charme!AS115*Charme!$F$21)</f>
        <v>0</v>
      </c>
      <c r="Z131" s="328">
        <f>SUM('Pin Laricio'!AT115*'Pin Laricio'!$F$21,Douglas!AT115*Douglas!$F$21,'Cedre de l''Atlas'!AT115*'Cedre de l''Atlas'!$F$21,'Sequoia sempervirens'!AT115*'Sequoia sempervirens'!$F$21,Chêne!AT115*Chêne!$F$21,Charme!AT115*Charme!$F$21)</f>
        <v>0</v>
      </c>
      <c r="AA131" s="175">
        <f t="shared" si="19"/>
        <v>0</v>
      </c>
      <c r="AB131" s="176">
        <f t="shared" si="18"/>
        <v>-4.574996314004669</v>
      </c>
      <c r="AC131" s="175"/>
      <c r="AD131" s="175"/>
    </row>
    <row r="132" spans="2:30">
      <c r="B132" s="166" t="s">
        <v>19</v>
      </c>
      <c r="C132" s="4">
        <v>0.56000000000000005</v>
      </c>
      <c r="D132" s="188" t="s">
        <v>227</v>
      </c>
      <c r="E132" s="205">
        <v>150</v>
      </c>
      <c r="F132" s="251">
        <f>IF(Tableau14582[[#This Row],[Type]]="Feuillus",11*1.25,15.5*1.25)</f>
        <v>13.75</v>
      </c>
      <c r="G132" s="205">
        <v>10</v>
      </c>
      <c r="M132"/>
      <c r="N132" s="71">
        <v>111</v>
      </c>
      <c r="O132" s="236"/>
      <c r="P132" s="177"/>
      <c r="Q132" s="237">
        <f t="shared" si="23"/>
        <v>541.75</v>
      </c>
      <c r="R132" s="177">
        <f t="shared" si="16"/>
        <v>37.922500000000007</v>
      </c>
      <c r="S132" s="177">
        <f>$L$11*(1+$L$9)^N132*'Récapitulatif des résultats'!$I$11</f>
        <v>0</v>
      </c>
      <c r="T132" s="238"/>
      <c r="U132" s="177"/>
      <c r="V132" s="246">
        <f t="shared" si="17"/>
        <v>0</v>
      </c>
      <c r="W132" s="185">
        <f>SUM('Pin Laricio'!AQ116*'Pin Laricio'!$F$21,Douglas!AQ116*Douglas!$F$21,'Cedre de l''Atlas'!AQ116*'Cedre de l''Atlas'!$F$21,'Sequoia sempervirens'!AQ116*'Sequoia sempervirens'!$F$21,Chêne!AQ116*Chêne!$F$21,Charme!AQ116*Charme!$F$21)</f>
        <v>0</v>
      </c>
      <c r="X132" s="185">
        <f>SUM('Pin Laricio'!AR116*'Pin Laricio'!$F$21,Douglas!AR116*Douglas!$F$21,'Cedre de l''Atlas'!AR116*'Cedre de l''Atlas'!$F$21,'Sequoia sempervirens'!AR116*'Sequoia sempervirens'!$F$21,Chêne!AR116*Chêne!$F$21,Charme!AR116*Charme!$F$21)</f>
        <v>0</v>
      </c>
      <c r="Y132" s="185">
        <f>SUM('Pin Laricio'!AS116*'Pin Laricio'!$F$21,Douglas!AS116*Douglas!$F$21,'Cedre de l''Atlas'!AS116*'Cedre de l''Atlas'!$F$21,'Sequoia sempervirens'!AS116*'Sequoia sempervirens'!$F$21,Chêne!AS116*Chêne!$F$21,Charme!AS116*Charme!$F$21)</f>
        <v>0</v>
      </c>
      <c r="Z132" s="328">
        <f>SUM('Pin Laricio'!AT116*'Pin Laricio'!$F$21,Douglas!AT116*Douglas!$F$21,'Cedre de l''Atlas'!AT116*'Cedre de l''Atlas'!$F$21,'Sequoia sempervirens'!AT116*'Sequoia sempervirens'!$F$21,Chêne!AT116*Chêne!$F$21,Charme!AT116*Charme!$F$21)</f>
        <v>0</v>
      </c>
      <c r="AA132" s="175">
        <f t="shared" si="19"/>
        <v>0</v>
      </c>
      <c r="AB132" s="176">
        <f t="shared" si="18"/>
        <v>-4.37798690335375</v>
      </c>
      <c r="AC132" s="175"/>
      <c r="AD132" s="175"/>
    </row>
    <row r="133" spans="2:30">
      <c r="B133" s="166" t="s">
        <v>20</v>
      </c>
      <c r="C133" s="4">
        <v>0.57999999999999996</v>
      </c>
      <c r="D133" s="188" t="s">
        <v>227</v>
      </c>
      <c r="E133" s="205">
        <v>150</v>
      </c>
      <c r="F133" s="251">
        <f>IF(Tableau14582[[#This Row],[Type]]="Feuillus",11*1.25,15.5*1.25)</f>
        <v>13.75</v>
      </c>
      <c r="G133" s="205">
        <v>10</v>
      </c>
      <c r="M133"/>
      <c r="N133" s="71">
        <v>112</v>
      </c>
      <c r="O133" s="236"/>
      <c r="P133" s="177"/>
      <c r="Q133" s="237">
        <f t="shared" si="23"/>
        <v>541.75</v>
      </c>
      <c r="R133" s="177">
        <f t="shared" si="16"/>
        <v>37.922500000000007</v>
      </c>
      <c r="S133" s="177">
        <f>$L$11*(1+$L$9)^N133*'Récapitulatif des résultats'!$I$11</f>
        <v>0</v>
      </c>
      <c r="T133" s="238"/>
      <c r="U133" s="177"/>
      <c r="V133" s="246">
        <f t="shared" si="17"/>
        <v>0</v>
      </c>
      <c r="W133" s="185">
        <f>SUM('Pin Laricio'!AQ117*'Pin Laricio'!$F$21,Douglas!AQ117*Douglas!$F$21,'Cedre de l''Atlas'!AQ117*'Cedre de l''Atlas'!$F$21,'Sequoia sempervirens'!AQ117*'Sequoia sempervirens'!$F$21,Chêne!AQ117*Chêne!$F$21,Charme!AQ117*Charme!$F$21)</f>
        <v>0</v>
      </c>
      <c r="X133" s="185">
        <f>SUM('Pin Laricio'!AR117*'Pin Laricio'!$F$21,Douglas!AR117*Douglas!$F$21,'Cedre de l''Atlas'!AR117*'Cedre de l''Atlas'!$F$21,'Sequoia sempervirens'!AR117*'Sequoia sempervirens'!$F$21,Chêne!AR117*Chêne!$F$21,Charme!AR117*Charme!$F$21)</f>
        <v>0</v>
      </c>
      <c r="Y133" s="185">
        <f>SUM('Pin Laricio'!AS117*'Pin Laricio'!$F$21,Douglas!AS117*Douglas!$F$21,'Cedre de l''Atlas'!AS117*'Cedre de l''Atlas'!$F$21,'Sequoia sempervirens'!AS117*'Sequoia sempervirens'!$F$21,Chêne!AS117*Chêne!$F$21,Charme!AS117*Charme!$F$21)</f>
        <v>0</v>
      </c>
      <c r="Z133" s="328">
        <f>SUM('Pin Laricio'!AT117*'Pin Laricio'!$F$21,Douglas!AT117*Douglas!$F$21,'Cedre de l''Atlas'!AT117*'Cedre de l''Atlas'!$F$21,'Sequoia sempervirens'!AT117*'Sequoia sempervirens'!$F$21,Chêne!AT117*Chêne!$F$21,Charme!AT117*Charme!$F$21)</f>
        <v>0</v>
      </c>
      <c r="AA133" s="175">
        <f t="shared" si="19"/>
        <v>0</v>
      </c>
      <c r="AB133" s="176">
        <f t="shared" si="18"/>
        <v>-4.1894611515346911</v>
      </c>
      <c r="AC133" s="175"/>
      <c r="AD133" s="175"/>
    </row>
    <row r="134" spans="2:30">
      <c r="B134" s="166" t="s">
        <v>21</v>
      </c>
      <c r="C134" s="4">
        <v>0.64</v>
      </c>
      <c r="D134" s="188" t="s">
        <v>227</v>
      </c>
      <c r="E134" s="205">
        <v>150</v>
      </c>
      <c r="F134" s="251">
        <f>IF(Tableau14582[[#This Row],[Type]]="Feuillus",11*1.25,15.5*1.25)</f>
        <v>13.75</v>
      </c>
      <c r="G134" s="205">
        <v>10</v>
      </c>
      <c r="M134"/>
      <c r="N134" s="71">
        <v>113</v>
      </c>
      <c r="O134" s="236"/>
      <c r="P134" s="177"/>
      <c r="Q134" s="237">
        <f t="shared" si="23"/>
        <v>541.75</v>
      </c>
      <c r="R134" s="177">
        <f t="shared" si="16"/>
        <v>37.922500000000007</v>
      </c>
      <c r="S134" s="177">
        <f>$L$11*(1+$L$9)^N134*'Récapitulatif des résultats'!$I$11</f>
        <v>0</v>
      </c>
      <c r="T134" s="238"/>
      <c r="U134" s="177"/>
      <c r="V134" s="246">
        <f t="shared" si="17"/>
        <v>0</v>
      </c>
      <c r="W134" s="185">
        <f>SUM('Pin Laricio'!AQ118*'Pin Laricio'!$F$21,Douglas!AQ118*Douglas!$F$21,'Cedre de l''Atlas'!AQ118*'Cedre de l''Atlas'!$F$21,'Sequoia sempervirens'!AQ118*'Sequoia sempervirens'!$F$21,Chêne!AQ118*Chêne!$F$21,Charme!AQ118*Charme!$F$21)</f>
        <v>0</v>
      </c>
      <c r="X134" s="185">
        <f>SUM('Pin Laricio'!AR118*'Pin Laricio'!$F$21,Douglas!AR118*Douglas!$F$21,'Cedre de l''Atlas'!AR118*'Cedre de l''Atlas'!$F$21,'Sequoia sempervirens'!AR118*'Sequoia sempervirens'!$F$21,Chêne!AR118*Chêne!$F$21,Charme!AR118*Charme!$F$21)</f>
        <v>0</v>
      </c>
      <c r="Y134" s="185">
        <f>SUM('Pin Laricio'!AS118*'Pin Laricio'!$F$21,Douglas!AS118*Douglas!$F$21,'Cedre de l''Atlas'!AS118*'Cedre de l''Atlas'!$F$21,'Sequoia sempervirens'!AS118*'Sequoia sempervirens'!$F$21,Chêne!AS118*Chêne!$F$21,Charme!AS118*Charme!$F$21)</f>
        <v>0</v>
      </c>
      <c r="Z134" s="328">
        <f>SUM('Pin Laricio'!AT118*'Pin Laricio'!$F$21,Douglas!AT118*Douglas!$F$21,'Cedre de l''Atlas'!AT118*'Cedre de l''Atlas'!$F$21,'Sequoia sempervirens'!AT118*'Sequoia sempervirens'!$F$21,Chêne!AT118*Chêne!$F$21,Charme!AT118*Charme!$F$21)</f>
        <v>0</v>
      </c>
      <c r="AA134" s="175">
        <f t="shared" si="19"/>
        <v>0</v>
      </c>
      <c r="AB134" s="176">
        <f t="shared" si="18"/>
        <v>-4.0090537335260201</v>
      </c>
      <c r="AC134" s="175"/>
      <c r="AD134" s="175"/>
    </row>
    <row r="135" spans="2:30">
      <c r="B135" s="166" t="s">
        <v>22</v>
      </c>
      <c r="C135" s="4">
        <v>0.73</v>
      </c>
      <c r="D135" s="188" t="s">
        <v>227</v>
      </c>
      <c r="E135" s="205">
        <v>150</v>
      </c>
      <c r="F135" s="251">
        <f>IF(Tableau14582[[#This Row],[Type]]="Feuillus",11*1.25,15.5*1.25)</f>
        <v>13.75</v>
      </c>
      <c r="G135" s="205">
        <v>10</v>
      </c>
      <c r="M135"/>
      <c r="N135" s="71">
        <v>114</v>
      </c>
      <c r="O135" s="236"/>
      <c r="P135" s="177"/>
      <c r="Q135" s="237">
        <f t="shared" si="23"/>
        <v>541.75</v>
      </c>
      <c r="R135" s="177">
        <f t="shared" si="16"/>
        <v>37.922500000000007</v>
      </c>
      <c r="S135" s="177">
        <f>$L$11*(1+$L$9)^N135*'Récapitulatif des résultats'!$I$11</f>
        <v>0</v>
      </c>
      <c r="T135" s="238"/>
      <c r="U135" s="177"/>
      <c r="V135" s="246">
        <f t="shared" si="17"/>
        <v>0</v>
      </c>
      <c r="W135" s="185">
        <f>SUM('Pin Laricio'!AQ119*'Pin Laricio'!$F$21,Douglas!AQ119*Douglas!$F$21,'Cedre de l''Atlas'!AQ119*'Cedre de l''Atlas'!$F$21,'Sequoia sempervirens'!AQ119*'Sequoia sempervirens'!$F$21,Chêne!AQ119*Chêne!$F$21,Charme!AQ119*Charme!$F$21)</f>
        <v>0</v>
      </c>
      <c r="X135" s="185">
        <f>SUM('Pin Laricio'!AR119*'Pin Laricio'!$F$21,Douglas!AR119*Douglas!$F$21,'Cedre de l''Atlas'!AR119*'Cedre de l''Atlas'!$F$21,'Sequoia sempervirens'!AR119*'Sequoia sempervirens'!$F$21,Chêne!AR119*Chêne!$F$21,Charme!AR119*Charme!$F$21)</f>
        <v>0</v>
      </c>
      <c r="Y135" s="185">
        <f>SUM('Pin Laricio'!AS119*'Pin Laricio'!$F$21,Douglas!AS119*Douglas!$F$21,'Cedre de l''Atlas'!AS119*'Cedre de l''Atlas'!$F$21,'Sequoia sempervirens'!AS119*'Sequoia sempervirens'!$F$21,Chêne!AS119*Chêne!$F$21,Charme!AS119*Charme!$F$21)</f>
        <v>0</v>
      </c>
      <c r="Z135" s="328">
        <f>SUM('Pin Laricio'!AT119*'Pin Laricio'!$F$21,Douglas!AT119*Douglas!$F$21,'Cedre de l''Atlas'!AT119*'Cedre de l''Atlas'!$F$21,'Sequoia sempervirens'!AT119*'Sequoia sempervirens'!$F$21,Chêne!AT119*Chêne!$F$21,Charme!AT119*Charme!$F$21)</f>
        <v>0</v>
      </c>
      <c r="AA135" s="175">
        <f t="shared" si="19"/>
        <v>0</v>
      </c>
      <c r="AB135" s="176">
        <f t="shared" si="18"/>
        <v>-3.8364150560057619</v>
      </c>
      <c r="AC135" s="175"/>
      <c r="AD135" s="175"/>
    </row>
    <row r="136" spans="2:30">
      <c r="B136" s="166" t="s">
        <v>23</v>
      </c>
      <c r="C136" s="4">
        <v>0.56000000000000005</v>
      </c>
      <c r="D136" s="188" t="s">
        <v>227</v>
      </c>
      <c r="E136" s="205">
        <v>150</v>
      </c>
      <c r="F136" s="251">
        <f>IF(Tableau14582[[#This Row],[Type]]="Feuillus",11*1.25,15.5*1.25)</f>
        <v>13.75</v>
      </c>
      <c r="G136" s="205">
        <v>10</v>
      </c>
      <c r="M136"/>
      <c r="N136" s="71">
        <v>115</v>
      </c>
      <c r="O136" s="236"/>
      <c r="P136" s="177"/>
      <c r="Q136" s="237">
        <f t="shared" si="23"/>
        <v>541.75</v>
      </c>
      <c r="R136" s="177">
        <f t="shared" si="16"/>
        <v>37.922500000000007</v>
      </c>
      <c r="S136" s="177">
        <f>$L$11*(1+$L$9)^N136*'Récapitulatif des résultats'!$I$11</f>
        <v>0</v>
      </c>
      <c r="T136" s="238"/>
      <c r="U136" s="177"/>
      <c r="V136" s="246">
        <f t="shared" si="17"/>
        <v>0</v>
      </c>
      <c r="W136" s="185">
        <f>SUM('Pin Laricio'!AQ120*'Pin Laricio'!$F$21,Douglas!AQ120*Douglas!$F$21,'Cedre de l''Atlas'!AQ120*'Cedre de l''Atlas'!$F$21,'Sequoia sempervirens'!AQ120*'Sequoia sempervirens'!$F$21,Chêne!AQ120*Chêne!$F$21,Charme!AQ120*Charme!$F$21)</f>
        <v>0</v>
      </c>
      <c r="X136" s="185">
        <f>SUM('Pin Laricio'!AR120*'Pin Laricio'!$F$21,Douglas!AR120*Douglas!$F$21,'Cedre de l''Atlas'!AR120*'Cedre de l''Atlas'!$F$21,'Sequoia sempervirens'!AR120*'Sequoia sempervirens'!$F$21,Chêne!AR120*Chêne!$F$21,Charme!AR120*Charme!$F$21)</f>
        <v>0</v>
      </c>
      <c r="Y136" s="185">
        <f>SUM('Pin Laricio'!AS120*'Pin Laricio'!$F$21,Douglas!AS120*Douglas!$F$21,'Cedre de l''Atlas'!AS120*'Cedre de l''Atlas'!$F$21,'Sequoia sempervirens'!AS120*'Sequoia sempervirens'!$F$21,Chêne!AS120*Chêne!$F$21,Charme!AS120*Charme!$F$21)</f>
        <v>0</v>
      </c>
      <c r="Z136" s="328">
        <f>SUM('Pin Laricio'!AT120*'Pin Laricio'!$F$21,Douglas!AT120*Douglas!$F$21,'Cedre de l''Atlas'!AT120*'Cedre de l''Atlas'!$F$21,'Sequoia sempervirens'!AT120*'Sequoia sempervirens'!$F$21,Chêne!AT120*Chêne!$F$21,Charme!AT120*Charme!$F$21)</f>
        <v>0</v>
      </c>
      <c r="AA136" s="175">
        <f t="shared" si="19"/>
        <v>0</v>
      </c>
      <c r="AB136" s="176">
        <f t="shared" si="18"/>
        <v>-3.67121057990982</v>
      </c>
      <c r="AC136" s="175"/>
      <c r="AD136" s="175"/>
    </row>
    <row r="137" spans="2:30">
      <c r="B137" s="166" t="s">
        <v>24</v>
      </c>
      <c r="C137" s="4">
        <v>0.74</v>
      </c>
      <c r="D137" s="188" t="s">
        <v>227</v>
      </c>
      <c r="E137" s="205">
        <v>300</v>
      </c>
      <c r="F137" s="251">
        <f>IF(Tableau14582[[#This Row],[Type]]="Feuillus",11*1.25,15.5*1.25)</f>
        <v>13.75</v>
      </c>
      <c r="G137" s="205">
        <v>10</v>
      </c>
      <c r="M137"/>
      <c r="N137" s="71">
        <v>116</v>
      </c>
      <c r="O137" s="236"/>
      <c r="P137" s="177"/>
      <c r="Q137" s="237">
        <f t="shared" si="23"/>
        <v>541.75</v>
      </c>
      <c r="R137" s="177">
        <f t="shared" si="16"/>
        <v>37.922500000000007</v>
      </c>
      <c r="S137" s="177">
        <f>$L$11*(1+$L$9)^N137*'Récapitulatif des résultats'!$I$11</f>
        <v>0</v>
      </c>
      <c r="T137" s="238"/>
      <c r="U137" s="177"/>
      <c r="V137" s="246">
        <f t="shared" si="17"/>
        <v>0</v>
      </c>
      <c r="W137" s="185">
        <f>SUM('Pin Laricio'!AQ121*'Pin Laricio'!$F$21,Douglas!AQ121*Douglas!$F$21,'Cedre de l''Atlas'!AQ121*'Cedre de l''Atlas'!$F$21,'Sequoia sempervirens'!AQ121*'Sequoia sempervirens'!$F$21,Chêne!AQ121*Chêne!$F$21,Charme!AQ121*Charme!$F$21)</f>
        <v>0</v>
      </c>
      <c r="X137" s="185">
        <f>SUM('Pin Laricio'!AR121*'Pin Laricio'!$F$21,Douglas!AR121*Douglas!$F$21,'Cedre de l''Atlas'!AR121*'Cedre de l''Atlas'!$F$21,'Sequoia sempervirens'!AR121*'Sequoia sempervirens'!$F$21,Chêne!AR121*Chêne!$F$21,Charme!AR121*Charme!$F$21)</f>
        <v>0</v>
      </c>
      <c r="Y137" s="185">
        <f>SUM('Pin Laricio'!AS121*'Pin Laricio'!$F$21,Douglas!AS121*Douglas!$F$21,'Cedre de l''Atlas'!AS121*'Cedre de l''Atlas'!$F$21,'Sequoia sempervirens'!AS121*'Sequoia sempervirens'!$F$21,Chêne!AS121*Chêne!$F$21,Charme!AS121*Charme!$F$21)</f>
        <v>0</v>
      </c>
      <c r="Z137" s="328">
        <f>SUM('Pin Laricio'!AT121*'Pin Laricio'!$F$21,Douglas!AT121*Douglas!$F$21,'Cedre de l''Atlas'!AT121*'Cedre de l''Atlas'!$F$21,'Sequoia sempervirens'!AT121*'Sequoia sempervirens'!$F$21,Chêne!AT121*Chêne!$F$21,Charme!AT121*Charme!$F$21)</f>
        <v>0</v>
      </c>
      <c r="AA137" s="175">
        <f t="shared" si="19"/>
        <v>0</v>
      </c>
      <c r="AB137" s="176">
        <f t="shared" si="18"/>
        <v>-3.5131201721625072</v>
      </c>
      <c r="AC137" s="175"/>
      <c r="AD137" s="175"/>
    </row>
    <row r="138" spans="2:30">
      <c r="B138" s="166" t="s">
        <v>25</v>
      </c>
      <c r="C138" s="4">
        <v>0.4</v>
      </c>
      <c r="D138" s="188" t="s">
        <v>228</v>
      </c>
      <c r="E138" s="252">
        <v>30</v>
      </c>
      <c r="F138" s="251">
        <f>IF(Tableau14582[[#This Row],[Type]]="Feuillus",11*1.25,15.5*1.25)</f>
        <v>19.375</v>
      </c>
      <c r="G138" s="205">
        <v>10</v>
      </c>
      <c r="M138"/>
      <c r="N138" s="71">
        <v>117</v>
      </c>
      <c r="O138" s="236"/>
      <c r="P138" s="177"/>
      <c r="Q138" s="237">
        <f t="shared" si="23"/>
        <v>541.75</v>
      </c>
      <c r="R138" s="177">
        <f t="shared" si="16"/>
        <v>37.922500000000007</v>
      </c>
      <c r="S138" s="177">
        <f>$L$11*(1+$L$9)^N138*'Récapitulatif des résultats'!$I$11</f>
        <v>0</v>
      </c>
      <c r="T138" s="238"/>
      <c r="U138" s="177"/>
      <c r="V138" s="246">
        <f t="shared" si="17"/>
        <v>0</v>
      </c>
      <c r="W138" s="185">
        <f>SUM('Pin Laricio'!AQ122*'Pin Laricio'!$F$21,Douglas!AQ122*Douglas!$F$21,'Cedre de l''Atlas'!AQ122*'Cedre de l''Atlas'!$F$21,'Sequoia sempervirens'!AQ122*'Sequoia sempervirens'!$F$21,Chêne!AQ122*Chêne!$F$21,Charme!AQ122*Charme!$F$21)</f>
        <v>0</v>
      </c>
      <c r="X138" s="185">
        <f>SUM('Pin Laricio'!AR122*'Pin Laricio'!$F$21,Douglas!AR122*Douglas!$F$21,'Cedre de l''Atlas'!AR122*'Cedre de l''Atlas'!$F$21,'Sequoia sempervirens'!AR122*'Sequoia sempervirens'!$F$21,Chêne!AR122*Chêne!$F$21,Charme!AR122*Charme!$F$21)</f>
        <v>0</v>
      </c>
      <c r="Y138" s="185">
        <f>SUM('Pin Laricio'!AS122*'Pin Laricio'!$F$21,Douglas!AS122*Douglas!$F$21,'Cedre de l''Atlas'!AS122*'Cedre de l''Atlas'!$F$21,'Sequoia sempervirens'!AS122*'Sequoia sempervirens'!$F$21,Chêne!AS122*Chêne!$F$21,Charme!AS122*Charme!$F$21)</f>
        <v>0</v>
      </c>
      <c r="Z138" s="328">
        <f>SUM('Pin Laricio'!AT122*'Pin Laricio'!$F$21,Douglas!AT122*Douglas!$F$21,'Cedre de l''Atlas'!AT122*'Cedre de l''Atlas'!$F$21,'Sequoia sempervirens'!AT122*'Sequoia sempervirens'!$F$21,Chêne!AT122*Chêne!$F$21,Charme!AT122*Charme!$F$21)</f>
        <v>0</v>
      </c>
      <c r="AA138" s="175">
        <f t="shared" si="19"/>
        <v>0</v>
      </c>
      <c r="AB138" s="176">
        <f t="shared" si="18"/>
        <v>-3.3618374853229738</v>
      </c>
      <c r="AC138" s="175"/>
      <c r="AD138" s="175"/>
    </row>
    <row r="139" spans="2:30">
      <c r="B139" s="166" t="s">
        <v>26</v>
      </c>
      <c r="C139" s="4">
        <v>0.6</v>
      </c>
      <c r="D139" s="188" t="s">
        <v>227</v>
      </c>
      <c r="E139" s="205">
        <v>300</v>
      </c>
      <c r="F139" s="251">
        <f>IF(Tableau14582[[#This Row],[Type]]="Feuillus",11*1.25,15.5*1.25)</f>
        <v>13.75</v>
      </c>
      <c r="G139" s="205">
        <v>10</v>
      </c>
      <c r="M139"/>
      <c r="N139" s="71">
        <v>118</v>
      </c>
      <c r="O139" s="236"/>
      <c r="P139" s="177"/>
      <c r="Q139" s="237">
        <f t="shared" si="23"/>
        <v>541.75</v>
      </c>
      <c r="R139" s="177">
        <f t="shared" si="16"/>
        <v>37.922500000000007</v>
      </c>
      <c r="S139" s="177">
        <f>$L$11*(1+$L$9)^N139*'Récapitulatif des résultats'!$I$11</f>
        <v>0</v>
      </c>
      <c r="T139" s="238"/>
      <c r="U139" s="177"/>
      <c r="V139" s="246">
        <f t="shared" si="17"/>
        <v>0</v>
      </c>
      <c r="W139" s="185">
        <f>SUM('Pin Laricio'!AQ123*'Pin Laricio'!$F$21,Douglas!AQ123*Douglas!$F$21,'Cedre de l''Atlas'!AQ123*'Cedre de l''Atlas'!$F$21,'Sequoia sempervirens'!AQ123*'Sequoia sempervirens'!$F$21,Chêne!AQ123*Chêne!$F$21,Charme!AQ123*Charme!$F$21)</f>
        <v>0</v>
      </c>
      <c r="X139" s="185">
        <f>SUM('Pin Laricio'!AR123*'Pin Laricio'!$F$21,Douglas!AR123*Douglas!$F$21,'Cedre de l''Atlas'!AR123*'Cedre de l''Atlas'!$F$21,'Sequoia sempervirens'!AR123*'Sequoia sempervirens'!$F$21,Chêne!AR123*Chêne!$F$21,Charme!AR123*Charme!$F$21)</f>
        <v>0</v>
      </c>
      <c r="Y139" s="185">
        <f>SUM('Pin Laricio'!AS123*'Pin Laricio'!$F$21,Douglas!AS123*Douglas!$F$21,'Cedre de l''Atlas'!AS123*'Cedre de l''Atlas'!$F$21,'Sequoia sempervirens'!AS123*'Sequoia sempervirens'!$F$21,Chêne!AS123*Chêne!$F$21,Charme!AS123*Charme!$F$21)</f>
        <v>0</v>
      </c>
      <c r="Z139" s="328">
        <f>SUM('Pin Laricio'!AT123*'Pin Laricio'!$F$21,Douglas!AT123*Douglas!$F$21,'Cedre de l''Atlas'!AT123*'Cedre de l''Atlas'!$F$21,'Sequoia sempervirens'!AT123*'Sequoia sempervirens'!$F$21,Chêne!AT123*Chêne!$F$21,Charme!AT123*Charme!$F$21)</f>
        <v>0</v>
      </c>
      <c r="AA139" s="175">
        <f t="shared" si="19"/>
        <v>0</v>
      </c>
      <c r="AB139" s="176">
        <f t="shared" si="18"/>
        <v>-3.2170693639454302</v>
      </c>
      <c r="AC139" s="175"/>
      <c r="AD139" s="175"/>
    </row>
    <row r="140" spans="2:30">
      <c r="B140" s="166" t="s">
        <v>27</v>
      </c>
      <c r="C140" s="4">
        <v>0.43</v>
      </c>
      <c r="D140" s="188" t="s">
        <v>228</v>
      </c>
      <c r="E140" s="205">
        <v>59</v>
      </c>
      <c r="F140" s="251">
        <f>IF(Tableau14582[[#This Row],[Type]]="Feuillus",11*1.25,15.5*1.25)</f>
        <v>19.375</v>
      </c>
      <c r="G140" s="205">
        <v>10</v>
      </c>
      <c r="M140"/>
      <c r="N140" s="71">
        <v>119</v>
      </c>
      <c r="O140" s="236"/>
      <c r="P140" s="177"/>
      <c r="Q140" s="237">
        <f t="shared" si="23"/>
        <v>541.75</v>
      </c>
      <c r="R140" s="177">
        <f t="shared" si="16"/>
        <v>37.922500000000007</v>
      </c>
      <c r="S140" s="177">
        <f>$L$11*(1+$L$9)^N140*'Récapitulatif des résultats'!$I$11</f>
        <v>0</v>
      </c>
      <c r="T140" s="238"/>
      <c r="U140" s="177"/>
      <c r="V140" s="246">
        <f t="shared" si="17"/>
        <v>0</v>
      </c>
      <c r="W140" s="185">
        <f>SUM('Pin Laricio'!AQ124*'Pin Laricio'!$F$21,Douglas!AQ124*Douglas!$F$21,'Cedre de l''Atlas'!AQ124*'Cedre de l''Atlas'!$F$21,'Sequoia sempervirens'!AQ124*'Sequoia sempervirens'!$F$21,Chêne!AQ124*Chêne!$F$21,Charme!AQ124*Charme!$F$21)</f>
        <v>0</v>
      </c>
      <c r="X140" s="185">
        <f>SUM('Pin Laricio'!AR124*'Pin Laricio'!$F$21,Douglas!AR124*Douglas!$F$21,'Cedre de l''Atlas'!AR124*'Cedre de l''Atlas'!$F$21,'Sequoia sempervirens'!AR124*'Sequoia sempervirens'!$F$21,Chêne!AR124*Chêne!$F$21,Charme!AR124*Charme!$F$21)</f>
        <v>0</v>
      </c>
      <c r="Y140" s="185">
        <f>SUM('Pin Laricio'!AS124*'Pin Laricio'!$F$21,Douglas!AS124*Douglas!$F$21,'Cedre de l''Atlas'!AS124*'Cedre de l''Atlas'!$F$21,'Sequoia sempervirens'!AS124*'Sequoia sempervirens'!$F$21,Chêne!AS124*Chêne!$F$21,Charme!AS124*Charme!$F$21)</f>
        <v>0</v>
      </c>
      <c r="Z140" s="328">
        <f>SUM('Pin Laricio'!AT124*'Pin Laricio'!$F$21,Douglas!AT124*Douglas!$F$21,'Cedre de l''Atlas'!AT124*'Cedre de l''Atlas'!$F$21,'Sequoia sempervirens'!AT124*'Sequoia sempervirens'!$F$21,Chêne!AT124*Chêne!$F$21,Charme!AT124*Charme!$F$21)</f>
        <v>0</v>
      </c>
      <c r="AA140" s="175">
        <f t="shared" si="19"/>
        <v>0</v>
      </c>
      <c r="AB140" s="176">
        <f t="shared" si="18"/>
        <v>-3.0785352765028038</v>
      </c>
      <c r="AC140" s="175"/>
      <c r="AD140" s="175"/>
    </row>
    <row r="141" spans="2:30">
      <c r="B141" s="166" t="s">
        <v>28</v>
      </c>
      <c r="C141" s="4">
        <v>0.37</v>
      </c>
      <c r="D141" s="188" t="s">
        <v>228</v>
      </c>
      <c r="E141" s="252">
        <v>36</v>
      </c>
      <c r="F141" s="251">
        <f>IF(Tableau14582[[#This Row],[Type]]="Feuillus",11*1.25,15.5*1.25)</f>
        <v>19.375</v>
      </c>
      <c r="G141" s="205">
        <v>10</v>
      </c>
      <c r="M141"/>
      <c r="N141" s="71">
        <v>120</v>
      </c>
      <c r="O141" s="236"/>
      <c r="P141" s="177"/>
      <c r="Q141" s="237">
        <f t="shared" si="23"/>
        <v>541.75</v>
      </c>
      <c r="R141" s="177">
        <f t="shared" si="16"/>
        <v>37.922500000000007</v>
      </c>
      <c r="S141" s="177">
        <f>$L$11*(1+$L$9)^N141*'Récapitulatif des résultats'!$I$11</f>
        <v>0</v>
      </c>
      <c r="T141" s="238"/>
      <c r="U141" s="177"/>
      <c r="V141" s="246">
        <f t="shared" si="17"/>
        <v>0</v>
      </c>
      <c r="W141" s="185">
        <f>SUM('Pin Laricio'!AQ125*'Pin Laricio'!$F$21,Douglas!AQ125*Douglas!$F$21,'Cedre de l''Atlas'!AQ125*'Cedre de l''Atlas'!$F$21,'Sequoia sempervirens'!AQ125*'Sequoia sempervirens'!$F$21,Chêne!AQ125*Chêne!$F$21,Charme!AQ125*Charme!$F$21)</f>
        <v>0</v>
      </c>
      <c r="X141" s="185">
        <f>SUM('Pin Laricio'!AR125*'Pin Laricio'!$F$21,Douglas!AR125*Douglas!$F$21,'Cedre de l''Atlas'!AR125*'Cedre de l''Atlas'!$F$21,'Sequoia sempervirens'!AR125*'Sequoia sempervirens'!$F$21,Chêne!AR125*Chêne!$F$21,Charme!AR125*Charme!$F$21)</f>
        <v>0</v>
      </c>
      <c r="Y141" s="185">
        <f>SUM('Pin Laricio'!AS125*'Pin Laricio'!$F$21,Douglas!AS125*Douglas!$F$21,'Cedre de l''Atlas'!AS125*'Cedre de l''Atlas'!$F$21,'Sequoia sempervirens'!AS125*'Sequoia sempervirens'!$F$21,Chêne!AS125*Chêne!$F$21,Charme!AS125*Charme!$F$21)</f>
        <v>0</v>
      </c>
      <c r="Z141" s="328">
        <f>SUM('Pin Laricio'!AT125*'Pin Laricio'!$F$21,Douglas!AT125*Douglas!$F$21,'Cedre de l''Atlas'!AT125*'Cedre de l''Atlas'!$F$21,'Sequoia sempervirens'!AT125*'Sequoia sempervirens'!$F$21,Chêne!AT125*Chêne!$F$21,Charme!AT125*Charme!$F$21)</f>
        <v>0</v>
      </c>
      <c r="AA141" s="175">
        <f t="shared" si="19"/>
        <v>0</v>
      </c>
      <c r="AB141" s="176">
        <f t="shared" si="18"/>
        <v>-2.9459667717730187</v>
      </c>
      <c r="AC141" s="175"/>
      <c r="AD141" s="175"/>
    </row>
    <row r="142" spans="2:30">
      <c r="B142" s="166" t="s">
        <v>29</v>
      </c>
      <c r="C142" s="4">
        <v>0.36</v>
      </c>
      <c r="D142" s="188" t="s">
        <v>228</v>
      </c>
      <c r="E142" s="205">
        <v>47</v>
      </c>
      <c r="F142" s="251">
        <f>IF(Tableau14582[[#This Row],[Type]]="Feuillus",11*1.25,15.5*1.25)</f>
        <v>19.375</v>
      </c>
      <c r="G142" s="205">
        <v>10</v>
      </c>
      <c r="M142"/>
      <c r="N142" s="71">
        <v>121</v>
      </c>
      <c r="O142" s="236"/>
      <c r="P142" s="177"/>
      <c r="Q142" s="237">
        <f t="shared" si="23"/>
        <v>541.75</v>
      </c>
      <c r="R142" s="177">
        <f t="shared" si="16"/>
        <v>37.922500000000007</v>
      </c>
      <c r="S142" s="177">
        <f>$L$11*(1+$L$9)^N142*'Récapitulatif des résultats'!$I$11</f>
        <v>0</v>
      </c>
      <c r="T142" s="238"/>
      <c r="U142" s="177"/>
      <c r="V142" s="246">
        <f t="shared" si="17"/>
        <v>0</v>
      </c>
      <c r="W142" s="185">
        <f>SUM('Pin Laricio'!AQ126*'Pin Laricio'!$F$21,Douglas!AQ126*Douglas!$F$21,'Cedre de l''Atlas'!AQ126*'Cedre de l''Atlas'!$F$21,'Sequoia sempervirens'!AQ126*'Sequoia sempervirens'!$F$21,Chêne!AQ126*Chêne!$F$21,Charme!AQ126*Charme!$F$21)</f>
        <v>0</v>
      </c>
      <c r="X142" s="185">
        <f>SUM('Pin Laricio'!AR126*'Pin Laricio'!$F$21,Douglas!AR126*Douglas!$F$21,'Cedre de l''Atlas'!AR126*'Cedre de l''Atlas'!$F$21,'Sequoia sempervirens'!AR126*'Sequoia sempervirens'!$F$21,Chêne!AR126*Chêne!$F$21,Charme!AR126*Charme!$F$21)</f>
        <v>0</v>
      </c>
      <c r="Y142" s="185">
        <f>SUM('Pin Laricio'!AS126*'Pin Laricio'!$F$21,Douglas!AS126*Douglas!$F$21,'Cedre de l''Atlas'!AS126*'Cedre de l''Atlas'!$F$21,'Sequoia sempervirens'!AS126*'Sequoia sempervirens'!$F$21,Chêne!AS126*Chêne!$F$21,Charme!AS126*Charme!$F$21)</f>
        <v>0</v>
      </c>
      <c r="Z142" s="328">
        <f>SUM('Pin Laricio'!AT126*'Pin Laricio'!$F$21,Douglas!AT126*Douglas!$F$21,'Cedre de l''Atlas'!AT126*'Cedre de l''Atlas'!$F$21,'Sequoia sempervirens'!AT126*'Sequoia sempervirens'!$F$21,Chêne!AT126*Chêne!$F$21,Charme!AT126*Charme!$F$21)</f>
        <v>0</v>
      </c>
      <c r="AA142" s="175">
        <f t="shared" si="19"/>
        <v>0</v>
      </c>
      <c r="AB142" s="176">
        <f t="shared" si="18"/>
        <v>-2.8191069586344679</v>
      </c>
      <c r="AC142" s="175"/>
      <c r="AD142" s="175"/>
    </row>
    <row r="143" spans="2:30">
      <c r="B143" s="166" t="s">
        <v>30</v>
      </c>
      <c r="C143" s="4">
        <v>0.51</v>
      </c>
      <c r="D143" s="188" t="s">
        <v>227</v>
      </c>
      <c r="E143" s="205">
        <v>60</v>
      </c>
      <c r="F143" s="251">
        <f>IF(Tableau14582[[#This Row],[Type]]="Feuillus",11*1.25,15.5*1.25)</f>
        <v>13.75</v>
      </c>
      <c r="G143" s="205">
        <v>10</v>
      </c>
      <c r="M143"/>
      <c r="N143" s="71">
        <v>122</v>
      </c>
      <c r="O143" s="236"/>
      <c r="P143" s="177"/>
      <c r="Q143" s="237">
        <f t="shared" si="23"/>
        <v>541.75</v>
      </c>
      <c r="R143" s="177">
        <f t="shared" si="16"/>
        <v>37.922500000000007</v>
      </c>
      <c r="S143" s="177">
        <f>$L$11*(1+$L$9)^N143*'Récapitulatif des résultats'!$I$11</f>
        <v>0</v>
      </c>
      <c r="T143" s="238"/>
      <c r="U143" s="177"/>
      <c r="V143" s="246">
        <f t="shared" si="17"/>
        <v>0</v>
      </c>
      <c r="W143" s="185">
        <f>SUM('Pin Laricio'!AQ127*'Pin Laricio'!$F$21,Douglas!AQ127*Douglas!$F$21,'Cedre de l''Atlas'!AQ127*'Cedre de l''Atlas'!$F$21,'Sequoia sempervirens'!AQ127*'Sequoia sempervirens'!$F$21,Chêne!AQ127*Chêne!$F$21,Charme!AQ127*Charme!$F$21)</f>
        <v>0</v>
      </c>
      <c r="X143" s="185">
        <f>SUM('Pin Laricio'!AR127*'Pin Laricio'!$F$21,Douglas!AR127*Douglas!$F$21,'Cedre de l''Atlas'!AR127*'Cedre de l''Atlas'!$F$21,'Sequoia sempervirens'!AR127*'Sequoia sempervirens'!$F$21,Chêne!AR127*Chêne!$F$21,Charme!AR127*Charme!$F$21)</f>
        <v>0</v>
      </c>
      <c r="Y143" s="185">
        <f>SUM('Pin Laricio'!AS127*'Pin Laricio'!$F$21,Douglas!AS127*Douglas!$F$21,'Cedre de l''Atlas'!AS127*'Cedre de l''Atlas'!$F$21,'Sequoia sempervirens'!AS127*'Sequoia sempervirens'!$F$21,Chêne!AS127*Chêne!$F$21,Charme!AS127*Charme!$F$21)</f>
        <v>0</v>
      </c>
      <c r="Z143" s="328">
        <f>SUM('Pin Laricio'!AT127*'Pin Laricio'!$F$21,Douglas!AT127*Douglas!$F$21,'Cedre de l''Atlas'!AT127*'Cedre de l''Atlas'!$F$21,'Sequoia sempervirens'!AT127*'Sequoia sempervirens'!$F$21,Chêne!AT127*Chêne!$F$21,Charme!AT127*Charme!$F$21)</f>
        <v>0</v>
      </c>
      <c r="AA143" s="175">
        <f t="shared" si="19"/>
        <v>0</v>
      </c>
      <c r="AB143" s="176">
        <f t="shared" si="18"/>
        <v>-2.6977100082626495</v>
      </c>
      <c r="AC143" s="175"/>
      <c r="AD143" s="175"/>
    </row>
    <row r="144" spans="2:30">
      <c r="B144" s="166" t="s">
        <v>31</v>
      </c>
      <c r="C144" s="4">
        <v>0.56000000000000005</v>
      </c>
      <c r="D144" s="188" t="s">
        <v>227</v>
      </c>
      <c r="E144" s="205">
        <v>60</v>
      </c>
      <c r="F144" s="251">
        <f>IF(Tableau14582[[#This Row],[Type]]="Feuillus",11*1.25,15.5*1.25)</f>
        <v>13.75</v>
      </c>
      <c r="G144" s="205">
        <v>10</v>
      </c>
      <c r="M144"/>
      <c r="N144" s="71">
        <v>123</v>
      </c>
      <c r="O144" s="236"/>
      <c r="P144" s="177"/>
      <c r="Q144" s="237">
        <f t="shared" si="23"/>
        <v>541.75</v>
      </c>
      <c r="R144" s="177">
        <f t="shared" si="16"/>
        <v>37.922500000000007</v>
      </c>
      <c r="S144" s="177">
        <f>$L$11*(1+$L$9)^N144*'Récapitulatif des résultats'!$I$11</f>
        <v>0</v>
      </c>
      <c r="T144" s="238"/>
      <c r="U144" s="177"/>
      <c r="V144" s="246">
        <f t="shared" si="17"/>
        <v>0</v>
      </c>
      <c r="W144" s="185">
        <f>SUM('Pin Laricio'!AQ128*'Pin Laricio'!$F$21,Douglas!AQ128*Douglas!$F$21,'Cedre de l''Atlas'!AQ128*'Cedre de l''Atlas'!$F$21,'Sequoia sempervirens'!AQ128*'Sequoia sempervirens'!$F$21,Chêne!AQ128*Chêne!$F$21,Charme!AQ128*Charme!$F$21)</f>
        <v>0</v>
      </c>
      <c r="X144" s="185">
        <f>SUM('Pin Laricio'!AR128*'Pin Laricio'!$F$21,Douglas!AR128*Douglas!$F$21,'Cedre de l''Atlas'!AR128*'Cedre de l''Atlas'!$F$21,'Sequoia sempervirens'!AR128*'Sequoia sempervirens'!$F$21,Chêne!AR128*Chêne!$F$21,Charme!AR128*Charme!$F$21)</f>
        <v>0</v>
      </c>
      <c r="Y144" s="185">
        <f>SUM('Pin Laricio'!AS128*'Pin Laricio'!$F$21,Douglas!AS128*Douglas!$F$21,'Cedre de l''Atlas'!AS128*'Cedre de l''Atlas'!$F$21,'Sequoia sempervirens'!AS128*'Sequoia sempervirens'!$F$21,Chêne!AS128*Chêne!$F$21,Charme!AS128*Charme!$F$21)</f>
        <v>0</v>
      </c>
      <c r="Z144" s="328">
        <f>SUM('Pin Laricio'!AT128*'Pin Laricio'!$F$21,Douglas!AT128*Douglas!$F$21,'Cedre de l''Atlas'!AT128*'Cedre de l''Atlas'!$F$21,'Sequoia sempervirens'!AT128*'Sequoia sempervirens'!$F$21,Chêne!AT128*Chêne!$F$21,Charme!AT128*Charme!$F$21)</f>
        <v>0</v>
      </c>
      <c r="AA144" s="175">
        <f t="shared" si="19"/>
        <v>0</v>
      </c>
      <c r="AB144" s="176">
        <f t="shared" si="18"/>
        <v>-2.581540677763301</v>
      </c>
      <c r="AC144" s="175"/>
      <c r="AD144" s="175"/>
    </row>
    <row r="145" spans="2:30">
      <c r="B145" s="166" t="s">
        <v>32</v>
      </c>
      <c r="C145" s="4">
        <v>0.56000000000000005</v>
      </c>
      <c r="D145" s="188" t="s">
        <v>227</v>
      </c>
      <c r="E145" s="252" t="s">
        <v>249</v>
      </c>
      <c r="F145" s="251">
        <f>IF(Tableau14582[[#This Row],[Type]]="Feuillus",11*1.25,15.5*1.25)</f>
        <v>13.75</v>
      </c>
      <c r="G145" s="205">
        <v>10</v>
      </c>
      <c r="M145"/>
      <c r="N145" s="71">
        <v>124</v>
      </c>
      <c r="O145" s="236"/>
      <c r="P145" s="177"/>
      <c r="Q145" s="237">
        <f t="shared" si="23"/>
        <v>541.75</v>
      </c>
      <c r="R145" s="177">
        <f t="shared" si="16"/>
        <v>37.922500000000007</v>
      </c>
      <c r="S145" s="177">
        <f>$L$11*(1+$L$9)^N145*'Récapitulatif des résultats'!$I$11</f>
        <v>0</v>
      </c>
      <c r="T145" s="238"/>
      <c r="U145" s="177"/>
      <c r="V145" s="246">
        <f t="shared" si="17"/>
        <v>0</v>
      </c>
      <c r="W145" s="185">
        <f>SUM('Pin Laricio'!AQ129*'Pin Laricio'!$F$21,Douglas!AQ129*Douglas!$F$21,'Cedre de l''Atlas'!AQ129*'Cedre de l''Atlas'!$F$21,'Sequoia sempervirens'!AQ129*'Sequoia sempervirens'!$F$21,Chêne!AQ129*Chêne!$F$21,Charme!AQ129*Charme!$F$21)</f>
        <v>0</v>
      </c>
      <c r="X145" s="185">
        <f>SUM('Pin Laricio'!AR129*'Pin Laricio'!$F$21,Douglas!AR129*Douglas!$F$21,'Cedre de l''Atlas'!AR129*'Cedre de l''Atlas'!$F$21,'Sequoia sempervirens'!AR129*'Sequoia sempervirens'!$F$21,Chêne!AR129*Chêne!$F$21,Charme!AR129*Charme!$F$21)</f>
        <v>0</v>
      </c>
      <c r="Y145" s="185">
        <f>SUM('Pin Laricio'!AS129*'Pin Laricio'!$F$21,Douglas!AS129*Douglas!$F$21,'Cedre de l''Atlas'!AS129*'Cedre de l''Atlas'!$F$21,'Sequoia sempervirens'!AS129*'Sequoia sempervirens'!$F$21,Chêne!AS129*Chêne!$F$21,Charme!AS129*Charme!$F$21)</f>
        <v>0</v>
      </c>
      <c r="Z145" s="328">
        <f>SUM('Pin Laricio'!AT129*'Pin Laricio'!$F$21,Douglas!AT129*Douglas!$F$21,'Cedre de l''Atlas'!AT129*'Cedre de l''Atlas'!$F$21,'Sequoia sempervirens'!AT129*'Sequoia sempervirens'!$F$21,Chêne!AT129*Chêne!$F$21,Charme!AT129*Charme!$F$21)</f>
        <v>0</v>
      </c>
      <c r="AA145" s="175">
        <f t="shared" si="19"/>
        <v>0</v>
      </c>
      <c r="AB145" s="176">
        <f t="shared" si="18"/>
        <v>-2.4703738543189488</v>
      </c>
      <c r="AC145" s="175"/>
      <c r="AD145" s="175"/>
    </row>
    <row r="146" spans="2:30">
      <c r="B146" s="166" t="s">
        <v>33</v>
      </c>
      <c r="C146" s="4">
        <v>0.48</v>
      </c>
      <c r="D146" s="188" t="s">
        <v>227</v>
      </c>
      <c r="E146" s="205">
        <v>300</v>
      </c>
      <c r="F146" s="251">
        <f>IF(Tableau14582[[#This Row],[Type]]="Feuillus",11*1.25,15.5*1.25)</f>
        <v>13.75</v>
      </c>
      <c r="G146" s="205">
        <v>10</v>
      </c>
      <c r="M146"/>
      <c r="N146" s="71">
        <v>125</v>
      </c>
      <c r="O146" s="236"/>
      <c r="P146" s="177"/>
      <c r="Q146" s="237">
        <f t="shared" si="23"/>
        <v>541.75</v>
      </c>
      <c r="R146" s="177">
        <f t="shared" si="16"/>
        <v>37.922500000000007</v>
      </c>
      <c r="S146" s="177">
        <f>$L$11*(1+$L$9)^N146*'Récapitulatif des résultats'!$I$11</f>
        <v>0</v>
      </c>
      <c r="T146" s="238"/>
      <c r="U146" s="177"/>
      <c r="V146" s="246">
        <f t="shared" si="17"/>
        <v>0</v>
      </c>
      <c r="W146" s="185">
        <f>SUM('Pin Laricio'!AQ130*'Pin Laricio'!$F$21,Douglas!AQ130*Douglas!$F$21,'Cedre de l''Atlas'!AQ130*'Cedre de l''Atlas'!$F$21,'Sequoia sempervirens'!AQ130*'Sequoia sempervirens'!$F$21,Chêne!AQ130*Chêne!$F$21,Charme!AQ130*Charme!$F$21)</f>
        <v>0</v>
      </c>
      <c r="X146" s="185">
        <f>SUM('Pin Laricio'!AR130*'Pin Laricio'!$F$21,Douglas!AR130*Douglas!$F$21,'Cedre de l''Atlas'!AR130*'Cedre de l''Atlas'!$F$21,'Sequoia sempervirens'!AR130*'Sequoia sempervirens'!$F$21,Chêne!AR130*Chêne!$F$21,Charme!AR130*Charme!$F$21)</f>
        <v>0</v>
      </c>
      <c r="Y146" s="185">
        <f>SUM('Pin Laricio'!AS130*'Pin Laricio'!$F$21,Douglas!AS130*Douglas!$F$21,'Cedre de l''Atlas'!AS130*'Cedre de l''Atlas'!$F$21,'Sequoia sempervirens'!AS130*'Sequoia sempervirens'!$F$21,Chêne!AS130*Chêne!$F$21,Charme!AS130*Charme!$F$21)</f>
        <v>0</v>
      </c>
      <c r="Z146" s="328">
        <f>SUM('Pin Laricio'!AT130*'Pin Laricio'!$F$21,Douglas!AT130*Douglas!$F$21,'Cedre de l''Atlas'!AT130*'Cedre de l''Atlas'!$F$21,'Sequoia sempervirens'!AT130*'Sequoia sempervirens'!$F$21,Chêne!AT130*Chêne!$F$21,Charme!AT130*Charme!$F$21)</f>
        <v>0</v>
      </c>
      <c r="AA146" s="175">
        <f t="shared" si="19"/>
        <v>0</v>
      </c>
      <c r="AB146" s="176">
        <f t="shared" si="18"/>
        <v>-2.3639941189655009</v>
      </c>
      <c r="AC146" s="175"/>
      <c r="AD146" s="175"/>
    </row>
    <row r="147" spans="2:30">
      <c r="B147" s="166" t="s">
        <v>34</v>
      </c>
      <c r="C147" s="4">
        <v>0.55000000000000004</v>
      </c>
      <c r="D147" s="188" t="s">
        <v>227</v>
      </c>
      <c r="E147" s="205">
        <v>45</v>
      </c>
      <c r="F147" s="251">
        <f>IF(Tableau14582[[#This Row],[Type]]="Feuillus",11*1.25,15.5*1.25)</f>
        <v>13.75</v>
      </c>
      <c r="G147" s="205">
        <v>10</v>
      </c>
      <c r="M147"/>
      <c r="N147" s="71">
        <v>126</v>
      </c>
      <c r="O147" s="236"/>
      <c r="P147" s="177"/>
      <c r="Q147" s="237">
        <f t="shared" si="23"/>
        <v>541.75</v>
      </c>
      <c r="R147" s="177">
        <f t="shared" si="16"/>
        <v>37.922500000000007</v>
      </c>
      <c r="S147" s="177">
        <f>$L$11*(1+$L$9)^N147*'Récapitulatif des résultats'!$I$11</f>
        <v>0</v>
      </c>
      <c r="T147" s="238"/>
      <c r="U147" s="177"/>
      <c r="V147" s="246">
        <f t="shared" si="17"/>
        <v>0</v>
      </c>
      <c r="W147" s="185">
        <f>SUM('Pin Laricio'!AQ131*'Pin Laricio'!$F$21,Douglas!AQ131*Douglas!$F$21,'Cedre de l''Atlas'!AQ131*'Cedre de l''Atlas'!$F$21,'Sequoia sempervirens'!AQ131*'Sequoia sempervirens'!$F$21,Chêne!AQ131*Chêne!$F$21,Charme!AQ131*Charme!$F$21)</f>
        <v>0</v>
      </c>
      <c r="X147" s="185">
        <f>SUM('Pin Laricio'!AR131*'Pin Laricio'!$F$21,Douglas!AR131*Douglas!$F$21,'Cedre de l''Atlas'!AR131*'Cedre de l''Atlas'!$F$21,'Sequoia sempervirens'!AR131*'Sequoia sempervirens'!$F$21,Chêne!AR131*Chêne!$F$21,Charme!AR131*Charme!$F$21)</f>
        <v>0</v>
      </c>
      <c r="Y147" s="185">
        <f>SUM('Pin Laricio'!AS131*'Pin Laricio'!$F$21,Douglas!AS131*Douglas!$F$21,'Cedre de l''Atlas'!AS131*'Cedre de l''Atlas'!$F$21,'Sequoia sempervirens'!AS131*'Sequoia sempervirens'!$F$21,Chêne!AS131*Chêne!$F$21,Charme!AS131*Charme!$F$21)</f>
        <v>0</v>
      </c>
      <c r="Z147" s="328">
        <f>SUM('Pin Laricio'!AT131*'Pin Laricio'!$F$21,Douglas!AT131*Douglas!$F$21,'Cedre de l''Atlas'!AT131*'Cedre de l''Atlas'!$F$21,'Sequoia sempervirens'!AT131*'Sequoia sempervirens'!$F$21,Chêne!AT131*Chêne!$F$21,Charme!AT131*Charme!$F$21)</f>
        <v>0</v>
      </c>
      <c r="AA147" s="175">
        <f t="shared" si="19"/>
        <v>0</v>
      </c>
      <c r="AB147" s="176">
        <f t="shared" si="18"/>
        <v>-2.2621953291535899</v>
      </c>
      <c r="AC147" s="175"/>
      <c r="AD147" s="175"/>
    </row>
    <row r="148" spans="2:30">
      <c r="B148" s="166" t="s">
        <v>35</v>
      </c>
      <c r="C148" s="4">
        <v>0.56000000000000005</v>
      </c>
      <c r="D148" s="188" t="s">
        <v>227</v>
      </c>
      <c r="E148" s="205">
        <v>90</v>
      </c>
      <c r="F148" s="251">
        <f>IF(Tableau14582[[#This Row],[Type]]="Feuillus",11*1.25,15.5*1.25)</f>
        <v>13.75</v>
      </c>
      <c r="G148" s="205">
        <v>10</v>
      </c>
      <c r="M148"/>
      <c r="N148" s="71">
        <v>127</v>
      </c>
      <c r="O148" s="236"/>
      <c r="P148" s="177"/>
      <c r="Q148" s="237">
        <f t="shared" si="23"/>
        <v>541.75</v>
      </c>
      <c r="R148" s="177">
        <f t="shared" si="16"/>
        <v>37.922500000000007</v>
      </c>
      <c r="S148" s="177">
        <f>$L$11*(1+$L$9)^N148*'Récapitulatif des résultats'!$I$11</f>
        <v>0</v>
      </c>
      <c r="T148" s="238"/>
      <c r="U148" s="177"/>
      <c r="V148" s="246">
        <f t="shared" si="17"/>
        <v>0</v>
      </c>
      <c r="W148" s="185">
        <f>SUM('Pin Laricio'!AQ132*'Pin Laricio'!$F$21,Douglas!AQ132*Douglas!$F$21,'Cedre de l''Atlas'!AQ132*'Cedre de l''Atlas'!$F$21,'Sequoia sempervirens'!AQ132*'Sequoia sempervirens'!$F$21,Chêne!AQ132*Chêne!$F$21,Charme!AQ132*Charme!$F$21)</f>
        <v>0</v>
      </c>
      <c r="X148" s="185">
        <f>SUM('Pin Laricio'!AR132*'Pin Laricio'!$F$21,Douglas!AR132*Douglas!$F$21,'Cedre de l''Atlas'!AR132*'Cedre de l''Atlas'!$F$21,'Sequoia sempervirens'!AR132*'Sequoia sempervirens'!$F$21,Chêne!AR132*Chêne!$F$21,Charme!AR132*Charme!$F$21)</f>
        <v>0</v>
      </c>
      <c r="Y148" s="185">
        <f>SUM('Pin Laricio'!AS132*'Pin Laricio'!$F$21,Douglas!AS132*Douglas!$F$21,'Cedre de l''Atlas'!AS132*'Cedre de l''Atlas'!$F$21,'Sequoia sempervirens'!AS132*'Sequoia sempervirens'!$F$21,Chêne!AS132*Chêne!$F$21,Charme!AS132*Charme!$F$21)</f>
        <v>0</v>
      </c>
      <c r="Z148" s="328">
        <f>SUM('Pin Laricio'!AT132*'Pin Laricio'!$F$21,Douglas!AT132*Douglas!$F$21,'Cedre de l''Atlas'!AT132*'Cedre de l''Atlas'!$F$21,'Sequoia sempervirens'!AT132*'Sequoia sempervirens'!$F$21,Chêne!AT132*Chêne!$F$21,Charme!AT132*Charme!$F$21)</f>
        <v>0</v>
      </c>
      <c r="AA148" s="175">
        <f t="shared" si="19"/>
        <v>0</v>
      </c>
      <c r="AB148" s="176">
        <f t="shared" si="18"/>
        <v>-2.1647802192857322</v>
      </c>
      <c r="AC148" s="175"/>
      <c r="AD148" s="175"/>
    </row>
    <row r="149" spans="2:30">
      <c r="B149" s="166" t="s">
        <v>36</v>
      </c>
      <c r="C149" s="4">
        <v>0.57999999999999996</v>
      </c>
      <c r="D149" s="188" t="s">
        <v>227</v>
      </c>
      <c r="E149" s="205">
        <v>300</v>
      </c>
      <c r="F149" s="251">
        <f>IF(Tableau14582[[#This Row],[Type]]="Feuillus",11*1.25,15.5*1.25)</f>
        <v>13.75</v>
      </c>
      <c r="G149" s="205">
        <v>10</v>
      </c>
      <c r="M149"/>
      <c r="N149" s="71">
        <v>128</v>
      </c>
      <c r="O149" s="236"/>
      <c r="P149" s="177"/>
      <c r="Q149" s="237">
        <f t="shared" si="23"/>
        <v>541.75</v>
      </c>
      <c r="R149" s="177">
        <f t="shared" ref="R149:R212" si="24">$L$10*SUM(O149:Q149)</f>
        <v>37.922500000000007</v>
      </c>
      <c r="S149" s="177">
        <f>$L$11*(1+$L$9)^N149*'Récapitulatif des résultats'!$I$11</f>
        <v>0</v>
      </c>
      <c r="T149" s="238"/>
      <c r="U149" s="177"/>
      <c r="V149" s="246">
        <f t="shared" ref="V149:V212" si="25">SUM(W149:Z149)</f>
        <v>0</v>
      </c>
      <c r="W149" s="185">
        <f>SUM('Pin Laricio'!AQ133*'Pin Laricio'!$F$21,Douglas!AQ133*Douglas!$F$21,'Cedre de l''Atlas'!AQ133*'Cedre de l''Atlas'!$F$21,'Sequoia sempervirens'!AQ133*'Sequoia sempervirens'!$F$21,Chêne!AQ133*Chêne!$F$21,Charme!AQ133*Charme!$F$21)</f>
        <v>0</v>
      </c>
      <c r="X149" s="185">
        <f>SUM('Pin Laricio'!AR133*'Pin Laricio'!$F$21,Douglas!AR133*Douglas!$F$21,'Cedre de l''Atlas'!AR133*'Cedre de l''Atlas'!$F$21,'Sequoia sempervirens'!AR133*'Sequoia sempervirens'!$F$21,Chêne!AR133*Chêne!$F$21,Charme!AR133*Charme!$F$21)</f>
        <v>0</v>
      </c>
      <c r="Y149" s="185">
        <f>SUM('Pin Laricio'!AS133*'Pin Laricio'!$F$21,Douglas!AS133*Douglas!$F$21,'Cedre de l''Atlas'!AS133*'Cedre de l''Atlas'!$F$21,'Sequoia sempervirens'!AS133*'Sequoia sempervirens'!$F$21,Chêne!AS133*Chêne!$F$21,Charme!AS133*Charme!$F$21)</f>
        <v>0</v>
      </c>
      <c r="Z149" s="328">
        <f>SUM('Pin Laricio'!AT133*'Pin Laricio'!$F$21,Douglas!AT133*Douglas!$F$21,'Cedre de l''Atlas'!AT133*'Cedre de l''Atlas'!$F$21,'Sequoia sempervirens'!AT133*'Sequoia sempervirens'!$F$21,Chêne!AT133*Chêne!$F$21,Charme!AT133*Charme!$F$21)</f>
        <v>0</v>
      </c>
      <c r="AA149" s="175">
        <f t="shared" si="19"/>
        <v>0</v>
      </c>
      <c r="AB149" s="176">
        <f t="shared" ref="AB149:AB212" si="26">IF(N149&lt;=$L$4,(AA149-SUM(O149:T149))/((1+4.5%)^N149),)</f>
        <v>-2.071560018455247</v>
      </c>
      <c r="AC149" s="175"/>
      <c r="AD149" s="175"/>
    </row>
    <row r="150" spans="2:30">
      <c r="B150" s="166" t="s">
        <v>37</v>
      </c>
      <c r="C150" s="4">
        <v>0.57999999999999996</v>
      </c>
      <c r="D150" s="188" t="s">
        <v>228</v>
      </c>
      <c r="E150" s="205">
        <v>25</v>
      </c>
      <c r="F150" s="251">
        <f>IF(Tableau14582[[#This Row],[Type]]="Feuillus",11*1.25,15.5*1.25)</f>
        <v>19.375</v>
      </c>
      <c r="G150" s="205">
        <v>10</v>
      </c>
      <c r="M150"/>
      <c r="N150" s="71">
        <v>129</v>
      </c>
      <c r="O150" s="236"/>
      <c r="P150" s="177"/>
      <c r="Q150" s="237">
        <f t="shared" si="23"/>
        <v>541.75</v>
      </c>
      <c r="R150" s="177">
        <f t="shared" si="24"/>
        <v>37.922500000000007</v>
      </c>
      <c r="S150" s="177">
        <f>$L$11*(1+$L$9)^N150*'Récapitulatif des résultats'!$I$11</f>
        <v>0</v>
      </c>
      <c r="T150" s="238"/>
      <c r="U150" s="177"/>
      <c r="V150" s="246">
        <f t="shared" si="25"/>
        <v>0</v>
      </c>
      <c r="W150" s="185">
        <f>SUM('Pin Laricio'!AQ134*'Pin Laricio'!$F$21,Douglas!AQ134*Douglas!$F$21,'Cedre de l''Atlas'!AQ134*'Cedre de l''Atlas'!$F$21,'Sequoia sempervirens'!AQ134*'Sequoia sempervirens'!$F$21,Chêne!AQ134*Chêne!$F$21,Charme!AQ134*Charme!$F$21)</f>
        <v>0</v>
      </c>
      <c r="X150" s="185">
        <f>SUM('Pin Laricio'!AR134*'Pin Laricio'!$F$21,Douglas!AR134*Douglas!$F$21,'Cedre de l''Atlas'!AR134*'Cedre de l''Atlas'!$F$21,'Sequoia sempervirens'!AR134*'Sequoia sempervirens'!$F$21,Chêne!AR134*Chêne!$F$21,Charme!AR134*Charme!$F$21)</f>
        <v>0</v>
      </c>
      <c r="Y150" s="185">
        <f>SUM('Pin Laricio'!AS134*'Pin Laricio'!$F$21,Douglas!AS134*Douglas!$F$21,'Cedre de l''Atlas'!AS134*'Cedre de l''Atlas'!$F$21,'Sequoia sempervirens'!AS134*'Sequoia sempervirens'!$F$21,Chêne!AS134*Chêne!$F$21,Charme!AS134*Charme!$F$21)</f>
        <v>0</v>
      </c>
      <c r="Z150" s="328">
        <f>SUM('Pin Laricio'!AT134*'Pin Laricio'!$F$21,Douglas!AT134*Douglas!$F$21,'Cedre de l''Atlas'!AT134*'Cedre de l''Atlas'!$F$21,'Sequoia sempervirens'!AT134*'Sequoia sempervirens'!$F$21,Chêne!AT134*Chêne!$F$21,Charme!AT134*Charme!$F$21)</f>
        <v>0</v>
      </c>
      <c r="AA150" s="175">
        <f t="shared" ref="AA150:AA213" si="27">SUMIF(B$23:B$115,N150,L$23:L$115)+U150</f>
        <v>0</v>
      </c>
      <c r="AB150" s="176">
        <f t="shared" si="26"/>
        <v>-1.9823540846461696</v>
      </c>
      <c r="AC150" s="175"/>
      <c r="AD150" s="175"/>
    </row>
    <row r="151" spans="2:30">
      <c r="B151" s="166" t="s">
        <v>38</v>
      </c>
      <c r="C151" s="4">
        <v>0.48</v>
      </c>
      <c r="D151" s="188" t="s">
        <v>228</v>
      </c>
      <c r="E151" s="205">
        <v>50</v>
      </c>
      <c r="F151" s="251">
        <f>IF(Tableau14582[[#This Row],[Type]]="Feuillus",11*1.25,15.5*1.25)</f>
        <v>19.375</v>
      </c>
      <c r="G151" s="205">
        <v>10</v>
      </c>
      <c r="M151"/>
      <c r="N151" s="71">
        <v>130</v>
      </c>
      <c r="O151" s="236"/>
      <c r="P151" s="177"/>
      <c r="Q151" s="237">
        <f t="shared" si="23"/>
        <v>541.75</v>
      </c>
      <c r="R151" s="177">
        <f t="shared" si="24"/>
        <v>37.922500000000007</v>
      </c>
      <c r="S151" s="177">
        <f>$L$11*(1+$L$9)^N151*'Récapitulatif des résultats'!$I$11</f>
        <v>0</v>
      </c>
      <c r="T151" s="238"/>
      <c r="U151" s="177"/>
      <c r="V151" s="246">
        <f t="shared" si="25"/>
        <v>0</v>
      </c>
      <c r="W151" s="185">
        <f>SUM('Pin Laricio'!AQ135*'Pin Laricio'!$F$21,Douglas!AQ135*Douglas!$F$21,'Cedre de l''Atlas'!AQ135*'Cedre de l''Atlas'!$F$21,'Sequoia sempervirens'!AQ135*'Sequoia sempervirens'!$F$21,Chêne!AQ135*Chêne!$F$21,Charme!AQ135*Charme!$F$21)</f>
        <v>0</v>
      </c>
      <c r="X151" s="185">
        <f>SUM('Pin Laricio'!AR135*'Pin Laricio'!$F$21,Douglas!AR135*Douglas!$F$21,'Cedre de l''Atlas'!AR135*'Cedre de l''Atlas'!$F$21,'Sequoia sempervirens'!AR135*'Sequoia sempervirens'!$F$21,Chêne!AR135*Chêne!$F$21,Charme!AR135*Charme!$F$21)</f>
        <v>0</v>
      </c>
      <c r="Y151" s="185">
        <f>SUM('Pin Laricio'!AS135*'Pin Laricio'!$F$21,Douglas!AS135*Douglas!$F$21,'Cedre de l''Atlas'!AS135*'Cedre de l''Atlas'!$F$21,'Sequoia sempervirens'!AS135*'Sequoia sempervirens'!$F$21,Chêne!AS135*Chêne!$F$21,Charme!AS135*Charme!$F$21)</f>
        <v>0</v>
      </c>
      <c r="Z151" s="328">
        <f>SUM('Pin Laricio'!AT135*'Pin Laricio'!$F$21,Douglas!AT135*Douglas!$F$21,'Cedre de l''Atlas'!AT135*'Cedre de l''Atlas'!$F$21,'Sequoia sempervirens'!AT135*'Sequoia sempervirens'!$F$21,Chêne!AT135*Chêne!$F$21,Charme!AT135*Charme!$F$21)</f>
        <v>0</v>
      </c>
      <c r="AA151" s="175">
        <f t="shared" si="27"/>
        <v>0</v>
      </c>
      <c r="AB151" s="176">
        <f t="shared" si="26"/>
        <v>-1.8969895546853297</v>
      </c>
      <c r="AC151" s="175"/>
      <c r="AD151" s="175"/>
    </row>
    <row r="152" spans="2:30">
      <c r="B152" s="166" t="s">
        <v>39</v>
      </c>
      <c r="C152" s="4">
        <v>0.42</v>
      </c>
      <c r="D152" s="188" t="s">
        <v>228</v>
      </c>
      <c r="E152" s="205">
        <v>50</v>
      </c>
      <c r="F152" s="251">
        <f>IF(Tableau14582[[#This Row],[Type]]="Feuillus",11*1.25,15.5*1.25)</f>
        <v>19.375</v>
      </c>
      <c r="G152" s="205">
        <v>10</v>
      </c>
      <c r="M152"/>
      <c r="N152" s="71">
        <v>131</v>
      </c>
      <c r="O152" s="236"/>
      <c r="P152" s="177"/>
      <c r="Q152" s="237">
        <f t="shared" si="23"/>
        <v>541.75</v>
      </c>
      <c r="R152" s="177">
        <f t="shared" si="24"/>
        <v>37.922500000000007</v>
      </c>
      <c r="S152" s="177">
        <f>$L$11*(1+$L$9)^N152*'Récapitulatif des résultats'!$I$11</f>
        <v>0</v>
      </c>
      <c r="T152" s="238"/>
      <c r="U152" s="177"/>
      <c r="V152" s="246">
        <f t="shared" si="25"/>
        <v>0</v>
      </c>
      <c r="W152" s="185">
        <f>SUM('Pin Laricio'!AQ136*'Pin Laricio'!$F$21,Douglas!AQ136*Douglas!$F$21,'Cedre de l''Atlas'!AQ136*'Cedre de l''Atlas'!$F$21,'Sequoia sempervirens'!AQ136*'Sequoia sempervirens'!$F$21,Chêne!AQ136*Chêne!$F$21,Charme!AQ136*Charme!$F$21)</f>
        <v>0</v>
      </c>
      <c r="X152" s="185">
        <f>SUM('Pin Laricio'!AR136*'Pin Laricio'!$F$21,Douglas!AR136*Douglas!$F$21,'Cedre de l''Atlas'!AR136*'Cedre de l''Atlas'!$F$21,'Sequoia sempervirens'!AR136*'Sequoia sempervirens'!$F$21,Chêne!AR136*Chêne!$F$21,Charme!AR136*Charme!$F$21)</f>
        <v>0</v>
      </c>
      <c r="Y152" s="185">
        <f>SUM('Pin Laricio'!AS136*'Pin Laricio'!$F$21,Douglas!AS136*Douglas!$F$21,'Cedre de l''Atlas'!AS136*'Cedre de l''Atlas'!$F$21,'Sequoia sempervirens'!AS136*'Sequoia sempervirens'!$F$21,Chêne!AS136*Chêne!$F$21,Charme!AS136*Charme!$F$21)</f>
        <v>0</v>
      </c>
      <c r="Z152" s="328">
        <f>SUM('Pin Laricio'!AT136*'Pin Laricio'!$F$21,Douglas!AT136*Douglas!$F$21,'Cedre de l''Atlas'!AT136*'Cedre de l''Atlas'!$F$21,'Sequoia sempervirens'!AT136*'Sequoia sempervirens'!$F$21,Chêne!AT136*Chêne!$F$21,Charme!AT136*Charme!$F$21)</f>
        <v>0</v>
      </c>
      <c r="AA152" s="175">
        <f t="shared" si="27"/>
        <v>0</v>
      </c>
      <c r="AB152" s="176">
        <f t="shared" si="26"/>
        <v>-1.8153010092682582</v>
      </c>
      <c r="AC152" s="175"/>
      <c r="AD152" s="175"/>
    </row>
    <row r="153" spans="2:30">
      <c r="B153" s="166" t="s">
        <v>40</v>
      </c>
      <c r="C153" s="4">
        <v>0.5</v>
      </c>
      <c r="D153" s="188" t="s">
        <v>227</v>
      </c>
      <c r="E153" s="205">
        <v>80</v>
      </c>
      <c r="F153" s="251">
        <f>IF(Tableau14582[[#This Row],[Type]]="Feuillus",11*1.25,15.5*1.25)</f>
        <v>13.75</v>
      </c>
      <c r="G153" s="205">
        <v>10</v>
      </c>
      <c r="M153"/>
      <c r="N153" s="71">
        <v>132</v>
      </c>
      <c r="O153" s="236"/>
      <c r="P153" s="177"/>
      <c r="Q153" s="237">
        <f t="shared" si="23"/>
        <v>541.75</v>
      </c>
      <c r="R153" s="177">
        <f t="shared" si="24"/>
        <v>37.922500000000007</v>
      </c>
      <c r="S153" s="177">
        <f>$L$11*(1+$L$9)^N153*'Récapitulatif des résultats'!$I$11</f>
        <v>0</v>
      </c>
      <c r="T153" s="238"/>
      <c r="U153" s="177"/>
      <c r="V153" s="246">
        <f t="shared" si="25"/>
        <v>0</v>
      </c>
      <c r="W153" s="185">
        <f>SUM('Pin Laricio'!AQ137*'Pin Laricio'!$F$21,Douglas!AQ137*Douglas!$F$21,'Cedre de l''Atlas'!AQ137*'Cedre de l''Atlas'!$F$21,'Sequoia sempervirens'!AQ137*'Sequoia sempervirens'!$F$21,Chêne!AQ137*Chêne!$F$21,Charme!AQ137*Charme!$F$21)</f>
        <v>0</v>
      </c>
      <c r="X153" s="185">
        <f>SUM('Pin Laricio'!AR137*'Pin Laricio'!$F$21,Douglas!AR137*Douglas!$F$21,'Cedre de l''Atlas'!AR137*'Cedre de l''Atlas'!$F$21,'Sequoia sempervirens'!AR137*'Sequoia sempervirens'!$F$21,Chêne!AR137*Chêne!$F$21,Charme!AR137*Charme!$F$21)</f>
        <v>0</v>
      </c>
      <c r="Y153" s="185">
        <f>SUM('Pin Laricio'!AS137*'Pin Laricio'!$F$21,Douglas!AS137*Douglas!$F$21,'Cedre de l''Atlas'!AS137*'Cedre de l''Atlas'!$F$21,'Sequoia sempervirens'!AS137*'Sequoia sempervirens'!$F$21,Chêne!AS137*Chêne!$F$21,Charme!AS137*Charme!$F$21)</f>
        <v>0</v>
      </c>
      <c r="Z153" s="328">
        <f>SUM('Pin Laricio'!AT137*'Pin Laricio'!$F$21,Douglas!AT137*Douglas!$F$21,'Cedre de l''Atlas'!AT137*'Cedre de l''Atlas'!$F$21,'Sequoia sempervirens'!AT137*'Sequoia sempervirens'!$F$21,Chêne!AT137*Chêne!$F$21,Charme!AT137*Charme!$F$21)</f>
        <v>0</v>
      </c>
      <c r="AA153" s="175">
        <f t="shared" si="27"/>
        <v>0</v>
      </c>
      <c r="AB153" s="176">
        <f t="shared" si="26"/>
        <v>-1.7371301524098168</v>
      </c>
      <c r="AC153" s="175"/>
      <c r="AD153" s="175"/>
    </row>
    <row r="154" spans="2:30">
      <c r="B154" s="166" t="s">
        <v>41</v>
      </c>
      <c r="C154" s="4">
        <v>0.55000000000000004</v>
      </c>
      <c r="D154" s="188" t="s">
        <v>227</v>
      </c>
      <c r="E154" s="252" t="s">
        <v>249</v>
      </c>
      <c r="F154" s="251">
        <f>IF(Tableau14582[[#This Row],[Type]]="Feuillus",11*1.25,15.5*1.25)</f>
        <v>13.75</v>
      </c>
      <c r="G154" s="205">
        <v>10</v>
      </c>
      <c r="M154"/>
      <c r="N154" s="71">
        <v>133</v>
      </c>
      <c r="O154" s="236"/>
      <c r="P154" s="177"/>
      <c r="Q154" s="237">
        <f t="shared" si="23"/>
        <v>541.75</v>
      </c>
      <c r="R154" s="177">
        <f t="shared" si="24"/>
        <v>37.922500000000007</v>
      </c>
      <c r="S154" s="177">
        <f>$L$11*(1+$L$9)^N154*'Récapitulatif des résultats'!$I$11</f>
        <v>0</v>
      </c>
      <c r="T154" s="238"/>
      <c r="U154" s="177"/>
      <c r="V154" s="246">
        <f t="shared" si="25"/>
        <v>0</v>
      </c>
      <c r="W154" s="185">
        <f>SUM('Pin Laricio'!AQ138*'Pin Laricio'!$F$21,Douglas!AQ138*Douglas!$F$21,'Cedre de l''Atlas'!AQ138*'Cedre de l''Atlas'!$F$21,'Sequoia sempervirens'!AQ138*'Sequoia sempervirens'!$F$21,Chêne!AQ138*Chêne!$F$21,Charme!AQ138*Charme!$F$21)</f>
        <v>0</v>
      </c>
      <c r="X154" s="185">
        <f>SUM('Pin Laricio'!AR138*'Pin Laricio'!$F$21,Douglas!AR138*Douglas!$F$21,'Cedre de l''Atlas'!AR138*'Cedre de l''Atlas'!$F$21,'Sequoia sempervirens'!AR138*'Sequoia sempervirens'!$F$21,Chêne!AR138*Chêne!$F$21,Charme!AR138*Charme!$F$21)</f>
        <v>0</v>
      </c>
      <c r="Y154" s="185">
        <f>SUM('Pin Laricio'!AS138*'Pin Laricio'!$F$21,Douglas!AS138*Douglas!$F$21,'Cedre de l''Atlas'!AS138*'Cedre de l''Atlas'!$F$21,'Sequoia sempervirens'!AS138*'Sequoia sempervirens'!$F$21,Chêne!AS138*Chêne!$F$21,Charme!AS138*Charme!$F$21)</f>
        <v>0</v>
      </c>
      <c r="Z154" s="328">
        <f>SUM('Pin Laricio'!AT138*'Pin Laricio'!$F$21,Douglas!AT138*Douglas!$F$21,'Cedre de l''Atlas'!AT138*'Cedre de l''Atlas'!$F$21,'Sequoia sempervirens'!AT138*'Sequoia sempervirens'!$F$21,Chêne!AT138*Chêne!$F$21,Charme!AT138*Charme!$F$21)</f>
        <v>0</v>
      </c>
      <c r="AA154" s="175">
        <f t="shared" si="27"/>
        <v>0</v>
      </c>
      <c r="AB154" s="176">
        <f t="shared" si="26"/>
        <v>-1.6623255046983894</v>
      </c>
      <c r="AC154" s="175"/>
      <c r="AD154" s="175"/>
    </row>
    <row r="155" spans="2:30">
      <c r="B155" s="166" t="s">
        <v>42</v>
      </c>
      <c r="C155" s="4">
        <v>0.53</v>
      </c>
      <c r="D155" s="188" t="s">
        <v>227</v>
      </c>
      <c r="E155" s="252" t="s">
        <v>249</v>
      </c>
      <c r="F155" s="251">
        <f>IF(Tableau14582[[#This Row],[Type]]="Feuillus",11*1.25,15.5*1.25)</f>
        <v>13.75</v>
      </c>
      <c r="G155" s="205">
        <v>10</v>
      </c>
      <c r="M155"/>
      <c r="N155" s="71">
        <v>134</v>
      </c>
      <c r="O155" s="236"/>
      <c r="P155" s="177"/>
      <c r="Q155" s="237">
        <f t="shared" ref="Q155:Q186" si="28">$L$13*(1+$L$9)^N155*$L$5</f>
        <v>541.75</v>
      </c>
      <c r="R155" s="177">
        <f t="shared" si="24"/>
        <v>37.922500000000007</v>
      </c>
      <c r="S155" s="177">
        <f>$L$11*(1+$L$9)^N155*'Récapitulatif des résultats'!$I$11</f>
        <v>0</v>
      </c>
      <c r="T155" s="238"/>
      <c r="U155" s="177"/>
      <c r="V155" s="246">
        <f t="shared" si="25"/>
        <v>0</v>
      </c>
      <c r="W155" s="185">
        <f>SUM('Pin Laricio'!AQ139*'Pin Laricio'!$F$21,Douglas!AQ139*Douglas!$F$21,'Cedre de l''Atlas'!AQ139*'Cedre de l''Atlas'!$F$21,'Sequoia sempervirens'!AQ139*'Sequoia sempervirens'!$F$21,Chêne!AQ139*Chêne!$F$21,Charme!AQ139*Charme!$F$21)</f>
        <v>0</v>
      </c>
      <c r="X155" s="185">
        <f>SUM('Pin Laricio'!AR139*'Pin Laricio'!$F$21,Douglas!AR139*Douglas!$F$21,'Cedre de l''Atlas'!AR139*'Cedre de l''Atlas'!$F$21,'Sequoia sempervirens'!AR139*'Sequoia sempervirens'!$F$21,Chêne!AR139*Chêne!$F$21,Charme!AR139*Charme!$F$21)</f>
        <v>0</v>
      </c>
      <c r="Y155" s="185">
        <f>SUM('Pin Laricio'!AS139*'Pin Laricio'!$F$21,Douglas!AS139*Douglas!$F$21,'Cedre de l''Atlas'!AS139*'Cedre de l''Atlas'!$F$21,'Sequoia sempervirens'!AS139*'Sequoia sempervirens'!$F$21,Chêne!AS139*Chêne!$F$21,Charme!AS139*Charme!$F$21)</f>
        <v>0</v>
      </c>
      <c r="Z155" s="328">
        <f>SUM('Pin Laricio'!AT139*'Pin Laricio'!$F$21,Douglas!AT139*Douglas!$F$21,'Cedre de l''Atlas'!AT139*'Cedre de l''Atlas'!$F$21,'Sequoia sempervirens'!AT139*'Sequoia sempervirens'!$F$21,Chêne!AT139*Chêne!$F$21,Charme!AT139*Charme!$F$21)</f>
        <v>0</v>
      </c>
      <c r="AA155" s="175">
        <f t="shared" si="27"/>
        <v>0</v>
      </c>
      <c r="AB155" s="176">
        <f t="shared" si="26"/>
        <v>-1.5907421097592247</v>
      </c>
      <c r="AC155" s="175"/>
      <c r="AD155" s="175"/>
    </row>
    <row r="156" spans="2:30">
      <c r="B156" s="166" t="s">
        <v>43</v>
      </c>
      <c r="C156" s="4">
        <v>0.52</v>
      </c>
      <c r="D156" s="188" t="s">
        <v>227</v>
      </c>
      <c r="E156" s="252" t="s">
        <v>249</v>
      </c>
      <c r="F156" s="251">
        <f>IF(Tableau14582[[#This Row],[Type]]="Feuillus",11*1.25,15.5*1.25)</f>
        <v>13.75</v>
      </c>
      <c r="G156" s="205">
        <v>10</v>
      </c>
      <c r="M156"/>
      <c r="N156" s="71">
        <v>135</v>
      </c>
      <c r="O156" s="236"/>
      <c r="P156" s="177"/>
      <c r="Q156" s="237">
        <f t="shared" si="28"/>
        <v>541.75</v>
      </c>
      <c r="R156" s="177">
        <f t="shared" si="24"/>
        <v>37.922500000000007</v>
      </c>
      <c r="S156" s="177">
        <f>$L$11*(1+$L$9)^N156*'Récapitulatif des résultats'!$I$11</f>
        <v>0</v>
      </c>
      <c r="T156" s="238"/>
      <c r="U156" s="177"/>
      <c r="V156" s="246">
        <f t="shared" si="25"/>
        <v>0</v>
      </c>
      <c r="W156" s="185">
        <f>SUM('Pin Laricio'!AQ140*'Pin Laricio'!$F$21,Douglas!AQ140*Douglas!$F$21,'Cedre de l''Atlas'!AQ140*'Cedre de l''Atlas'!$F$21,'Sequoia sempervirens'!AQ140*'Sequoia sempervirens'!$F$21,Chêne!AQ140*Chêne!$F$21,Charme!AQ140*Charme!$F$21)</f>
        <v>0</v>
      </c>
      <c r="X156" s="185">
        <f>SUM('Pin Laricio'!AR140*'Pin Laricio'!$F$21,Douglas!AR140*Douglas!$F$21,'Cedre de l''Atlas'!AR140*'Cedre de l''Atlas'!$F$21,'Sequoia sempervirens'!AR140*'Sequoia sempervirens'!$F$21,Chêne!AR140*Chêne!$F$21,Charme!AR140*Charme!$F$21)</f>
        <v>0</v>
      </c>
      <c r="Y156" s="185">
        <f>SUM('Pin Laricio'!AS140*'Pin Laricio'!$F$21,Douglas!AS140*Douglas!$F$21,'Cedre de l''Atlas'!AS140*'Cedre de l''Atlas'!$F$21,'Sequoia sempervirens'!AS140*'Sequoia sempervirens'!$F$21,Chêne!AS140*Chêne!$F$21,Charme!AS140*Charme!$F$21)</f>
        <v>0</v>
      </c>
      <c r="Z156" s="328">
        <f>SUM('Pin Laricio'!AT140*'Pin Laricio'!$F$21,Douglas!AT140*Douglas!$F$21,'Cedre de l''Atlas'!AT140*'Cedre de l''Atlas'!$F$21,'Sequoia sempervirens'!AT140*'Sequoia sempervirens'!$F$21,Chêne!AT140*Chêne!$F$21,Charme!AT140*Charme!$F$21)</f>
        <v>0</v>
      </c>
      <c r="AA156" s="175">
        <f t="shared" si="27"/>
        <v>43613.114999999991</v>
      </c>
      <c r="AB156" s="176">
        <f t="shared" si="26"/>
        <v>113.0073989149289</v>
      </c>
      <c r="AC156" s="175"/>
      <c r="AD156" s="175"/>
    </row>
    <row r="157" spans="2:30">
      <c r="B157" s="166" t="s">
        <v>44</v>
      </c>
      <c r="C157" s="4">
        <v>0.52</v>
      </c>
      <c r="D157" s="188" t="s">
        <v>227</v>
      </c>
      <c r="E157" s="205">
        <v>300</v>
      </c>
      <c r="F157" s="251">
        <f>IF(Tableau14582[[#This Row],[Type]]="Feuillus",11*1.25,15.5*1.25)</f>
        <v>13.75</v>
      </c>
      <c r="G157" s="205">
        <v>10</v>
      </c>
      <c r="M157"/>
      <c r="N157" s="71">
        <v>136</v>
      </c>
      <c r="O157" s="236"/>
      <c r="P157" s="177"/>
      <c r="Q157" s="237">
        <f t="shared" si="28"/>
        <v>541.75</v>
      </c>
      <c r="R157" s="177">
        <f t="shared" si="24"/>
        <v>37.922500000000007</v>
      </c>
      <c r="S157" s="177">
        <f>$L$11*(1+$L$9)^N157*'Récapitulatif des résultats'!$I$11</f>
        <v>0</v>
      </c>
      <c r="T157" s="238"/>
      <c r="U157" s="177"/>
      <c r="V157" s="246">
        <f t="shared" si="25"/>
        <v>0</v>
      </c>
      <c r="W157" s="185">
        <f>SUM('Pin Laricio'!AQ141*'Pin Laricio'!$F$21,Douglas!AQ141*Douglas!$F$21,'Cedre de l''Atlas'!AQ141*'Cedre de l''Atlas'!$F$21,'Sequoia sempervirens'!AQ141*'Sequoia sempervirens'!$F$21,Chêne!AQ141*Chêne!$F$21,Charme!AQ141*Charme!$F$21)</f>
        <v>0</v>
      </c>
      <c r="X157" s="185">
        <f>SUM('Pin Laricio'!AR141*'Pin Laricio'!$F$21,Douglas!AR141*Douglas!$F$21,'Cedre de l''Atlas'!AR141*'Cedre de l''Atlas'!$F$21,'Sequoia sempervirens'!AR141*'Sequoia sempervirens'!$F$21,Chêne!AR141*Chêne!$F$21,Charme!AR141*Charme!$F$21)</f>
        <v>0</v>
      </c>
      <c r="Y157" s="185">
        <f>SUM('Pin Laricio'!AS141*'Pin Laricio'!$F$21,Douglas!AS141*Douglas!$F$21,'Cedre de l''Atlas'!AS141*'Cedre de l''Atlas'!$F$21,'Sequoia sempervirens'!AS141*'Sequoia sempervirens'!$F$21,Chêne!AS141*Chêne!$F$21,Charme!AS141*Charme!$F$21)</f>
        <v>0</v>
      </c>
      <c r="Z157" s="328">
        <f>SUM('Pin Laricio'!AT141*'Pin Laricio'!$F$21,Douglas!AT141*Douglas!$F$21,'Cedre de l''Atlas'!AT141*'Cedre de l''Atlas'!$F$21,'Sequoia sempervirens'!AT141*'Sequoia sempervirens'!$F$21,Chêne!AT141*Chêne!$F$21,Charme!AT141*Charme!$F$21)</f>
        <v>0</v>
      </c>
      <c r="AA157" s="175">
        <f t="shared" si="27"/>
        <v>0</v>
      </c>
      <c r="AB157" s="176">
        <f t="shared" si="26"/>
        <v>0</v>
      </c>
      <c r="AC157" s="175"/>
      <c r="AD157" s="175"/>
    </row>
    <row r="158" spans="2:30">
      <c r="B158" s="166" t="s">
        <v>45</v>
      </c>
      <c r="C158" s="4">
        <v>0.75</v>
      </c>
      <c r="D158" s="188" t="s">
        <v>227</v>
      </c>
      <c r="E158" s="252" t="s">
        <v>249</v>
      </c>
      <c r="F158" s="251">
        <f>IF(Tableau14582[[#This Row],[Type]]="Feuillus",11*1.25,15.5*1.25)</f>
        <v>13.75</v>
      </c>
      <c r="G158" s="205">
        <v>10</v>
      </c>
      <c r="M158"/>
      <c r="N158" s="71">
        <v>137</v>
      </c>
      <c r="O158" s="236"/>
      <c r="P158" s="177"/>
      <c r="Q158" s="237">
        <f t="shared" si="28"/>
        <v>541.75</v>
      </c>
      <c r="R158" s="177">
        <f t="shared" si="24"/>
        <v>37.922500000000007</v>
      </c>
      <c r="S158" s="177">
        <f>$L$11*(1+$L$9)^N158*'Récapitulatif des résultats'!$I$11</f>
        <v>0</v>
      </c>
      <c r="T158" s="238"/>
      <c r="U158" s="177"/>
      <c r="V158" s="246">
        <f t="shared" si="25"/>
        <v>0</v>
      </c>
      <c r="W158" s="185">
        <f>SUM('Pin Laricio'!AQ142*'Pin Laricio'!$F$21,Douglas!AQ142*Douglas!$F$21,'Cedre de l''Atlas'!AQ142*'Cedre de l''Atlas'!$F$21,'Sequoia sempervirens'!AQ142*'Sequoia sempervirens'!$F$21,Chêne!AQ142*Chêne!$F$21,Charme!AQ142*Charme!$F$21)</f>
        <v>0</v>
      </c>
      <c r="X158" s="185">
        <f>SUM('Pin Laricio'!AR142*'Pin Laricio'!$F$21,Douglas!AR142*Douglas!$F$21,'Cedre de l''Atlas'!AR142*'Cedre de l''Atlas'!$F$21,'Sequoia sempervirens'!AR142*'Sequoia sempervirens'!$F$21,Chêne!AR142*Chêne!$F$21,Charme!AR142*Charme!$F$21)</f>
        <v>0</v>
      </c>
      <c r="Y158" s="185">
        <f>SUM('Pin Laricio'!AS142*'Pin Laricio'!$F$21,Douglas!AS142*Douglas!$F$21,'Cedre de l''Atlas'!AS142*'Cedre de l''Atlas'!$F$21,'Sequoia sempervirens'!AS142*'Sequoia sempervirens'!$F$21,Chêne!AS142*Chêne!$F$21,Charme!AS142*Charme!$F$21)</f>
        <v>0</v>
      </c>
      <c r="Z158" s="328">
        <f>SUM('Pin Laricio'!AT142*'Pin Laricio'!$F$21,Douglas!AT142*Douglas!$F$21,'Cedre de l''Atlas'!AT142*'Cedre de l''Atlas'!$F$21,'Sequoia sempervirens'!AT142*'Sequoia sempervirens'!$F$21,Chêne!AT142*Chêne!$F$21,Charme!AT142*Charme!$F$21)</f>
        <v>0</v>
      </c>
      <c r="AA158" s="175">
        <f t="shared" si="27"/>
        <v>0</v>
      </c>
      <c r="AB158" s="176">
        <f t="shared" si="26"/>
        <v>0</v>
      </c>
      <c r="AC158" s="175"/>
      <c r="AD158" s="175"/>
    </row>
    <row r="159" spans="2:30">
      <c r="B159" s="166" t="s">
        <v>46</v>
      </c>
      <c r="C159" s="4">
        <v>0.52</v>
      </c>
      <c r="D159" s="188" t="s">
        <v>227</v>
      </c>
      <c r="E159" s="205">
        <v>50</v>
      </c>
      <c r="F159" s="251">
        <f>IF(Tableau14582[[#This Row],[Type]]="Feuillus",11*1.25,15.5*1.25)</f>
        <v>13.75</v>
      </c>
      <c r="G159" s="205">
        <v>10</v>
      </c>
      <c r="M159"/>
      <c r="N159" s="71">
        <v>138</v>
      </c>
      <c r="O159" s="236"/>
      <c r="P159" s="177"/>
      <c r="Q159" s="237">
        <f t="shared" si="28"/>
        <v>541.75</v>
      </c>
      <c r="R159" s="177">
        <f t="shared" si="24"/>
        <v>37.922500000000007</v>
      </c>
      <c r="S159" s="177">
        <f>$L$11*(1+$L$9)^N159*'Récapitulatif des résultats'!$I$11</f>
        <v>0</v>
      </c>
      <c r="T159" s="238"/>
      <c r="U159" s="177"/>
      <c r="V159" s="246">
        <f t="shared" si="25"/>
        <v>0</v>
      </c>
      <c r="W159" s="185">
        <f>SUM('Pin Laricio'!AQ143*'Pin Laricio'!$F$21,Douglas!AQ143*Douglas!$F$21,'Cedre de l''Atlas'!AQ143*'Cedre de l''Atlas'!$F$21,'Sequoia sempervirens'!AQ143*'Sequoia sempervirens'!$F$21,Chêne!AQ143*Chêne!$F$21,Charme!AQ143*Charme!$F$21)</f>
        <v>0</v>
      </c>
      <c r="X159" s="185">
        <f>SUM('Pin Laricio'!AR143*'Pin Laricio'!$F$21,Douglas!AR143*Douglas!$F$21,'Cedre de l''Atlas'!AR143*'Cedre de l''Atlas'!$F$21,'Sequoia sempervirens'!AR143*'Sequoia sempervirens'!$F$21,Chêne!AR143*Chêne!$F$21,Charme!AR143*Charme!$F$21)</f>
        <v>0</v>
      </c>
      <c r="Y159" s="185">
        <f>SUM('Pin Laricio'!AS143*'Pin Laricio'!$F$21,Douglas!AS143*Douglas!$F$21,'Cedre de l''Atlas'!AS143*'Cedre de l''Atlas'!$F$21,'Sequoia sempervirens'!AS143*'Sequoia sempervirens'!$F$21,Chêne!AS143*Chêne!$F$21,Charme!AS143*Charme!$F$21)</f>
        <v>0</v>
      </c>
      <c r="Z159" s="328">
        <f>SUM('Pin Laricio'!AT143*'Pin Laricio'!$F$21,Douglas!AT143*Douglas!$F$21,'Cedre de l''Atlas'!AT143*'Cedre de l''Atlas'!$F$21,'Sequoia sempervirens'!AT143*'Sequoia sempervirens'!$F$21,Chêne!AT143*Chêne!$F$21,Charme!AT143*Charme!$F$21)</f>
        <v>0</v>
      </c>
      <c r="AA159" s="175">
        <f t="shared" si="27"/>
        <v>0</v>
      </c>
      <c r="AB159" s="176">
        <f t="shared" si="26"/>
        <v>0</v>
      </c>
      <c r="AC159" s="175"/>
      <c r="AD159" s="175"/>
    </row>
    <row r="160" spans="2:30">
      <c r="B160" s="166" t="s">
        <v>47</v>
      </c>
      <c r="C160" s="4">
        <v>0.35</v>
      </c>
      <c r="D160" s="188" t="s">
        <v>229</v>
      </c>
      <c r="E160" s="205">
        <v>42</v>
      </c>
      <c r="F160" s="251">
        <f>IF(Tableau14582[[#This Row],[Type]]="Feuillus",11*1.25,15.5*1.25)</f>
        <v>19.375</v>
      </c>
      <c r="G160" s="205">
        <v>10</v>
      </c>
      <c r="M160"/>
      <c r="N160" s="71">
        <v>139</v>
      </c>
      <c r="O160" s="236"/>
      <c r="P160" s="177"/>
      <c r="Q160" s="237">
        <f t="shared" si="28"/>
        <v>541.75</v>
      </c>
      <c r="R160" s="177">
        <f t="shared" si="24"/>
        <v>37.922500000000007</v>
      </c>
      <c r="S160" s="177">
        <f>$L$11*(1+$L$9)^N160*'Récapitulatif des résultats'!$I$11</f>
        <v>0</v>
      </c>
      <c r="T160" s="238"/>
      <c r="U160" s="177"/>
      <c r="V160" s="246">
        <f t="shared" si="25"/>
        <v>0</v>
      </c>
      <c r="W160" s="185">
        <f>SUM('Pin Laricio'!AQ144*'Pin Laricio'!$F$21,Douglas!AQ144*Douglas!$F$21,'Cedre de l''Atlas'!AQ144*'Cedre de l''Atlas'!$F$21,'Sequoia sempervirens'!AQ144*'Sequoia sempervirens'!$F$21,Chêne!AQ144*Chêne!$F$21,Charme!AQ144*Charme!$F$21)</f>
        <v>0</v>
      </c>
      <c r="X160" s="185">
        <f>SUM('Pin Laricio'!AR144*'Pin Laricio'!$F$21,Douglas!AR144*Douglas!$F$21,'Cedre de l''Atlas'!AR144*'Cedre de l''Atlas'!$F$21,'Sequoia sempervirens'!AR144*'Sequoia sempervirens'!$F$21,Chêne!AR144*Chêne!$F$21,Charme!AR144*Charme!$F$21)</f>
        <v>0</v>
      </c>
      <c r="Y160" s="185">
        <f>SUM('Pin Laricio'!AS144*'Pin Laricio'!$F$21,Douglas!AS144*Douglas!$F$21,'Cedre de l''Atlas'!AS144*'Cedre de l''Atlas'!$F$21,'Sequoia sempervirens'!AS144*'Sequoia sempervirens'!$F$21,Chêne!AS144*Chêne!$F$21,Charme!AS144*Charme!$F$21)</f>
        <v>0</v>
      </c>
      <c r="Z160" s="328">
        <f>SUM('Pin Laricio'!AT144*'Pin Laricio'!$F$21,Douglas!AT144*Douglas!$F$21,'Cedre de l''Atlas'!AT144*'Cedre de l''Atlas'!$F$21,'Sequoia sempervirens'!AT144*'Sequoia sempervirens'!$F$21,Chêne!AT144*Chêne!$F$21,Charme!AT144*Charme!$F$21)</f>
        <v>0</v>
      </c>
      <c r="AA160" s="175">
        <f t="shared" si="27"/>
        <v>0</v>
      </c>
      <c r="AB160" s="176">
        <f t="shared" si="26"/>
        <v>0</v>
      </c>
      <c r="AC160" s="175"/>
      <c r="AD160" s="175"/>
    </row>
    <row r="161" spans="2:30">
      <c r="B161" s="166" t="s">
        <v>48</v>
      </c>
      <c r="C161" s="4">
        <v>0.37</v>
      </c>
      <c r="D161" s="188" t="s">
        <v>227</v>
      </c>
      <c r="E161" s="205">
        <v>17.5</v>
      </c>
      <c r="F161" s="251">
        <f>IF(Tableau14582[[#This Row],[Type]]="Feuillus",11*1.25,15.5*1.25)</f>
        <v>13.75</v>
      </c>
      <c r="G161" s="205">
        <v>10</v>
      </c>
      <c r="M161"/>
      <c r="N161" s="71">
        <v>140</v>
      </c>
      <c r="O161" s="236"/>
      <c r="P161" s="177"/>
      <c r="Q161" s="237">
        <f t="shared" si="28"/>
        <v>541.75</v>
      </c>
      <c r="R161" s="177">
        <f t="shared" si="24"/>
        <v>37.922500000000007</v>
      </c>
      <c r="S161" s="177">
        <f>$L$11*(1+$L$9)^N161*'Récapitulatif des résultats'!$I$11</f>
        <v>0</v>
      </c>
      <c r="T161" s="238"/>
      <c r="U161" s="177"/>
      <c r="V161" s="246">
        <f t="shared" si="25"/>
        <v>0</v>
      </c>
      <c r="W161" s="185">
        <f>SUM('Pin Laricio'!AQ145*'Pin Laricio'!$F$21,Douglas!AQ145*Douglas!$F$21,'Cedre de l''Atlas'!AQ145*'Cedre de l''Atlas'!$F$21,'Sequoia sempervirens'!AQ145*'Sequoia sempervirens'!$F$21,Chêne!AQ145*Chêne!$F$21,Charme!AQ145*Charme!$F$21)</f>
        <v>0</v>
      </c>
      <c r="X161" s="185">
        <f>SUM('Pin Laricio'!AR145*'Pin Laricio'!$F$21,Douglas!AR145*Douglas!$F$21,'Cedre de l''Atlas'!AR145*'Cedre de l''Atlas'!$F$21,'Sequoia sempervirens'!AR145*'Sequoia sempervirens'!$F$21,Chêne!AR145*Chêne!$F$21,Charme!AR145*Charme!$F$21)</f>
        <v>0</v>
      </c>
      <c r="Y161" s="185">
        <f>SUM('Pin Laricio'!AS145*'Pin Laricio'!$F$21,Douglas!AS145*Douglas!$F$21,'Cedre de l''Atlas'!AS145*'Cedre de l''Atlas'!$F$21,'Sequoia sempervirens'!AS145*'Sequoia sempervirens'!$F$21,Chêne!AS145*Chêne!$F$21,Charme!AS145*Charme!$F$21)</f>
        <v>0</v>
      </c>
      <c r="Z161" s="328">
        <f>SUM('Pin Laricio'!AT145*'Pin Laricio'!$F$21,Douglas!AT145*Douglas!$F$21,'Cedre de l''Atlas'!AT145*'Cedre de l''Atlas'!$F$21,'Sequoia sempervirens'!AT145*'Sequoia sempervirens'!$F$21,Chêne!AT145*Chêne!$F$21,Charme!AT145*Charme!$F$21)</f>
        <v>0</v>
      </c>
      <c r="AA161" s="175">
        <f t="shared" si="27"/>
        <v>0</v>
      </c>
      <c r="AB161" s="176">
        <f t="shared" si="26"/>
        <v>0</v>
      </c>
      <c r="AC161" s="175"/>
      <c r="AD161" s="175"/>
    </row>
    <row r="162" spans="2:30">
      <c r="B162" s="166" t="s">
        <v>49</v>
      </c>
      <c r="C162" s="4">
        <v>0.45</v>
      </c>
      <c r="D162" s="188" t="s">
        <v>228</v>
      </c>
      <c r="E162" s="205">
        <v>30</v>
      </c>
      <c r="F162" s="251">
        <f>IF(Tableau14582[[#This Row],[Type]]="Feuillus",11*1.25,15.5*1.25)</f>
        <v>19.375</v>
      </c>
      <c r="G162" s="205">
        <v>10</v>
      </c>
      <c r="M162"/>
      <c r="N162" s="71">
        <v>141</v>
      </c>
      <c r="O162" s="236"/>
      <c r="P162" s="177"/>
      <c r="Q162" s="237">
        <f t="shared" si="28"/>
        <v>541.75</v>
      </c>
      <c r="R162" s="177">
        <f t="shared" si="24"/>
        <v>37.922500000000007</v>
      </c>
      <c r="S162" s="177">
        <f>$L$11*(1+$L$9)^N162*'Récapitulatif des résultats'!$I$11</f>
        <v>0</v>
      </c>
      <c r="T162" s="238"/>
      <c r="U162" s="177"/>
      <c r="V162" s="246">
        <f t="shared" si="25"/>
        <v>0</v>
      </c>
      <c r="W162" s="185">
        <f>SUM('Pin Laricio'!AQ146*'Pin Laricio'!$F$21,Douglas!AQ146*Douglas!$F$21,'Cedre de l''Atlas'!AQ146*'Cedre de l''Atlas'!$F$21,'Sequoia sempervirens'!AQ146*'Sequoia sempervirens'!$F$21,Chêne!AQ146*Chêne!$F$21,Charme!AQ146*Charme!$F$21)</f>
        <v>0</v>
      </c>
      <c r="X162" s="185">
        <f>SUM('Pin Laricio'!AR146*'Pin Laricio'!$F$21,Douglas!AR146*Douglas!$F$21,'Cedre de l''Atlas'!AR146*'Cedre de l''Atlas'!$F$21,'Sequoia sempervirens'!AR146*'Sequoia sempervirens'!$F$21,Chêne!AR146*Chêne!$F$21,Charme!AR146*Charme!$F$21)</f>
        <v>0</v>
      </c>
      <c r="Y162" s="185">
        <f>SUM('Pin Laricio'!AS146*'Pin Laricio'!$F$21,Douglas!AS146*Douglas!$F$21,'Cedre de l''Atlas'!AS146*'Cedre de l''Atlas'!$F$21,'Sequoia sempervirens'!AS146*'Sequoia sempervirens'!$F$21,Chêne!AS146*Chêne!$F$21,Charme!AS146*Charme!$F$21)</f>
        <v>0</v>
      </c>
      <c r="Z162" s="328">
        <f>SUM('Pin Laricio'!AT146*'Pin Laricio'!$F$21,Douglas!AT146*Douglas!$F$21,'Cedre de l''Atlas'!AT146*'Cedre de l''Atlas'!$F$21,'Sequoia sempervirens'!AT146*'Sequoia sempervirens'!$F$21,Chêne!AT146*Chêne!$F$21,Charme!AT146*Charme!$F$21)</f>
        <v>0</v>
      </c>
      <c r="AA162" s="175">
        <f t="shared" si="27"/>
        <v>0</v>
      </c>
      <c r="AB162" s="176">
        <f t="shared" si="26"/>
        <v>0</v>
      </c>
      <c r="AC162" s="175"/>
      <c r="AD162" s="175"/>
    </row>
    <row r="163" spans="2:30">
      <c r="B163" s="166" t="s">
        <v>50</v>
      </c>
      <c r="C163" s="4">
        <v>0.39</v>
      </c>
      <c r="D163" s="188" t="s">
        <v>228</v>
      </c>
      <c r="E163" s="205">
        <v>30</v>
      </c>
      <c r="F163" s="251">
        <f>IF(Tableau14582[[#This Row],[Type]]="Feuillus",11*1.25,15.5*1.25)</f>
        <v>19.375</v>
      </c>
      <c r="G163" s="205">
        <v>10</v>
      </c>
      <c r="M163"/>
      <c r="N163" s="71">
        <v>142</v>
      </c>
      <c r="O163" s="236"/>
      <c r="P163" s="177"/>
      <c r="Q163" s="237">
        <f t="shared" si="28"/>
        <v>541.75</v>
      </c>
      <c r="R163" s="177">
        <f t="shared" si="24"/>
        <v>37.922500000000007</v>
      </c>
      <c r="S163" s="177">
        <f>$L$11*(1+$L$9)^N163*'Récapitulatif des résultats'!$I$11</f>
        <v>0</v>
      </c>
      <c r="T163" s="238"/>
      <c r="U163" s="177"/>
      <c r="V163" s="246">
        <f t="shared" si="25"/>
        <v>0</v>
      </c>
      <c r="W163" s="185">
        <f>SUM('Pin Laricio'!AQ147*'Pin Laricio'!$F$21,Douglas!AQ147*Douglas!$F$21,'Cedre de l''Atlas'!AQ147*'Cedre de l''Atlas'!$F$21,'Sequoia sempervirens'!AQ147*'Sequoia sempervirens'!$F$21,Chêne!AQ147*Chêne!$F$21,Charme!AQ147*Charme!$F$21)</f>
        <v>0</v>
      </c>
      <c r="X163" s="185">
        <f>SUM('Pin Laricio'!AR147*'Pin Laricio'!$F$21,Douglas!AR147*Douglas!$F$21,'Cedre de l''Atlas'!AR147*'Cedre de l''Atlas'!$F$21,'Sequoia sempervirens'!AR147*'Sequoia sempervirens'!$F$21,Chêne!AR147*Chêne!$F$21,Charme!AR147*Charme!$F$21)</f>
        <v>0</v>
      </c>
      <c r="Y163" s="185">
        <f>SUM('Pin Laricio'!AS147*'Pin Laricio'!$F$21,Douglas!AS147*Douglas!$F$21,'Cedre de l''Atlas'!AS147*'Cedre de l''Atlas'!$F$21,'Sequoia sempervirens'!AS147*'Sequoia sempervirens'!$F$21,Chêne!AS147*Chêne!$F$21,Charme!AS147*Charme!$F$21)</f>
        <v>0</v>
      </c>
      <c r="Z163" s="328">
        <f>SUM('Pin Laricio'!AT147*'Pin Laricio'!$F$21,Douglas!AT147*Douglas!$F$21,'Cedre de l''Atlas'!AT147*'Cedre de l''Atlas'!$F$21,'Sequoia sempervirens'!AT147*'Sequoia sempervirens'!$F$21,Chêne!AT147*Chêne!$F$21,Charme!AT147*Charme!$F$21)</f>
        <v>0</v>
      </c>
      <c r="AA163" s="175">
        <f t="shared" si="27"/>
        <v>0</v>
      </c>
      <c r="AB163" s="176">
        <f t="shared" si="26"/>
        <v>0</v>
      </c>
      <c r="AC163" s="175"/>
      <c r="AD163" s="175"/>
    </row>
    <row r="164" spans="2:30">
      <c r="B164" s="166" t="s">
        <v>51</v>
      </c>
      <c r="C164" s="4">
        <v>0.44</v>
      </c>
      <c r="D164" s="188" t="s">
        <v>228</v>
      </c>
      <c r="E164" s="205">
        <v>30</v>
      </c>
      <c r="F164" s="251">
        <f>IF(Tableau14582[[#This Row],[Type]]="Feuillus",11*1.25,15.5*1.25)</f>
        <v>19.375</v>
      </c>
      <c r="G164" s="205">
        <v>10</v>
      </c>
      <c r="M164"/>
      <c r="N164" s="71">
        <v>143</v>
      </c>
      <c r="O164" s="236"/>
      <c r="P164" s="177"/>
      <c r="Q164" s="237">
        <f t="shared" si="28"/>
        <v>541.75</v>
      </c>
      <c r="R164" s="177">
        <f t="shared" si="24"/>
        <v>37.922500000000007</v>
      </c>
      <c r="S164" s="177">
        <f>$L$11*(1+$L$9)^N164*'Récapitulatif des résultats'!$I$11</f>
        <v>0</v>
      </c>
      <c r="T164" s="238"/>
      <c r="U164" s="177"/>
      <c r="V164" s="246">
        <f t="shared" si="25"/>
        <v>0</v>
      </c>
      <c r="W164" s="185">
        <f>SUM('Pin Laricio'!AQ148*'Pin Laricio'!$F$21,Douglas!AQ148*Douglas!$F$21,'Cedre de l''Atlas'!AQ148*'Cedre de l''Atlas'!$F$21,'Sequoia sempervirens'!AQ148*'Sequoia sempervirens'!$F$21,Chêne!AQ148*Chêne!$F$21,Charme!AQ148*Charme!$F$21)</f>
        <v>0</v>
      </c>
      <c r="X164" s="185">
        <f>SUM('Pin Laricio'!AR148*'Pin Laricio'!$F$21,Douglas!AR148*Douglas!$F$21,'Cedre de l''Atlas'!AR148*'Cedre de l''Atlas'!$F$21,'Sequoia sempervirens'!AR148*'Sequoia sempervirens'!$F$21,Chêne!AR148*Chêne!$F$21,Charme!AR148*Charme!$F$21)</f>
        <v>0</v>
      </c>
      <c r="Y164" s="185">
        <f>SUM('Pin Laricio'!AS148*'Pin Laricio'!$F$21,Douglas!AS148*Douglas!$F$21,'Cedre de l''Atlas'!AS148*'Cedre de l''Atlas'!$F$21,'Sequoia sempervirens'!AS148*'Sequoia sempervirens'!$F$21,Chêne!AS148*Chêne!$F$21,Charme!AS148*Charme!$F$21)</f>
        <v>0</v>
      </c>
      <c r="Z164" s="328">
        <f>SUM('Pin Laricio'!AT148*'Pin Laricio'!$F$21,Douglas!AT148*Douglas!$F$21,'Cedre de l''Atlas'!AT148*'Cedre de l''Atlas'!$F$21,'Sequoia sempervirens'!AT148*'Sequoia sempervirens'!$F$21,Chêne!AT148*Chêne!$F$21,Charme!AT148*Charme!$F$21)</f>
        <v>0</v>
      </c>
      <c r="AA164" s="175">
        <f t="shared" si="27"/>
        <v>0</v>
      </c>
      <c r="AB164" s="176">
        <f t="shared" si="26"/>
        <v>0</v>
      </c>
      <c r="AC164" s="175"/>
      <c r="AD164" s="175"/>
    </row>
    <row r="165" spans="2:30">
      <c r="B165" s="166" t="s">
        <v>52</v>
      </c>
      <c r="C165" s="4">
        <v>0.46</v>
      </c>
      <c r="D165" s="188" t="s">
        <v>228</v>
      </c>
      <c r="E165" s="205">
        <v>30</v>
      </c>
      <c r="F165" s="251">
        <f>IF(Tableau14582[[#This Row],[Type]]="Feuillus",11*1.25,15.5*1.25)</f>
        <v>19.375</v>
      </c>
      <c r="G165" s="205">
        <v>10</v>
      </c>
      <c r="M165"/>
      <c r="N165" s="71">
        <v>144</v>
      </c>
      <c r="O165" s="236"/>
      <c r="P165" s="177"/>
      <c r="Q165" s="237">
        <f t="shared" si="28"/>
        <v>541.75</v>
      </c>
      <c r="R165" s="177">
        <f t="shared" si="24"/>
        <v>37.922500000000007</v>
      </c>
      <c r="S165" s="177">
        <f>$L$11*(1+$L$9)^N165*'Récapitulatif des résultats'!$I$11</f>
        <v>0</v>
      </c>
      <c r="T165" s="238"/>
      <c r="U165" s="177"/>
      <c r="V165" s="246">
        <f t="shared" si="25"/>
        <v>0</v>
      </c>
      <c r="W165" s="185">
        <f>SUM('Pin Laricio'!AQ149*'Pin Laricio'!$F$21,Douglas!AQ149*Douglas!$F$21,'Cedre de l''Atlas'!AQ149*'Cedre de l''Atlas'!$F$21,'Sequoia sempervirens'!AQ149*'Sequoia sempervirens'!$F$21,Chêne!AQ149*Chêne!$F$21,Charme!AQ149*Charme!$F$21)</f>
        <v>0</v>
      </c>
      <c r="X165" s="185">
        <f>SUM('Pin Laricio'!AR149*'Pin Laricio'!$F$21,Douglas!AR149*Douglas!$F$21,'Cedre de l''Atlas'!AR149*'Cedre de l''Atlas'!$F$21,'Sequoia sempervirens'!AR149*'Sequoia sempervirens'!$F$21,Chêne!AR149*Chêne!$F$21,Charme!AR149*Charme!$F$21)</f>
        <v>0</v>
      </c>
      <c r="Y165" s="185">
        <f>SUM('Pin Laricio'!AS149*'Pin Laricio'!$F$21,Douglas!AS149*Douglas!$F$21,'Cedre de l''Atlas'!AS149*'Cedre de l''Atlas'!$F$21,'Sequoia sempervirens'!AS149*'Sequoia sempervirens'!$F$21,Chêne!AS149*Chêne!$F$21,Charme!AS149*Charme!$F$21)</f>
        <v>0</v>
      </c>
      <c r="Z165" s="328">
        <f>SUM('Pin Laricio'!AT149*'Pin Laricio'!$F$21,Douglas!AT149*Douglas!$F$21,'Cedre de l''Atlas'!AT149*'Cedre de l''Atlas'!$F$21,'Sequoia sempervirens'!AT149*'Sequoia sempervirens'!$F$21,Chêne!AT149*Chêne!$F$21,Charme!AT149*Charme!$F$21)</f>
        <v>0</v>
      </c>
      <c r="AA165" s="175">
        <f t="shared" si="27"/>
        <v>0</v>
      </c>
      <c r="AB165" s="176">
        <f t="shared" si="26"/>
        <v>0</v>
      </c>
      <c r="AC165" s="175"/>
      <c r="AD165" s="175"/>
    </row>
    <row r="166" spans="2:30" ht="30">
      <c r="B166" s="166" t="s">
        <v>53</v>
      </c>
      <c r="C166" s="4">
        <v>0.46</v>
      </c>
      <c r="D166" s="188" t="s">
        <v>230</v>
      </c>
      <c r="E166" s="205">
        <v>42</v>
      </c>
      <c r="F166" s="251">
        <f>IF(Tableau14582[[#This Row],[Type]]="Feuillus",11*1.25,15.5*1.25)</f>
        <v>19.375</v>
      </c>
      <c r="G166" s="205">
        <v>10</v>
      </c>
      <c r="M166"/>
      <c r="N166" s="71">
        <v>145</v>
      </c>
      <c r="O166" s="236"/>
      <c r="P166" s="177"/>
      <c r="Q166" s="237">
        <f t="shared" si="28"/>
        <v>541.75</v>
      </c>
      <c r="R166" s="177">
        <f t="shared" si="24"/>
        <v>37.922500000000007</v>
      </c>
      <c r="S166" s="177">
        <f>$L$11*(1+$L$9)^N166*'Récapitulatif des résultats'!$I$11</f>
        <v>0</v>
      </c>
      <c r="T166" s="238"/>
      <c r="U166" s="177"/>
      <c r="V166" s="246">
        <f t="shared" si="25"/>
        <v>0</v>
      </c>
      <c r="W166" s="185">
        <f>SUM('Pin Laricio'!AQ150*'Pin Laricio'!$F$21,Douglas!AQ150*Douglas!$F$21,'Cedre de l''Atlas'!AQ150*'Cedre de l''Atlas'!$F$21,'Sequoia sempervirens'!AQ150*'Sequoia sempervirens'!$F$21,Chêne!AQ150*Chêne!$F$21,Charme!AQ150*Charme!$F$21)</f>
        <v>0</v>
      </c>
      <c r="X166" s="185">
        <f>SUM('Pin Laricio'!AR150*'Pin Laricio'!$F$21,Douglas!AR150*Douglas!$F$21,'Cedre de l''Atlas'!AR150*'Cedre de l''Atlas'!$F$21,'Sequoia sempervirens'!AR150*'Sequoia sempervirens'!$F$21,Chêne!AR150*Chêne!$F$21,Charme!AR150*Charme!$F$21)</f>
        <v>0</v>
      </c>
      <c r="Y166" s="185">
        <f>SUM('Pin Laricio'!AS150*'Pin Laricio'!$F$21,Douglas!AS150*Douglas!$F$21,'Cedre de l''Atlas'!AS150*'Cedre de l''Atlas'!$F$21,'Sequoia sempervirens'!AS150*'Sequoia sempervirens'!$F$21,Chêne!AS150*Chêne!$F$21,Charme!AS150*Charme!$F$21)</f>
        <v>0</v>
      </c>
      <c r="Z166" s="328">
        <f>SUM('Pin Laricio'!AT150*'Pin Laricio'!$F$21,Douglas!AT150*Douglas!$F$21,'Cedre de l''Atlas'!AT150*'Cedre de l''Atlas'!$F$21,'Sequoia sempervirens'!AT150*'Sequoia sempervirens'!$F$21,Chêne!AT150*Chêne!$F$21,Charme!AT150*Charme!$F$21)</f>
        <v>0</v>
      </c>
      <c r="AA166" s="175">
        <f t="shared" si="27"/>
        <v>0</v>
      </c>
      <c r="AB166" s="176">
        <f t="shared" si="26"/>
        <v>0</v>
      </c>
      <c r="AC166" s="175"/>
      <c r="AD166" s="175"/>
    </row>
    <row r="167" spans="2:30">
      <c r="B167" s="166" t="s">
        <v>54</v>
      </c>
      <c r="C167" s="4">
        <v>0.44</v>
      </c>
      <c r="D167" s="188" t="s">
        <v>228</v>
      </c>
      <c r="E167" s="205">
        <v>30</v>
      </c>
      <c r="F167" s="251">
        <f>IF(Tableau14582[[#This Row],[Type]]="Feuillus",11*1.25,15.5*1.25)</f>
        <v>19.375</v>
      </c>
      <c r="G167" s="205">
        <v>10</v>
      </c>
      <c r="M167"/>
      <c r="N167" s="71">
        <v>146</v>
      </c>
      <c r="O167" s="236"/>
      <c r="P167" s="177"/>
      <c r="Q167" s="237">
        <f t="shared" si="28"/>
        <v>541.75</v>
      </c>
      <c r="R167" s="177">
        <f t="shared" si="24"/>
        <v>37.922500000000007</v>
      </c>
      <c r="S167" s="177">
        <f>$L$11*(1+$L$9)^N167*'Récapitulatif des résultats'!$I$11</f>
        <v>0</v>
      </c>
      <c r="T167" s="238"/>
      <c r="U167" s="177"/>
      <c r="V167" s="246">
        <f t="shared" si="25"/>
        <v>0</v>
      </c>
      <c r="W167" s="185">
        <f>SUM('Pin Laricio'!AQ151*'Pin Laricio'!$F$21,Douglas!AQ151*Douglas!$F$21,'Cedre de l''Atlas'!AQ151*'Cedre de l''Atlas'!$F$21,'Sequoia sempervirens'!AQ151*'Sequoia sempervirens'!$F$21,Chêne!AQ151*Chêne!$F$21,Charme!AQ151*Charme!$F$21)</f>
        <v>0</v>
      </c>
      <c r="X167" s="185">
        <f>SUM('Pin Laricio'!AR151*'Pin Laricio'!$F$21,Douglas!AR151*Douglas!$F$21,'Cedre de l''Atlas'!AR151*'Cedre de l''Atlas'!$F$21,'Sequoia sempervirens'!AR151*'Sequoia sempervirens'!$F$21,Chêne!AR151*Chêne!$F$21,Charme!AR151*Charme!$F$21)</f>
        <v>0</v>
      </c>
      <c r="Y167" s="185">
        <f>SUM('Pin Laricio'!AS151*'Pin Laricio'!$F$21,Douglas!AS151*Douglas!$F$21,'Cedre de l''Atlas'!AS151*'Cedre de l''Atlas'!$F$21,'Sequoia sempervirens'!AS151*'Sequoia sempervirens'!$F$21,Chêne!AS151*Chêne!$F$21,Charme!AS151*Charme!$F$21)</f>
        <v>0</v>
      </c>
      <c r="Z167" s="328">
        <f>SUM('Pin Laricio'!AT151*'Pin Laricio'!$F$21,Douglas!AT151*Douglas!$F$21,'Cedre de l''Atlas'!AT151*'Cedre de l''Atlas'!$F$21,'Sequoia sempervirens'!AT151*'Sequoia sempervirens'!$F$21,Chêne!AT151*Chêne!$F$21,Charme!AT151*Charme!$F$21)</f>
        <v>0</v>
      </c>
      <c r="AA167" s="175">
        <f t="shared" si="27"/>
        <v>0</v>
      </c>
      <c r="AB167" s="176">
        <f t="shared" si="26"/>
        <v>0</v>
      </c>
      <c r="AC167" s="175"/>
      <c r="AD167" s="175"/>
    </row>
    <row r="168" spans="2:30">
      <c r="B168" s="166" t="s">
        <v>55</v>
      </c>
      <c r="C168" s="4">
        <v>0.46</v>
      </c>
      <c r="D168" s="188" t="s">
        <v>228</v>
      </c>
      <c r="E168" s="205">
        <v>30</v>
      </c>
      <c r="F168" s="251">
        <f>IF(Tableau14582[[#This Row],[Type]]="Feuillus",11*1.25,15.5*1.25)</f>
        <v>19.375</v>
      </c>
      <c r="G168" s="205">
        <v>10</v>
      </c>
      <c r="M168"/>
      <c r="N168" s="71">
        <v>147</v>
      </c>
      <c r="O168" s="236"/>
      <c r="P168" s="177"/>
      <c r="Q168" s="237">
        <f t="shared" si="28"/>
        <v>541.75</v>
      </c>
      <c r="R168" s="177">
        <f t="shared" si="24"/>
        <v>37.922500000000007</v>
      </c>
      <c r="S168" s="177">
        <f>$L$11*(1+$L$9)^N168*'Récapitulatif des résultats'!$I$11</f>
        <v>0</v>
      </c>
      <c r="T168" s="238"/>
      <c r="U168" s="177"/>
      <c r="V168" s="246">
        <f t="shared" si="25"/>
        <v>0</v>
      </c>
      <c r="W168" s="185">
        <f>SUM('Pin Laricio'!AQ152*'Pin Laricio'!$F$21,Douglas!AQ152*Douglas!$F$21,'Cedre de l''Atlas'!AQ152*'Cedre de l''Atlas'!$F$21,'Sequoia sempervirens'!AQ152*'Sequoia sempervirens'!$F$21,Chêne!AQ152*Chêne!$F$21,Charme!AQ152*Charme!$F$21)</f>
        <v>0</v>
      </c>
      <c r="X168" s="185">
        <f>SUM('Pin Laricio'!AR152*'Pin Laricio'!$F$21,Douglas!AR152*Douglas!$F$21,'Cedre de l''Atlas'!AR152*'Cedre de l''Atlas'!$F$21,'Sequoia sempervirens'!AR152*'Sequoia sempervirens'!$F$21,Chêne!AR152*Chêne!$F$21,Charme!AR152*Charme!$F$21)</f>
        <v>0</v>
      </c>
      <c r="Y168" s="185">
        <f>SUM('Pin Laricio'!AS152*'Pin Laricio'!$F$21,Douglas!AS152*Douglas!$F$21,'Cedre de l''Atlas'!AS152*'Cedre de l''Atlas'!$F$21,'Sequoia sempervirens'!AS152*'Sequoia sempervirens'!$F$21,Chêne!AS152*Chêne!$F$21,Charme!AS152*Charme!$F$21)</f>
        <v>0</v>
      </c>
      <c r="Z168" s="328">
        <f>SUM('Pin Laricio'!AT152*'Pin Laricio'!$F$21,Douglas!AT152*Douglas!$F$21,'Cedre de l''Atlas'!AT152*'Cedre de l''Atlas'!$F$21,'Sequoia sempervirens'!AT152*'Sequoia sempervirens'!$F$21,Chêne!AT152*Chêne!$F$21,Charme!AT152*Charme!$F$21)</f>
        <v>0</v>
      </c>
      <c r="AA168" s="175">
        <f t="shared" si="27"/>
        <v>0</v>
      </c>
      <c r="AB168" s="176">
        <f t="shared" si="26"/>
        <v>0</v>
      </c>
      <c r="AC168" s="175"/>
      <c r="AD168" s="175"/>
    </row>
    <row r="169" spans="2:30">
      <c r="B169" s="166" t="s">
        <v>56</v>
      </c>
      <c r="C169" s="4">
        <v>0.48</v>
      </c>
      <c r="D169" s="188" t="s">
        <v>228</v>
      </c>
      <c r="E169" s="205">
        <v>30</v>
      </c>
      <c r="F169" s="251">
        <f>IF(Tableau14582[[#This Row],[Type]]="Feuillus",11*1.25,15.5*1.25)</f>
        <v>19.375</v>
      </c>
      <c r="G169" s="205">
        <v>10</v>
      </c>
      <c r="M169"/>
      <c r="N169" s="71">
        <v>148</v>
      </c>
      <c r="O169" s="236"/>
      <c r="P169" s="177"/>
      <c r="Q169" s="237">
        <f t="shared" si="28"/>
        <v>541.75</v>
      </c>
      <c r="R169" s="177">
        <f t="shared" si="24"/>
        <v>37.922500000000007</v>
      </c>
      <c r="S169" s="177">
        <f>$L$11*(1+$L$9)^N169*'Récapitulatif des résultats'!$I$11</f>
        <v>0</v>
      </c>
      <c r="T169" s="238"/>
      <c r="U169" s="177"/>
      <c r="V169" s="246">
        <f t="shared" si="25"/>
        <v>0</v>
      </c>
      <c r="W169" s="185">
        <f>SUM('Pin Laricio'!AQ153*'Pin Laricio'!$F$21,Douglas!AQ153*Douglas!$F$21,'Cedre de l''Atlas'!AQ153*'Cedre de l''Atlas'!$F$21,'Sequoia sempervirens'!AQ153*'Sequoia sempervirens'!$F$21,Chêne!AQ153*Chêne!$F$21,Charme!AQ153*Charme!$F$21)</f>
        <v>0</v>
      </c>
      <c r="X169" s="185">
        <f>SUM('Pin Laricio'!AR153*'Pin Laricio'!$F$21,Douglas!AR153*Douglas!$F$21,'Cedre de l''Atlas'!AR153*'Cedre de l''Atlas'!$F$21,'Sequoia sempervirens'!AR153*'Sequoia sempervirens'!$F$21,Chêne!AR153*Chêne!$F$21,Charme!AR153*Charme!$F$21)</f>
        <v>0</v>
      </c>
      <c r="Y169" s="185">
        <f>SUM('Pin Laricio'!AS153*'Pin Laricio'!$F$21,Douglas!AS153*Douglas!$F$21,'Cedre de l''Atlas'!AS153*'Cedre de l''Atlas'!$F$21,'Sequoia sempervirens'!AS153*'Sequoia sempervirens'!$F$21,Chêne!AS153*Chêne!$F$21,Charme!AS153*Charme!$F$21)</f>
        <v>0</v>
      </c>
      <c r="Z169" s="328">
        <f>SUM('Pin Laricio'!AT153*'Pin Laricio'!$F$21,Douglas!AT153*Douglas!$F$21,'Cedre de l''Atlas'!AT153*'Cedre de l''Atlas'!$F$21,'Sequoia sempervirens'!AT153*'Sequoia sempervirens'!$F$21,Chêne!AT153*Chêne!$F$21,Charme!AT153*Charme!$F$21)</f>
        <v>0</v>
      </c>
      <c r="AA169" s="175">
        <f t="shared" si="27"/>
        <v>0</v>
      </c>
      <c r="AB169" s="176">
        <f t="shared" si="26"/>
        <v>0</v>
      </c>
      <c r="AC169" s="175"/>
      <c r="AD169" s="175"/>
    </row>
    <row r="170" spans="2:30">
      <c r="B170" s="166" t="s">
        <v>57</v>
      </c>
      <c r="C170" s="4">
        <v>0.44</v>
      </c>
      <c r="D170" s="188" t="s">
        <v>228</v>
      </c>
      <c r="E170" s="205">
        <v>30</v>
      </c>
      <c r="F170" s="251">
        <f>IF(Tableau14582[[#This Row],[Type]]="Feuillus",11*1.25,15.5*1.25)</f>
        <v>19.375</v>
      </c>
      <c r="G170" s="205">
        <v>10</v>
      </c>
      <c r="M170"/>
      <c r="N170" s="71">
        <v>149</v>
      </c>
      <c r="O170" s="236"/>
      <c r="P170" s="177"/>
      <c r="Q170" s="237">
        <f t="shared" si="28"/>
        <v>541.75</v>
      </c>
      <c r="R170" s="177">
        <f t="shared" si="24"/>
        <v>37.922500000000007</v>
      </c>
      <c r="S170" s="177">
        <f>$L$11*(1+$L$9)^N170*'Récapitulatif des résultats'!$I$11</f>
        <v>0</v>
      </c>
      <c r="T170" s="238"/>
      <c r="U170" s="177"/>
      <c r="V170" s="246">
        <f t="shared" si="25"/>
        <v>0</v>
      </c>
      <c r="W170" s="185">
        <f>SUM('Pin Laricio'!AQ154*'Pin Laricio'!$F$21,Douglas!AQ154*Douglas!$F$21,'Cedre de l''Atlas'!AQ154*'Cedre de l''Atlas'!$F$21,'Sequoia sempervirens'!AQ154*'Sequoia sempervirens'!$F$21,Chêne!AQ154*Chêne!$F$21,Charme!AQ154*Charme!$F$21)</f>
        <v>0</v>
      </c>
      <c r="X170" s="185">
        <f>SUM('Pin Laricio'!AR154*'Pin Laricio'!$F$21,Douglas!AR154*Douglas!$F$21,'Cedre de l''Atlas'!AR154*'Cedre de l''Atlas'!$F$21,'Sequoia sempervirens'!AR154*'Sequoia sempervirens'!$F$21,Chêne!AR154*Chêne!$F$21,Charme!AR154*Charme!$F$21)</f>
        <v>0</v>
      </c>
      <c r="Y170" s="185">
        <f>SUM('Pin Laricio'!AS154*'Pin Laricio'!$F$21,Douglas!AS154*Douglas!$F$21,'Cedre de l''Atlas'!AS154*'Cedre de l''Atlas'!$F$21,'Sequoia sempervirens'!AS154*'Sequoia sempervirens'!$F$21,Chêne!AS154*Chêne!$F$21,Charme!AS154*Charme!$F$21)</f>
        <v>0</v>
      </c>
      <c r="Z170" s="328">
        <f>SUM('Pin Laricio'!AT154*'Pin Laricio'!$F$21,Douglas!AT154*Douglas!$F$21,'Cedre de l''Atlas'!AT154*'Cedre de l''Atlas'!$F$21,'Sequoia sempervirens'!AT154*'Sequoia sempervirens'!$F$21,Chêne!AT154*Chêne!$F$21,Charme!AT154*Charme!$F$21)</f>
        <v>0</v>
      </c>
      <c r="AA170" s="175">
        <f t="shared" si="27"/>
        <v>0</v>
      </c>
      <c r="AB170" s="176">
        <f t="shared" si="26"/>
        <v>0</v>
      </c>
      <c r="AC170" s="175"/>
      <c r="AD170" s="175"/>
    </row>
    <row r="171" spans="2:30">
      <c r="B171" s="166" t="s">
        <v>58</v>
      </c>
      <c r="C171" s="4">
        <v>0.34</v>
      </c>
      <c r="D171" s="188" t="s">
        <v>228</v>
      </c>
      <c r="E171" s="205">
        <v>30</v>
      </c>
      <c r="F171" s="251">
        <f>IF(Tableau14582[[#This Row],[Type]]="Feuillus",11*1.25,15.5*1.25)</f>
        <v>19.375</v>
      </c>
      <c r="G171" s="205">
        <v>10</v>
      </c>
      <c r="M171"/>
      <c r="N171" s="71">
        <v>150</v>
      </c>
      <c r="O171" s="236"/>
      <c r="P171" s="177"/>
      <c r="Q171" s="237">
        <f t="shared" si="28"/>
        <v>541.75</v>
      </c>
      <c r="R171" s="177">
        <f t="shared" si="24"/>
        <v>37.922500000000007</v>
      </c>
      <c r="S171" s="177">
        <f>$L$11*(1+$L$9)^N171*'Récapitulatif des résultats'!$I$11</f>
        <v>0</v>
      </c>
      <c r="T171" s="238"/>
      <c r="U171" s="177"/>
      <c r="V171" s="246">
        <f t="shared" si="25"/>
        <v>0</v>
      </c>
      <c r="W171" s="185">
        <f>SUM('Pin Laricio'!AQ155*'Pin Laricio'!$F$21,Douglas!AQ155*Douglas!$F$21,'Cedre de l''Atlas'!AQ155*'Cedre de l''Atlas'!$F$21,'Sequoia sempervirens'!AQ155*'Sequoia sempervirens'!$F$21,Chêne!AQ155*Chêne!$F$21,Charme!AQ155*Charme!$F$21)</f>
        <v>0</v>
      </c>
      <c r="X171" s="185">
        <f>SUM('Pin Laricio'!AR155*'Pin Laricio'!$F$21,Douglas!AR155*Douglas!$F$21,'Cedre de l''Atlas'!AR155*'Cedre de l''Atlas'!$F$21,'Sequoia sempervirens'!AR155*'Sequoia sempervirens'!$F$21,Chêne!AR155*Chêne!$F$21,Charme!AR155*Charme!$F$21)</f>
        <v>0</v>
      </c>
      <c r="Y171" s="185">
        <f>SUM('Pin Laricio'!AS155*'Pin Laricio'!$F$21,Douglas!AS155*Douglas!$F$21,'Cedre de l''Atlas'!AS155*'Cedre de l''Atlas'!$F$21,'Sequoia sempervirens'!AS155*'Sequoia sempervirens'!$F$21,Chêne!AS155*Chêne!$F$21,Charme!AS155*Charme!$F$21)</f>
        <v>0</v>
      </c>
      <c r="Z171" s="328">
        <f>SUM('Pin Laricio'!AT155*'Pin Laricio'!$F$21,Douglas!AT155*Douglas!$F$21,'Cedre de l''Atlas'!AT155*'Cedre de l''Atlas'!$F$21,'Sequoia sempervirens'!AT155*'Sequoia sempervirens'!$F$21,Chêne!AT155*Chêne!$F$21,Charme!AT155*Charme!$F$21)</f>
        <v>0</v>
      </c>
      <c r="AA171" s="175">
        <f t="shared" si="27"/>
        <v>0</v>
      </c>
      <c r="AB171" s="176">
        <f t="shared" si="26"/>
        <v>0</v>
      </c>
      <c r="AC171" s="175"/>
      <c r="AD171" s="175"/>
    </row>
    <row r="172" spans="2:30">
      <c r="B172" s="166" t="s">
        <v>59</v>
      </c>
      <c r="C172" s="4">
        <v>0.5</v>
      </c>
      <c r="D172" s="188" t="s">
        <v>227</v>
      </c>
      <c r="E172" s="205">
        <v>50</v>
      </c>
      <c r="F172" s="251">
        <f>IF(Tableau14582[[#This Row],[Type]]="Feuillus",11*1.25,15.5*1.25)</f>
        <v>13.75</v>
      </c>
      <c r="G172" s="205">
        <v>10</v>
      </c>
      <c r="M172"/>
      <c r="N172" s="71">
        <v>151</v>
      </c>
      <c r="O172" s="236"/>
      <c r="P172" s="177"/>
      <c r="Q172" s="237">
        <f t="shared" si="28"/>
        <v>541.75</v>
      </c>
      <c r="R172" s="177">
        <f t="shared" si="24"/>
        <v>37.922500000000007</v>
      </c>
      <c r="S172" s="177">
        <f>$L$11*(1+$L$9)^N172*'Récapitulatif des résultats'!$I$11</f>
        <v>0</v>
      </c>
      <c r="T172" s="238"/>
      <c r="U172" s="177"/>
      <c r="V172" s="246">
        <f t="shared" si="25"/>
        <v>0</v>
      </c>
      <c r="W172" s="185">
        <f>SUM('Pin Laricio'!AQ156*'Pin Laricio'!$F$21,Douglas!AQ156*Douglas!$F$21,'Cedre de l''Atlas'!AQ156*'Cedre de l''Atlas'!$F$21,'Sequoia sempervirens'!AQ156*'Sequoia sempervirens'!$F$21,Chêne!AQ156*Chêne!$F$21,Charme!AQ156*Charme!$F$21)</f>
        <v>0</v>
      </c>
      <c r="X172" s="185">
        <f>SUM('Pin Laricio'!AR156*'Pin Laricio'!$F$21,Douglas!AR156*Douglas!$F$21,'Cedre de l''Atlas'!AR156*'Cedre de l''Atlas'!$F$21,'Sequoia sempervirens'!AR156*'Sequoia sempervirens'!$F$21,Chêne!AR156*Chêne!$F$21,Charme!AR156*Charme!$F$21)</f>
        <v>0</v>
      </c>
      <c r="Y172" s="185">
        <f>SUM('Pin Laricio'!AS156*'Pin Laricio'!$F$21,Douglas!AS156*Douglas!$F$21,'Cedre de l''Atlas'!AS156*'Cedre de l''Atlas'!$F$21,'Sequoia sempervirens'!AS156*'Sequoia sempervirens'!$F$21,Chêne!AS156*Chêne!$F$21,Charme!AS156*Charme!$F$21)</f>
        <v>0</v>
      </c>
      <c r="Z172" s="328">
        <f>SUM('Pin Laricio'!AT156*'Pin Laricio'!$F$21,Douglas!AT156*Douglas!$F$21,'Cedre de l''Atlas'!AT156*'Cedre de l''Atlas'!$F$21,'Sequoia sempervirens'!AT156*'Sequoia sempervirens'!$F$21,Chêne!AT156*Chêne!$F$21,Charme!AT156*Charme!$F$21)</f>
        <v>0</v>
      </c>
      <c r="AA172" s="175">
        <f t="shared" si="27"/>
        <v>0</v>
      </c>
      <c r="AB172" s="176">
        <f t="shared" si="26"/>
        <v>0</v>
      </c>
      <c r="AC172" s="175"/>
      <c r="AD172" s="175"/>
    </row>
    <row r="173" spans="2:30">
      <c r="B173" s="166" t="s">
        <v>60</v>
      </c>
      <c r="C173" s="4">
        <v>0.57999999999999996</v>
      </c>
      <c r="D173" s="188" t="s">
        <v>227</v>
      </c>
      <c r="E173" s="205">
        <v>70</v>
      </c>
      <c r="F173" s="251">
        <f>IF(Tableau14582[[#This Row],[Type]]="Feuillus",11*1.25,15.5*1.25)</f>
        <v>13.75</v>
      </c>
      <c r="G173" s="205">
        <v>10</v>
      </c>
      <c r="M173"/>
      <c r="N173" s="71">
        <v>152</v>
      </c>
      <c r="O173" s="236"/>
      <c r="P173" s="177"/>
      <c r="Q173" s="237">
        <f t="shared" si="28"/>
        <v>541.75</v>
      </c>
      <c r="R173" s="177">
        <f t="shared" si="24"/>
        <v>37.922500000000007</v>
      </c>
      <c r="S173" s="177">
        <f>$L$11*(1+$L$9)^N173*'Récapitulatif des résultats'!$I$11</f>
        <v>0</v>
      </c>
      <c r="T173" s="238"/>
      <c r="U173" s="177"/>
      <c r="V173" s="246">
        <f t="shared" si="25"/>
        <v>0</v>
      </c>
      <c r="W173" s="185">
        <f>SUM('Pin Laricio'!AQ157*'Pin Laricio'!$F$21,Douglas!AQ157*Douglas!$F$21,'Cedre de l''Atlas'!AQ157*'Cedre de l''Atlas'!$F$21,'Sequoia sempervirens'!AQ157*'Sequoia sempervirens'!$F$21,Chêne!AQ157*Chêne!$F$21,Charme!AQ157*Charme!$F$21)</f>
        <v>0</v>
      </c>
      <c r="X173" s="185">
        <f>SUM('Pin Laricio'!AR157*'Pin Laricio'!$F$21,Douglas!AR157*Douglas!$F$21,'Cedre de l''Atlas'!AR157*'Cedre de l''Atlas'!$F$21,'Sequoia sempervirens'!AR157*'Sequoia sempervirens'!$F$21,Chêne!AR157*Chêne!$F$21,Charme!AR157*Charme!$F$21)</f>
        <v>0</v>
      </c>
      <c r="Y173" s="185">
        <f>SUM('Pin Laricio'!AS157*'Pin Laricio'!$F$21,Douglas!AS157*Douglas!$F$21,'Cedre de l''Atlas'!AS157*'Cedre de l''Atlas'!$F$21,'Sequoia sempervirens'!AS157*'Sequoia sempervirens'!$F$21,Chêne!AS157*Chêne!$F$21,Charme!AS157*Charme!$F$21)</f>
        <v>0</v>
      </c>
      <c r="Z173" s="328">
        <f>SUM('Pin Laricio'!AT157*'Pin Laricio'!$F$21,Douglas!AT157*Douglas!$F$21,'Cedre de l''Atlas'!AT157*'Cedre de l''Atlas'!$F$21,'Sequoia sempervirens'!AT157*'Sequoia sempervirens'!$F$21,Chêne!AT157*Chêne!$F$21,Charme!AT157*Charme!$F$21)</f>
        <v>0</v>
      </c>
      <c r="AA173" s="175">
        <f t="shared" si="27"/>
        <v>0</v>
      </c>
      <c r="AB173" s="176">
        <f t="shared" si="26"/>
        <v>0</v>
      </c>
      <c r="AC173" s="175"/>
      <c r="AD173" s="175"/>
    </row>
    <row r="174" spans="2:30">
      <c r="B174" s="166" t="s">
        <v>61</v>
      </c>
      <c r="C174" s="4">
        <v>0.37</v>
      </c>
      <c r="D174" s="188" t="s">
        <v>228</v>
      </c>
      <c r="E174" s="205">
        <v>44</v>
      </c>
      <c r="F174" s="251">
        <f>IF(Tableau14582[[#This Row],[Type]]="Feuillus",11*1.25,15.5*1.25)</f>
        <v>19.375</v>
      </c>
      <c r="G174" s="205">
        <v>10</v>
      </c>
      <c r="M174"/>
      <c r="N174" s="71">
        <v>153</v>
      </c>
      <c r="O174" s="236"/>
      <c r="P174" s="177"/>
      <c r="Q174" s="237">
        <f t="shared" si="28"/>
        <v>541.75</v>
      </c>
      <c r="R174" s="177">
        <f t="shared" si="24"/>
        <v>37.922500000000007</v>
      </c>
      <c r="S174" s="177">
        <f>$L$11*(1+$L$9)^N174*'Récapitulatif des résultats'!$I$11</f>
        <v>0</v>
      </c>
      <c r="T174" s="238"/>
      <c r="U174" s="177"/>
      <c r="V174" s="246">
        <f t="shared" si="25"/>
        <v>0</v>
      </c>
      <c r="W174" s="185">
        <f>SUM('Pin Laricio'!AQ158*'Pin Laricio'!$F$21,Douglas!AQ158*Douglas!$F$21,'Cedre de l''Atlas'!AQ158*'Cedre de l''Atlas'!$F$21,'Sequoia sempervirens'!AQ158*'Sequoia sempervirens'!$F$21,Chêne!AQ158*Chêne!$F$21,Charme!AQ158*Charme!$F$21)</f>
        <v>0</v>
      </c>
      <c r="X174" s="185">
        <f>SUM('Pin Laricio'!AR158*'Pin Laricio'!$F$21,Douglas!AR158*Douglas!$F$21,'Cedre de l''Atlas'!AR158*'Cedre de l''Atlas'!$F$21,'Sequoia sempervirens'!AR158*'Sequoia sempervirens'!$F$21,Chêne!AR158*Chêne!$F$21,Charme!AR158*Charme!$F$21)</f>
        <v>0</v>
      </c>
      <c r="Y174" s="185">
        <f>SUM('Pin Laricio'!AS158*'Pin Laricio'!$F$21,Douglas!AS158*Douglas!$F$21,'Cedre de l''Atlas'!AS158*'Cedre de l''Atlas'!$F$21,'Sequoia sempervirens'!AS158*'Sequoia sempervirens'!$F$21,Chêne!AS158*Chêne!$F$21,Charme!AS158*Charme!$F$21)</f>
        <v>0</v>
      </c>
      <c r="Z174" s="328">
        <f>SUM('Pin Laricio'!AT158*'Pin Laricio'!$F$21,Douglas!AT158*Douglas!$F$21,'Cedre de l''Atlas'!AT158*'Cedre de l''Atlas'!$F$21,'Sequoia sempervirens'!AT158*'Sequoia sempervirens'!$F$21,Chêne!AT158*Chêne!$F$21,Charme!AT158*Charme!$F$21)</f>
        <v>0</v>
      </c>
      <c r="AA174" s="175">
        <f t="shared" si="27"/>
        <v>0</v>
      </c>
      <c r="AB174" s="176">
        <f t="shared" si="26"/>
        <v>0</v>
      </c>
      <c r="AC174" s="175"/>
      <c r="AD174" s="175"/>
    </row>
    <row r="175" spans="2:30">
      <c r="B175" s="166" t="s">
        <v>62</v>
      </c>
      <c r="C175" s="4">
        <v>0.37</v>
      </c>
      <c r="D175" s="188" t="s">
        <v>228</v>
      </c>
      <c r="E175" s="205">
        <v>44</v>
      </c>
      <c r="F175" s="251">
        <f>IF(Tableau14582[[#This Row],[Type]]="Feuillus",11*1.25,15.5*1.25)</f>
        <v>19.375</v>
      </c>
      <c r="G175" s="205">
        <v>10</v>
      </c>
      <c r="M175"/>
      <c r="N175" s="71">
        <v>154</v>
      </c>
      <c r="O175" s="236"/>
      <c r="P175" s="177"/>
      <c r="Q175" s="237">
        <f t="shared" si="28"/>
        <v>541.75</v>
      </c>
      <c r="R175" s="177">
        <f t="shared" si="24"/>
        <v>37.922500000000007</v>
      </c>
      <c r="S175" s="177">
        <f>$L$11*(1+$L$9)^N175*'Récapitulatif des résultats'!$I$11</f>
        <v>0</v>
      </c>
      <c r="T175" s="238"/>
      <c r="U175" s="177"/>
      <c r="V175" s="246">
        <f t="shared" si="25"/>
        <v>0</v>
      </c>
      <c r="W175" s="185">
        <f>SUM('Pin Laricio'!AQ159*'Pin Laricio'!$F$21,Douglas!AQ159*Douglas!$F$21,'Cedre de l''Atlas'!AQ159*'Cedre de l''Atlas'!$F$21,'Sequoia sempervirens'!AQ159*'Sequoia sempervirens'!$F$21,Chêne!AQ159*Chêne!$F$21,Charme!AQ159*Charme!$F$21)</f>
        <v>0</v>
      </c>
      <c r="X175" s="185">
        <f>SUM('Pin Laricio'!AR159*'Pin Laricio'!$F$21,Douglas!AR159*Douglas!$F$21,'Cedre de l''Atlas'!AR159*'Cedre de l''Atlas'!$F$21,'Sequoia sempervirens'!AR159*'Sequoia sempervirens'!$F$21,Chêne!AR159*Chêne!$F$21,Charme!AR159*Charme!$F$21)</f>
        <v>0</v>
      </c>
      <c r="Y175" s="185">
        <f>SUM('Pin Laricio'!AS159*'Pin Laricio'!$F$21,Douglas!AS159*Douglas!$F$21,'Cedre de l''Atlas'!AS159*'Cedre de l''Atlas'!$F$21,'Sequoia sempervirens'!AS159*'Sequoia sempervirens'!$F$21,Chêne!AS159*Chêne!$F$21,Charme!AS159*Charme!$F$21)</f>
        <v>0</v>
      </c>
      <c r="Z175" s="328">
        <f>SUM('Pin Laricio'!AT159*'Pin Laricio'!$F$21,Douglas!AT159*Douglas!$F$21,'Cedre de l''Atlas'!AT159*'Cedre de l''Atlas'!$F$21,'Sequoia sempervirens'!AT159*'Sequoia sempervirens'!$F$21,Chêne!AT159*Chêne!$F$21,Charme!AT159*Charme!$F$21)</f>
        <v>0</v>
      </c>
      <c r="AA175" s="175">
        <f t="shared" si="27"/>
        <v>0</v>
      </c>
      <c r="AB175" s="176">
        <f t="shared" si="26"/>
        <v>0</v>
      </c>
      <c r="AC175" s="175"/>
      <c r="AD175" s="175"/>
    </row>
    <row r="176" spans="2:30">
      <c r="B176" s="166" t="s">
        <v>63</v>
      </c>
      <c r="C176" s="4">
        <v>0.38</v>
      </c>
      <c r="D176" s="188" t="s">
        <v>228</v>
      </c>
      <c r="E176" s="205">
        <v>37</v>
      </c>
      <c r="F176" s="251">
        <f>IF(Tableau14582[[#This Row],[Type]]="Feuillus",11*1.25,15.5*1.25)</f>
        <v>19.375</v>
      </c>
      <c r="G176" s="205">
        <v>10</v>
      </c>
      <c r="M176"/>
      <c r="N176" s="71">
        <v>155</v>
      </c>
      <c r="O176" s="236"/>
      <c r="P176" s="177"/>
      <c r="Q176" s="237">
        <f t="shared" si="28"/>
        <v>541.75</v>
      </c>
      <c r="R176" s="177">
        <f t="shared" si="24"/>
        <v>37.922500000000007</v>
      </c>
      <c r="S176" s="177">
        <f>$L$11*(1+$L$9)^N176*'Récapitulatif des résultats'!$I$11</f>
        <v>0</v>
      </c>
      <c r="T176" s="238"/>
      <c r="U176" s="177"/>
      <c r="V176" s="246">
        <f t="shared" si="25"/>
        <v>0</v>
      </c>
      <c r="W176" s="185">
        <f>SUM('Pin Laricio'!AQ160*'Pin Laricio'!$F$21,Douglas!AQ160*Douglas!$F$21,'Cedre de l''Atlas'!AQ160*'Cedre de l''Atlas'!$F$21,'Sequoia sempervirens'!AQ160*'Sequoia sempervirens'!$F$21,Chêne!AQ160*Chêne!$F$21,Charme!AQ160*Charme!$F$21)</f>
        <v>0</v>
      </c>
      <c r="X176" s="185">
        <f>SUM('Pin Laricio'!AR160*'Pin Laricio'!$F$21,Douglas!AR160*Douglas!$F$21,'Cedre de l''Atlas'!AR160*'Cedre de l''Atlas'!$F$21,'Sequoia sempervirens'!AR160*'Sequoia sempervirens'!$F$21,Chêne!AR160*Chêne!$F$21,Charme!AR160*Charme!$F$21)</f>
        <v>0</v>
      </c>
      <c r="Y176" s="185">
        <f>SUM('Pin Laricio'!AS160*'Pin Laricio'!$F$21,Douglas!AS160*Douglas!$F$21,'Cedre de l''Atlas'!AS160*'Cedre de l''Atlas'!$F$21,'Sequoia sempervirens'!AS160*'Sequoia sempervirens'!$F$21,Chêne!AS160*Chêne!$F$21,Charme!AS160*Charme!$F$21)</f>
        <v>0</v>
      </c>
      <c r="Z176" s="328">
        <f>SUM('Pin Laricio'!AT160*'Pin Laricio'!$F$21,Douglas!AT160*Douglas!$F$21,'Cedre de l''Atlas'!AT160*'Cedre de l''Atlas'!$F$21,'Sequoia sempervirens'!AT160*'Sequoia sempervirens'!$F$21,Chêne!AT160*Chêne!$F$21,Charme!AT160*Charme!$F$21)</f>
        <v>0</v>
      </c>
      <c r="AA176" s="175">
        <f t="shared" si="27"/>
        <v>0</v>
      </c>
      <c r="AB176" s="176">
        <f t="shared" si="26"/>
        <v>0</v>
      </c>
      <c r="AC176" s="175"/>
      <c r="AD176" s="175"/>
    </row>
    <row r="177" spans="2:30">
      <c r="B177" s="166" t="s">
        <v>64</v>
      </c>
      <c r="C177" s="4">
        <v>0.36</v>
      </c>
      <c r="D177" s="188" t="s">
        <v>228</v>
      </c>
      <c r="E177" s="205">
        <v>44</v>
      </c>
      <c r="F177" s="251">
        <f>IF(Tableau14582[[#This Row],[Type]]="Feuillus",11*1.25,15.5*1.25)</f>
        <v>19.375</v>
      </c>
      <c r="G177" s="205">
        <v>10</v>
      </c>
      <c r="M177"/>
      <c r="N177" s="71">
        <v>156</v>
      </c>
      <c r="O177" s="236"/>
      <c r="P177" s="177"/>
      <c r="Q177" s="237">
        <f t="shared" si="28"/>
        <v>541.75</v>
      </c>
      <c r="R177" s="177">
        <f t="shared" si="24"/>
        <v>37.922500000000007</v>
      </c>
      <c r="S177" s="177">
        <f>$L$11*(1+$L$9)^N177*'Récapitulatif des résultats'!$I$11</f>
        <v>0</v>
      </c>
      <c r="T177" s="238"/>
      <c r="U177" s="177"/>
      <c r="V177" s="246">
        <f t="shared" si="25"/>
        <v>0</v>
      </c>
      <c r="W177" s="185">
        <f>SUM('Pin Laricio'!AQ161*'Pin Laricio'!$F$21,Douglas!AQ161*Douglas!$F$21,'Cedre de l''Atlas'!AQ161*'Cedre de l''Atlas'!$F$21,'Sequoia sempervirens'!AQ161*'Sequoia sempervirens'!$F$21,Chêne!AQ161*Chêne!$F$21,Charme!AQ161*Charme!$F$21)</f>
        <v>0</v>
      </c>
      <c r="X177" s="185">
        <f>SUM('Pin Laricio'!AR161*'Pin Laricio'!$F$21,Douglas!AR161*Douglas!$F$21,'Cedre de l''Atlas'!AR161*'Cedre de l''Atlas'!$F$21,'Sequoia sempervirens'!AR161*'Sequoia sempervirens'!$F$21,Chêne!AR161*Chêne!$F$21,Charme!AR161*Charme!$F$21)</f>
        <v>0</v>
      </c>
      <c r="Y177" s="185">
        <f>SUM('Pin Laricio'!AS161*'Pin Laricio'!$F$21,Douglas!AS161*Douglas!$F$21,'Cedre de l''Atlas'!AS161*'Cedre de l''Atlas'!$F$21,'Sequoia sempervirens'!AS161*'Sequoia sempervirens'!$F$21,Chêne!AS161*Chêne!$F$21,Charme!AS161*Charme!$F$21)</f>
        <v>0</v>
      </c>
      <c r="Z177" s="328">
        <f>SUM('Pin Laricio'!AT161*'Pin Laricio'!$F$21,Douglas!AT161*Douglas!$F$21,'Cedre de l''Atlas'!AT161*'Cedre de l''Atlas'!$F$21,'Sequoia sempervirens'!AT161*'Sequoia sempervirens'!$F$21,Chêne!AT161*Chêne!$F$21,Charme!AT161*Charme!$F$21)</f>
        <v>0</v>
      </c>
      <c r="AA177" s="175">
        <f t="shared" si="27"/>
        <v>0</v>
      </c>
      <c r="AB177" s="176">
        <f t="shared" si="26"/>
        <v>0</v>
      </c>
      <c r="AC177" s="175"/>
      <c r="AD177" s="175"/>
    </row>
    <row r="178" spans="2:30">
      <c r="B178" s="166" t="s">
        <v>65</v>
      </c>
      <c r="C178" s="4">
        <v>0.37</v>
      </c>
      <c r="D178" s="188" t="s">
        <v>227</v>
      </c>
      <c r="E178" s="205">
        <v>25</v>
      </c>
      <c r="F178" s="251">
        <f>IF(Tableau14582[[#This Row],[Type]]="Feuillus",11*1.25,15.5*1.25)</f>
        <v>13.75</v>
      </c>
      <c r="G178" s="205">
        <v>10</v>
      </c>
      <c r="M178"/>
      <c r="N178" s="71">
        <v>157</v>
      </c>
      <c r="O178" s="236"/>
      <c r="P178" s="177"/>
      <c r="Q178" s="237">
        <f t="shared" si="28"/>
        <v>541.75</v>
      </c>
      <c r="R178" s="177">
        <f t="shared" si="24"/>
        <v>37.922500000000007</v>
      </c>
      <c r="S178" s="177">
        <f>$L$11*(1+$L$9)^N178*'Récapitulatif des résultats'!$I$11</f>
        <v>0</v>
      </c>
      <c r="T178" s="238"/>
      <c r="U178" s="177"/>
      <c r="V178" s="246">
        <f t="shared" si="25"/>
        <v>0</v>
      </c>
      <c r="W178" s="185">
        <f>SUM('Pin Laricio'!AQ162*'Pin Laricio'!$F$21,Douglas!AQ162*Douglas!$F$21,'Cedre de l''Atlas'!AQ162*'Cedre de l''Atlas'!$F$21,'Sequoia sempervirens'!AQ162*'Sequoia sempervirens'!$F$21,Chêne!AQ162*Chêne!$F$21,Charme!AQ162*Charme!$F$21)</f>
        <v>0</v>
      </c>
      <c r="X178" s="185">
        <f>SUM('Pin Laricio'!AR162*'Pin Laricio'!$F$21,Douglas!AR162*Douglas!$F$21,'Cedre de l''Atlas'!AR162*'Cedre de l''Atlas'!$F$21,'Sequoia sempervirens'!AR162*'Sequoia sempervirens'!$F$21,Chêne!AR162*Chêne!$F$21,Charme!AR162*Charme!$F$21)</f>
        <v>0</v>
      </c>
      <c r="Y178" s="185">
        <f>SUM('Pin Laricio'!AS162*'Pin Laricio'!$F$21,Douglas!AS162*Douglas!$F$21,'Cedre de l''Atlas'!AS162*'Cedre de l''Atlas'!$F$21,'Sequoia sempervirens'!AS162*'Sequoia sempervirens'!$F$21,Chêne!AS162*Chêne!$F$21,Charme!AS162*Charme!$F$21)</f>
        <v>0</v>
      </c>
      <c r="Z178" s="328">
        <f>SUM('Pin Laricio'!AT162*'Pin Laricio'!$F$21,Douglas!AT162*Douglas!$F$21,'Cedre de l''Atlas'!AT162*'Cedre de l''Atlas'!$F$21,'Sequoia sempervirens'!AT162*'Sequoia sempervirens'!$F$21,Chêne!AT162*Chêne!$F$21,Charme!AT162*Charme!$F$21)</f>
        <v>0</v>
      </c>
      <c r="AA178" s="175">
        <f t="shared" si="27"/>
        <v>0</v>
      </c>
      <c r="AB178" s="176">
        <f t="shared" si="26"/>
        <v>0</v>
      </c>
      <c r="AC178" s="175"/>
      <c r="AD178" s="175"/>
    </row>
    <row r="179" spans="2:30">
      <c r="B179" s="166" t="s">
        <v>66</v>
      </c>
      <c r="C179" s="4">
        <v>0.53</v>
      </c>
      <c r="D179" s="188" t="s">
        <v>227</v>
      </c>
      <c r="E179" s="252" t="s">
        <v>249</v>
      </c>
      <c r="F179" s="251">
        <f>IF(Tableau14582[[#This Row],[Type]]="Feuillus",11*1.25,15.5*1.25)</f>
        <v>13.75</v>
      </c>
      <c r="G179" s="205">
        <v>10</v>
      </c>
      <c r="M179"/>
      <c r="N179" s="71">
        <v>158</v>
      </c>
      <c r="O179" s="236"/>
      <c r="P179" s="177"/>
      <c r="Q179" s="237">
        <f t="shared" si="28"/>
        <v>541.75</v>
      </c>
      <c r="R179" s="177">
        <f t="shared" si="24"/>
        <v>37.922500000000007</v>
      </c>
      <c r="S179" s="177">
        <f>$L$11*(1+$L$9)^N179*'Récapitulatif des résultats'!$I$11</f>
        <v>0</v>
      </c>
      <c r="T179" s="238"/>
      <c r="U179" s="177"/>
      <c r="V179" s="246">
        <f t="shared" si="25"/>
        <v>0</v>
      </c>
      <c r="W179" s="185">
        <f>SUM('Pin Laricio'!AQ163*'Pin Laricio'!$F$21,Douglas!AQ163*Douglas!$F$21,'Cedre de l''Atlas'!AQ163*'Cedre de l''Atlas'!$F$21,'Sequoia sempervirens'!AQ163*'Sequoia sempervirens'!$F$21,Chêne!AQ163*Chêne!$F$21,Charme!AQ163*Charme!$F$21)</f>
        <v>0</v>
      </c>
      <c r="X179" s="185">
        <f>SUM('Pin Laricio'!AR163*'Pin Laricio'!$F$21,Douglas!AR163*Douglas!$F$21,'Cedre de l''Atlas'!AR163*'Cedre de l''Atlas'!$F$21,'Sequoia sempervirens'!AR163*'Sequoia sempervirens'!$F$21,Chêne!AR163*Chêne!$F$21,Charme!AR163*Charme!$F$21)</f>
        <v>0</v>
      </c>
      <c r="Y179" s="185">
        <f>SUM('Pin Laricio'!AS163*'Pin Laricio'!$F$21,Douglas!AS163*Douglas!$F$21,'Cedre de l''Atlas'!AS163*'Cedre de l''Atlas'!$F$21,'Sequoia sempervirens'!AS163*'Sequoia sempervirens'!$F$21,Chêne!AS163*Chêne!$F$21,Charme!AS163*Charme!$F$21)</f>
        <v>0</v>
      </c>
      <c r="Z179" s="328">
        <f>SUM('Pin Laricio'!AT163*'Pin Laricio'!$F$21,Douglas!AT163*Douglas!$F$21,'Cedre de l''Atlas'!AT163*'Cedre de l''Atlas'!$F$21,'Sequoia sempervirens'!AT163*'Sequoia sempervirens'!$F$21,Chêne!AT163*Chêne!$F$21,Charme!AT163*Charme!$F$21)</f>
        <v>0</v>
      </c>
      <c r="AA179" s="175">
        <f t="shared" si="27"/>
        <v>0</v>
      </c>
      <c r="AB179" s="176">
        <f t="shared" si="26"/>
        <v>0</v>
      </c>
      <c r="AC179" s="175"/>
      <c r="AD179" s="175"/>
    </row>
    <row r="180" spans="2:30">
      <c r="B180" s="166" t="s">
        <v>67</v>
      </c>
      <c r="C180" s="4">
        <v>0.43</v>
      </c>
      <c r="D180" s="188" t="s">
        <v>227</v>
      </c>
      <c r="E180" s="205">
        <v>50</v>
      </c>
      <c r="F180" s="251">
        <f>IF(Tableau14582[[#This Row],[Type]]="Feuillus",11*1.25,15.5*1.25)</f>
        <v>13.75</v>
      </c>
      <c r="G180" s="205">
        <v>10</v>
      </c>
      <c r="M180"/>
      <c r="N180" s="71">
        <v>159</v>
      </c>
      <c r="O180" s="236"/>
      <c r="P180" s="177"/>
      <c r="Q180" s="237">
        <f t="shared" si="28"/>
        <v>541.75</v>
      </c>
      <c r="R180" s="177">
        <f t="shared" si="24"/>
        <v>37.922500000000007</v>
      </c>
      <c r="S180" s="177">
        <f>$L$11*(1+$L$9)^N180*'Récapitulatif des résultats'!$I$11</f>
        <v>0</v>
      </c>
      <c r="T180" s="238"/>
      <c r="U180" s="177"/>
      <c r="V180" s="246">
        <f t="shared" si="25"/>
        <v>0</v>
      </c>
      <c r="W180" s="185">
        <f>SUM('Pin Laricio'!AQ164*'Pin Laricio'!$F$21,Douglas!AQ164*Douglas!$F$21,'Cedre de l''Atlas'!AQ164*'Cedre de l''Atlas'!$F$21,'Sequoia sempervirens'!AQ164*'Sequoia sempervirens'!$F$21,Chêne!AQ164*Chêne!$F$21,Charme!AQ164*Charme!$F$21)</f>
        <v>0</v>
      </c>
      <c r="X180" s="185">
        <f>SUM('Pin Laricio'!AR164*'Pin Laricio'!$F$21,Douglas!AR164*Douglas!$F$21,'Cedre de l''Atlas'!AR164*'Cedre de l''Atlas'!$F$21,'Sequoia sempervirens'!AR164*'Sequoia sempervirens'!$F$21,Chêne!AR164*Chêne!$F$21,Charme!AR164*Charme!$F$21)</f>
        <v>0</v>
      </c>
      <c r="Y180" s="185">
        <f>SUM('Pin Laricio'!AS164*'Pin Laricio'!$F$21,Douglas!AS164*Douglas!$F$21,'Cedre de l''Atlas'!AS164*'Cedre de l''Atlas'!$F$21,'Sequoia sempervirens'!AS164*'Sequoia sempervirens'!$F$21,Chêne!AS164*Chêne!$F$21,Charme!AS164*Charme!$F$21)</f>
        <v>0</v>
      </c>
      <c r="Z180" s="328">
        <f>SUM('Pin Laricio'!AT164*'Pin Laricio'!$F$21,Douglas!AT164*Douglas!$F$21,'Cedre de l''Atlas'!AT164*'Cedre de l''Atlas'!$F$21,'Sequoia sempervirens'!AT164*'Sequoia sempervirens'!$F$21,Chêne!AT164*Chêne!$F$21,Charme!AT164*Charme!$F$21)</f>
        <v>0</v>
      </c>
      <c r="AA180" s="175">
        <f t="shared" si="27"/>
        <v>0</v>
      </c>
      <c r="AB180" s="176">
        <f t="shared" si="26"/>
        <v>0</v>
      </c>
      <c r="AC180" s="175"/>
      <c r="AD180" s="175"/>
    </row>
    <row r="181" spans="2:30">
      <c r="B181" s="166" t="s">
        <v>68</v>
      </c>
      <c r="C181" s="4">
        <v>0.38</v>
      </c>
      <c r="D181" s="188" t="s">
        <v>227</v>
      </c>
      <c r="E181" s="205">
        <v>25</v>
      </c>
      <c r="F181" s="251">
        <f>IF(Tableau14582[[#This Row],[Type]]="Feuillus",11*1.25,15.5*1.25)</f>
        <v>13.75</v>
      </c>
      <c r="G181" s="205">
        <v>10</v>
      </c>
      <c r="M181"/>
      <c r="N181" s="71">
        <v>160</v>
      </c>
      <c r="O181" s="236"/>
      <c r="P181" s="177"/>
      <c r="Q181" s="237">
        <f t="shared" si="28"/>
        <v>541.75</v>
      </c>
      <c r="R181" s="177">
        <f t="shared" si="24"/>
        <v>37.922500000000007</v>
      </c>
      <c r="S181" s="177">
        <f>$L$11*(1+$L$9)^N181*'Récapitulatif des résultats'!$I$11</f>
        <v>0</v>
      </c>
      <c r="T181" s="238"/>
      <c r="U181" s="177"/>
      <c r="V181" s="246">
        <f t="shared" si="25"/>
        <v>0</v>
      </c>
      <c r="W181" s="185">
        <f>SUM('Pin Laricio'!AQ165*'Pin Laricio'!$F$21,Douglas!AQ165*Douglas!$F$21,'Cedre de l''Atlas'!AQ165*'Cedre de l''Atlas'!$F$21,'Sequoia sempervirens'!AQ165*'Sequoia sempervirens'!$F$21,Chêne!AQ165*Chêne!$F$21,Charme!AQ165*Charme!$F$21)</f>
        <v>0</v>
      </c>
      <c r="X181" s="185">
        <f>SUM('Pin Laricio'!AR165*'Pin Laricio'!$F$21,Douglas!AR165*Douglas!$F$21,'Cedre de l''Atlas'!AR165*'Cedre de l''Atlas'!$F$21,'Sequoia sempervirens'!AR165*'Sequoia sempervirens'!$F$21,Chêne!AR165*Chêne!$F$21,Charme!AR165*Charme!$F$21)</f>
        <v>0</v>
      </c>
      <c r="Y181" s="185">
        <f>SUM('Pin Laricio'!AS165*'Pin Laricio'!$F$21,Douglas!AS165*Douglas!$F$21,'Cedre de l''Atlas'!AS165*'Cedre de l''Atlas'!$F$21,'Sequoia sempervirens'!AS165*'Sequoia sempervirens'!$F$21,Chêne!AS165*Chêne!$F$21,Charme!AS165*Charme!$F$21)</f>
        <v>0</v>
      </c>
      <c r="Z181" s="328">
        <f>SUM('Pin Laricio'!AT165*'Pin Laricio'!$F$21,Douglas!AT165*Douglas!$F$21,'Cedre de l''Atlas'!AT165*'Cedre de l''Atlas'!$F$21,'Sequoia sempervirens'!AT165*'Sequoia sempervirens'!$F$21,Chêne!AT165*Chêne!$F$21,Charme!AT165*Charme!$F$21)</f>
        <v>0</v>
      </c>
      <c r="AA181" s="175">
        <f t="shared" si="27"/>
        <v>0</v>
      </c>
      <c r="AB181" s="176">
        <f t="shared" si="26"/>
        <v>0</v>
      </c>
      <c r="AC181" s="175"/>
      <c r="AD181" s="175"/>
    </row>
    <row r="182" spans="2:30">
      <c r="B182" s="168" t="s">
        <v>69</v>
      </c>
      <c r="C182" s="3">
        <v>0.42</v>
      </c>
      <c r="D182" s="188" t="s">
        <v>228</v>
      </c>
      <c r="E182" s="205">
        <v>44</v>
      </c>
      <c r="F182" s="251">
        <f>IF(Tableau14582[[#This Row],[Type]]="Feuillus",11*1.25,15.5*1.25)</f>
        <v>19.375</v>
      </c>
      <c r="G182" s="205">
        <v>10</v>
      </c>
      <c r="M182"/>
      <c r="N182" s="71">
        <v>161</v>
      </c>
      <c r="O182" s="236"/>
      <c r="P182" s="177"/>
      <c r="Q182" s="237">
        <f t="shared" si="28"/>
        <v>541.75</v>
      </c>
      <c r="R182" s="177">
        <f t="shared" si="24"/>
        <v>37.922500000000007</v>
      </c>
      <c r="S182" s="177">
        <f>$L$11*(1+$L$9)^N182*'Récapitulatif des résultats'!$I$11</f>
        <v>0</v>
      </c>
      <c r="T182" s="238"/>
      <c r="U182" s="177"/>
      <c r="V182" s="246">
        <f t="shared" si="25"/>
        <v>0</v>
      </c>
      <c r="W182" s="185">
        <f>SUM('Pin Laricio'!AQ166*'Pin Laricio'!$F$21,Douglas!AQ166*Douglas!$F$21,'Cedre de l''Atlas'!AQ166*'Cedre de l''Atlas'!$F$21,'Sequoia sempervirens'!AQ166*'Sequoia sempervirens'!$F$21,Chêne!AQ166*Chêne!$F$21,Charme!AQ166*Charme!$F$21)</f>
        <v>0</v>
      </c>
      <c r="X182" s="185">
        <f>SUM('Pin Laricio'!AR166*'Pin Laricio'!$F$21,Douglas!AR166*Douglas!$F$21,'Cedre de l''Atlas'!AR166*'Cedre de l''Atlas'!$F$21,'Sequoia sempervirens'!AR166*'Sequoia sempervirens'!$F$21,Chêne!AR166*Chêne!$F$21,Charme!AR166*Charme!$F$21)</f>
        <v>0</v>
      </c>
      <c r="Y182" s="185">
        <f>SUM('Pin Laricio'!AS166*'Pin Laricio'!$F$21,Douglas!AS166*Douglas!$F$21,'Cedre de l''Atlas'!AS166*'Cedre de l''Atlas'!$F$21,'Sequoia sempervirens'!AS166*'Sequoia sempervirens'!$F$21,Chêne!AS166*Chêne!$F$21,Charme!AS166*Charme!$F$21)</f>
        <v>0</v>
      </c>
      <c r="Z182" s="328">
        <f>SUM('Pin Laricio'!AT166*'Pin Laricio'!$F$21,Douglas!AT166*Douglas!$F$21,'Cedre de l''Atlas'!AT166*'Cedre de l''Atlas'!$F$21,'Sequoia sempervirens'!AT166*'Sequoia sempervirens'!$F$21,Chêne!AT166*Chêne!$F$21,Charme!AT166*Charme!$F$21)</f>
        <v>0</v>
      </c>
      <c r="AA182" s="175">
        <f t="shared" si="27"/>
        <v>0</v>
      </c>
      <c r="AB182" s="176">
        <f t="shared" si="26"/>
        <v>0</v>
      </c>
      <c r="AC182" s="175"/>
      <c r="AD182" s="175"/>
    </row>
    <row r="183" spans="2:30">
      <c r="B183" s="168" t="s">
        <v>70</v>
      </c>
      <c r="C183" s="3">
        <v>0.56999999999999995</v>
      </c>
      <c r="D183" s="188" t="s">
        <v>227</v>
      </c>
      <c r="E183" s="252">
        <v>50</v>
      </c>
      <c r="F183" s="251">
        <f>IF(Tableau14582[[#This Row],[Type]]="Feuillus",11*1.25,15.5*1.25)</f>
        <v>13.75</v>
      </c>
      <c r="G183" s="205">
        <v>10</v>
      </c>
      <c r="M183"/>
      <c r="N183" s="71">
        <v>162</v>
      </c>
      <c r="O183" s="236"/>
      <c r="P183" s="177"/>
      <c r="Q183" s="237">
        <f t="shared" si="28"/>
        <v>541.75</v>
      </c>
      <c r="R183" s="177">
        <f t="shared" si="24"/>
        <v>37.922500000000007</v>
      </c>
      <c r="S183" s="177">
        <f>$L$11*(1+$L$9)^N183*'Récapitulatif des résultats'!$I$11</f>
        <v>0</v>
      </c>
      <c r="T183" s="238"/>
      <c r="U183" s="177"/>
      <c r="V183" s="246">
        <f t="shared" si="25"/>
        <v>0</v>
      </c>
      <c r="W183" s="185">
        <f>SUM('Pin Laricio'!AQ167*'Pin Laricio'!$F$21,Douglas!AQ167*Douglas!$F$21,'Cedre de l''Atlas'!AQ167*'Cedre de l''Atlas'!$F$21,'Sequoia sempervirens'!AQ167*'Sequoia sempervirens'!$F$21,Chêne!AQ167*Chêne!$F$21,Charme!AQ167*Charme!$F$21)</f>
        <v>0</v>
      </c>
      <c r="X183" s="185">
        <f>SUM('Pin Laricio'!AR167*'Pin Laricio'!$F$21,Douglas!AR167*Douglas!$F$21,'Cedre de l''Atlas'!AR167*'Cedre de l''Atlas'!$F$21,'Sequoia sempervirens'!AR167*'Sequoia sempervirens'!$F$21,Chêne!AR167*Chêne!$F$21,Charme!AR167*Charme!$F$21)</f>
        <v>0</v>
      </c>
      <c r="Y183" s="185">
        <f>SUM('Pin Laricio'!AS167*'Pin Laricio'!$F$21,Douglas!AS167*Douglas!$F$21,'Cedre de l''Atlas'!AS167*'Cedre de l''Atlas'!$F$21,'Sequoia sempervirens'!AS167*'Sequoia sempervirens'!$F$21,Chêne!AS167*Chêne!$F$21,Charme!AS167*Charme!$F$21)</f>
        <v>0</v>
      </c>
      <c r="Z183" s="328">
        <f>SUM('Pin Laricio'!AT167*'Pin Laricio'!$F$21,Douglas!AT167*Douglas!$F$21,'Cedre de l''Atlas'!AT167*'Cedre de l''Atlas'!$F$21,'Sequoia sempervirens'!AT167*'Sequoia sempervirens'!$F$21,Chêne!AT167*Chêne!$F$21,Charme!AT167*Charme!$F$21)</f>
        <v>0</v>
      </c>
      <c r="AA183" s="175">
        <f t="shared" si="27"/>
        <v>0</v>
      </c>
      <c r="AB183" s="176">
        <f t="shared" si="26"/>
        <v>0</v>
      </c>
      <c r="AC183" s="175"/>
      <c r="AD183" s="175"/>
    </row>
    <row r="184" spans="2:30">
      <c r="B184" s="168" t="s">
        <v>71</v>
      </c>
      <c r="C184" s="3">
        <v>0.54</v>
      </c>
      <c r="D184" s="188"/>
      <c r="E184" s="205">
        <v>60</v>
      </c>
      <c r="F184" s="205"/>
      <c r="G184" s="205">
        <v>10</v>
      </c>
      <c r="M184"/>
      <c r="N184" s="71">
        <v>163</v>
      </c>
      <c r="O184" s="236"/>
      <c r="P184" s="177"/>
      <c r="Q184" s="237">
        <f t="shared" si="28"/>
        <v>541.75</v>
      </c>
      <c r="R184" s="177">
        <f t="shared" si="24"/>
        <v>37.922500000000007</v>
      </c>
      <c r="S184" s="177">
        <f>$L$11*(1+$L$9)^N184*'Récapitulatif des résultats'!$I$11</f>
        <v>0</v>
      </c>
      <c r="T184" s="238"/>
      <c r="U184" s="177"/>
      <c r="V184" s="246">
        <f t="shared" si="25"/>
        <v>0</v>
      </c>
      <c r="W184" s="185">
        <f>SUM('Pin Laricio'!AQ168*'Pin Laricio'!$F$21,Douglas!AQ168*Douglas!$F$21,'Cedre de l''Atlas'!AQ168*'Cedre de l''Atlas'!$F$21,'Sequoia sempervirens'!AQ168*'Sequoia sempervirens'!$F$21,Chêne!AQ168*Chêne!$F$21,Charme!AQ168*Charme!$F$21)</f>
        <v>0</v>
      </c>
      <c r="X184" s="185">
        <f>SUM('Pin Laricio'!AR168*'Pin Laricio'!$F$21,Douglas!AR168*Douglas!$F$21,'Cedre de l''Atlas'!AR168*'Cedre de l''Atlas'!$F$21,'Sequoia sempervirens'!AR168*'Sequoia sempervirens'!$F$21,Chêne!AR168*Chêne!$F$21,Charme!AR168*Charme!$F$21)</f>
        <v>0</v>
      </c>
      <c r="Y184" s="185">
        <f>SUM('Pin Laricio'!AS168*'Pin Laricio'!$F$21,Douglas!AS168*Douglas!$F$21,'Cedre de l''Atlas'!AS168*'Cedre de l''Atlas'!$F$21,'Sequoia sempervirens'!AS168*'Sequoia sempervirens'!$F$21,Chêne!AS168*Chêne!$F$21,Charme!AS168*Charme!$F$21)</f>
        <v>0</v>
      </c>
      <c r="Z184" s="328">
        <f>SUM('Pin Laricio'!AT168*'Pin Laricio'!$F$21,Douglas!AT168*Douglas!$F$21,'Cedre de l''Atlas'!AT168*'Cedre de l''Atlas'!$F$21,'Sequoia sempervirens'!AT168*'Sequoia sempervirens'!$F$21,Chêne!AT168*Chêne!$F$21,Charme!AT168*Charme!$F$21)</f>
        <v>0</v>
      </c>
      <c r="AA184" s="175">
        <f t="shared" si="27"/>
        <v>0</v>
      </c>
      <c r="AB184" s="176">
        <f t="shared" si="26"/>
        <v>0</v>
      </c>
      <c r="AC184" s="175"/>
      <c r="AD184" s="175"/>
    </row>
    <row r="185" spans="2:30">
      <c r="M185"/>
      <c r="N185" s="71">
        <v>164</v>
      </c>
      <c r="O185" s="236"/>
      <c r="P185" s="177"/>
      <c r="Q185" s="237">
        <f t="shared" si="28"/>
        <v>541.75</v>
      </c>
      <c r="R185" s="177">
        <f t="shared" si="24"/>
        <v>37.922500000000007</v>
      </c>
      <c r="S185" s="177">
        <f>$L$11*(1+$L$9)^N185*'Récapitulatif des résultats'!$I$11</f>
        <v>0</v>
      </c>
      <c r="T185" s="238"/>
      <c r="U185" s="177"/>
      <c r="V185" s="246">
        <f t="shared" si="25"/>
        <v>0</v>
      </c>
      <c r="W185" s="185">
        <f>SUM('Pin Laricio'!AQ169*'Pin Laricio'!$F$21,Douglas!AQ169*Douglas!$F$21,'Cedre de l''Atlas'!AQ169*'Cedre de l''Atlas'!$F$21,'Sequoia sempervirens'!AQ169*'Sequoia sempervirens'!$F$21,Chêne!AQ169*Chêne!$F$21,Charme!AQ169*Charme!$F$21)</f>
        <v>0</v>
      </c>
      <c r="X185" s="185">
        <f>SUM('Pin Laricio'!AR169*'Pin Laricio'!$F$21,Douglas!AR169*Douglas!$F$21,'Cedre de l''Atlas'!AR169*'Cedre de l''Atlas'!$F$21,'Sequoia sempervirens'!AR169*'Sequoia sempervirens'!$F$21,Chêne!AR169*Chêne!$F$21,Charme!AR169*Charme!$F$21)</f>
        <v>0</v>
      </c>
      <c r="Y185" s="185">
        <f>SUM('Pin Laricio'!AS169*'Pin Laricio'!$F$21,Douglas!AS169*Douglas!$F$21,'Cedre de l''Atlas'!AS169*'Cedre de l''Atlas'!$F$21,'Sequoia sempervirens'!AS169*'Sequoia sempervirens'!$F$21,Chêne!AS169*Chêne!$F$21,Charme!AS169*Charme!$F$21)</f>
        <v>0</v>
      </c>
      <c r="Z185" s="328">
        <f>SUM('Pin Laricio'!AT169*'Pin Laricio'!$F$21,Douglas!AT169*Douglas!$F$21,'Cedre de l''Atlas'!AT169*'Cedre de l''Atlas'!$F$21,'Sequoia sempervirens'!AT169*'Sequoia sempervirens'!$F$21,Chêne!AT169*Chêne!$F$21,Charme!AT169*Charme!$F$21)</f>
        <v>0</v>
      </c>
      <c r="AA185" s="175">
        <f t="shared" si="27"/>
        <v>0</v>
      </c>
      <c r="AB185" s="176">
        <f t="shared" si="26"/>
        <v>0</v>
      </c>
      <c r="AC185" s="175"/>
      <c r="AD185" s="175"/>
    </row>
    <row r="186" spans="2:30">
      <c r="B186" t="s">
        <v>236</v>
      </c>
      <c r="N186" s="71">
        <v>165</v>
      </c>
      <c r="O186" s="236"/>
      <c r="P186" s="177"/>
      <c r="Q186" s="237">
        <f t="shared" si="28"/>
        <v>541.75</v>
      </c>
      <c r="R186" s="177">
        <f t="shared" si="24"/>
        <v>37.922500000000007</v>
      </c>
      <c r="S186" s="177">
        <f>$L$11*(1+$L$9)^N186*'Récapitulatif des résultats'!$I$11</f>
        <v>0</v>
      </c>
      <c r="T186" s="238"/>
      <c r="U186" s="177"/>
      <c r="V186" s="246">
        <f t="shared" si="25"/>
        <v>0</v>
      </c>
      <c r="W186" s="185">
        <f>SUM('Pin Laricio'!AQ170*'Pin Laricio'!$F$21,Douglas!AQ170*Douglas!$F$21,'Cedre de l''Atlas'!AQ170*'Cedre de l''Atlas'!$F$21,'Sequoia sempervirens'!AQ170*'Sequoia sempervirens'!$F$21,Chêne!AQ170*Chêne!$F$21,Charme!AQ170*Charme!$F$21)</f>
        <v>0</v>
      </c>
      <c r="X186" s="185">
        <f>SUM('Pin Laricio'!AR170*'Pin Laricio'!$F$21,Douglas!AR170*Douglas!$F$21,'Cedre de l''Atlas'!AR170*'Cedre de l''Atlas'!$F$21,'Sequoia sempervirens'!AR170*'Sequoia sempervirens'!$F$21,Chêne!AR170*Chêne!$F$21,Charme!AR170*Charme!$F$21)</f>
        <v>0</v>
      </c>
      <c r="Y186" s="185">
        <f>SUM('Pin Laricio'!AS170*'Pin Laricio'!$F$21,Douglas!AS170*Douglas!$F$21,'Cedre de l''Atlas'!AS170*'Cedre de l''Atlas'!$F$21,'Sequoia sempervirens'!AS170*'Sequoia sempervirens'!$F$21,Chêne!AS170*Chêne!$F$21,Charme!AS170*Charme!$F$21)</f>
        <v>0</v>
      </c>
      <c r="Z186" s="328">
        <f>SUM('Pin Laricio'!AT170*'Pin Laricio'!$F$21,Douglas!AT170*Douglas!$F$21,'Cedre de l''Atlas'!AT170*'Cedre de l''Atlas'!$F$21,'Sequoia sempervirens'!AT170*'Sequoia sempervirens'!$F$21,Chêne!AT170*Chêne!$F$21,Charme!AT170*Charme!$F$21)</f>
        <v>0</v>
      </c>
      <c r="AA186" s="175">
        <f t="shared" si="27"/>
        <v>0</v>
      </c>
      <c r="AB186" s="176">
        <f t="shared" si="26"/>
        <v>0</v>
      </c>
      <c r="AC186" s="175"/>
      <c r="AD186" s="175"/>
    </row>
    <row r="187" spans="2:30">
      <c r="B187" t="s">
        <v>237</v>
      </c>
      <c r="N187" s="71">
        <v>166</v>
      </c>
      <c r="O187" s="236"/>
      <c r="P187" s="177"/>
      <c r="Q187" s="237">
        <f t="shared" ref="Q187:Q221" si="29">$L$13*(1+$L$9)^N187*$L$5</f>
        <v>541.75</v>
      </c>
      <c r="R187" s="177">
        <f t="shared" si="24"/>
        <v>37.922500000000007</v>
      </c>
      <c r="S187" s="177">
        <f>$L$11*(1+$L$9)^N187*'Récapitulatif des résultats'!$I$11</f>
        <v>0</v>
      </c>
      <c r="T187" s="238"/>
      <c r="U187" s="177"/>
      <c r="V187" s="246">
        <f t="shared" si="25"/>
        <v>0</v>
      </c>
      <c r="W187" s="185">
        <f>SUM('Pin Laricio'!AQ171*'Pin Laricio'!$F$21,Douglas!AQ171*Douglas!$F$21,'Cedre de l''Atlas'!AQ171*'Cedre de l''Atlas'!$F$21,'Sequoia sempervirens'!AQ171*'Sequoia sempervirens'!$F$21,Chêne!AQ171*Chêne!$F$21,Charme!AQ171*Charme!$F$21)</f>
        <v>0</v>
      </c>
      <c r="X187" s="185">
        <f>SUM('Pin Laricio'!AR171*'Pin Laricio'!$F$21,Douglas!AR171*Douglas!$F$21,'Cedre de l''Atlas'!AR171*'Cedre de l''Atlas'!$F$21,'Sequoia sempervirens'!AR171*'Sequoia sempervirens'!$F$21,Chêne!AR171*Chêne!$F$21,Charme!AR171*Charme!$F$21)</f>
        <v>0</v>
      </c>
      <c r="Y187" s="185">
        <f>SUM('Pin Laricio'!AS171*'Pin Laricio'!$F$21,Douglas!AS171*Douglas!$F$21,'Cedre de l''Atlas'!AS171*'Cedre de l''Atlas'!$F$21,'Sequoia sempervirens'!AS171*'Sequoia sempervirens'!$F$21,Chêne!AS171*Chêne!$F$21,Charme!AS171*Charme!$F$21)</f>
        <v>0</v>
      </c>
      <c r="Z187" s="328">
        <f>SUM('Pin Laricio'!AT171*'Pin Laricio'!$F$21,Douglas!AT171*Douglas!$F$21,'Cedre de l''Atlas'!AT171*'Cedre de l''Atlas'!$F$21,'Sequoia sempervirens'!AT171*'Sequoia sempervirens'!$F$21,Chêne!AT171*Chêne!$F$21,Charme!AT171*Charme!$F$21)</f>
        <v>0</v>
      </c>
      <c r="AA187" s="175">
        <f t="shared" si="27"/>
        <v>0</v>
      </c>
      <c r="AB187" s="176">
        <f t="shared" si="26"/>
        <v>0</v>
      </c>
      <c r="AC187" s="175"/>
      <c r="AD187" s="175"/>
    </row>
    <row r="188" spans="2:30">
      <c r="B188" t="s">
        <v>242</v>
      </c>
      <c r="N188" s="71">
        <v>167</v>
      </c>
      <c r="O188" s="236"/>
      <c r="P188" s="177"/>
      <c r="Q188" s="237">
        <f t="shared" si="29"/>
        <v>541.75</v>
      </c>
      <c r="R188" s="177">
        <f t="shared" si="24"/>
        <v>37.922500000000007</v>
      </c>
      <c r="S188" s="177">
        <f>$L$11*(1+$L$9)^N188*'Récapitulatif des résultats'!$I$11</f>
        <v>0</v>
      </c>
      <c r="T188" s="238"/>
      <c r="U188" s="177"/>
      <c r="V188" s="246">
        <f t="shared" si="25"/>
        <v>0</v>
      </c>
      <c r="W188" s="185">
        <f>SUM('Pin Laricio'!AQ172*'Pin Laricio'!$F$21,Douglas!AQ172*Douglas!$F$21,'Cedre de l''Atlas'!AQ172*'Cedre de l''Atlas'!$F$21,'Sequoia sempervirens'!AQ172*'Sequoia sempervirens'!$F$21,Chêne!AQ172*Chêne!$F$21,Charme!AQ172*Charme!$F$21)</f>
        <v>0</v>
      </c>
      <c r="X188" s="185">
        <f>SUM('Pin Laricio'!AR172*'Pin Laricio'!$F$21,Douglas!AR172*Douglas!$F$21,'Cedre de l''Atlas'!AR172*'Cedre de l''Atlas'!$F$21,'Sequoia sempervirens'!AR172*'Sequoia sempervirens'!$F$21,Chêne!AR172*Chêne!$F$21,Charme!AR172*Charme!$F$21)</f>
        <v>0</v>
      </c>
      <c r="Y188" s="185">
        <f>SUM('Pin Laricio'!AS172*'Pin Laricio'!$F$21,Douglas!AS172*Douglas!$F$21,'Cedre de l''Atlas'!AS172*'Cedre de l''Atlas'!$F$21,'Sequoia sempervirens'!AS172*'Sequoia sempervirens'!$F$21,Chêne!AS172*Chêne!$F$21,Charme!AS172*Charme!$F$21)</f>
        <v>0</v>
      </c>
      <c r="Z188" s="328">
        <f>SUM('Pin Laricio'!AT172*'Pin Laricio'!$F$21,Douglas!AT172*Douglas!$F$21,'Cedre de l''Atlas'!AT172*'Cedre de l''Atlas'!$F$21,'Sequoia sempervirens'!AT172*'Sequoia sempervirens'!$F$21,Chêne!AT172*Chêne!$F$21,Charme!AT172*Charme!$F$21)</f>
        <v>0</v>
      </c>
      <c r="AA188" s="175">
        <f t="shared" si="27"/>
        <v>0</v>
      </c>
      <c r="AB188" s="176">
        <f t="shared" si="26"/>
        <v>0</v>
      </c>
      <c r="AC188" s="175"/>
      <c r="AD188" s="175"/>
    </row>
    <row r="189" spans="2:30">
      <c r="B189" t="s">
        <v>240</v>
      </c>
      <c r="N189" s="71">
        <v>168</v>
      </c>
      <c r="O189" s="236"/>
      <c r="P189" s="177"/>
      <c r="Q189" s="237">
        <f t="shared" si="29"/>
        <v>541.75</v>
      </c>
      <c r="R189" s="177">
        <f t="shared" si="24"/>
        <v>37.922500000000007</v>
      </c>
      <c r="S189" s="177">
        <f>$L$11*(1+$L$9)^N189*'Récapitulatif des résultats'!$I$11</f>
        <v>0</v>
      </c>
      <c r="T189" s="238"/>
      <c r="U189" s="177"/>
      <c r="V189" s="246">
        <f t="shared" si="25"/>
        <v>0</v>
      </c>
      <c r="W189" s="185">
        <f>SUM('Pin Laricio'!AQ173*'Pin Laricio'!$F$21,Douglas!AQ173*Douglas!$F$21,'Cedre de l''Atlas'!AQ173*'Cedre de l''Atlas'!$F$21,'Sequoia sempervirens'!AQ173*'Sequoia sempervirens'!$F$21,Chêne!AQ173*Chêne!$F$21,Charme!AQ173*Charme!$F$21)</f>
        <v>0</v>
      </c>
      <c r="X189" s="185">
        <f>SUM('Pin Laricio'!AR173*'Pin Laricio'!$F$21,Douglas!AR173*Douglas!$F$21,'Cedre de l''Atlas'!AR173*'Cedre de l''Atlas'!$F$21,'Sequoia sempervirens'!AR173*'Sequoia sempervirens'!$F$21,Chêne!AR173*Chêne!$F$21,Charme!AR173*Charme!$F$21)</f>
        <v>0</v>
      </c>
      <c r="Y189" s="185">
        <f>SUM('Pin Laricio'!AS173*'Pin Laricio'!$F$21,Douglas!AS173*Douglas!$F$21,'Cedre de l''Atlas'!AS173*'Cedre de l''Atlas'!$F$21,'Sequoia sempervirens'!AS173*'Sequoia sempervirens'!$F$21,Chêne!AS173*Chêne!$F$21,Charme!AS173*Charme!$F$21)</f>
        <v>0</v>
      </c>
      <c r="Z189" s="328">
        <f>SUM('Pin Laricio'!AT173*'Pin Laricio'!$F$21,Douglas!AT173*Douglas!$F$21,'Cedre de l''Atlas'!AT173*'Cedre de l''Atlas'!$F$21,'Sequoia sempervirens'!AT173*'Sequoia sempervirens'!$F$21,Chêne!AT173*Chêne!$F$21,Charme!AT173*Charme!$F$21)</f>
        <v>0</v>
      </c>
      <c r="AA189" s="175">
        <f t="shared" si="27"/>
        <v>0</v>
      </c>
      <c r="AB189" s="176">
        <f t="shared" si="26"/>
        <v>0</v>
      </c>
      <c r="AC189" s="175"/>
      <c r="AD189" s="175"/>
    </row>
    <row r="190" spans="2:30">
      <c r="B190" t="s">
        <v>241</v>
      </c>
      <c r="N190" s="71">
        <v>169</v>
      </c>
      <c r="O190" s="236"/>
      <c r="P190" s="177"/>
      <c r="Q190" s="237">
        <f t="shared" si="29"/>
        <v>541.75</v>
      </c>
      <c r="R190" s="177">
        <f t="shared" si="24"/>
        <v>37.922500000000007</v>
      </c>
      <c r="S190" s="177">
        <f>$L$11*(1+$L$9)^N190*'Récapitulatif des résultats'!$I$11</f>
        <v>0</v>
      </c>
      <c r="T190" s="238"/>
      <c r="U190" s="177"/>
      <c r="V190" s="246">
        <f t="shared" si="25"/>
        <v>0</v>
      </c>
      <c r="W190" s="185">
        <f>SUM('Pin Laricio'!AQ174*'Pin Laricio'!$F$21,Douglas!AQ174*Douglas!$F$21,'Cedre de l''Atlas'!AQ174*'Cedre de l''Atlas'!$F$21,'Sequoia sempervirens'!AQ174*'Sequoia sempervirens'!$F$21,Chêne!AQ174*Chêne!$F$21,Charme!AQ174*Charme!$F$21)</f>
        <v>0</v>
      </c>
      <c r="X190" s="185">
        <f>SUM('Pin Laricio'!AR174*'Pin Laricio'!$F$21,Douglas!AR174*Douglas!$F$21,'Cedre de l''Atlas'!AR174*'Cedre de l''Atlas'!$F$21,'Sequoia sempervirens'!AR174*'Sequoia sempervirens'!$F$21,Chêne!AR174*Chêne!$F$21,Charme!AR174*Charme!$F$21)</f>
        <v>0</v>
      </c>
      <c r="Y190" s="185">
        <f>SUM('Pin Laricio'!AS174*'Pin Laricio'!$F$21,Douglas!AS174*Douglas!$F$21,'Cedre de l''Atlas'!AS174*'Cedre de l''Atlas'!$F$21,'Sequoia sempervirens'!AS174*'Sequoia sempervirens'!$F$21,Chêne!AS174*Chêne!$F$21,Charme!AS174*Charme!$F$21)</f>
        <v>0</v>
      </c>
      <c r="Z190" s="328">
        <f>SUM('Pin Laricio'!AT174*'Pin Laricio'!$F$21,Douglas!AT174*Douglas!$F$21,'Cedre de l''Atlas'!AT174*'Cedre de l''Atlas'!$F$21,'Sequoia sempervirens'!AT174*'Sequoia sempervirens'!$F$21,Chêne!AT174*Chêne!$F$21,Charme!AT174*Charme!$F$21)</f>
        <v>0</v>
      </c>
      <c r="AA190" s="175">
        <f t="shared" si="27"/>
        <v>0</v>
      </c>
      <c r="AB190" s="176">
        <f t="shared" si="26"/>
        <v>0</v>
      </c>
      <c r="AC190" s="175"/>
      <c r="AD190" s="175"/>
    </row>
    <row r="191" spans="2:30">
      <c r="B191" t="s">
        <v>239</v>
      </c>
      <c r="N191" s="71">
        <v>170</v>
      </c>
      <c r="O191" s="236"/>
      <c r="P191" s="177"/>
      <c r="Q191" s="237">
        <f t="shared" si="29"/>
        <v>541.75</v>
      </c>
      <c r="R191" s="177">
        <f t="shared" si="24"/>
        <v>37.922500000000007</v>
      </c>
      <c r="S191" s="177">
        <f>$L$11*(1+$L$9)^N191*'Récapitulatif des résultats'!$I$11</f>
        <v>0</v>
      </c>
      <c r="T191" s="238"/>
      <c r="U191" s="177"/>
      <c r="V191" s="246">
        <f t="shared" si="25"/>
        <v>0</v>
      </c>
      <c r="W191" s="185">
        <f>SUM('Pin Laricio'!AQ175*'Pin Laricio'!$F$21,Douglas!AQ175*Douglas!$F$21,'Cedre de l''Atlas'!AQ175*'Cedre de l''Atlas'!$F$21,'Sequoia sempervirens'!AQ175*'Sequoia sempervirens'!$F$21,Chêne!AQ175*Chêne!$F$21,Charme!AQ175*Charme!$F$21)</f>
        <v>0</v>
      </c>
      <c r="X191" s="185">
        <f>SUM('Pin Laricio'!AR175*'Pin Laricio'!$F$21,Douglas!AR175*Douglas!$F$21,'Cedre de l''Atlas'!AR175*'Cedre de l''Atlas'!$F$21,'Sequoia sempervirens'!AR175*'Sequoia sempervirens'!$F$21,Chêne!AR175*Chêne!$F$21,Charme!AR175*Charme!$F$21)</f>
        <v>0</v>
      </c>
      <c r="Y191" s="185">
        <f>SUM('Pin Laricio'!AS175*'Pin Laricio'!$F$21,Douglas!AS175*Douglas!$F$21,'Cedre de l''Atlas'!AS175*'Cedre de l''Atlas'!$F$21,'Sequoia sempervirens'!AS175*'Sequoia sempervirens'!$F$21,Chêne!AS175*Chêne!$F$21,Charme!AS175*Charme!$F$21)</f>
        <v>0</v>
      </c>
      <c r="Z191" s="328">
        <f>SUM('Pin Laricio'!AT175*'Pin Laricio'!$F$21,Douglas!AT175*Douglas!$F$21,'Cedre de l''Atlas'!AT175*'Cedre de l''Atlas'!$F$21,'Sequoia sempervirens'!AT175*'Sequoia sempervirens'!$F$21,Chêne!AT175*Chêne!$F$21,Charme!AT175*Charme!$F$21)</f>
        <v>0</v>
      </c>
      <c r="AA191" s="175">
        <f t="shared" si="27"/>
        <v>0</v>
      </c>
      <c r="AB191" s="176">
        <f t="shared" si="26"/>
        <v>0</v>
      </c>
      <c r="AC191" s="175"/>
      <c r="AD191" s="175"/>
    </row>
    <row r="192" spans="2:30">
      <c r="B192" t="s">
        <v>243</v>
      </c>
      <c r="N192" s="71">
        <v>171</v>
      </c>
      <c r="O192" s="236"/>
      <c r="P192" s="177"/>
      <c r="Q192" s="237">
        <f t="shared" si="29"/>
        <v>541.75</v>
      </c>
      <c r="R192" s="177">
        <f t="shared" si="24"/>
        <v>37.922500000000007</v>
      </c>
      <c r="S192" s="177">
        <f>$L$11*(1+$L$9)^N192*'Récapitulatif des résultats'!$I$11</f>
        <v>0</v>
      </c>
      <c r="T192" s="238"/>
      <c r="U192" s="177"/>
      <c r="V192" s="246">
        <f t="shared" si="25"/>
        <v>0</v>
      </c>
      <c r="W192" s="185">
        <f>SUM('Pin Laricio'!AQ176*'Pin Laricio'!$F$21,Douglas!AQ176*Douglas!$F$21,'Cedre de l''Atlas'!AQ176*'Cedre de l''Atlas'!$F$21,'Sequoia sempervirens'!AQ176*'Sequoia sempervirens'!$F$21,Chêne!AQ176*Chêne!$F$21,Charme!AQ176*Charme!$F$21)</f>
        <v>0</v>
      </c>
      <c r="X192" s="185">
        <f>SUM('Pin Laricio'!AR176*'Pin Laricio'!$F$21,Douglas!AR176*Douglas!$F$21,'Cedre de l''Atlas'!AR176*'Cedre de l''Atlas'!$F$21,'Sequoia sempervirens'!AR176*'Sequoia sempervirens'!$F$21,Chêne!AR176*Chêne!$F$21,Charme!AR176*Charme!$F$21)</f>
        <v>0</v>
      </c>
      <c r="Y192" s="185">
        <f>SUM('Pin Laricio'!AS176*'Pin Laricio'!$F$21,Douglas!AS176*Douglas!$F$21,'Cedre de l''Atlas'!AS176*'Cedre de l''Atlas'!$F$21,'Sequoia sempervirens'!AS176*'Sequoia sempervirens'!$F$21,Chêne!AS176*Chêne!$F$21,Charme!AS176*Charme!$F$21)</f>
        <v>0</v>
      </c>
      <c r="Z192" s="328">
        <f>SUM('Pin Laricio'!AT176*'Pin Laricio'!$F$21,Douglas!AT176*Douglas!$F$21,'Cedre de l''Atlas'!AT176*'Cedre de l''Atlas'!$F$21,'Sequoia sempervirens'!AT176*'Sequoia sempervirens'!$F$21,Chêne!AT176*Chêne!$F$21,Charme!AT176*Charme!$F$21)</f>
        <v>0</v>
      </c>
      <c r="AA192" s="175">
        <f t="shared" si="27"/>
        <v>0</v>
      </c>
      <c r="AB192" s="176">
        <f t="shared" si="26"/>
        <v>0</v>
      </c>
      <c r="AC192" s="175"/>
      <c r="AD192" s="175"/>
    </row>
    <row r="193" spans="14:30">
      <c r="N193" s="71">
        <v>172</v>
      </c>
      <c r="O193" s="236"/>
      <c r="P193" s="177"/>
      <c r="Q193" s="237">
        <f t="shared" si="29"/>
        <v>541.75</v>
      </c>
      <c r="R193" s="177">
        <f t="shared" si="24"/>
        <v>37.922500000000007</v>
      </c>
      <c r="S193" s="177">
        <f>$L$11*(1+$L$9)^N193*'Récapitulatif des résultats'!$I$11</f>
        <v>0</v>
      </c>
      <c r="T193" s="238"/>
      <c r="U193" s="177"/>
      <c r="V193" s="246">
        <f t="shared" si="25"/>
        <v>0</v>
      </c>
      <c r="W193" s="185">
        <f>SUM('Pin Laricio'!AQ177*'Pin Laricio'!$F$21,Douglas!AQ177*Douglas!$F$21,'Cedre de l''Atlas'!AQ177*'Cedre de l''Atlas'!$F$21,'Sequoia sempervirens'!AQ177*'Sequoia sempervirens'!$F$21,Chêne!AQ177*Chêne!$F$21,Charme!AQ177*Charme!$F$21)</f>
        <v>0</v>
      </c>
      <c r="X193" s="185">
        <f>SUM('Pin Laricio'!AR177*'Pin Laricio'!$F$21,Douglas!AR177*Douglas!$F$21,'Cedre de l''Atlas'!AR177*'Cedre de l''Atlas'!$F$21,'Sequoia sempervirens'!AR177*'Sequoia sempervirens'!$F$21,Chêne!AR177*Chêne!$F$21,Charme!AR177*Charme!$F$21)</f>
        <v>0</v>
      </c>
      <c r="Y193" s="185">
        <f>SUM('Pin Laricio'!AS177*'Pin Laricio'!$F$21,Douglas!AS177*Douglas!$F$21,'Cedre de l''Atlas'!AS177*'Cedre de l''Atlas'!$F$21,'Sequoia sempervirens'!AS177*'Sequoia sempervirens'!$F$21,Chêne!AS177*Chêne!$F$21,Charme!AS177*Charme!$F$21)</f>
        <v>0</v>
      </c>
      <c r="Z193" s="328">
        <f>SUM('Pin Laricio'!AT177*'Pin Laricio'!$F$21,Douglas!AT177*Douglas!$F$21,'Cedre de l''Atlas'!AT177*'Cedre de l''Atlas'!$F$21,'Sequoia sempervirens'!AT177*'Sequoia sempervirens'!$F$21,Chêne!AT177*Chêne!$F$21,Charme!AT177*Charme!$F$21)</f>
        <v>0</v>
      </c>
      <c r="AA193" s="175">
        <f t="shared" si="27"/>
        <v>0</v>
      </c>
      <c r="AB193" s="176">
        <f t="shared" si="26"/>
        <v>0</v>
      </c>
      <c r="AC193" s="175"/>
      <c r="AD193" s="175"/>
    </row>
    <row r="194" spans="14:30">
      <c r="N194" s="71">
        <v>173</v>
      </c>
      <c r="O194" s="236"/>
      <c r="P194" s="177"/>
      <c r="Q194" s="237">
        <f t="shared" si="29"/>
        <v>541.75</v>
      </c>
      <c r="R194" s="177">
        <f t="shared" si="24"/>
        <v>37.922500000000007</v>
      </c>
      <c r="S194" s="177">
        <f>$L$11*(1+$L$9)^N194*'Récapitulatif des résultats'!$I$11</f>
        <v>0</v>
      </c>
      <c r="T194" s="238"/>
      <c r="U194" s="177"/>
      <c r="V194" s="246">
        <f t="shared" si="25"/>
        <v>0</v>
      </c>
      <c r="W194" s="185">
        <f>SUM('Pin Laricio'!AQ178*'Pin Laricio'!$F$21,Douglas!AQ178*Douglas!$F$21,'Cedre de l''Atlas'!AQ178*'Cedre de l''Atlas'!$F$21,'Sequoia sempervirens'!AQ178*'Sequoia sempervirens'!$F$21,Chêne!AQ178*Chêne!$F$21,Charme!AQ178*Charme!$F$21)</f>
        <v>0</v>
      </c>
      <c r="X194" s="185">
        <f>SUM('Pin Laricio'!AR178*'Pin Laricio'!$F$21,Douglas!AR178*Douglas!$F$21,'Cedre de l''Atlas'!AR178*'Cedre de l''Atlas'!$F$21,'Sequoia sempervirens'!AR178*'Sequoia sempervirens'!$F$21,Chêne!AR178*Chêne!$F$21,Charme!AR178*Charme!$F$21)</f>
        <v>0</v>
      </c>
      <c r="Y194" s="185">
        <f>SUM('Pin Laricio'!AS178*'Pin Laricio'!$F$21,Douglas!AS178*Douglas!$F$21,'Cedre de l''Atlas'!AS178*'Cedre de l''Atlas'!$F$21,'Sequoia sempervirens'!AS178*'Sequoia sempervirens'!$F$21,Chêne!AS178*Chêne!$F$21,Charme!AS178*Charme!$F$21)</f>
        <v>0</v>
      </c>
      <c r="Z194" s="328">
        <f>SUM('Pin Laricio'!AT178*'Pin Laricio'!$F$21,Douglas!AT178*Douglas!$F$21,'Cedre de l''Atlas'!AT178*'Cedre de l''Atlas'!$F$21,'Sequoia sempervirens'!AT178*'Sequoia sempervirens'!$F$21,Chêne!AT178*Chêne!$F$21,Charme!AT178*Charme!$F$21)</f>
        <v>0</v>
      </c>
      <c r="AA194" s="175">
        <f t="shared" si="27"/>
        <v>0</v>
      </c>
      <c r="AB194" s="176">
        <f t="shared" si="26"/>
        <v>0</v>
      </c>
      <c r="AC194" s="175"/>
      <c r="AD194" s="175"/>
    </row>
    <row r="195" spans="14:30">
      <c r="N195" s="71">
        <v>174</v>
      </c>
      <c r="O195" s="236"/>
      <c r="P195" s="177"/>
      <c r="Q195" s="237">
        <f t="shared" si="29"/>
        <v>541.75</v>
      </c>
      <c r="R195" s="177">
        <f t="shared" si="24"/>
        <v>37.922500000000007</v>
      </c>
      <c r="S195" s="177">
        <f>$L$11*(1+$L$9)^N195*'Récapitulatif des résultats'!$I$11</f>
        <v>0</v>
      </c>
      <c r="T195" s="238"/>
      <c r="U195" s="177"/>
      <c r="V195" s="246">
        <f t="shared" si="25"/>
        <v>0</v>
      </c>
      <c r="W195" s="185">
        <f>SUM('Pin Laricio'!AQ179*'Pin Laricio'!$F$21,Douglas!AQ179*Douglas!$F$21,'Cedre de l''Atlas'!AQ179*'Cedre de l''Atlas'!$F$21,'Sequoia sempervirens'!AQ179*'Sequoia sempervirens'!$F$21,Chêne!AQ179*Chêne!$F$21,Charme!AQ179*Charme!$F$21)</f>
        <v>0</v>
      </c>
      <c r="X195" s="185">
        <f>SUM('Pin Laricio'!AR179*'Pin Laricio'!$F$21,Douglas!AR179*Douglas!$F$21,'Cedre de l''Atlas'!AR179*'Cedre de l''Atlas'!$F$21,'Sequoia sempervirens'!AR179*'Sequoia sempervirens'!$F$21,Chêne!AR179*Chêne!$F$21,Charme!AR179*Charme!$F$21)</f>
        <v>0</v>
      </c>
      <c r="Y195" s="185">
        <f>SUM('Pin Laricio'!AS179*'Pin Laricio'!$F$21,Douglas!AS179*Douglas!$F$21,'Cedre de l''Atlas'!AS179*'Cedre de l''Atlas'!$F$21,'Sequoia sempervirens'!AS179*'Sequoia sempervirens'!$F$21,Chêne!AS179*Chêne!$F$21,Charme!AS179*Charme!$F$21)</f>
        <v>0</v>
      </c>
      <c r="Z195" s="328">
        <f>SUM('Pin Laricio'!AT179*'Pin Laricio'!$F$21,Douglas!AT179*Douglas!$F$21,'Cedre de l''Atlas'!AT179*'Cedre de l''Atlas'!$F$21,'Sequoia sempervirens'!AT179*'Sequoia sempervirens'!$F$21,Chêne!AT179*Chêne!$F$21,Charme!AT179*Charme!$F$21)</f>
        <v>0</v>
      </c>
      <c r="AA195" s="175">
        <f t="shared" si="27"/>
        <v>0</v>
      </c>
      <c r="AB195" s="176">
        <f t="shared" si="26"/>
        <v>0</v>
      </c>
      <c r="AC195" s="175"/>
      <c r="AD195" s="175"/>
    </row>
    <row r="196" spans="14:30">
      <c r="N196" s="71">
        <v>175</v>
      </c>
      <c r="O196" s="236"/>
      <c r="P196" s="177"/>
      <c r="Q196" s="237">
        <f t="shared" si="29"/>
        <v>541.75</v>
      </c>
      <c r="R196" s="177">
        <f t="shared" si="24"/>
        <v>37.922500000000007</v>
      </c>
      <c r="S196" s="177">
        <f>$L$11*(1+$L$9)^N196*'Récapitulatif des résultats'!$I$11</f>
        <v>0</v>
      </c>
      <c r="T196" s="238"/>
      <c r="U196" s="177"/>
      <c r="V196" s="246">
        <f t="shared" si="25"/>
        <v>0</v>
      </c>
      <c r="W196" s="185">
        <f>SUM('Pin Laricio'!AQ180*'Pin Laricio'!$F$21,Douglas!AQ180*Douglas!$F$21,'Cedre de l''Atlas'!AQ180*'Cedre de l''Atlas'!$F$21,'Sequoia sempervirens'!AQ180*'Sequoia sempervirens'!$F$21,Chêne!AQ180*Chêne!$F$21,Charme!AQ180*Charme!$F$21)</f>
        <v>0</v>
      </c>
      <c r="X196" s="185">
        <f>SUM('Pin Laricio'!AR180*'Pin Laricio'!$F$21,Douglas!AR180*Douglas!$F$21,'Cedre de l''Atlas'!AR180*'Cedre de l''Atlas'!$F$21,'Sequoia sempervirens'!AR180*'Sequoia sempervirens'!$F$21,Chêne!AR180*Chêne!$F$21,Charme!AR180*Charme!$F$21)</f>
        <v>0</v>
      </c>
      <c r="Y196" s="185">
        <f>SUM('Pin Laricio'!AS180*'Pin Laricio'!$F$21,Douglas!AS180*Douglas!$F$21,'Cedre de l''Atlas'!AS180*'Cedre de l''Atlas'!$F$21,'Sequoia sempervirens'!AS180*'Sequoia sempervirens'!$F$21,Chêne!AS180*Chêne!$F$21,Charme!AS180*Charme!$F$21)</f>
        <v>0</v>
      </c>
      <c r="Z196" s="328">
        <f>SUM('Pin Laricio'!AT180*'Pin Laricio'!$F$21,Douglas!AT180*Douglas!$F$21,'Cedre de l''Atlas'!AT180*'Cedre de l''Atlas'!$F$21,'Sequoia sempervirens'!AT180*'Sequoia sempervirens'!$F$21,Chêne!AT180*Chêne!$F$21,Charme!AT180*Charme!$F$21)</f>
        <v>0</v>
      </c>
      <c r="AA196" s="175">
        <f t="shared" si="27"/>
        <v>0</v>
      </c>
      <c r="AB196" s="176">
        <f t="shared" si="26"/>
        <v>0</v>
      </c>
      <c r="AC196" s="175"/>
      <c r="AD196" s="175"/>
    </row>
    <row r="197" spans="14:30">
      <c r="N197" s="71">
        <v>176</v>
      </c>
      <c r="O197" s="236"/>
      <c r="P197" s="177"/>
      <c r="Q197" s="237">
        <f t="shared" si="29"/>
        <v>541.75</v>
      </c>
      <c r="R197" s="177">
        <f t="shared" si="24"/>
        <v>37.922500000000007</v>
      </c>
      <c r="S197" s="177">
        <f>$L$11*(1+$L$9)^N197*'Récapitulatif des résultats'!$I$11</f>
        <v>0</v>
      </c>
      <c r="T197" s="238"/>
      <c r="U197" s="177"/>
      <c r="V197" s="246">
        <f t="shared" si="25"/>
        <v>0</v>
      </c>
      <c r="W197" s="185">
        <f>SUM('Pin Laricio'!AQ181*'Pin Laricio'!$F$21,Douglas!AQ181*Douglas!$F$21,'Cedre de l''Atlas'!AQ181*'Cedre de l''Atlas'!$F$21,'Sequoia sempervirens'!AQ181*'Sequoia sempervirens'!$F$21,Chêne!AQ181*Chêne!$F$21,Charme!AQ181*Charme!$F$21)</f>
        <v>0</v>
      </c>
      <c r="X197" s="185">
        <f>SUM('Pin Laricio'!AR181*'Pin Laricio'!$F$21,Douglas!AR181*Douglas!$F$21,'Cedre de l''Atlas'!AR181*'Cedre de l''Atlas'!$F$21,'Sequoia sempervirens'!AR181*'Sequoia sempervirens'!$F$21,Chêne!AR181*Chêne!$F$21,Charme!AR181*Charme!$F$21)</f>
        <v>0</v>
      </c>
      <c r="Y197" s="185">
        <f>SUM('Pin Laricio'!AS181*'Pin Laricio'!$F$21,Douglas!AS181*Douglas!$F$21,'Cedre de l''Atlas'!AS181*'Cedre de l''Atlas'!$F$21,'Sequoia sempervirens'!AS181*'Sequoia sempervirens'!$F$21,Chêne!AS181*Chêne!$F$21,Charme!AS181*Charme!$F$21)</f>
        <v>0</v>
      </c>
      <c r="Z197" s="328">
        <f>SUM('Pin Laricio'!AT181*'Pin Laricio'!$F$21,Douglas!AT181*Douglas!$F$21,'Cedre de l''Atlas'!AT181*'Cedre de l''Atlas'!$F$21,'Sequoia sempervirens'!AT181*'Sequoia sempervirens'!$F$21,Chêne!AT181*Chêne!$F$21,Charme!AT181*Charme!$F$21)</f>
        <v>0</v>
      </c>
      <c r="AA197" s="175">
        <f t="shared" si="27"/>
        <v>0</v>
      </c>
      <c r="AB197" s="176">
        <f t="shared" si="26"/>
        <v>0</v>
      </c>
      <c r="AC197" s="175"/>
      <c r="AD197" s="175"/>
    </row>
    <row r="198" spans="14:30">
      <c r="N198" s="71">
        <v>177</v>
      </c>
      <c r="O198" s="236"/>
      <c r="P198" s="177"/>
      <c r="Q198" s="237">
        <f t="shared" si="29"/>
        <v>541.75</v>
      </c>
      <c r="R198" s="177">
        <f t="shared" si="24"/>
        <v>37.922500000000007</v>
      </c>
      <c r="S198" s="177">
        <f>$L$11*(1+$L$9)^N198*'Récapitulatif des résultats'!$I$11</f>
        <v>0</v>
      </c>
      <c r="T198" s="238"/>
      <c r="U198" s="177"/>
      <c r="V198" s="246">
        <f t="shared" si="25"/>
        <v>0</v>
      </c>
      <c r="W198" s="185">
        <f>SUM('Pin Laricio'!AQ182*'Pin Laricio'!$F$21,Douglas!AQ182*Douglas!$F$21,'Cedre de l''Atlas'!AQ182*'Cedre de l''Atlas'!$F$21,'Sequoia sempervirens'!AQ182*'Sequoia sempervirens'!$F$21,Chêne!AQ182*Chêne!$F$21,Charme!AQ182*Charme!$F$21)</f>
        <v>0</v>
      </c>
      <c r="X198" s="185">
        <f>SUM('Pin Laricio'!AR182*'Pin Laricio'!$F$21,Douglas!AR182*Douglas!$F$21,'Cedre de l''Atlas'!AR182*'Cedre de l''Atlas'!$F$21,'Sequoia sempervirens'!AR182*'Sequoia sempervirens'!$F$21,Chêne!AR182*Chêne!$F$21,Charme!AR182*Charme!$F$21)</f>
        <v>0</v>
      </c>
      <c r="Y198" s="185">
        <f>SUM('Pin Laricio'!AS182*'Pin Laricio'!$F$21,Douglas!AS182*Douglas!$F$21,'Cedre de l''Atlas'!AS182*'Cedre de l''Atlas'!$F$21,'Sequoia sempervirens'!AS182*'Sequoia sempervirens'!$F$21,Chêne!AS182*Chêne!$F$21,Charme!AS182*Charme!$F$21)</f>
        <v>0</v>
      </c>
      <c r="Z198" s="328">
        <f>SUM('Pin Laricio'!AT182*'Pin Laricio'!$F$21,Douglas!AT182*Douglas!$F$21,'Cedre de l''Atlas'!AT182*'Cedre de l''Atlas'!$F$21,'Sequoia sempervirens'!AT182*'Sequoia sempervirens'!$F$21,Chêne!AT182*Chêne!$F$21,Charme!AT182*Charme!$F$21)</f>
        <v>0</v>
      </c>
      <c r="AA198" s="175">
        <f t="shared" si="27"/>
        <v>0</v>
      </c>
      <c r="AB198" s="176">
        <f t="shared" si="26"/>
        <v>0</v>
      </c>
      <c r="AC198" s="175"/>
      <c r="AD198" s="175"/>
    </row>
    <row r="199" spans="14:30">
      <c r="N199" s="71">
        <v>178</v>
      </c>
      <c r="O199" s="236"/>
      <c r="P199" s="177"/>
      <c r="Q199" s="237">
        <f t="shared" si="29"/>
        <v>541.75</v>
      </c>
      <c r="R199" s="177">
        <f t="shared" si="24"/>
        <v>37.922500000000007</v>
      </c>
      <c r="S199" s="177">
        <f>$L$11*(1+$L$9)^N199*'Récapitulatif des résultats'!$I$11</f>
        <v>0</v>
      </c>
      <c r="T199" s="238"/>
      <c r="U199" s="177"/>
      <c r="V199" s="246">
        <f t="shared" si="25"/>
        <v>0</v>
      </c>
      <c r="W199" s="185">
        <f>SUM('Pin Laricio'!AQ183*'Pin Laricio'!$F$21,Douglas!AQ183*Douglas!$F$21,'Cedre de l''Atlas'!AQ183*'Cedre de l''Atlas'!$F$21,'Sequoia sempervirens'!AQ183*'Sequoia sempervirens'!$F$21,Chêne!AQ183*Chêne!$F$21,Charme!AQ183*Charme!$F$21)</f>
        <v>0</v>
      </c>
      <c r="X199" s="185">
        <f>SUM('Pin Laricio'!AR183*'Pin Laricio'!$F$21,Douglas!AR183*Douglas!$F$21,'Cedre de l''Atlas'!AR183*'Cedre de l''Atlas'!$F$21,'Sequoia sempervirens'!AR183*'Sequoia sempervirens'!$F$21,Chêne!AR183*Chêne!$F$21,Charme!AR183*Charme!$F$21)</f>
        <v>0</v>
      </c>
      <c r="Y199" s="185">
        <f>SUM('Pin Laricio'!AS183*'Pin Laricio'!$F$21,Douglas!AS183*Douglas!$F$21,'Cedre de l''Atlas'!AS183*'Cedre de l''Atlas'!$F$21,'Sequoia sempervirens'!AS183*'Sequoia sempervirens'!$F$21,Chêne!AS183*Chêne!$F$21,Charme!AS183*Charme!$F$21)</f>
        <v>0</v>
      </c>
      <c r="Z199" s="328">
        <f>SUM('Pin Laricio'!AT183*'Pin Laricio'!$F$21,Douglas!AT183*Douglas!$F$21,'Cedre de l''Atlas'!AT183*'Cedre de l''Atlas'!$F$21,'Sequoia sempervirens'!AT183*'Sequoia sempervirens'!$F$21,Chêne!AT183*Chêne!$F$21,Charme!AT183*Charme!$F$21)</f>
        <v>0</v>
      </c>
      <c r="AA199" s="175">
        <f t="shared" si="27"/>
        <v>0</v>
      </c>
      <c r="AB199" s="176">
        <f t="shared" si="26"/>
        <v>0</v>
      </c>
      <c r="AC199" s="175"/>
      <c r="AD199" s="175"/>
    </row>
    <row r="200" spans="14:30">
      <c r="N200" s="71">
        <v>179</v>
      </c>
      <c r="O200" s="236"/>
      <c r="P200" s="177"/>
      <c r="Q200" s="237">
        <f t="shared" si="29"/>
        <v>541.75</v>
      </c>
      <c r="R200" s="177">
        <f t="shared" si="24"/>
        <v>37.922500000000007</v>
      </c>
      <c r="S200" s="177">
        <f>$L$11*(1+$L$9)^N200*'Récapitulatif des résultats'!$I$11</f>
        <v>0</v>
      </c>
      <c r="T200" s="238"/>
      <c r="U200" s="177"/>
      <c r="V200" s="246">
        <f t="shared" si="25"/>
        <v>0</v>
      </c>
      <c r="W200" s="185">
        <f>SUM('Pin Laricio'!AQ184*'Pin Laricio'!$F$21,Douglas!AQ184*Douglas!$F$21,'Cedre de l''Atlas'!AQ184*'Cedre de l''Atlas'!$F$21,'Sequoia sempervirens'!AQ184*'Sequoia sempervirens'!$F$21,Chêne!AQ184*Chêne!$F$21,Charme!AQ184*Charme!$F$21)</f>
        <v>0</v>
      </c>
      <c r="X200" s="185">
        <f>SUM('Pin Laricio'!AR184*'Pin Laricio'!$F$21,Douglas!AR184*Douglas!$F$21,'Cedre de l''Atlas'!AR184*'Cedre de l''Atlas'!$F$21,'Sequoia sempervirens'!AR184*'Sequoia sempervirens'!$F$21,Chêne!AR184*Chêne!$F$21,Charme!AR184*Charme!$F$21)</f>
        <v>0</v>
      </c>
      <c r="Y200" s="185">
        <f>SUM('Pin Laricio'!AS184*'Pin Laricio'!$F$21,Douglas!AS184*Douglas!$F$21,'Cedre de l''Atlas'!AS184*'Cedre de l''Atlas'!$F$21,'Sequoia sempervirens'!AS184*'Sequoia sempervirens'!$F$21,Chêne!AS184*Chêne!$F$21,Charme!AS184*Charme!$F$21)</f>
        <v>0</v>
      </c>
      <c r="Z200" s="328">
        <f>SUM('Pin Laricio'!AT184*'Pin Laricio'!$F$21,Douglas!AT184*Douglas!$F$21,'Cedre de l''Atlas'!AT184*'Cedre de l''Atlas'!$F$21,'Sequoia sempervirens'!AT184*'Sequoia sempervirens'!$F$21,Chêne!AT184*Chêne!$F$21,Charme!AT184*Charme!$F$21)</f>
        <v>0</v>
      </c>
      <c r="AA200" s="175">
        <f t="shared" si="27"/>
        <v>0</v>
      </c>
      <c r="AB200" s="176">
        <f t="shared" si="26"/>
        <v>0</v>
      </c>
      <c r="AC200" s="175"/>
      <c r="AD200" s="175"/>
    </row>
    <row r="201" spans="14:30">
      <c r="N201" s="71">
        <v>180</v>
      </c>
      <c r="O201" s="236"/>
      <c r="P201" s="177"/>
      <c r="Q201" s="237">
        <f t="shared" si="29"/>
        <v>541.75</v>
      </c>
      <c r="R201" s="177">
        <f t="shared" si="24"/>
        <v>37.922500000000007</v>
      </c>
      <c r="S201" s="177">
        <f>$L$11*(1+$L$9)^N201*'Récapitulatif des résultats'!$I$11</f>
        <v>0</v>
      </c>
      <c r="T201" s="238"/>
      <c r="U201" s="177"/>
      <c r="V201" s="246">
        <f t="shared" si="25"/>
        <v>0</v>
      </c>
      <c r="W201" s="185">
        <f>SUM('Pin Laricio'!AQ185*'Pin Laricio'!$F$21,Douglas!AQ185*Douglas!$F$21,'Cedre de l''Atlas'!AQ185*'Cedre de l''Atlas'!$F$21,'Sequoia sempervirens'!AQ185*'Sequoia sempervirens'!$F$21,Chêne!AQ185*Chêne!$F$21,Charme!AQ185*Charme!$F$21)</f>
        <v>0</v>
      </c>
      <c r="X201" s="185">
        <f>SUM('Pin Laricio'!AR185*'Pin Laricio'!$F$21,Douglas!AR185*Douglas!$F$21,'Cedre de l''Atlas'!AR185*'Cedre de l''Atlas'!$F$21,'Sequoia sempervirens'!AR185*'Sequoia sempervirens'!$F$21,Chêne!AR185*Chêne!$F$21,Charme!AR185*Charme!$F$21)</f>
        <v>0</v>
      </c>
      <c r="Y201" s="185">
        <f>SUM('Pin Laricio'!AS185*'Pin Laricio'!$F$21,Douglas!AS185*Douglas!$F$21,'Cedre de l''Atlas'!AS185*'Cedre de l''Atlas'!$F$21,'Sequoia sempervirens'!AS185*'Sequoia sempervirens'!$F$21,Chêne!AS185*Chêne!$F$21,Charme!AS185*Charme!$F$21)</f>
        <v>0</v>
      </c>
      <c r="Z201" s="328">
        <f>SUM('Pin Laricio'!AT185*'Pin Laricio'!$F$21,Douglas!AT185*Douglas!$F$21,'Cedre de l''Atlas'!AT185*'Cedre de l''Atlas'!$F$21,'Sequoia sempervirens'!AT185*'Sequoia sempervirens'!$F$21,Chêne!AT185*Chêne!$F$21,Charme!AT185*Charme!$F$21)</f>
        <v>0</v>
      </c>
      <c r="AA201" s="175">
        <f t="shared" si="27"/>
        <v>0</v>
      </c>
      <c r="AB201" s="176">
        <f t="shared" si="26"/>
        <v>0</v>
      </c>
      <c r="AC201" s="175"/>
      <c r="AD201" s="175"/>
    </row>
    <row r="202" spans="14:30">
      <c r="N202" s="71">
        <v>181</v>
      </c>
      <c r="O202" s="236"/>
      <c r="P202" s="177"/>
      <c r="Q202" s="237">
        <f t="shared" si="29"/>
        <v>541.75</v>
      </c>
      <c r="R202" s="177">
        <f t="shared" si="24"/>
        <v>37.922500000000007</v>
      </c>
      <c r="S202" s="177">
        <f>$L$11*(1+$L$9)^N202*'Récapitulatif des résultats'!$I$11</f>
        <v>0</v>
      </c>
      <c r="T202" s="238"/>
      <c r="U202" s="177"/>
      <c r="V202" s="246">
        <f t="shared" si="25"/>
        <v>0</v>
      </c>
      <c r="W202" s="185">
        <f>SUM('Pin Laricio'!AQ186*'Pin Laricio'!$F$21,Douglas!AQ186*Douglas!$F$21,'Cedre de l''Atlas'!AQ186*'Cedre de l''Atlas'!$F$21,'Sequoia sempervirens'!AQ186*'Sequoia sempervirens'!$F$21,Chêne!AQ186*Chêne!$F$21,Charme!AQ186*Charme!$F$21)</f>
        <v>0</v>
      </c>
      <c r="X202" s="185">
        <f>SUM('Pin Laricio'!AR186*'Pin Laricio'!$F$21,Douglas!AR186*Douglas!$F$21,'Cedre de l''Atlas'!AR186*'Cedre de l''Atlas'!$F$21,'Sequoia sempervirens'!AR186*'Sequoia sempervirens'!$F$21,Chêne!AR186*Chêne!$F$21,Charme!AR186*Charme!$F$21)</f>
        <v>0</v>
      </c>
      <c r="Y202" s="185">
        <f>SUM('Pin Laricio'!AS186*'Pin Laricio'!$F$21,Douglas!AS186*Douglas!$F$21,'Cedre de l''Atlas'!AS186*'Cedre de l''Atlas'!$F$21,'Sequoia sempervirens'!AS186*'Sequoia sempervirens'!$F$21,Chêne!AS186*Chêne!$F$21,Charme!AS186*Charme!$F$21)</f>
        <v>0</v>
      </c>
      <c r="Z202" s="328">
        <f>SUM('Pin Laricio'!AT186*'Pin Laricio'!$F$21,Douglas!AT186*Douglas!$F$21,'Cedre de l''Atlas'!AT186*'Cedre de l''Atlas'!$F$21,'Sequoia sempervirens'!AT186*'Sequoia sempervirens'!$F$21,Chêne!AT186*Chêne!$F$21,Charme!AT186*Charme!$F$21)</f>
        <v>0</v>
      </c>
      <c r="AA202" s="175">
        <f t="shared" si="27"/>
        <v>0</v>
      </c>
      <c r="AB202" s="176">
        <f t="shared" si="26"/>
        <v>0</v>
      </c>
      <c r="AC202" s="175"/>
      <c r="AD202" s="175"/>
    </row>
    <row r="203" spans="14:30">
      <c r="N203" s="71">
        <v>182</v>
      </c>
      <c r="O203" s="236"/>
      <c r="P203" s="177"/>
      <c r="Q203" s="237">
        <f t="shared" si="29"/>
        <v>541.75</v>
      </c>
      <c r="R203" s="177">
        <f t="shared" si="24"/>
        <v>37.922500000000007</v>
      </c>
      <c r="S203" s="177">
        <f>$L$11*(1+$L$9)^N203*'Récapitulatif des résultats'!$I$11</f>
        <v>0</v>
      </c>
      <c r="T203" s="238"/>
      <c r="U203" s="177"/>
      <c r="V203" s="246">
        <f t="shared" si="25"/>
        <v>0</v>
      </c>
      <c r="W203" s="185">
        <f>SUM('Pin Laricio'!AQ187*'Pin Laricio'!$F$21,Douglas!AQ187*Douglas!$F$21,'Cedre de l''Atlas'!AQ187*'Cedre de l''Atlas'!$F$21,'Sequoia sempervirens'!AQ187*'Sequoia sempervirens'!$F$21,Chêne!AQ187*Chêne!$F$21,Charme!AQ187*Charme!$F$21)</f>
        <v>0</v>
      </c>
      <c r="X203" s="185">
        <f>SUM('Pin Laricio'!AR187*'Pin Laricio'!$F$21,Douglas!AR187*Douglas!$F$21,'Cedre de l''Atlas'!AR187*'Cedre de l''Atlas'!$F$21,'Sequoia sempervirens'!AR187*'Sequoia sempervirens'!$F$21,Chêne!AR187*Chêne!$F$21,Charme!AR187*Charme!$F$21)</f>
        <v>0</v>
      </c>
      <c r="Y203" s="185">
        <f>SUM('Pin Laricio'!AS187*'Pin Laricio'!$F$21,Douglas!AS187*Douglas!$F$21,'Cedre de l''Atlas'!AS187*'Cedre de l''Atlas'!$F$21,'Sequoia sempervirens'!AS187*'Sequoia sempervirens'!$F$21,Chêne!AS187*Chêne!$F$21,Charme!AS187*Charme!$F$21)</f>
        <v>0</v>
      </c>
      <c r="Z203" s="328">
        <f>SUM('Pin Laricio'!AT187*'Pin Laricio'!$F$21,Douglas!AT187*Douglas!$F$21,'Cedre de l''Atlas'!AT187*'Cedre de l''Atlas'!$F$21,'Sequoia sempervirens'!AT187*'Sequoia sempervirens'!$F$21,Chêne!AT187*Chêne!$F$21,Charme!AT187*Charme!$F$21)</f>
        <v>0</v>
      </c>
      <c r="AA203" s="175">
        <f t="shared" si="27"/>
        <v>0</v>
      </c>
      <c r="AB203" s="176">
        <f t="shared" si="26"/>
        <v>0</v>
      </c>
      <c r="AC203" s="175"/>
      <c r="AD203" s="175"/>
    </row>
    <row r="204" spans="14:30">
      <c r="N204" s="71">
        <v>183</v>
      </c>
      <c r="O204" s="236"/>
      <c r="P204" s="177"/>
      <c r="Q204" s="237">
        <f t="shared" si="29"/>
        <v>541.75</v>
      </c>
      <c r="R204" s="177">
        <f t="shared" si="24"/>
        <v>37.922500000000007</v>
      </c>
      <c r="S204" s="177">
        <f>$L$11*(1+$L$9)^N204*'Récapitulatif des résultats'!$I$11</f>
        <v>0</v>
      </c>
      <c r="T204" s="238"/>
      <c r="U204" s="177"/>
      <c r="V204" s="246">
        <f t="shared" si="25"/>
        <v>0</v>
      </c>
      <c r="W204" s="185">
        <f>SUM('Pin Laricio'!AQ188*'Pin Laricio'!$F$21,Douglas!AQ188*Douglas!$F$21,'Cedre de l''Atlas'!AQ188*'Cedre de l''Atlas'!$F$21,'Sequoia sempervirens'!AQ188*'Sequoia sempervirens'!$F$21,Chêne!AQ188*Chêne!$F$21,Charme!AQ188*Charme!$F$21)</f>
        <v>0</v>
      </c>
      <c r="X204" s="185">
        <f>SUM('Pin Laricio'!AR188*'Pin Laricio'!$F$21,Douglas!AR188*Douglas!$F$21,'Cedre de l''Atlas'!AR188*'Cedre de l''Atlas'!$F$21,'Sequoia sempervirens'!AR188*'Sequoia sempervirens'!$F$21,Chêne!AR188*Chêne!$F$21,Charme!AR188*Charme!$F$21)</f>
        <v>0</v>
      </c>
      <c r="Y204" s="185">
        <f>SUM('Pin Laricio'!AS188*'Pin Laricio'!$F$21,Douglas!AS188*Douglas!$F$21,'Cedre de l''Atlas'!AS188*'Cedre de l''Atlas'!$F$21,'Sequoia sempervirens'!AS188*'Sequoia sempervirens'!$F$21,Chêne!AS188*Chêne!$F$21,Charme!AS188*Charme!$F$21)</f>
        <v>0</v>
      </c>
      <c r="Z204" s="328">
        <f>SUM('Pin Laricio'!AT188*'Pin Laricio'!$F$21,Douglas!AT188*Douglas!$F$21,'Cedre de l''Atlas'!AT188*'Cedre de l''Atlas'!$F$21,'Sequoia sempervirens'!AT188*'Sequoia sempervirens'!$F$21,Chêne!AT188*Chêne!$F$21,Charme!AT188*Charme!$F$21)</f>
        <v>0</v>
      </c>
      <c r="AA204" s="175">
        <f t="shared" si="27"/>
        <v>0</v>
      </c>
      <c r="AB204" s="176">
        <f t="shared" si="26"/>
        <v>0</v>
      </c>
      <c r="AC204" s="175"/>
      <c r="AD204" s="175"/>
    </row>
    <row r="205" spans="14:30">
      <c r="N205" s="71">
        <v>184</v>
      </c>
      <c r="O205" s="236"/>
      <c r="P205" s="177"/>
      <c r="Q205" s="237">
        <f t="shared" si="29"/>
        <v>541.75</v>
      </c>
      <c r="R205" s="177">
        <f t="shared" si="24"/>
        <v>37.922500000000007</v>
      </c>
      <c r="S205" s="177">
        <f>$L$11*(1+$L$9)^N205*'Récapitulatif des résultats'!$I$11</f>
        <v>0</v>
      </c>
      <c r="T205" s="238"/>
      <c r="U205" s="177"/>
      <c r="V205" s="246">
        <f t="shared" si="25"/>
        <v>0</v>
      </c>
      <c r="W205" s="185">
        <f>SUM('Pin Laricio'!AQ189*'Pin Laricio'!$F$21,Douglas!AQ189*Douglas!$F$21,'Cedre de l''Atlas'!AQ189*'Cedre de l''Atlas'!$F$21,'Sequoia sempervirens'!AQ189*'Sequoia sempervirens'!$F$21,Chêne!AQ189*Chêne!$F$21,Charme!AQ189*Charme!$F$21)</f>
        <v>0</v>
      </c>
      <c r="X205" s="185">
        <f>SUM('Pin Laricio'!AR189*'Pin Laricio'!$F$21,Douglas!AR189*Douglas!$F$21,'Cedre de l''Atlas'!AR189*'Cedre de l''Atlas'!$F$21,'Sequoia sempervirens'!AR189*'Sequoia sempervirens'!$F$21,Chêne!AR189*Chêne!$F$21,Charme!AR189*Charme!$F$21)</f>
        <v>0</v>
      </c>
      <c r="Y205" s="185">
        <f>SUM('Pin Laricio'!AS189*'Pin Laricio'!$F$21,Douglas!AS189*Douglas!$F$21,'Cedre de l''Atlas'!AS189*'Cedre de l''Atlas'!$F$21,'Sequoia sempervirens'!AS189*'Sequoia sempervirens'!$F$21,Chêne!AS189*Chêne!$F$21,Charme!AS189*Charme!$F$21)</f>
        <v>0</v>
      </c>
      <c r="Z205" s="328">
        <f>SUM('Pin Laricio'!AT189*'Pin Laricio'!$F$21,Douglas!AT189*Douglas!$F$21,'Cedre de l''Atlas'!AT189*'Cedre de l''Atlas'!$F$21,'Sequoia sempervirens'!AT189*'Sequoia sempervirens'!$F$21,Chêne!AT189*Chêne!$F$21,Charme!AT189*Charme!$F$21)</f>
        <v>0</v>
      </c>
      <c r="AA205" s="175">
        <f t="shared" si="27"/>
        <v>0</v>
      </c>
      <c r="AB205" s="176">
        <f t="shared" si="26"/>
        <v>0</v>
      </c>
      <c r="AC205" s="175"/>
      <c r="AD205" s="175"/>
    </row>
    <row r="206" spans="14:30">
      <c r="N206" s="71">
        <v>185</v>
      </c>
      <c r="O206" s="236"/>
      <c r="P206" s="177"/>
      <c r="Q206" s="237">
        <f t="shared" si="29"/>
        <v>541.75</v>
      </c>
      <c r="R206" s="177">
        <f t="shared" si="24"/>
        <v>37.922500000000007</v>
      </c>
      <c r="S206" s="177">
        <f>$L$11*(1+$L$9)^N206*'Récapitulatif des résultats'!$I$11</f>
        <v>0</v>
      </c>
      <c r="T206" s="238"/>
      <c r="U206" s="177"/>
      <c r="V206" s="246">
        <f t="shared" si="25"/>
        <v>0</v>
      </c>
      <c r="W206" s="185">
        <f>SUM('Pin Laricio'!AQ190*'Pin Laricio'!$F$21,Douglas!AQ190*Douglas!$F$21,'Cedre de l''Atlas'!AQ190*'Cedre de l''Atlas'!$F$21,'Sequoia sempervirens'!AQ190*'Sequoia sempervirens'!$F$21,Chêne!AQ190*Chêne!$F$21,Charme!AQ190*Charme!$F$21)</f>
        <v>0</v>
      </c>
      <c r="X206" s="185">
        <f>SUM('Pin Laricio'!AR190*'Pin Laricio'!$F$21,Douglas!AR190*Douglas!$F$21,'Cedre de l''Atlas'!AR190*'Cedre de l''Atlas'!$F$21,'Sequoia sempervirens'!AR190*'Sequoia sempervirens'!$F$21,Chêne!AR190*Chêne!$F$21,Charme!AR190*Charme!$F$21)</f>
        <v>0</v>
      </c>
      <c r="Y206" s="185">
        <f>SUM('Pin Laricio'!AS190*'Pin Laricio'!$F$21,Douglas!AS190*Douglas!$F$21,'Cedre de l''Atlas'!AS190*'Cedre de l''Atlas'!$F$21,'Sequoia sempervirens'!AS190*'Sequoia sempervirens'!$F$21,Chêne!AS190*Chêne!$F$21,Charme!AS190*Charme!$F$21)</f>
        <v>0</v>
      </c>
      <c r="Z206" s="328">
        <f>SUM('Pin Laricio'!AT190*'Pin Laricio'!$F$21,Douglas!AT190*Douglas!$F$21,'Cedre de l''Atlas'!AT190*'Cedre de l''Atlas'!$F$21,'Sequoia sempervirens'!AT190*'Sequoia sempervirens'!$F$21,Chêne!AT190*Chêne!$F$21,Charme!AT190*Charme!$F$21)</f>
        <v>0</v>
      </c>
      <c r="AA206" s="175">
        <f t="shared" si="27"/>
        <v>0</v>
      </c>
      <c r="AB206" s="176">
        <f t="shared" si="26"/>
        <v>0</v>
      </c>
      <c r="AC206" s="175"/>
      <c r="AD206" s="175"/>
    </row>
    <row r="207" spans="14:30">
      <c r="N207" s="71">
        <v>186</v>
      </c>
      <c r="O207" s="236"/>
      <c r="P207" s="177"/>
      <c r="Q207" s="237">
        <f t="shared" si="29"/>
        <v>541.75</v>
      </c>
      <c r="R207" s="177">
        <f t="shared" si="24"/>
        <v>37.922500000000007</v>
      </c>
      <c r="S207" s="177">
        <f>$L$11*(1+$L$9)^N207*'Récapitulatif des résultats'!$I$11</f>
        <v>0</v>
      </c>
      <c r="T207" s="238"/>
      <c r="U207" s="177"/>
      <c r="V207" s="246">
        <f t="shared" si="25"/>
        <v>0</v>
      </c>
      <c r="W207" s="185">
        <f>SUM('Pin Laricio'!AQ191*'Pin Laricio'!$F$21,Douglas!AQ191*Douglas!$F$21,'Cedre de l''Atlas'!AQ191*'Cedre de l''Atlas'!$F$21,'Sequoia sempervirens'!AQ191*'Sequoia sempervirens'!$F$21,Chêne!AQ191*Chêne!$F$21,Charme!AQ191*Charme!$F$21)</f>
        <v>0</v>
      </c>
      <c r="X207" s="185">
        <f>SUM('Pin Laricio'!AR191*'Pin Laricio'!$F$21,Douglas!AR191*Douglas!$F$21,'Cedre de l''Atlas'!AR191*'Cedre de l''Atlas'!$F$21,'Sequoia sempervirens'!AR191*'Sequoia sempervirens'!$F$21,Chêne!AR191*Chêne!$F$21,Charme!AR191*Charme!$F$21)</f>
        <v>0</v>
      </c>
      <c r="Y207" s="185">
        <f>SUM('Pin Laricio'!AS191*'Pin Laricio'!$F$21,Douglas!AS191*Douglas!$F$21,'Cedre de l''Atlas'!AS191*'Cedre de l''Atlas'!$F$21,'Sequoia sempervirens'!AS191*'Sequoia sempervirens'!$F$21,Chêne!AS191*Chêne!$F$21,Charme!AS191*Charme!$F$21)</f>
        <v>0</v>
      </c>
      <c r="Z207" s="328">
        <f>SUM('Pin Laricio'!AT191*'Pin Laricio'!$F$21,Douglas!AT191*Douglas!$F$21,'Cedre de l''Atlas'!AT191*'Cedre de l''Atlas'!$F$21,'Sequoia sempervirens'!AT191*'Sequoia sempervirens'!$F$21,Chêne!AT191*Chêne!$F$21,Charme!AT191*Charme!$F$21)</f>
        <v>0</v>
      </c>
      <c r="AA207" s="175">
        <f t="shared" si="27"/>
        <v>0</v>
      </c>
      <c r="AB207" s="176">
        <f t="shared" si="26"/>
        <v>0</v>
      </c>
      <c r="AC207" s="175"/>
      <c r="AD207" s="175"/>
    </row>
    <row r="208" spans="14:30">
      <c r="N208" s="71">
        <v>187</v>
      </c>
      <c r="O208" s="236"/>
      <c r="P208" s="177"/>
      <c r="Q208" s="237">
        <f t="shared" si="29"/>
        <v>541.75</v>
      </c>
      <c r="R208" s="177">
        <f t="shared" si="24"/>
        <v>37.922500000000007</v>
      </c>
      <c r="S208" s="177">
        <f>$L$11*(1+$L$9)^N208*'Récapitulatif des résultats'!$I$11</f>
        <v>0</v>
      </c>
      <c r="T208" s="238"/>
      <c r="U208" s="177"/>
      <c r="V208" s="246">
        <f t="shared" si="25"/>
        <v>0</v>
      </c>
      <c r="W208" s="185">
        <f>SUM('Pin Laricio'!AQ192*'Pin Laricio'!$F$21,Douglas!AQ192*Douglas!$F$21,'Cedre de l''Atlas'!AQ192*'Cedre de l''Atlas'!$F$21,'Sequoia sempervirens'!AQ192*'Sequoia sempervirens'!$F$21,Chêne!AQ192*Chêne!$F$21,Charme!AQ192*Charme!$F$21)</f>
        <v>0</v>
      </c>
      <c r="X208" s="185">
        <f>SUM('Pin Laricio'!AR192*'Pin Laricio'!$F$21,Douglas!AR192*Douglas!$F$21,'Cedre de l''Atlas'!AR192*'Cedre de l''Atlas'!$F$21,'Sequoia sempervirens'!AR192*'Sequoia sempervirens'!$F$21,Chêne!AR192*Chêne!$F$21,Charme!AR192*Charme!$F$21)</f>
        <v>0</v>
      </c>
      <c r="Y208" s="185">
        <f>SUM('Pin Laricio'!AS192*'Pin Laricio'!$F$21,Douglas!AS192*Douglas!$F$21,'Cedre de l''Atlas'!AS192*'Cedre de l''Atlas'!$F$21,'Sequoia sempervirens'!AS192*'Sequoia sempervirens'!$F$21,Chêne!AS192*Chêne!$F$21,Charme!AS192*Charme!$F$21)</f>
        <v>0</v>
      </c>
      <c r="Z208" s="328">
        <f>SUM('Pin Laricio'!AT192*'Pin Laricio'!$F$21,Douglas!AT192*Douglas!$F$21,'Cedre de l''Atlas'!AT192*'Cedre de l''Atlas'!$F$21,'Sequoia sempervirens'!AT192*'Sequoia sempervirens'!$F$21,Chêne!AT192*Chêne!$F$21,Charme!AT192*Charme!$F$21)</f>
        <v>0</v>
      </c>
      <c r="AA208" s="175">
        <f t="shared" si="27"/>
        <v>0</v>
      </c>
      <c r="AB208" s="176">
        <f t="shared" si="26"/>
        <v>0</v>
      </c>
      <c r="AC208" s="175"/>
      <c r="AD208" s="175"/>
    </row>
    <row r="209" spans="14:30">
      <c r="N209" s="71">
        <v>188</v>
      </c>
      <c r="O209" s="236"/>
      <c r="P209" s="177"/>
      <c r="Q209" s="237">
        <f t="shared" si="29"/>
        <v>541.75</v>
      </c>
      <c r="R209" s="177">
        <f t="shared" si="24"/>
        <v>37.922500000000007</v>
      </c>
      <c r="S209" s="177">
        <f>$L$11*(1+$L$9)^N209*'Récapitulatif des résultats'!$I$11</f>
        <v>0</v>
      </c>
      <c r="T209" s="238"/>
      <c r="U209" s="177"/>
      <c r="V209" s="246">
        <f t="shared" si="25"/>
        <v>0</v>
      </c>
      <c r="W209" s="185">
        <f>SUM('Pin Laricio'!AQ193*'Pin Laricio'!$F$21,Douglas!AQ193*Douglas!$F$21,'Cedre de l''Atlas'!AQ193*'Cedre de l''Atlas'!$F$21,'Sequoia sempervirens'!AQ193*'Sequoia sempervirens'!$F$21,Chêne!AQ193*Chêne!$F$21,Charme!AQ193*Charme!$F$21)</f>
        <v>0</v>
      </c>
      <c r="X209" s="185">
        <f>SUM('Pin Laricio'!AR193*'Pin Laricio'!$F$21,Douglas!AR193*Douglas!$F$21,'Cedre de l''Atlas'!AR193*'Cedre de l''Atlas'!$F$21,'Sequoia sempervirens'!AR193*'Sequoia sempervirens'!$F$21,Chêne!AR193*Chêne!$F$21,Charme!AR193*Charme!$F$21)</f>
        <v>0</v>
      </c>
      <c r="Y209" s="185">
        <f>SUM('Pin Laricio'!AS193*'Pin Laricio'!$F$21,Douglas!AS193*Douglas!$F$21,'Cedre de l''Atlas'!AS193*'Cedre de l''Atlas'!$F$21,'Sequoia sempervirens'!AS193*'Sequoia sempervirens'!$F$21,Chêne!AS193*Chêne!$F$21,Charme!AS193*Charme!$F$21)</f>
        <v>0</v>
      </c>
      <c r="Z209" s="328">
        <f>SUM('Pin Laricio'!AT193*'Pin Laricio'!$F$21,Douglas!AT193*Douglas!$F$21,'Cedre de l''Atlas'!AT193*'Cedre de l''Atlas'!$F$21,'Sequoia sempervirens'!AT193*'Sequoia sempervirens'!$F$21,Chêne!AT193*Chêne!$F$21,Charme!AT193*Charme!$F$21)</f>
        <v>0</v>
      </c>
      <c r="AA209" s="175">
        <f t="shared" si="27"/>
        <v>0</v>
      </c>
      <c r="AB209" s="176">
        <f t="shared" si="26"/>
        <v>0</v>
      </c>
      <c r="AC209" s="175"/>
      <c r="AD209" s="175"/>
    </row>
    <row r="210" spans="14:30">
      <c r="N210" s="71">
        <v>189</v>
      </c>
      <c r="O210" s="236"/>
      <c r="P210" s="177"/>
      <c r="Q210" s="237">
        <f t="shared" si="29"/>
        <v>541.75</v>
      </c>
      <c r="R210" s="177">
        <f t="shared" si="24"/>
        <v>37.922500000000007</v>
      </c>
      <c r="S210" s="177">
        <f>$L$11*(1+$L$9)^N210*'Récapitulatif des résultats'!$I$11</f>
        <v>0</v>
      </c>
      <c r="T210" s="238"/>
      <c r="U210" s="177"/>
      <c r="V210" s="246">
        <f t="shared" si="25"/>
        <v>0</v>
      </c>
      <c r="W210" s="185">
        <f>SUM('Pin Laricio'!AQ194*'Pin Laricio'!$F$21,Douglas!AQ194*Douglas!$F$21,'Cedre de l''Atlas'!AQ194*'Cedre de l''Atlas'!$F$21,'Sequoia sempervirens'!AQ194*'Sequoia sempervirens'!$F$21,Chêne!AQ194*Chêne!$F$21,Charme!AQ194*Charme!$F$21)</f>
        <v>0</v>
      </c>
      <c r="X210" s="185">
        <f>SUM('Pin Laricio'!AR194*'Pin Laricio'!$F$21,Douglas!AR194*Douglas!$F$21,'Cedre de l''Atlas'!AR194*'Cedre de l''Atlas'!$F$21,'Sequoia sempervirens'!AR194*'Sequoia sempervirens'!$F$21,Chêne!AR194*Chêne!$F$21,Charme!AR194*Charme!$F$21)</f>
        <v>0</v>
      </c>
      <c r="Y210" s="185">
        <f>SUM('Pin Laricio'!AS194*'Pin Laricio'!$F$21,Douglas!AS194*Douglas!$F$21,'Cedre de l''Atlas'!AS194*'Cedre de l''Atlas'!$F$21,'Sequoia sempervirens'!AS194*'Sequoia sempervirens'!$F$21,Chêne!AS194*Chêne!$F$21,Charme!AS194*Charme!$F$21)</f>
        <v>0</v>
      </c>
      <c r="Z210" s="328">
        <f>SUM('Pin Laricio'!AT194*'Pin Laricio'!$F$21,Douglas!AT194*Douglas!$F$21,'Cedre de l''Atlas'!AT194*'Cedre de l''Atlas'!$F$21,'Sequoia sempervirens'!AT194*'Sequoia sempervirens'!$F$21,Chêne!AT194*Chêne!$F$21,Charme!AT194*Charme!$F$21)</f>
        <v>0</v>
      </c>
      <c r="AA210" s="175">
        <f t="shared" si="27"/>
        <v>0</v>
      </c>
      <c r="AB210" s="176">
        <f t="shared" si="26"/>
        <v>0</v>
      </c>
      <c r="AC210" s="175"/>
      <c r="AD210" s="175"/>
    </row>
    <row r="211" spans="14:30">
      <c r="N211" s="71">
        <v>190</v>
      </c>
      <c r="O211" s="236"/>
      <c r="P211" s="177"/>
      <c r="Q211" s="237">
        <f t="shared" si="29"/>
        <v>541.75</v>
      </c>
      <c r="R211" s="177">
        <f t="shared" si="24"/>
        <v>37.922500000000007</v>
      </c>
      <c r="S211" s="177">
        <f>$L$11*(1+$L$9)^N211*'Récapitulatif des résultats'!$I$11</f>
        <v>0</v>
      </c>
      <c r="T211" s="238"/>
      <c r="U211" s="177"/>
      <c r="V211" s="246">
        <f t="shared" si="25"/>
        <v>0</v>
      </c>
      <c r="W211" s="185">
        <f>SUM('Pin Laricio'!AQ195*'Pin Laricio'!$F$21,Douglas!AQ195*Douglas!$F$21,'Cedre de l''Atlas'!AQ195*'Cedre de l''Atlas'!$F$21,'Sequoia sempervirens'!AQ195*'Sequoia sempervirens'!$F$21,Chêne!AQ195*Chêne!$F$21,Charme!AQ195*Charme!$F$21)</f>
        <v>0</v>
      </c>
      <c r="X211" s="185">
        <f>SUM('Pin Laricio'!AR195*'Pin Laricio'!$F$21,Douglas!AR195*Douglas!$F$21,'Cedre de l''Atlas'!AR195*'Cedre de l''Atlas'!$F$21,'Sequoia sempervirens'!AR195*'Sequoia sempervirens'!$F$21,Chêne!AR195*Chêne!$F$21,Charme!AR195*Charme!$F$21)</f>
        <v>0</v>
      </c>
      <c r="Y211" s="185">
        <f>SUM('Pin Laricio'!AS195*'Pin Laricio'!$F$21,Douglas!AS195*Douglas!$F$21,'Cedre de l''Atlas'!AS195*'Cedre de l''Atlas'!$F$21,'Sequoia sempervirens'!AS195*'Sequoia sempervirens'!$F$21,Chêne!AS195*Chêne!$F$21,Charme!AS195*Charme!$F$21)</f>
        <v>0</v>
      </c>
      <c r="Z211" s="328">
        <f>SUM('Pin Laricio'!AT195*'Pin Laricio'!$F$21,Douglas!AT195*Douglas!$F$21,'Cedre de l''Atlas'!AT195*'Cedre de l''Atlas'!$F$21,'Sequoia sempervirens'!AT195*'Sequoia sempervirens'!$F$21,Chêne!AT195*Chêne!$F$21,Charme!AT195*Charme!$F$21)</f>
        <v>0</v>
      </c>
      <c r="AA211" s="175">
        <f t="shared" si="27"/>
        <v>0</v>
      </c>
      <c r="AB211" s="176">
        <f t="shared" si="26"/>
        <v>0</v>
      </c>
      <c r="AC211" s="175"/>
      <c r="AD211" s="175"/>
    </row>
    <row r="212" spans="14:30">
      <c r="N212" s="71">
        <v>191</v>
      </c>
      <c r="O212" s="236"/>
      <c r="P212" s="177"/>
      <c r="Q212" s="237">
        <f t="shared" si="29"/>
        <v>541.75</v>
      </c>
      <c r="R212" s="177">
        <f t="shared" si="24"/>
        <v>37.922500000000007</v>
      </c>
      <c r="S212" s="177">
        <f>$L$11*(1+$L$9)^N212*'Récapitulatif des résultats'!$I$11</f>
        <v>0</v>
      </c>
      <c r="T212" s="238"/>
      <c r="U212" s="177"/>
      <c r="V212" s="246">
        <f t="shared" si="25"/>
        <v>0</v>
      </c>
      <c r="W212" s="185">
        <f>SUM('Pin Laricio'!AQ196*'Pin Laricio'!$F$21,Douglas!AQ196*Douglas!$F$21,'Cedre de l''Atlas'!AQ196*'Cedre de l''Atlas'!$F$21,'Sequoia sempervirens'!AQ196*'Sequoia sempervirens'!$F$21,Chêne!AQ196*Chêne!$F$21,Charme!AQ196*Charme!$F$21)</f>
        <v>0</v>
      </c>
      <c r="X212" s="185">
        <f>SUM('Pin Laricio'!AR196*'Pin Laricio'!$F$21,Douglas!AR196*Douglas!$F$21,'Cedre de l''Atlas'!AR196*'Cedre de l''Atlas'!$F$21,'Sequoia sempervirens'!AR196*'Sequoia sempervirens'!$F$21,Chêne!AR196*Chêne!$F$21,Charme!AR196*Charme!$F$21)</f>
        <v>0</v>
      </c>
      <c r="Y212" s="185">
        <f>SUM('Pin Laricio'!AS196*'Pin Laricio'!$F$21,Douglas!AS196*Douglas!$F$21,'Cedre de l''Atlas'!AS196*'Cedre de l''Atlas'!$F$21,'Sequoia sempervirens'!AS196*'Sequoia sempervirens'!$F$21,Chêne!AS196*Chêne!$F$21,Charme!AS196*Charme!$F$21)</f>
        <v>0</v>
      </c>
      <c r="Z212" s="328">
        <f>SUM('Pin Laricio'!AT196*'Pin Laricio'!$F$21,Douglas!AT196*Douglas!$F$21,'Cedre de l''Atlas'!AT196*'Cedre de l''Atlas'!$F$21,'Sequoia sempervirens'!AT196*'Sequoia sempervirens'!$F$21,Chêne!AT196*Chêne!$F$21,Charme!AT196*Charme!$F$21)</f>
        <v>0</v>
      </c>
      <c r="AA212" s="175">
        <f t="shared" si="27"/>
        <v>0</v>
      </c>
      <c r="AB212" s="176">
        <f t="shared" si="26"/>
        <v>0</v>
      </c>
      <c r="AC212" s="175"/>
      <c r="AD212" s="175"/>
    </row>
    <row r="213" spans="14:30">
      <c r="N213" s="71">
        <v>192</v>
      </c>
      <c r="O213" s="236"/>
      <c r="P213" s="177"/>
      <c r="Q213" s="237">
        <f t="shared" si="29"/>
        <v>541.75</v>
      </c>
      <c r="R213" s="177">
        <f t="shared" ref="R213:R221" si="30">$L$10*SUM(O213:Q213)</f>
        <v>37.922500000000007</v>
      </c>
      <c r="S213" s="177">
        <f>$L$11*(1+$L$9)^N213*'Récapitulatif des résultats'!$I$11</f>
        <v>0</v>
      </c>
      <c r="T213" s="238"/>
      <c r="U213" s="177"/>
      <c r="V213" s="246">
        <f t="shared" ref="V213:V221" si="31">SUM(W213:Z213)</f>
        <v>0</v>
      </c>
      <c r="W213" s="185">
        <f>SUM('Pin Laricio'!AQ197*'Pin Laricio'!$F$21,Douglas!AQ197*Douglas!$F$21,'Cedre de l''Atlas'!AQ197*'Cedre de l''Atlas'!$F$21,'Sequoia sempervirens'!AQ197*'Sequoia sempervirens'!$F$21,Chêne!AQ197*Chêne!$F$21,Charme!AQ197*Charme!$F$21)</f>
        <v>0</v>
      </c>
      <c r="X213" s="185">
        <f>SUM('Pin Laricio'!AR197*'Pin Laricio'!$F$21,Douglas!AR197*Douglas!$F$21,'Cedre de l''Atlas'!AR197*'Cedre de l''Atlas'!$F$21,'Sequoia sempervirens'!AR197*'Sequoia sempervirens'!$F$21,Chêne!AR197*Chêne!$F$21,Charme!AR197*Charme!$F$21)</f>
        <v>0</v>
      </c>
      <c r="Y213" s="185">
        <f>SUM('Pin Laricio'!AS197*'Pin Laricio'!$F$21,Douglas!AS197*Douglas!$F$21,'Cedre de l''Atlas'!AS197*'Cedre de l''Atlas'!$F$21,'Sequoia sempervirens'!AS197*'Sequoia sempervirens'!$F$21,Chêne!AS197*Chêne!$F$21,Charme!AS197*Charme!$F$21)</f>
        <v>0</v>
      </c>
      <c r="Z213" s="328">
        <f>SUM('Pin Laricio'!AT197*'Pin Laricio'!$F$21,Douglas!AT197*Douglas!$F$21,'Cedre de l''Atlas'!AT197*'Cedre de l''Atlas'!$F$21,'Sequoia sempervirens'!AT197*'Sequoia sempervirens'!$F$21,Chêne!AT197*Chêne!$F$21,Charme!AT197*Charme!$F$21)</f>
        <v>0</v>
      </c>
      <c r="AA213" s="175">
        <f t="shared" si="27"/>
        <v>0</v>
      </c>
      <c r="AB213" s="176">
        <f t="shared" ref="AB213:AB221" si="32">IF(N213&lt;=$L$4,(AA213-SUM(O213:T213))/((1+4.5%)^N213),)</f>
        <v>0</v>
      </c>
      <c r="AC213" s="175"/>
      <c r="AD213" s="175"/>
    </row>
    <row r="214" spans="14:30">
      <c r="N214" s="71">
        <v>193</v>
      </c>
      <c r="O214" s="236"/>
      <c r="P214" s="177"/>
      <c r="Q214" s="237">
        <f t="shared" si="29"/>
        <v>541.75</v>
      </c>
      <c r="R214" s="177">
        <f t="shared" si="30"/>
        <v>37.922500000000007</v>
      </c>
      <c r="S214" s="177">
        <f>$L$11*(1+$L$9)^N214*'Récapitulatif des résultats'!$I$11</f>
        <v>0</v>
      </c>
      <c r="T214" s="238"/>
      <c r="U214" s="177"/>
      <c r="V214" s="246">
        <f t="shared" si="31"/>
        <v>0</v>
      </c>
      <c r="W214" s="185">
        <f>SUM('Pin Laricio'!AQ198*'Pin Laricio'!$F$21,Douglas!AQ198*Douglas!$F$21,'Cedre de l''Atlas'!AQ198*'Cedre de l''Atlas'!$F$21,'Sequoia sempervirens'!AQ198*'Sequoia sempervirens'!$F$21,Chêne!AQ198*Chêne!$F$21,Charme!AQ198*Charme!$F$21)</f>
        <v>0</v>
      </c>
      <c r="X214" s="185">
        <f>SUM('Pin Laricio'!AR198*'Pin Laricio'!$F$21,Douglas!AR198*Douglas!$F$21,'Cedre de l''Atlas'!AR198*'Cedre de l''Atlas'!$F$21,'Sequoia sempervirens'!AR198*'Sequoia sempervirens'!$F$21,Chêne!AR198*Chêne!$F$21,Charme!AR198*Charme!$F$21)</f>
        <v>0</v>
      </c>
      <c r="Y214" s="185">
        <f>SUM('Pin Laricio'!AS198*'Pin Laricio'!$F$21,Douglas!AS198*Douglas!$F$21,'Cedre de l''Atlas'!AS198*'Cedre de l''Atlas'!$F$21,'Sequoia sempervirens'!AS198*'Sequoia sempervirens'!$F$21,Chêne!AS198*Chêne!$F$21,Charme!AS198*Charme!$F$21)</f>
        <v>0</v>
      </c>
      <c r="Z214" s="328">
        <f>SUM('Pin Laricio'!AT198*'Pin Laricio'!$F$21,Douglas!AT198*Douglas!$F$21,'Cedre de l''Atlas'!AT198*'Cedre de l''Atlas'!$F$21,'Sequoia sempervirens'!AT198*'Sequoia sempervirens'!$F$21,Chêne!AT198*Chêne!$F$21,Charme!AT198*Charme!$F$21)</f>
        <v>0</v>
      </c>
      <c r="AA214" s="175">
        <f t="shared" ref="AA214:AA221" si="33">SUMIF(B$23:B$115,N214,L$23:L$115)+U214</f>
        <v>0</v>
      </c>
      <c r="AB214" s="176">
        <f t="shared" si="32"/>
        <v>0</v>
      </c>
      <c r="AC214" s="175"/>
      <c r="AD214" s="175"/>
    </row>
    <row r="215" spans="14:30">
      <c r="N215" s="71">
        <v>194</v>
      </c>
      <c r="O215" s="236"/>
      <c r="P215" s="177"/>
      <c r="Q215" s="237">
        <f t="shared" si="29"/>
        <v>541.75</v>
      </c>
      <c r="R215" s="177">
        <f t="shared" si="30"/>
        <v>37.922500000000007</v>
      </c>
      <c r="S215" s="177">
        <f>$L$11*(1+$L$9)^N215*'Récapitulatif des résultats'!$I$11</f>
        <v>0</v>
      </c>
      <c r="T215" s="238"/>
      <c r="U215" s="177"/>
      <c r="V215" s="246">
        <f t="shared" si="31"/>
        <v>0</v>
      </c>
      <c r="W215" s="185">
        <f>SUM('Pin Laricio'!AQ199*'Pin Laricio'!$F$21,Douglas!AQ199*Douglas!$F$21,'Cedre de l''Atlas'!AQ199*'Cedre de l''Atlas'!$F$21,'Sequoia sempervirens'!AQ199*'Sequoia sempervirens'!$F$21,Chêne!AQ199*Chêne!$F$21,Charme!AQ199*Charme!$F$21)</f>
        <v>0</v>
      </c>
      <c r="X215" s="185">
        <f>SUM('Pin Laricio'!AR199*'Pin Laricio'!$F$21,Douglas!AR199*Douglas!$F$21,'Cedre de l''Atlas'!AR199*'Cedre de l''Atlas'!$F$21,'Sequoia sempervirens'!AR199*'Sequoia sempervirens'!$F$21,Chêne!AR199*Chêne!$F$21,Charme!AR199*Charme!$F$21)</f>
        <v>0</v>
      </c>
      <c r="Y215" s="185">
        <f>SUM('Pin Laricio'!AS199*'Pin Laricio'!$F$21,Douglas!AS199*Douglas!$F$21,'Cedre de l''Atlas'!AS199*'Cedre de l''Atlas'!$F$21,'Sequoia sempervirens'!AS199*'Sequoia sempervirens'!$F$21,Chêne!AS199*Chêne!$F$21,Charme!AS199*Charme!$F$21)</f>
        <v>0</v>
      </c>
      <c r="Z215" s="328">
        <f>SUM('Pin Laricio'!AT199*'Pin Laricio'!$F$21,Douglas!AT199*Douglas!$F$21,'Cedre de l''Atlas'!AT199*'Cedre de l''Atlas'!$F$21,'Sequoia sempervirens'!AT199*'Sequoia sempervirens'!$F$21,Chêne!AT199*Chêne!$F$21,Charme!AT199*Charme!$F$21)</f>
        <v>0</v>
      </c>
      <c r="AA215" s="175">
        <f t="shared" si="33"/>
        <v>0</v>
      </c>
      <c r="AB215" s="176">
        <f t="shared" si="32"/>
        <v>0</v>
      </c>
      <c r="AC215" s="175"/>
      <c r="AD215" s="175"/>
    </row>
    <row r="216" spans="14:30">
      <c r="N216" s="71">
        <v>195</v>
      </c>
      <c r="O216" s="236"/>
      <c r="P216" s="177"/>
      <c r="Q216" s="237">
        <f t="shared" si="29"/>
        <v>541.75</v>
      </c>
      <c r="R216" s="177">
        <f t="shared" si="30"/>
        <v>37.922500000000007</v>
      </c>
      <c r="S216" s="177">
        <f>$L$11*(1+$L$9)^N216*'Récapitulatif des résultats'!$I$11</f>
        <v>0</v>
      </c>
      <c r="T216" s="238"/>
      <c r="U216" s="177"/>
      <c r="V216" s="246">
        <f t="shared" si="31"/>
        <v>0</v>
      </c>
      <c r="W216" s="185">
        <f>SUM('Pin Laricio'!AQ200*'Pin Laricio'!$F$21,Douglas!AQ200*Douglas!$F$21,'Cedre de l''Atlas'!AQ200*'Cedre de l''Atlas'!$F$21,'Sequoia sempervirens'!AQ200*'Sequoia sempervirens'!$F$21,Chêne!AQ200*Chêne!$F$21,Charme!AQ200*Charme!$F$21)</f>
        <v>0</v>
      </c>
      <c r="X216" s="185">
        <f>SUM('Pin Laricio'!AR200*'Pin Laricio'!$F$21,Douglas!AR200*Douglas!$F$21,'Cedre de l''Atlas'!AR200*'Cedre de l''Atlas'!$F$21,'Sequoia sempervirens'!AR200*'Sequoia sempervirens'!$F$21,Chêne!AR200*Chêne!$F$21,Charme!AR200*Charme!$F$21)</f>
        <v>0</v>
      </c>
      <c r="Y216" s="185">
        <f>SUM('Pin Laricio'!AS200*'Pin Laricio'!$F$21,Douglas!AS200*Douglas!$F$21,'Cedre de l''Atlas'!AS200*'Cedre de l''Atlas'!$F$21,'Sequoia sempervirens'!AS200*'Sequoia sempervirens'!$F$21,Chêne!AS200*Chêne!$F$21,Charme!AS200*Charme!$F$21)</f>
        <v>0</v>
      </c>
      <c r="Z216" s="328">
        <f>SUM('Pin Laricio'!AT200*'Pin Laricio'!$F$21,Douglas!AT200*Douglas!$F$21,'Cedre de l''Atlas'!AT200*'Cedre de l''Atlas'!$F$21,'Sequoia sempervirens'!AT200*'Sequoia sempervirens'!$F$21,Chêne!AT200*Chêne!$F$21,Charme!AT200*Charme!$F$21)</f>
        <v>0</v>
      </c>
      <c r="AA216" s="175">
        <f t="shared" si="33"/>
        <v>0</v>
      </c>
      <c r="AB216" s="176">
        <f t="shared" si="32"/>
        <v>0</v>
      </c>
      <c r="AC216" s="175"/>
      <c r="AD216" s="175"/>
    </row>
    <row r="217" spans="14:30">
      <c r="N217" s="71">
        <v>196</v>
      </c>
      <c r="O217" s="236"/>
      <c r="P217" s="177"/>
      <c r="Q217" s="237">
        <f t="shared" si="29"/>
        <v>541.75</v>
      </c>
      <c r="R217" s="177">
        <f t="shared" si="30"/>
        <v>37.922500000000007</v>
      </c>
      <c r="S217" s="177">
        <f>$L$11*(1+$L$9)^N217*'Récapitulatif des résultats'!$I$11</f>
        <v>0</v>
      </c>
      <c r="T217" s="238"/>
      <c r="U217" s="177"/>
      <c r="V217" s="246">
        <f t="shared" si="31"/>
        <v>0</v>
      </c>
      <c r="W217" s="185">
        <f>SUM('Pin Laricio'!AQ201*'Pin Laricio'!$F$21,Douglas!AQ201*Douglas!$F$21,'Cedre de l''Atlas'!AQ201*'Cedre de l''Atlas'!$F$21,'Sequoia sempervirens'!AQ201*'Sequoia sempervirens'!$F$21,Chêne!AQ201*Chêne!$F$21,Charme!AQ201*Charme!$F$21)</f>
        <v>0</v>
      </c>
      <c r="X217" s="185">
        <f>SUM('Pin Laricio'!AR201*'Pin Laricio'!$F$21,Douglas!AR201*Douglas!$F$21,'Cedre de l''Atlas'!AR201*'Cedre de l''Atlas'!$F$21,'Sequoia sempervirens'!AR201*'Sequoia sempervirens'!$F$21,Chêne!AR201*Chêne!$F$21,Charme!AR201*Charme!$F$21)</f>
        <v>0</v>
      </c>
      <c r="Y217" s="185">
        <f>SUM('Pin Laricio'!AS201*'Pin Laricio'!$F$21,Douglas!AS201*Douglas!$F$21,'Cedre de l''Atlas'!AS201*'Cedre de l''Atlas'!$F$21,'Sequoia sempervirens'!AS201*'Sequoia sempervirens'!$F$21,Chêne!AS201*Chêne!$F$21,Charme!AS201*Charme!$F$21)</f>
        <v>0</v>
      </c>
      <c r="Z217" s="328">
        <f>SUM('Pin Laricio'!AT201*'Pin Laricio'!$F$21,Douglas!AT201*Douglas!$F$21,'Cedre de l''Atlas'!AT201*'Cedre de l''Atlas'!$F$21,'Sequoia sempervirens'!AT201*'Sequoia sempervirens'!$F$21,Chêne!AT201*Chêne!$F$21,Charme!AT201*Charme!$F$21)</f>
        <v>0</v>
      </c>
      <c r="AA217" s="175">
        <f t="shared" si="33"/>
        <v>0</v>
      </c>
      <c r="AB217" s="176">
        <f t="shared" si="32"/>
        <v>0</v>
      </c>
      <c r="AC217" s="175"/>
      <c r="AD217" s="175"/>
    </row>
    <row r="218" spans="14:30">
      <c r="N218" s="71">
        <v>197</v>
      </c>
      <c r="O218" s="236"/>
      <c r="P218" s="177"/>
      <c r="Q218" s="237">
        <f t="shared" si="29"/>
        <v>541.75</v>
      </c>
      <c r="R218" s="177">
        <f t="shared" si="30"/>
        <v>37.922500000000007</v>
      </c>
      <c r="S218" s="177">
        <f>$L$11*(1+$L$9)^N218*'Récapitulatif des résultats'!$I$11</f>
        <v>0</v>
      </c>
      <c r="T218" s="238"/>
      <c r="U218" s="177"/>
      <c r="V218" s="246">
        <f t="shared" si="31"/>
        <v>0</v>
      </c>
      <c r="W218" s="185">
        <f>SUM('Pin Laricio'!AQ202*'Pin Laricio'!$F$21,Douglas!AQ202*Douglas!$F$21,'Cedre de l''Atlas'!AQ202*'Cedre de l''Atlas'!$F$21,'Sequoia sempervirens'!AQ202*'Sequoia sempervirens'!$F$21,Chêne!AQ202*Chêne!$F$21,Charme!AQ202*Charme!$F$21)</f>
        <v>0</v>
      </c>
      <c r="X218" s="185">
        <f>SUM('Pin Laricio'!AR202*'Pin Laricio'!$F$21,Douglas!AR202*Douglas!$F$21,'Cedre de l''Atlas'!AR202*'Cedre de l''Atlas'!$F$21,'Sequoia sempervirens'!AR202*'Sequoia sempervirens'!$F$21,Chêne!AR202*Chêne!$F$21,Charme!AR202*Charme!$F$21)</f>
        <v>0</v>
      </c>
      <c r="Y218" s="185">
        <f>SUM('Pin Laricio'!AS202*'Pin Laricio'!$F$21,Douglas!AS202*Douglas!$F$21,'Cedre de l''Atlas'!AS202*'Cedre de l''Atlas'!$F$21,'Sequoia sempervirens'!AS202*'Sequoia sempervirens'!$F$21,Chêne!AS202*Chêne!$F$21,Charme!AS202*Charme!$F$21)</f>
        <v>0</v>
      </c>
      <c r="Z218" s="328">
        <f>SUM('Pin Laricio'!AT202*'Pin Laricio'!$F$21,Douglas!AT202*Douglas!$F$21,'Cedre de l''Atlas'!AT202*'Cedre de l''Atlas'!$F$21,'Sequoia sempervirens'!AT202*'Sequoia sempervirens'!$F$21,Chêne!AT202*Chêne!$F$21,Charme!AT202*Charme!$F$21)</f>
        <v>0</v>
      </c>
      <c r="AA218" s="175">
        <f t="shared" si="33"/>
        <v>0</v>
      </c>
      <c r="AB218" s="176">
        <f t="shared" si="32"/>
        <v>0</v>
      </c>
      <c r="AC218" s="175"/>
      <c r="AD218" s="175"/>
    </row>
    <row r="219" spans="14:30">
      <c r="N219" s="71">
        <v>198</v>
      </c>
      <c r="O219" s="236"/>
      <c r="P219" s="177"/>
      <c r="Q219" s="237">
        <f t="shared" si="29"/>
        <v>541.75</v>
      </c>
      <c r="R219" s="177">
        <f t="shared" si="30"/>
        <v>37.922500000000007</v>
      </c>
      <c r="S219" s="177">
        <f>$L$11*(1+$L$9)^N219*'Récapitulatif des résultats'!$I$11</f>
        <v>0</v>
      </c>
      <c r="T219" s="238"/>
      <c r="U219" s="177"/>
      <c r="V219" s="246">
        <f t="shared" si="31"/>
        <v>0</v>
      </c>
      <c r="W219" s="185">
        <f>SUM('Pin Laricio'!AQ203*'Pin Laricio'!$F$21,Douglas!AQ203*Douglas!$F$21,'Cedre de l''Atlas'!AQ203*'Cedre de l''Atlas'!$F$21,'Sequoia sempervirens'!AQ203*'Sequoia sempervirens'!$F$21,Chêne!AQ203*Chêne!$F$21,Charme!AQ203*Charme!$F$21)</f>
        <v>0</v>
      </c>
      <c r="X219" s="185">
        <f>SUM('Pin Laricio'!AR203*'Pin Laricio'!$F$21,Douglas!AR203*Douglas!$F$21,'Cedre de l''Atlas'!AR203*'Cedre de l''Atlas'!$F$21,'Sequoia sempervirens'!AR203*'Sequoia sempervirens'!$F$21,Chêne!AR203*Chêne!$F$21,Charme!AR203*Charme!$F$21)</f>
        <v>0</v>
      </c>
      <c r="Y219" s="185">
        <f>SUM('Pin Laricio'!AS203*'Pin Laricio'!$F$21,Douglas!AS203*Douglas!$F$21,'Cedre de l''Atlas'!AS203*'Cedre de l''Atlas'!$F$21,'Sequoia sempervirens'!AS203*'Sequoia sempervirens'!$F$21,Chêne!AS203*Chêne!$F$21,Charme!AS203*Charme!$F$21)</f>
        <v>0</v>
      </c>
      <c r="Z219" s="328">
        <f>SUM('Pin Laricio'!AT203*'Pin Laricio'!$F$21,Douglas!AT203*Douglas!$F$21,'Cedre de l''Atlas'!AT203*'Cedre de l''Atlas'!$F$21,'Sequoia sempervirens'!AT203*'Sequoia sempervirens'!$F$21,Chêne!AT203*Chêne!$F$21,Charme!AT203*Charme!$F$21)</f>
        <v>0</v>
      </c>
      <c r="AA219" s="175">
        <f t="shared" si="33"/>
        <v>0</v>
      </c>
      <c r="AB219" s="176">
        <f t="shared" si="32"/>
        <v>0</v>
      </c>
      <c r="AC219" s="175"/>
      <c r="AD219" s="175"/>
    </row>
    <row r="220" spans="14:30">
      <c r="N220" s="71">
        <v>199</v>
      </c>
      <c r="O220" s="236"/>
      <c r="P220" s="177"/>
      <c r="Q220" s="237">
        <f t="shared" si="29"/>
        <v>541.75</v>
      </c>
      <c r="R220" s="177">
        <f t="shared" si="30"/>
        <v>37.922500000000007</v>
      </c>
      <c r="S220" s="177">
        <f>$L$11*(1+$L$9)^N220*'Récapitulatif des résultats'!$I$11</f>
        <v>0</v>
      </c>
      <c r="T220" s="238"/>
      <c r="U220" s="177"/>
      <c r="V220" s="246">
        <f t="shared" si="31"/>
        <v>0</v>
      </c>
      <c r="W220" s="185">
        <f>SUM('Pin Laricio'!AQ204*'Pin Laricio'!$F$21,Douglas!AQ204*Douglas!$F$21,'Cedre de l''Atlas'!AQ204*'Cedre de l''Atlas'!$F$21,'Sequoia sempervirens'!AQ204*'Sequoia sempervirens'!$F$21,Chêne!AQ204*Chêne!$F$21,Charme!AQ204*Charme!$F$21)</f>
        <v>0</v>
      </c>
      <c r="X220" s="185">
        <f>SUM('Pin Laricio'!AR204*'Pin Laricio'!$F$21,Douglas!AR204*Douglas!$F$21,'Cedre de l''Atlas'!AR204*'Cedre de l''Atlas'!$F$21,'Sequoia sempervirens'!AR204*'Sequoia sempervirens'!$F$21,Chêne!AR204*Chêne!$F$21,Charme!AR204*Charme!$F$21)</f>
        <v>0</v>
      </c>
      <c r="Y220" s="185">
        <f>SUM('Pin Laricio'!AS204*'Pin Laricio'!$F$21,Douglas!AS204*Douglas!$F$21,'Cedre de l''Atlas'!AS204*'Cedre de l''Atlas'!$F$21,'Sequoia sempervirens'!AS204*'Sequoia sempervirens'!$F$21,Chêne!AS204*Chêne!$F$21,Charme!AS204*Charme!$F$21)</f>
        <v>0</v>
      </c>
      <c r="Z220" s="328">
        <f>SUM('Pin Laricio'!AT204*'Pin Laricio'!$F$21,Douglas!AT204*Douglas!$F$21,'Cedre de l''Atlas'!AT204*'Cedre de l''Atlas'!$F$21,'Sequoia sempervirens'!AT204*'Sequoia sempervirens'!$F$21,Chêne!AT204*Chêne!$F$21,Charme!AT204*Charme!$F$21)</f>
        <v>0</v>
      </c>
      <c r="AA220" s="175">
        <f t="shared" si="33"/>
        <v>0</v>
      </c>
      <c r="AB220" s="176">
        <f t="shared" si="32"/>
        <v>0</v>
      </c>
      <c r="AC220" s="175"/>
      <c r="AD220" s="175"/>
    </row>
    <row r="221" spans="14:30">
      <c r="N221" s="72">
        <v>200</v>
      </c>
      <c r="O221" s="179"/>
      <c r="P221" s="179"/>
      <c r="Q221" s="239">
        <f t="shared" si="29"/>
        <v>541.75</v>
      </c>
      <c r="R221" s="240">
        <f t="shared" si="30"/>
        <v>37.922500000000007</v>
      </c>
      <c r="S221" s="240">
        <f>$L$11*(1+$L$9)^N221*'Récapitulatif des résultats'!$I$11</f>
        <v>0</v>
      </c>
      <c r="T221" s="241"/>
      <c r="U221" s="179"/>
      <c r="V221" s="247">
        <f t="shared" si="31"/>
        <v>0</v>
      </c>
      <c r="W221" s="248">
        <f>SUM('Pin Laricio'!AQ205*'Pin Laricio'!$F$21,Douglas!AQ205*Douglas!$F$21,'Cedre de l''Atlas'!AQ205*'Cedre de l''Atlas'!$F$21,'Sequoia sempervirens'!AQ205*'Sequoia sempervirens'!$F$21,Chêne!AQ205*Chêne!$F$21,Charme!AQ205*Charme!$F$21)</f>
        <v>0</v>
      </c>
      <c r="X221" s="248">
        <f>SUM('Pin Laricio'!AR205*'Pin Laricio'!$F$21,Douglas!AR205*Douglas!$F$21,'Cedre de l''Atlas'!AR205*'Cedre de l''Atlas'!$F$21,'Sequoia sempervirens'!AR205*'Sequoia sempervirens'!$F$21,Chêne!AR205*Chêne!$F$21,Charme!AR205*Charme!$F$21)</f>
        <v>0</v>
      </c>
      <c r="Y221" s="248">
        <f>SUM('Pin Laricio'!AS205*'Pin Laricio'!$F$21,Douglas!AS205*Douglas!$F$21,'Cedre de l''Atlas'!AS205*'Cedre de l''Atlas'!$F$21,'Sequoia sempervirens'!AS205*'Sequoia sempervirens'!$F$21,Chêne!AS205*Chêne!$F$21,Charme!AS205*Charme!$F$21)</f>
        <v>0</v>
      </c>
      <c r="Z221" s="329">
        <f>SUM('Pin Laricio'!AT205*'Pin Laricio'!$F$21,Douglas!AT205*Douglas!$F$21,'Cedre de l''Atlas'!AT205*'Cedre de l''Atlas'!$F$21,'Sequoia sempervirens'!AT205*'Sequoia sempervirens'!$F$21,Chêne!AT205*Chêne!$F$21,Charme!AT205*Charme!$F$21)</f>
        <v>0</v>
      </c>
      <c r="AA221" s="249">
        <f t="shared" si="33"/>
        <v>0</v>
      </c>
      <c r="AB221" s="250">
        <f t="shared" si="32"/>
        <v>0</v>
      </c>
      <c r="AC221" s="175"/>
      <c r="AD221" s="175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Pin Laricio</vt:lpstr>
      <vt:lpstr>Douglas</vt:lpstr>
      <vt:lpstr>Cedre de l'Atlas</vt:lpstr>
      <vt:lpstr>Sequoia sempervirens</vt:lpstr>
      <vt:lpstr>Chêne</vt:lpstr>
      <vt:lpstr>Charme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2020-12-10T18:13:25Z</cp:lastPrinted>
  <dcterms:created xsi:type="dcterms:W3CDTF">2020-02-20T14:47:46Z</dcterms:created>
  <dcterms:modified xsi:type="dcterms:W3CDTF">2021-07-23T13:29:23Z</dcterms:modified>
</cp:coreProperties>
</file>